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34FC7B6B-6ED2-46CD-AAB4-45D383304D72}" xr6:coauthVersionLast="47" xr6:coauthVersionMax="47" xr10:uidLastSave="{00000000-0000-0000-0000-000000000000}"/>
  <bookViews>
    <workbookView xWindow="2037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67" i="11" l="1"/>
  <c r="Y67" i="11"/>
  <c r="X67" i="11"/>
  <c r="W67" i="11"/>
  <c r="V67" i="11"/>
  <c r="U67" i="11"/>
  <c r="T67" i="11"/>
  <c r="S67" i="11"/>
  <c r="R67" i="11"/>
  <c r="Q67" i="11"/>
  <c r="AB67" i="11"/>
  <c r="AA67" i="11"/>
  <c r="Z48" i="11"/>
  <c r="Y48" i="11"/>
  <c r="X48" i="11"/>
  <c r="W48" i="11"/>
  <c r="V48" i="11"/>
  <c r="U48" i="11"/>
  <c r="T48" i="11"/>
  <c r="S48" i="11"/>
  <c r="R48" i="11"/>
  <c r="Q48" i="11"/>
  <c r="AB48" i="11"/>
  <c r="AA48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52" i="11"/>
  <c r="Y52" i="11"/>
  <c r="X52" i="11"/>
  <c r="W52" i="11"/>
  <c r="V52" i="11"/>
  <c r="U52" i="11"/>
  <c r="T52" i="11"/>
  <c r="S52" i="11"/>
  <c r="R52" i="11"/>
  <c r="Q52" i="11"/>
  <c r="AB52" i="11"/>
  <c r="AA52" i="11"/>
  <c r="Z53" i="11"/>
  <c r="Y53" i="11"/>
  <c r="X53" i="11"/>
  <c r="W53" i="11"/>
  <c r="V53" i="11"/>
  <c r="U53" i="11"/>
  <c r="T53" i="11"/>
  <c r="S53" i="11"/>
  <c r="R53" i="11"/>
  <c r="Q53" i="11"/>
  <c r="AB53" i="11"/>
  <c r="AA53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51" i="11"/>
  <c r="Y51" i="11"/>
  <c r="X51" i="11"/>
  <c r="W51" i="11"/>
  <c r="V51" i="11"/>
  <c r="U51" i="11"/>
  <c r="T51" i="11"/>
  <c r="S51" i="11"/>
  <c r="R51" i="11"/>
  <c r="Q51" i="11"/>
  <c r="AB51" i="11"/>
  <c r="AA51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54" i="11"/>
  <c r="Y54" i="11"/>
  <c r="X54" i="11"/>
  <c r="W54" i="11"/>
  <c r="V54" i="11"/>
  <c r="U54" i="11"/>
  <c r="T54" i="11"/>
  <c r="S54" i="11"/>
  <c r="R54" i="11"/>
  <c r="Q54" i="11"/>
  <c r="AB54" i="11"/>
  <c r="AA54" i="11"/>
  <c r="Z45" i="11"/>
  <c r="Y45" i="11"/>
  <c r="X45" i="11"/>
  <c r="W45" i="11"/>
  <c r="V45" i="11"/>
  <c r="U45" i="11"/>
  <c r="T45" i="11"/>
  <c r="S45" i="11"/>
  <c r="R45" i="11"/>
  <c r="Q45" i="11"/>
  <c r="AB45" i="11"/>
  <c r="AA45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47" i="11"/>
  <c r="Y47" i="11"/>
  <c r="X47" i="11"/>
  <c r="W47" i="11"/>
  <c r="V47" i="11"/>
  <c r="U47" i="11"/>
  <c r="T47" i="11"/>
  <c r="S47" i="11"/>
  <c r="R47" i="11"/>
  <c r="Q47" i="11"/>
  <c r="AB47" i="11"/>
  <c r="AA47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43" i="11"/>
  <c r="Y43" i="11"/>
  <c r="X43" i="11"/>
  <c r="W43" i="11"/>
  <c r="V43" i="11"/>
  <c r="U43" i="11"/>
  <c r="T43" i="11"/>
  <c r="S43" i="11"/>
  <c r="R43" i="11"/>
  <c r="Q43" i="11"/>
  <c r="AB43" i="11"/>
  <c r="AA43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46" i="11"/>
  <c r="Y46" i="11"/>
  <c r="X46" i="11"/>
  <c r="W46" i="11"/>
  <c r="V46" i="11"/>
  <c r="U46" i="11"/>
  <c r="T46" i="11"/>
  <c r="S46" i="11"/>
  <c r="R46" i="11"/>
  <c r="Q46" i="11"/>
  <c r="AB46" i="11"/>
  <c r="AA46" i="11"/>
  <c r="Z49" i="11"/>
  <c r="Y49" i="11"/>
  <c r="X49" i="11"/>
  <c r="W49" i="11"/>
  <c r="V49" i="11"/>
  <c r="U49" i="11"/>
  <c r="T49" i="11"/>
  <c r="S49" i="11"/>
  <c r="R49" i="11"/>
  <c r="Q49" i="11"/>
  <c r="AB49" i="11"/>
  <c r="AA49" i="11"/>
  <c r="Z44" i="11"/>
  <c r="Y44" i="11"/>
  <c r="X44" i="11"/>
  <c r="W44" i="11"/>
  <c r="V44" i="11"/>
  <c r="U44" i="11"/>
  <c r="T44" i="11"/>
  <c r="S44" i="11"/>
  <c r="R44" i="11"/>
  <c r="Q44" i="11"/>
  <c r="AB44" i="11"/>
  <c r="AA44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61" i="11"/>
  <c r="Y61" i="11"/>
  <c r="X61" i="11"/>
  <c r="W61" i="11"/>
  <c r="V61" i="11"/>
  <c r="U61" i="11"/>
  <c r="T61" i="11"/>
  <c r="S61" i="11"/>
  <c r="R61" i="11"/>
  <c r="Q61" i="11"/>
  <c r="AB61" i="11"/>
  <c r="AA61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I6" i="11"/>
  <c r="I7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5" i="11"/>
  <c r="J7" i="11"/>
  <c r="D4" i="11"/>
  <c r="J11" i="11"/>
  <c r="J4" i="11"/>
  <c r="I14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H7" i="11"/>
  <c r="G3" i="11"/>
  <c r="G12" i="11"/>
  <c r="E14" i="11"/>
  <c r="E7" i="11"/>
  <c r="E6" i="11"/>
  <c r="E4" i="11"/>
  <c r="E10" i="11"/>
  <c r="E13" i="11"/>
  <c r="E12" i="11"/>
  <c r="E3" i="11"/>
  <c r="E11" i="11"/>
  <c r="E9" i="11"/>
  <c r="D9" i="11"/>
  <c r="I9" i="11"/>
  <c r="J10" i="11"/>
  <c r="J9" i="11"/>
  <c r="D10" i="11"/>
  <c r="G10" i="11"/>
  <c r="H10" i="11"/>
  <c r="G9" i="11"/>
  <c r="H9" i="11"/>
  <c r="I10" i="11"/>
  <c r="C20" i="11"/>
  <c r="C19" i="11"/>
  <c r="D23" i="11"/>
  <c r="C21" i="11"/>
  <c r="C24" i="11"/>
  <c r="D22" i="11"/>
  <c r="D21" i="11"/>
  <c r="C23" i="11"/>
  <c r="D24" i="11"/>
  <c r="C25" i="11"/>
  <c r="C26" i="11"/>
  <c r="D26" i="11"/>
  <c r="C22" i="11"/>
  <c r="D25" i="11"/>
  <c r="D18" i="11"/>
  <c r="D19" i="11"/>
  <c r="D20" i="11"/>
  <c r="C18" i="11"/>
  <c r="E8" i="11"/>
  <c r="E5" i="11"/>
  <c r="J36" i="11"/>
  <c r="J30" i="11"/>
  <c r="F29" i="11"/>
  <c r="P151" i="11"/>
  <c r="P141" i="11"/>
  <c r="P140" i="11"/>
  <c r="P139" i="11"/>
  <c r="P138" i="11"/>
  <c r="P137" i="11"/>
  <c r="P136" i="11"/>
  <c r="P135" i="11"/>
  <c r="P134" i="11"/>
  <c r="P133" i="11"/>
  <c r="AA132" i="11"/>
  <c r="AA147" i="11" s="1"/>
  <c r="AH130" i="1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H129" i="11"/>
  <c r="P128" i="11"/>
  <c r="P127" i="11"/>
  <c r="P155" i="11" s="1"/>
  <c r="P126" i="11"/>
  <c r="P125" i="11"/>
  <c r="P124" i="11"/>
  <c r="P123" i="11"/>
  <c r="P122" i="11"/>
  <c r="P121" i="11"/>
  <c r="P120" i="11"/>
  <c r="Z119" i="11"/>
  <c r="T119" i="11"/>
  <c r="AB97" i="11"/>
  <c r="AB132" i="11" s="1"/>
  <c r="AB147" i="11" s="1"/>
  <c r="AA97" i="11"/>
  <c r="AA106" i="11" s="1"/>
  <c r="Z97" i="11"/>
  <c r="Z132" i="11" s="1"/>
  <c r="Z147" i="11" s="1"/>
  <c r="Y97" i="11"/>
  <c r="X97" i="11"/>
  <c r="X132" i="11" s="1"/>
  <c r="X147" i="11" s="1"/>
  <c r="W97" i="11"/>
  <c r="W132" i="11" s="1"/>
  <c r="W147" i="11" s="1"/>
  <c r="V97" i="11"/>
  <c r="V132" i="11" s="1"/>
  <c r="V147" i="11" s="1"/>
  <c r="U97" i="11"/>
  <c r="T97" i="11"/>
  <c r="T132" i="11" s="1"/>
  <c r="T147" i="11" s="1"/>
  <c r="S97" i="11"/>
  <c r="S119" i="11" s="1"/>
  <c r="R97" i="11"/>
  <c r="R132" i="11" s="1"/>
  <c r="R147" i="11" s="1"/>
  <c r="Q97" i="11"/>
  <c r="AB83" i="11"/>
  <c r="AA83" i="11"/>
  <c r="Z83" i="11"/>
  <c r="Y83" i="11"/>
  <c r="X83" i="11"/>
  <c r="W83" i="11"/>
  <c r="V83" i="11"/>
  <c r="U83" i="11"/>
  <c r="T83" i="11"/>
  <c r="S83" i="11"/>
  <c r="R83" i="11"/>
  <c r="Q83" i="11"/>
  <c r="P80" i="11"/>
  <c r="O80" i="11"/>
  <c r="P79" i="11"/>
  <c r="O79" i="11"/>
  <c r="P78" i="11"/>
  <c r="O78" i="11"/>
  <c r="P77" i="11"/>
  <c r="P76" i="11"/>
  <c r="P75" i="11"/>
  <c r="V74" i="11"/>
  <c r="P74" i="11"/>
  <c r="J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F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C38" i="11" s="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B76" i="11" s="1"/>
  <c r="AA36" i="11"/>
  <c r="AA76" i="11" s="1"/>
  <c r="Z36" i="11"/>
  <c r="Z76" i="11" s="1"/>
  <c r="Y36" i="11"/>
  <c r="Y76" i="11" s="1"/>
  <c r="X36" i="11"/>
  <c r="X76" i="11" s="1"/>
  <c r="W36" i="11"/>
  <c r="W76" i="11" s="1"/>
  <c r="V36" i="11"/>
  <c r="V76" i="11" s="1"/>
  <c r="U36" i="11"/>
  <c r="U76" i="11" s="1"/>
  <c r="T36" i="11"/>
  <c r="T76" i="11" s="1"/>
  <c r="S36" i="11"/>
  <c r="S76" i="11" s="1"/>
  <c r="R36" i="11"/>
  <c r="R76" i="11" s="1"/>
  <c r="Q36" i="11"/>
  <c r="Q76" i="11" s="1"/>
  <c r="AB35" i="11"/>
  <c r="AB75" i="11" s="1"/>
  <c r="AA35" i="11"/>
  <c r="AA75" i="11" s="1"/>
  <c r="Z35" i="11"/>
  <c r="Z75" i="11" s="1"/>
  <c r="Y35" i="11"/>
  <c r="Y75" i="11" s="1"/>
  <c r="X35" i="11"/>
  <c r="X75" i="11" s="1"/>
  <c r="W35" i="11"/>
  <c r="W75" i="11" s="1"/>
  <c r="V35" i="11"/>
  <c r="V75" i="11" s="1"/>
  <c r="U35" i="11"/>
  <c r="U75" i="11" s="1"/>
  <c r="T35" i="11"/>
  <c r="T75" i="11" s="1"/>
  <c r="S35" i="11"/>
  <c r="S75" i="11" s="1"/>
  <c r="R35" i="11"/>
  <c r="R75" i="11" s="1"/>
  <c r="Q35" i="11"/>
  <c r="Q75" i="11" s="1"/>
  <c r="F35" i="11"/>
  <c r="AB34" i="11"/>
  <c r="AB74" i="11" s="1"/>
  <c r="AA34" i="11"/>
  <c r="AA74" i="11" s="1"/>
  <c r="Z34" i="11"/>
  <c r="Z74" i="11" s="1"/>
  <c r="Y34" i="11"/>
  <c r="Y74" i="11" s="1"/>
  <c r="X34" i="11"/>
  <c r="X74" i="11" s="1"/>
  <c r="W34" i="11"/>
  <c r="W74" i="11" s="1"/>
  <c r="V34" i="11"/>
  <c r="U34" i="11"/>
  <c r="U74" i="11" s="1"/>
  <c r="T34" i="11"/>
  <c r="T74" i="11" s="1"/>
  <c r="S34" i="11"/>
  <c r="S74" i="11" s="1"/>
  <c r="R34" i="11"/>
  <c r="R74" i="11" s="1"/>
  <c r="Q34" i="11"/>
  <c r="Q74" i="11" s="1"/>
  <c r="AC7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Y31" i="11"/>
  <c r="X31" i="11"/>
  <c r="W31" i="11"/>
  <c r="V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C29" i="11" s="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C21" i="11" s="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C13" i="11" s="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B50" i="11" s="1"/>
  <c r="AA10" i="11"/>
  <c r="AA50" i="11" s="1"/>
  <c r="Z10" i="11"/>
  <c r="Z50" i="11" s="1"/>
  <c r="Y10" i="11"/>
  <c r="Y50" i="11" s="1"/>
  <c r="X10" i="11"/>
  <c r="X50" i="11" s="1"/>
  <c r="W10" i="11"/>
  <c r="W50" i="11" s="1"/>
  <c r="V10" i="11"/>
  <c r="V50" i="11" s="1"/>
  <c r="U10" i="11"/>
  <c r="U50" i="11" s="1"/>
  <c r="T10" i="11"/>
  <c r="T50" i="11" s="1"/>
  <c r="S10" i="11"/>
  <c r="S50" i="11" s="1"/>
  <c r="R10" i="11"/>
  <c r="R50" i="11" s="1"/>
  <c r="Q10" i="11"/>
  <c r="Q50" i="11" s="1"/>
  <c r="AB9" i="11"/>
  <c r="AA9" i="11"/>
  <c r="Z9" i="11"/>
  <c r="Y9" i="11"/>
  <c r="X9" i="11"/>
  <c r="W9" i="11"/>
  <c r="V9" i="11"/>
  <c r="U9" i="11"/>
  <c r="T9" i="11"/>
  <c r="S9" i="11"/>
  <c r="R9" i="11"/>
  <c r="Q9" i="11"/>
  <c r="AC9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C5" i="11" s="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G12" i="7"/>
  <c r="R4" i="19"/>
  <c r="R3" i="19"/>
  <c r="R20" i="19"/>
  <c r="R10" i="19"/>
  <c r="R8" i="19"/>
  <c r="R16" i="19"/>
  <c r="R14" i="19"/>
  <c r="R11" i="19"/>
  <c r="R26" i="19"/>
  <c r="R13" i="19"/>
  <c r="R17" i="19"/>
  <c r="R15" i="19"/>
  <c r="R29" i="19"/>
  <c r="R25" i="19"/>
  <c r="R21" i="19"/>
  <c r="R7" i="19"/>
  <c r="R9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I24" i="19"/>
  <c r="E27" i="19"/>
  <c r="I25" i="19"/>
  <c r="E25" i="19"/>
  <c r="H25" i="19"/>
  <c r="J6" i="2"/>
  <c r="M14" i="2"/>
  <c r="K11" i="2"/>
  <c r="J14" i="2"/>
  <c r="J8" i="2"/>
  <c r="K8" i="2"/>
  <c r="K6" i="2"/>
  <c r="M12" i="2"/>
  <c r="K10" i="2"/>
  <c r="M13" i="2"/>
  <c r="M11" i="2"/>
  <c r="J7" i="2"/>
  <c r="J10" i="2"/>
  <c r="K13" i="2"/>
  <c r="M7" i="2"/>
  <c r="J13" i="2"/>
  <c r="K12" i="2"/>
  <c r="K7" i="2"/>
  <c r="K9" i="2"/>
  <c r="J9" i="2"/>
  <c r="K14" i="2"/>
  <c r="M6" i="2"/>
  <c r="M15" i="2"/>
  <c r="J15" i="2"/>
  <c r="M9" i="2"/>
  <c r="M8" i="2"/>
  <c r="M10" i="2"/>
  <c r="K15" i="2"/>
  <c r="J11" i="2"/>
  <c r="J12" i="2"/>
  <c r="G11" i="7"/>
  <c r="I6" i="19"/>
  <c r="G6" i="19"/>
  <c r="I9" i="19"/>
  <c r="G9" i="19"/>
  <c r="D6" i="19"/>
  <c r="J9" i="19"/>
  <c r="J6" i="19"/>
  <c r="H9" i="19"/>
  <c r="D9" i="19"/>
  <c r="H6" i="19"/>
  <c r="E6" i="19"/>
  <c r="E9" i="19"/>
  <c r="K16" i="2"/>
  <c r="M4" i="2"/>
  <c r="J16" i="2"/>
  <c r="M16" i="2"/>
  <c r="K4" i="2"/>
  <c r="J4" i="2"/>
  <c r="E9" i="7"/>
  <c r="G8" i="7"/>
  <c r="G7" i="7"/>
  <c r="E10" i="7"/>
  <c r="G6" i="7"/>
  <c r="G9" i="7"/>
  <c r="E8" i="7"/>
  <c r="H5" i="2"/>
  <c r="J5" i="2"/>
  <c r="K5" i="2"/>
  <c r="M5" i="2"/>
  <c r="B4" i="2"/>
  <c r="B3" i="2"/>
  <c r="K3" i="2"/>
  <c r="B5" i="2"/>
  <c r="B7" i="2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24" i="19"/>
  <c r="R18" i="19"/>
  <c r="R23" i="19"/>
  <c r="R19" i="19"/>
  <c r="R27" i="19"/>
  <c r="R2" i="19"/>
  <c r="R12" i="19"/>
  <c r="R6" i="19"/>
  <c r="R30" i="19"/>
  <c r="R28" i="19"/>
  <c r="R5" i="19"/>
  <c r="I13" i="19"/>
  <c r="I7" i="19"/>
  <c r="I5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H15" i="19"/>
  <c r="D7" i="19"/>
  <c r="J8" i="19"/>
  <c r="J13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E15" i="19"/>
  <c r="E7" i="19"/>
  <c r="E5" i="19"/>
  <c r="E14" i="19"/>
  <c r="E3" i="19"/>
  <c r="E11" i="19"/>
  <c r="E13" i="19"/>
  <c r="E2" i="19"/>
  <c r="E12" i="19"/>
  <c r="E10" i="19"/>
  <c r="E8" i="19"/>
  <c r="E4" i="19"/>
  <c r="J10" i="19"/>
  <c r="I10" i="19"/>
  <c r="D10" i="19"/>
  <c r="J11" i="19"/>
  <c r="D11" i="19"/>
  <c r="H11" i="19"/>
  <c r="G11" i="19"/>
  <c r="G10" i="19"/>
  <c r="H10" i="19"/>
  <c r="I11" i="19"/>
  <c r="E21" i="17"/>
  <c r="E22" i="17"/>
  <c r="E23" i="17"/>
  <c r="E24" i="17"/>
  <c r="E25" i="17"/>
  <c r="E26" i="17"/>
  <c r="E27" i="17"/>
  <c r="E28" i="17"/>
  <c r="E29" i="17"/>
  <c r="E30" i="17"/>
  <c r="E31" i="17"/>
  <c r="F21" i="17"/>
  <c r="F22" i="17"/>
  <c r="F23" i="17"/>
  <c r="F24" i="17"/>
  <c r="F25" i="17"/>
  <c r="F26" i="17"/>
  <c r="F27" i="17"/>
  <c r="F28" i="17"/>
  <c r="F29" i="17"/>
  <c r="F30" i="17"/>
  <c r="F31" i="17"/>
  <c r="D21" i="17"/>
  <c r="D22" i="17"/>
  <c r="D23" i="17"/>
  <c r="D24" i="17"/>
  <c r="D25" i="17"/>
  <c r="D26" i="17"/>
  <c r="D27" i="17"/>
  <c r="D28" i="17"/>
  <c r="D29" i="17"/>
  <c r="D30" i="17"/>
  <c r="D31" i="17"/>
  <c r="J10" i="17"/>
  <c r="J11" i="17"/>
  <c r="J12" i="17"/>
  <c r="J13" i="17"/>
  <c r="J14" i="17"/>
  <c r="J15" i="17"/>
  <c r="J6" i="17"/>
  <c r="J7" i="17"/>
  <c r="J8" i="17"/>
  <c r="J9" i="17"/>
  <c r="K10" i="17"/>
  <c r="K11" i="17"/>
  <c r="K12" i="17"/>
  <c r="K13" i="17"/>
  <c r="K14" i="17"/>
  <c r="K15" i="17"/>
  <c r="K6" i="17"/>
  <c r="K7" i="17"/>
  <c r="K8" i="17"/>
  <c r="K9" i="17"/>
  <c r="H10" i="17"/>
  <c r="H11" i="17"/>
  <c r="H12" i="17"/>
  <c r="H13" i="17"/>
  <c r="H14" i="17"/>
  <c r="H15" i="17"/>
  <c r="H6" i="17"/>
  <c r="H7" i="17"/>
  <c r="H8" i="17"/>
  <c r="H9" i="17"/>
  <c r="I10" i="17"/>
  <c r="I11" i="17"/>
  <c r="I12" i="17"/>
  <c r="I13" i="17"/>
  <c r="I14" i="17"/>
  <c r="I15" i="17"/>
  <c r="I6" i="17"/>
  <c r="I7" i="17"/>
  <c r="I8" i="17"/>
  <c r="I9" i="17"/>
  <c r="C21" i="17"/>
  <c r="C22" i="17"/>
  <c r="C23" i="17"/>
  <c r="C24" i="17"/>
  <c r="C25" i="17"/>
  <c r="C26" i="17"/>
  <c r="C27" i="17"/>
  <c r="C28" i="17"/>
  <c r="C29" i="17"/>
  <c r="C30" i="17"/>
  <c r="C31" i="17"/>
  <c r="K25" i="11"/>
  <c r="K21" i="11"/>
  <c r="K26" i="11"/>
  <c r="K22" i="11"/>
  <c r="K18" i="11"/>
  <c r="K23" i="11"/>
  <c r="K19" i="11"/>
  <c r="AJ100" i="11"/>
  <c r="AJ78" i="11"/>
  <c r="AJ76" i="11"/>
  <c r="AJ69" i="11"/>
  <c r="AJ61" i="11"/>
  <c r="AJ53" i="11"/>
  <c r="AJ45" i="11"/>
  <c r="AJ35" i="11"/>
  <c r="AJ30" i="11"/>
  <c r="AJ28" i="11"/>
  <c r="AJ27" i="11"/>
  <c r="AJ26" i="11"/>
  <c r="K24" i="11"/>
  <c r="AJ22" i="11"/>
  <c r="K20" i="11"/>
  <c r="AJ18" i="11"/>
  <c r="AJ11" i="11"/>
  <c r="AI4" i="11"/>
  <c r="AI8" i="11"/>
  <c r="AI12" i="11"/>
  <c r="AI19" i="11"/>
  <c r="AI23" i="11"/>
  <c r="AI34" i="11"/>
  <c r="AI36" i="11"/>
  <c r="AI47" i="11"/>
  <c r="AI55" i="11"/>
  <c r="AI63" i="11"/>
  <c r="AI71" i="11"/>
  <c r="AI75" i="11"/>
  <c r="AI103" i="11"/>
  <c r="AI7" i="11"/>
  <c r="AI5" i="11"/>
  <c r="AI9" i="11"/>
  <c r="AI13" i="11"/>
  <c r="AI20" i="11"/>
  <c r="AI24" i="11"/>
  <c r="AI33" i="11"/>
  <c r="AI37" i="11"/>
  <c r="AI39" i="11"/>
  <c r="AI49" i="11"/>
  <c r="AI57" i="11"/>
  <c r="AI65" i="11"/>
  <c r="AI73" i="11"/>
  <c r="AI77" i="11"/>
  <c r="AI6" i="11"/>
  <c r="AJ6" i="11"/>
  <c r="AJ10" i="11"/>
  <c r="AJ14" i="11"/>
  <c r="AJ15" i="11"/>
  <c r="AJ16" i="11"/>
  <c r="AJ17" i="11"/>
  <c r="AJ21" i="11"/>
  <c r="AJ25" i="11"/>
  <c r="AJ29" i="11"/>
  <c r="AJ31" i="11"/>
  <c r="AJ32" i="11"/>
  <c r="AJ38" i="11"/>
  <c r="AJ40" i="11"/>
  <c r="AJ43" i="11"/>
  <c r="AJ51" i="11"/>
  <c r="AJ59" i="11"/>
  <c r="AJ67" i="11"/>
  <c r="AJ74" i="11"/>
  <c r="AJ83" i="11"/>
  <c r="AJ84" i="11"/>
  <c r="AJ85" i="11"/>
  <c r="AJ86" i="11"/>
  <c r="AJ87" i="11"/>
  <c r="AJ88" i="11"/>
  <c r="AJ89" i="11"/>
  <c r="AJ7" i="11"/>
  <c r="AJ5" i="11"/>
  <c r="AJ9" i="11"/>
  <c r="AJ13" i="11"/>
  <c r="AJ20" i="11"/>
  <c r="AJ24" i="11"/>
  <c r="AJ33" i="11"/>
  <c r="AJ37" i="11"/>
  <c r="AJ39" i="11"/>
  <c r="AJ41" i="11"/>
  <c r="AJ49" i="11"/>
  <c r="AJ57" i="11"/>
  <c r="AJ65" i="11"/>
  <c r="AJ73" i="11"/>
  <c r="AJ4" i="11"/>
  <c r="AJ8" i="11"/>
  <c r="AJ12" i="11"/>
  <c r="AI14" i="11"/>
  <c r="AI15" i="11"/>
  <c r="AI16" i="11"/>
  <c r="AI17" i="11"/>
  <c r="AI21" i="11"/>
  <c r="AI25" i="11"/>
  <c r="AI29" i="11"/>
  <c r="AI31" i="11"/>
  <c r="AI32" i="11"/>
  <c r="AI38" i="11"/>
  <c r="AI40" i="11"/>
  <c r="AI43" i="11"/>
  <c r="AI51" i="11"/>
  <c r="AI59" i="11"/>
  <c r="AI67" i="11"/>
  <c r="AI83" i="11"/>
  <c r="AI84" i="11"/>
  <c r="AI85" i="11"/>
  <c r="AI86" i="11"/>
  <c r="AI87" i="11"/>
  <c r="AI88" i="11"/>
  <c r="AI89" i="11"/>
  <c r="AI99" i="11"/>
  <c r="AI10" i="11"/>
  <c r="Q110" i="11" l="1"/>
  <c r="AC43" i="11"/>
  <c r="Y110" i="11"/>
  <c r="W107" i="11"/>
  <c r="W113" i="11"/>
  <c r="W111" i="11"/>
  <c r="AC71" i="11"/>
  <c r="T112" i="11"/>
  <c r="X112" i="11"/>
  <c r="AB112" i="11"/>
  <c r="T115" i="11"/>
  <c r="X115" i="11"/>
  <c r="AB115" i="11"/>
  <c r="U110" i="11"/>
  <c r="S107" i="11"/>
  <c r="AA107" i="11"/>
  <c r="S113" i="11"/>
  <c r="AA113" i="11"/>
  <c r="S111" i="11"/>
  <c r="AA111" i="11"/>
  <c r="AC47" i="11"/>
  <c r="AC51" i="11"/>
  <c r="U112" i="11"/>
  <c r="Y112" i="11"/>
  <c r="AC55" i="11"/>
  <c r="AC57" i="11"/>
  <c r="AC59" i="11"/>
  <c r="U115" i="11"/>
  <c r="Y115" i="11"/>
  <c r="AC63" i="11"/>
  <c r="AC65" i="11"/>
  <c r="AC67" i="11"/>
  <c r="T110" i="11"/>
  <c r="X110" i="11"/>
  <c r="AB110" i="11"/>
  <c r="R107" i="11"/>
  <c r="V107" i="11"/>
  <c r="Z107" i="11"/>
  <c r="R113" i="11"/>
  <c r="V113" i="11"/>
  <c r="Z113" i="11"/>
  <c r="R111" i="11"/>
  <c r="V111" i="11"/>
  <c r="Z111" i="11"/>
  <c r="AB77" i="11"/>
  <c r="T77" i="11"/>
  <c r="W77" i="11"/>
  <c r="Q107" i="11"/>
  <c r="AC48" i="11"/>
  <c r="U113" i="11"/>
  <c r="E20" i="11"/>
  <c r="F20" i="11" s="1"/>
  <c r="L20" i="11"/>
  <c r="S115" i="11"/>
  <c r="W115" i="11"/>
  <c r="AA115" i="11"/>
  <c r="E24" i="11"/>
  <c r="F24" i="11" s="1"/>
  <c r="L24" i="11"/>
  <c r="T111" i="11"/>
  <c r="X111" i="11"/>
  <c r="AB111" i="11"/>
  <c r="AC44" i="11"/>
  <c r="U107" i="11"/>
  <c r="AC52" i="11"/>
  <c r="Y113" i="11"/>
  <c r="F13" i="11"/>
  <c r="F3" i="11"/>
  <c r="R110" i="11"/>
  <c r="V110" i="11"/>
  <c r="Z110" i="11"/>
  <c r="F4" i="11"/>
  <c r="F8" i="11"/>
  <c r="F12" i="11"/>
  <c r="AC58" i="11"/>
  <c r="E19" i="11"/>
  <c r="F19" i="11" s="1"/>
  <c r="L19" i="11"/>
  <c r="AC62" i="11"/>
  <c r="E23" i="11"/>
  <c r="L23" i="11"/>
  <c r="Q111" i="11"/>
  <c r="AC66" i="11"/>
  <c r="U111" i="11"/>
  <c r="Y111" i="11"/>
  <c r="AC68" i="11"/>
  <c r="AC70" i="11"/>
  <c r="F5" i="11"/>
  <c r="Y107" i="11"/>
  <c r="F9" i="11"/>
  <c r="S110" i="11"/>
  <c r="W110" i="11"/>
  <c r="AA110" i="11"/>
  <c r="AC46" i="11"/>
  <c r="F7" i="11"/>
  <c r="F11" i="11"/>
  <c r="R112" i="11"/>
  <c r="V112" i="11"/>
  <c r="Z112" i="11"/>
  <c r="AC54" i="11"/>
  <c r="AC56" i="11"/>
  <c r="E18" i="11"/>
  <c r="F18" i="11" s="1"/>
  <c r="L18" i="11"/>
  <c r="E22" i="11"/>
  <c r="F22" i="11" s="1"/>
  <c r="L22" i="11"/>
  <c r="F23" i="11"/>
  <c r="E26" i="11"/>
  <c r="F26" i="11" s="1"/>
  <c r="L26" i="11"/>
  <c r="AC72" i="11"/>
  <c r="F6" i="11"/>
  <c r="T107" i="11"/>
  <c r="X107" i="11"/>
  <c r="AB107" i="11"/>
  <c r="F10" i="11"/>
  <c r="S112" i="11"/>
  <c r="W112" i="11"/>
  <c r="AA112" i="11"/>
  <c r="T113" i="11"/>
  <c r="X113" i="11"/>
  <c r="AB113" i="11"/>
  <c r="F14" i="11"/>
  <c r="AC60" i="11"/>
  <c r="E21" i="11"/>
  <c r="F21" i="11" s="1"/>
  <c r="L21" i="11"/>
  <c r="R115" i="11"/>
  <c r="V115" i="11"/>
  <c r="Z115" i="11"/>
  <c r="AC64" i="11"/>
  <c r="E25" i="11"/>
  <c r="F25" i="11" s="1"/>
  <c r="L25" i="11"/>
  <c r="S77" i="11"/>
  <c r="AA77" i="11"/>
  <c r="H31" i="11"/>
  <c r="I32" i="11"/>
  <c r="X77" i="11"/>
  <c r="AC76" i="11"/>
  <c r="AC3" i="11"/>
  <c r="AC19" i="11"/>
  <c r="AC23" i="11"/>
  <c r="AC34" i="11"/>
  <c r="AC36" i="11"/>
  <c r="R77" i="11"/>
  <c r="V77" i="11"/>
  <c r="Z77" i="11"/>
  <c r="AC40" i="11"/>
  <c r="Q119" i="11"/>
  <c r="Q132" i="11"/>
  <c r="Q147" i="11" s="1"/>
  <c r="U119" i="11"/>
  <c r="U132" i="11"/>
  <c r="U147" i="11" s="1"/>
  <c r="Y119" i="11"/>
  <c r="Y132" i="11"/>
  <c r="Y147" i="11" s="1"/>
  <c r="Q106" i="11"/>
  <c r="AC12" i="11"/>
  <c r="AC7" i="11"/>
  <c r="AC11" i="11"/>
  <c r="AC18" i="11"/>
  <c r="AC22" i="11"/>
  <c r="AC26" i="11"/>
  <c r="AC27" i="11"/>
  <c r="AC28" i="11"/>
  <c r="AC30" i="11"/>
  <c r="AC75" i="11"/>
  <c r="AC35" i="11"/>
  <c r="U106" i="11"/>
  <c r="AC4" i="11"/>
  <c r="AC8" i="11"/>
  <c r="AC6" i="11"/>
  <c r="AC50" i="11"/>
  <c r="AC10" i="11"/>
  <c r="AC14" i="11"/>
  <c r="AC15" i="11"/>
  <c r="AC16" i="11"/>
  <c r="AC17" i="11"/>
  <c r="AC25" i="11"/>
  <c r="AC31" i="11"/>
  <c r="AC32" i="11"/>
  <c r="H36" i="11"/>
  <c r="H38" i="11" s="1"/>
  <c r="Y106" i="11"/>
  <c r="AC20" i="11"/>
  <c r="AC24" i="11"/>
  <c r="Q77" i="11"/>
  <c r="AC77" i="11" s="1"/>
  <c r="U77" i="11"/>
  <c r="Y77" i="11"/>
  <c r="AC37" i="11"/>
  <c r="AC39" i="11"/>
  <c r="P149" i="11"/>
  <c r="P153" i="11"/>
  <c r="R106" i="11"/>
  <c r="V106" i="11"/>
  <c r="Z106" i="11"/>
  <c r="V119" i="11"/>
  <c r="AA119" i="11"/>
  <c r="P150" i="11"/>
  <c r="P154" i="11"/>
  <c r="S106" i="11"/>
  <c r="W106" i="11"/>
  <c r="R119" i="11"/>
  <c r="W119" i="11"/>
  <c r="AB119" i="11"/>
  <c r="S132" i="11"/>
  <c r="S147" i="11" s="1"/>
  <c r="T106" i="11"/>
  <c r="X106" i="11"/>
  <c r="AB106" i="11"/>
  <c r="X119" i="11"/>
  <c r="P148" i="11"/>
  <c r="P152" i="11"/>
  <c r="P156" i="11"/>
  <c r="H8" i="2"/>
  <c r="H14" i="2"/>
  <c r="I13" i="2"/>
  <c r="I4" i="2"/>
  <c r="I7" i="2"/>
  <c r="H7" i="2"/>
  <c r="H16" i="2"/>
  <c r="H10" i="2"/>
  <c r="H9" i="2"/>
  <c r="H15" i="2"/>
  <c r="H4" i="2"/>
  <c r="H11" i="2"/>
  <c r="H13" i="2"/>
  <c r="H6" i="2"/>
  <c r="H12" i="2"/>
  <c r="I8" i="2"/>
  <c r="J3" i="2"/>
  <c r="I10" i="2"/>
  <c r="I9" i="2"/>
  <c r="I5" i="2"/>
  <c r="I11" i="2"/>
  <c r="I14" i="2"/>
  <c r="I3" i="2"/>
  <c r="I15" i="2"/>
  <c r="I6" i="2"/>
  <c r="I12" i="2"/>
  <c r="I16" i="2"/>
  <c r="B30" i="11"/>
  <c r="AC69" i="11" l="1"/>
  <c r="Q113" i="11"/>
  <c r="AC73" i="11"/>
  <c r="Q115" i="11"/>
  <c r="AC61" i="11"/>
  <c r="AC53" i="11"/>
  <c r="Q112" i="11"/>
  <c r="AC49" i="11"/>
  <c r="AC45" i="11"/>
  <c r="AC107" i="11"/>
  <c r="H37" i="11"/>
  <c r="I37" i="11" s="1"/>
  <c r="I38" i="11"/>
  <c r="I31" i="11"/>
  <c r="J32" i="11" s="1"/>
  <c r="F33" i="11" s="1"/>
  <c r="AC111" i="11"/>
  <c r="AC110" i="11"/>
  <c r="A65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19" i="2"/>
  <c r="AD10" i="2"/>
  <c r="AD17" i="2"/>
  <c r="AD8" i="2"/>
  <c r="AD7" i="2"/>
  <c r="AD12" i="2"/>
  <c r="AD20" i="2"/>
  <c r="AD15" i="2"/>
  <c r="AD6" i="2"/>
  <c r="AD9" i="2"/>
  <c r="AD16" i="2"/>
  <c r="AD3" i="2"/>
  <c r="AD11" i="2"/>
  <c r="AD18" i="2"/>
  <c r="AD14" i="2"/>
  <c r="AD5" i="2"/>
  <c r="AD13" i="2"/>
  <c r="AD4" i="2"/>
  <c r="F34" i="11" l="1"/>
  <c r="AC112" i="11"/>
  <c r="J38" i="11"/>
  <c r="F32" i="11" s="1"/>
  <c r="AC113" i="11"/>
  <c r="AC115" i="11"/>
  <c r="Q4" i="2"/>
  <c r="L3" i="2"/>
  <c r="L11" i="2"/>
  <c r="L12" i="2"/>
  <c r="L13" i="2"/>
  <c r="L14" i="2"/>
  <c r="L15" i="2"/>
  <c r="L16" i="2"/>
  <c r="L4" i="2"/>
  <c r="L5" i="2"/>
  <c r="H3" i="2"/>
  <c r="B6" i="2"/>
  <c r="L7" i="2"/>
  <c r="L8" i="2"/>
  <c r="L9" i="2"/>
  <c r="L10" i="2"/>
  <c r="L6" i="2"/>
  <c r="P9" i="2"/>
  <c r="G20" i="2"/>
  <c r="G25" i="11" l="1"/>
  <c r="G20" i="11"/>
  <c r="G22" i="11"/>
  <c r="G24" i="11"/>
  <c r="G23" i="11"/>
  <c r="G18" i="11"/>
  <c r="G21" i="11"/>
  <c r="G26" i="11"/>
  <c r="G19" i="11"/>
  <c r="F36" i="11"/>
  <c r="F37" i="11" s="1"/>
  <c r="D20" i="2"/>
  <c r="D19" i="2"/>
  <c r="D24" i="2"/>
  <c r="D21" i="2"/>
  <c r="D23" i="2"/>
  <c r="D17" i="2"/>
  <c r="D18" i="2"/>
  <c r="D16" i="2"/>
  <c r="D14" i="2"/>
  <c r="D15" i="2"/>
  <c r="S9" i="2"/>
  <c r="D12" i="2"/>
  <c r="D11" i="2"/>
  <c r="D10" i="2"/>
  <c r="D22" i="2"/>
  <c r="D13" i="2"/>
  <c r="T9" i="2"/>
  <c r="U9" i="2"/>
  <c r="H21" i="11" l="1"/>
  <c r="H22" i="11"/>
  <c r="H25" i="11"/>
  <c r="H24" i="11"/>
  <c r="H26" i="11"/>
  <c r="H19" i="11"/>
  <c r="H18" i="11"/>
  <c r="H20" i="11"/>
  <c r="H23" i="11"/>
  <c r="S10" i="2"/>
  <c r="U10" i="2"/>
  <c r="T10" i="2"/>
  <c r="J20" i="11" l="1"/>
  <c r="I20" i="11"/>
  <c r="J18" i="11"/>
  <c r="I18" i="11"/>
  <c r="M18" i="11" s="1"/>
  <c r="J22" i="11"/>
  <c r="I22" i="11"/>
  <c r="M22" i="11" s="1"/>
  <c r="J24" i="11"/>
  <c r="I24" i="11"/>
  <c r="M24" i="11" s="1"/>
  <c r="J25" i="11"/>
  <c r="I25" i="11"/>
  <c r="M25" i="11" s="1"/>
  <c r="I19" i="11"/>
  <c r="J19" i="11"/>
  <c r="I23" i="11"/>
  <c r="J23" i="11"/>
  <c r="J26" i="11"/>
  <c r="I26" i="11"/>
  <c r="M26" i="11" s="1"/>
  <c r="J21" i="11"/>
  <c r="I21" i="11"/>
  <c r="M21" i="11" s="1"/>
  <c r="S11" i="2"/>
  <c r="U69" i="19"/>
  <c r="U68" i="19"/>
  <c r="P62" i="19"/>
  <c r="P61" i="19"/>
  <c r="T61" i="19" s="1"/>
  <c r="P60" i="19"/>
  <c r="T60" i="19" s="1"/>
  <c r="T59" i="19"/>
  <c r="P59" i="19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4" i="19"/>
  <c r="D27" i="19"/>
  <c r="D25" i="19"/>
  <c r="D21" i="19"/>
  <c r="D26" i="19"/>
  <c r="T11" i="2"/>
  <c r="D20" i="19"/>
  <c r="D22" i="19"/>
  <c r="D23" i="19"/>
  <c r="U11" i="2"/>
  <c r="M20" i="11" l="1"/>
  <c r="AB90" i="11"/>
  <c r="T90" i="11"/>
  <c r="X90" i="11"/>
  <c r="W90" i="11"/>
  <c r="Z90" i="11"/>
  <c r="Y90" i="11"/>
  <c r="Q90" i="11"/>
  <c r="S90" i="11"/>
  <c r="R90" i="11"/>
  <c r="V90" i="11"/>
  <c r="AA90" i="11"/>
  <c r="U90" i="11"/>
  <c r="M19" i="11"/>
  <c r="AB87" i="11"/>
  <c r="T87" i="11"/>
  <c r="X87" i="11"/>
  <c r="W87" i="11"/>
  <c r="S87" i="11"/>
  <c r="R87" i="11"/>
  <c r="Q87" i="11"/>
  <c r="V87" i="11"/>
  <c r="AA87" i="11"/>
  <c r="U87" i="11"/>
  <c r="Z87" i="11"/>
  <c r="Y87" i="11"/>
  <c r="AA80" i="11"/>
  <c r="AA114" i="11" s="1"/>
  <c r="S80" i="11"/>
  <c r="S114" i="11" s="1"/>
  <c r="Z80" i="11"/>
  <c r="Z114" i="11" s="1"/>
  <c r="W80" i="11"/>
  <c r="W114" i="11" s="1"/>
  <c r="S91" i="11"/>
  <c r="V80" i="11"/>
  <c r="V114" i="11" s="1"/>
  <c r="R80" i="11"/>
  <c r="R114" i="11" s="1"/>
  <c r="Q80" i="11"/>
  <c r="AA91" i="11"/>
  <c r="T80" i="11"/>
  <c r="T114" i="11" s="1"/>
  <c r="AB91" i="11"/>
  <c r="R91" i="11"/>
  <c r="X80" i="11"/>
  <c r="X114" i="11" s="1"/>
  <c r="Q91" i="11"/>
  <c r="U80" i="11"/>
  <c r="U114" i="11" s="1"/>
  <c r="V91" i="11"/>
  <c r="AB80" i="11"/>
  <c r="AB114" i="11" s="1"/>
  <c r="T91" i="11"/>
  <c r="U91" i="11"/>
  <c r="Y80" i="11"/>
  <c r="Y114" i="11" s="1"/>
  <c r="Z91" i="11"/>
  <c r="W91" i="11"/>
  <c r="X91" i="11"/>
  <c r="Y91" i="11"/>
  <c r="AB88" i="11"/>
  <c r="T88" i="11"/>
  <c r="X88" i="11"/>
  <c r="W88" i="11"/>
  <c r="R88" i="11"/>
  <c r="AA88" i="11"/>
  <c r="Q88" i="11"/>
  <c r="U88" i="11"/>
  <c r="V88" i="11"/>
  <c r="Z88" i="11"/>
  <c r="S88" i="11"/>
  <c r="Y88" i="11"/>
  <c r="AB86" i="11"/>
  <c r="T86" i="11"/>
  <c r="X86" i="11"/>
  <c r="W86" i="11"/>
  <c r="Z79" i="11"/>
  <c r="Z109" i="11" s="1"/>
  <c r="Z86" i="11"/>
  <c r="AB79" i="11"/>
  <c r="AB109" i="11" s="1"/>
  <c r="AA86" i="11"/>
  <c r="Y86" i="11"/>
  <c r="U79" i="11"/>
  <c r="U109" i="11" s="1"/>
  <c r="S79" i="11"/>
  <c r="S109" i="11" s="1"/>
  <c r="Q79" i="11"/>
  <c r="R79" i="11"/>
  <c r="R109" i="11" s="1"/>
  <c r="W79" i="11"/>
  <c r="W109" i="11" s="1"/>
  <c r="R86" i="11"/>
  <c r="T79" i="11"/>
  <c r="T109" i="11" s="1"/>
  <c r="Q86" i="11"/>
  <c r="Y79" i="11"/>
  <c r="Y109" i="11" s="1"/>
  <c r="V79" i="11"/>
  <c r="V109" i="11" s="1"/>
  <c r="AA79" i="11"/>
  <c r="AA109" i="11" s="1"/>
  <c r="V86" i="11"/>
  <c r="X79" i="11"/>
  <c r="X109" i="11" s="1"/>
  <c r="S86" i="11"/>
  <c r="U86" i="11"/>
  <c r="S92" i="11"/>
  <c r="Q92" i="11"/>
  <c r="R92" i="11"/>
  <c r="X92" i="11"/>
  <c r="W92" i="11"/>
  <c r="U92" i="11"/>
  <c r="V92" i="11"/>
  <c r="AB92" i="11"/>
  <c r="Y92" i="11"/>
  <c r="Z92" i="11"/>
  <c r="AA92" i="11"/>
  <c r="T92" i="11"/>
  <c r="AB84" i="11"/>
  <c r="T84" i="11"/>
  <c r="X84" i="11"/>
  <c r="W84" i="11"/>
  <c r="R84" i="11"/>
  <c r="AA84" i="11"/>
  <c r="Q84" i="11"/>
  <c r="U84" i="11"/>
  <c r="V84" i="11"/>
  <c r="Z84" i="11"/>
  <c r="Y84" i="11"/>
  <c r="S84" i="11"/>
  <c r="M23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AC88" i="11" l="1"/>
  <c r="AC87" i="11"/>
  <c r="AC92" i="11"/>
  <c r="AC91" i="11"/>
  <c r="AC90" i="11"/>
  <c r="AC86" i="11"/>
  <c r="AC79" i="11"/>
  <c r="Q109" i="11"/>
  <c r="AC109" i="11" s="1"/>
  <c r="AC84" i="11"/>
  <c r="AB89" i="11"/>
  <c r="T89" i="11"/>
  <c r="X89" i="11"/>
  <c r="W89" i="11"/>
  <c r="V89" i="11"/>
  <c r="U89" i="11"/>
  <c r="S89" i="11"/>
  <c r="Y89" i="11"/>
  <c r="Z89" i="11"/>
  <c r="AA89" i="11"/>
  <c r="R89" i="11"/>
  <c r="Q89" i="11"/>
  <c r="AC80" i="11"/>
  <c r="Q114" i="11"/>
  <c r="AB85" i="11"/>
  <c r="T85" i="11"/>
  <c r="X85" i="11"/>
  <c r="W85" i="11"/>
  <c r="Y78" i="11"/>
  <c r="Q78" i="11"/>
  <c r="X78" i="11"/>
  <c r="V85" i="11"/>
  <c r="R78" i="11"/>
  <c r="U85" i="11"/>
  <c r="S78" i="11"/>
  <c r="Z85" i="11"/>
  <c r="S85" i="11"/>
  <c r="V78" i="11"/>
  <c r="Y85" i="11"/>
  <c r="T78" i="11"/>
  <c r="W78" i="11"/>
  <c r="AA85" i="11"/>
  <c r="Z78" i="11"/>
  <c r="AB78" i="11"/>
  <c r="U78" i="11"/>
  <c r="AA78" i="11"/>
  <c r="R85" i="11"/>
  <c r="Q85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U93" i="11" l="1"/>
  <c r="T93" i="11"/>
  <c r="AC85" i="11"/>
  <c r="V123" i="11" s="1"/>
  <c r="V136" i="11" s="1"/>
  <c r="V151" i="11" s="1"/>
  <c r="AB81" i="11"/>
  <c r="AB98" i="11" s="1"/>
  <c r="AB108" i="11"/>
  <c r="AB116" i="11" s="1"/>
  <c r="T81" i="11"/>
  <c r="T98" i="11" s="1"/>
  <c r="T108" i="11"/>
  <c r="T116" i="11" s="1"/>
  <c r="AA108" i="11"/>
  <c r="AA116" i="11" s="1"/>
  <c r="AA81" i="11"/>
  <c r="U81" i="11"/>
  <c r="U95" i="11" s="1"/>
  <c r="U108" i="11"/>
  <c r="U116" i="11" s="1"/>
  <c r="W81" i="11"/>
  <c r="W94" i="11" s="1"/>
  <c r="W108" i="11"/>
  <c r="W116" i="11" s="1"/>
  <c r="R108" i="11"/>
  <c r="R116" i="11" s="1"/>
  <c r="R81" i="11"/>
  <c r="Y108" i="11"/>
  <c r="Y116" i="11" s="1"/>
  <c r="Y81" i="11"/>
  <c r="AB121" i="11"/>
  <c r="AB134" i="11" s="1"/>
  <c r="AB149" i="11" s="1"/>
  <c r="AB93" i="11"/>
  <c r="AB95" i="11" s="1"/>
  <c r="Y120" i="11"/>
  <c r="Y133" i="11" s="1"/>
  <c r="AA120" i="11"/>
  <c r="AA133" i="11" s="1"/>
  <c r="Z121" i="11"/>
  <c r="Z93" i="11"/>
  <c r="Z95" i="11" s="1"/>
  <c r="Q93" i="11"/>
  <c r="Q94" i="11" s="1"/>
  <c r="Z81" i="11"/>
  <c r="Z108" i="11"/>
  <c r="Z116" i="11" s="1"/>
  <c r="Y121" i="11"/>
  <c r="S108" i="11"/>
  <c r="S116" i="11" s="1"/>
  <c r="S81" i="11"/>
  <c r="X108" i="11"/>
  <c r="X116" i="11" s="1"/>
  <c r="X81" i="11"/>
  <c r="X121" i="11"/>
  <c r="V93" i="11"/>
  <c r="R93" i="11"/>
  <c r="Z120" i="11"/>
  <c r="X120" i="11"/>
  <c r="X133" i="11" s="1"/>
  <c r="AA121" i="11"/>
  <c r="V81" i="11"/>
  <c r="V98" i="11" s="1"/>
  <c r="V108" i="11"/>
  <c r="V116" i="11" s="1"/>
  <c r="AC78" i="11"/>
  <c r="Q81" i="11"/>
  <c r="Q108" i="11"/>
  <c r="W93" i="11"/>
  <c r="W95" i="11" s="1"/>
  <c r="S93" i="11"/>
  <c r="S95" i="11" s="1"/>
  <c r="AB120" i="11"/>
  <c r="AB133" i="11" s="1"/>
  <c r="AC89" i="11"/>
  <c r="Y93" i="11"/>
  <c r="Y95" i="11" s="1"/>
  <c r="AA93" i="11"/>
  <c r="AA98" i="11" s="1"/>
  <c r="X93" i="11"/>
  <c r="U94" i="11"/>
  <c r="AB122" i="11"/>
  <c r="AB135" i="11" s="1"/>
  <c r="AB150" i="11" s="1"/>
  <c r="AB126" i="11"/>
  <c r="AB139" i="11" s="1"/>
  <c r="AB154" i="11" s="1"/>
  <c r="AA126" i="11"/>
  <c r="AA139" i="11" s="1"/>
  <c r="AA154" i="11" s="1"/>
  <c r="AA122" i="11"/>
  <c r="AA135" i="11" s="1"/>
  <c r="AA150" i="11" s="1"/>
  <c r="AB128" i="11"/>
  <c r="AB141" i="11" s="1"/>
  <c r="AB156" i="11" s="1"/>
  <c r="Z125" i="11"/>
  <c r="Z138" i="11" s="1"/>
  <c r="Z153" i="11" s="1"/>
  <c r="Y125" i="11"/>
  <c r="Y138" i="11" s="1"/>
  <c r="Y153" i="11" s="1"/>
  <c r="Y127" i="11"/>
  <c r="Y140" i="11" s="1"/>
  <c r="Y155" i="11" s="1"/>
  <c r="Q124" i="11"/>
  <c r="Y126" i="11"/>
  <c r="Y139" i="11" s="1"/>
  <c r="Y154" i="11" s="1"/>
  <c r="Y128" i="11"/>
  <c r="Y141" i="11" s="1"/>
  <c r="Y156" i="11" s="1"/>
  <c r="Y124" i="11"/>
  <c r="Y137" i="11" s="1"/>
  <c r="Y152" i="11" s="1"/>
  <c r="Y94" i="11"/>
  <c r="AB127" i="11"/>
  <c r="AB140" i="11" s="1"/>
  <c r="AB155" i="11" s="1"/>
  <c r="U127" i="11"/>
  <c r="U140" i="11" s="1"/>
  <c r="U155" i="11" s="1"/>
  <c r="Z126" i="11"/>
  <c r="Z139" i="11" s="1"/>
  <c r="Z154" i="11" s="1"/>
  <c r="Z122" i="11"/>
  <c r="Z135" i="11" s="1"/>
  <c r="Z150" i="11" s="1"/>
  <c r="X126" i="11"/>
  <c r="X139" i="11" s="1"/>
  <c r="X154" i="11" s="1"/>
  <c r="W125" i="11"/>
  <c r="W138" i="11" s="1"/>
  <c r="W153" i="11" s="1"/>
  <c r="X125" i="11"/>
  <c r="X138" i="11" s="1"/>
  <c r="X153" i="11" s="1"/>
  <c r="AA125" i="11"/>
  <c r="AA138" i="11" s="1"/>
  <c r="AA153" i="11" s="1"/>
  <c r="Y122" i="11"/>
  <c r="Y135" i="11" s="1"/>
  <c r="Y150" i="11" s="1"/>
  <c r="T123" i="11"/>
  <c r="T136" i="11" s="1"/>
  <c r="T151" i="11" s="1"/>
  <c r="Z128" i="11"/>
  <c r="Z141" i="11" s="1"/>
  <c r="Z156" i="11" s="1"/>
  <c r="W98" i="11"/>
  <c r="AB94" i="11"/>
  <c r="Z94" i="11"/>
  <c r="U123" i="11"/>
  <c r="U136" i="11" s="1"/>
  <c r="U151" i="11" s="1"/>
  <c r="X124" i="11"/>
  <c r="X137" i="11" s="1"/>
  <c r="X152" i="11" s="1"/>
  <c r="AB124" i="11"/>
  <c r="AB137" i="11" s="1"/>
  <c r="AB152" i="11" s="1"/>
  <c r="AA123" i="11"/>
  <c r="AA136" i="11" s="1"/>
  <c r="AA151" i="11" s="1"/>
  <c r="AB125" i="11"/>
  <c r="AB138" i="11" s="1"/>
  <c r="AB153" i="11" s="1"/>
  <c r="X128" i="11"/>
  <c r="X141" i="11" s="1"/>
  <c r="X156" i="11" s="1"/>
  <c r="Q123" i="11"/>
  <c r="AA124" i="11"/>
  <c r="AA137" i="11" s="1"/>
  <c r="AA152" i="11" s="1"/>
  <c r="X127" i="11"/>
  <c r="X140" i="11" s="1"/>
  <c r="X155" i="11" s="1"/>
  <c r="Z123" i="11"/>
  <c r="Z136" i="11" s="1"/>
  <c r="Z151" i="11" s="1"/>
  <c r="Z127" i="11"/>
  <c r="Z140" i="11" s="1"/>
  <c r="Z155" i="11" s="1"/>
  <c r="Q98" i="11"/>
  <c r="AC114" i="11"/>
  <c r="T95" i="11"/>
  <c r="Z133" i="11"/>
  <c r="AB123" i="11"/>
  <c r="AB136" i="11" s="1"/>
  <c r="AB151" i="11" s="1"/>
  <c r="V122" i="11"/>
  <c r="V135" i="11" s="1"/>
  <c r="V150" i="11" s="1"/>
  <c r="AA128" i="11"/>
  <c r="AA141" i="11" s="1"/>
  <c r="AA156" i="11" s="1"/>
  <c r="X122" i="11"/>
  <c r="X135" i="11" s="1"/>
  <c r="X150" i="11" s="1"/>
  <c r="Y123" i="11"/>
  <c r="Y136" i="11" s="1"/>
  <c r="Y151" i="11" s="1"/>
  <c r="AA127" i="11"/>
  <c r="AA140" i="11" s="1"/>
  <c r="AA155" i="11" s="1"/>
  <c r="X123" i="11"/>
  <c r="X136" i="11" s="1"/>
  <c r="X151" i="11" s="1"/>
  <c r="Q128" i="11"/>
  <c r="Z124" i="11"/>
  <c r="Z137" i="11" s="1"/>
  <c r="Z152" i="11" s="1"/>
  <c r="X94" i="11"/>
  <c r="X95" i="11"/>
  <c r="X98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Q95" i="11" l="1"/>
  <c r="AA94" i="11"/>
  <c r="Z98" i="11"/>
  <c r="S94" i="11"/>
  <c r="Y98" i="11"/>
  <c r="W120" i="11"/>
  <c r="R95" i="11"/>
  <c r="S98" i="11"/>
  <c r="S100" i="11" s="1"/>
  <c r="AA134" i="11"/>
  <c r="AA149" i="11" s="1"/>
  <c r="S124" i="11"/>
  <c r="S137" i="11" s="1"/>
  <c r="S152" i="11" s="1"/>
  <c r="W127" i="11"/>
  <c r="W140" i="11" s="1"/>
  <c r="W155" i="11" s="1"/>
  <c r="Q122" i="11"/>
  <c r="Q135" i="11" s="1"/>
  <c r="T94" i="11"/>
  <c r="W128" i="11"/>
  <c r="W141" i="11" s="1"/>
  <c r="W156" i="11" s="1"/>
  <c r="T128" i="11"/>
  <c r="T141" i="11" s="1"/>
  <c r="T156" i="11" s="1"/>
  <c r="S127" i="11"/>
  <c r="S140" i="11" s="1"/>
  <c r="S155" i="11" s="1"/>
  <c r="V125" i="11"/>
  <c r="V138" i="11" s="1"/>
  <c r="V153" i="11" s="1"/>
  <c r="R126" i="11"/>
  <c r="R139" i="11" s="1"/>
  <c r="R154" i="11" s="1"/>
  <c r="W124" i="11"/>
  <c r="W137" i="11" s="1"/>
  <c r="W152" i="11" s="1"/>
  <c r="T122" i="11"/>
  <c r="T135" i="11" s="1"/>
  <c r="T150" i="11" s="1"/>
  <c r="T126" i="11"/>
  <c r="T139" i="11" s="1"/>
  <c r="T154" i="11" s="1"/>
  <c r="R128" i="11"/>
  <c r="R141" i="11" s="1"/>
  <c r="R156" i="11" s="1"/>
  <c r="U122" i="11"/>
  <c r="U135" i="11" s="1"/>
  <c r="U150" i="11" s="1"/>
  <c r="S125" i="11"/>
  <c r="S138" i="11" s="1"/>
  <c r="S153" i="11" s="1"/>
  <c r="V127" i="11"/>
  <c r="V140" i="11" s="1"/>
  <c r="V155" i="11" s="1"/>
  <c r="U124" i="11"/>
  <c r="U137" i="11" s="1"/>
  <c r="U152" i="11" s="1"/>
  <c r="S123" i="11"/>
  <c r="S136" i="11" s="1"/>
  <c r="S151" i="11" s="1"/>
  <c r="Q121" i="11"/>
  <c r="Q134" i="11" s="1"/>
  <c r="Q126" i="11"/>
  <c r="S128" i="11"/>
  <c r="S141" i="11" s="1"/>
  <c r="S156" i="11" s="1"/>
  <c r="V124" i="11"/>
  <c r="V137" i="11" s="1"/>
  <c r="V152" i="11" s="1"/>
  <c r="W126" i="11"/>
  <c r="W139" i="11" s="1"/>
  <c r="W154" i="11" s="1"/>
  <c r="R125" i="11"/>
  <c r="R138" i="11" s="1"/>
  <c r="R153" i="11" s="1"/>
  <c r="U128" i="11"/>
  <c r="U141" i="11" s="1"/>
  <c r="U156" i="11" s="1"/>
  <c r="V128" i="11"/>
  <c r="V141" i="11" s="1"/>
  <c r="V156" i="11" s="1"/>
  <c r="U125" i="11"/>
  <c r="U138" i="11" s="1"/>
  <c r="U153" i="11" s="1"/>
  <c r="U98" i="11"/>
  <c r="U100" i="11" s="1"/>
  <c r="R124" i="11"/>
  <c r="R137" i="11" s="1"/>
  <c r="R152" i="11" s="1"/>
  <c r="W122" i="11"/>
  <c r="W135" i="11" s="1"/>
  <c r="W150" i="11" s="1"/>
  <c r="U126" i="11"/>
  <c r="U139" i="11" s="1"/>
  <c r="U154" i="11" s="1"/>
  <c r="R127" i="11"/>
  <c r="R140" i="11" s="1"/>
  <c r="R155" i="11" s="1"/>
  <c r="R122" i="11"/>
  <c r="R135" i="11" s="1"/>
  <c r="R150" i="11" s="1"/>
  <c r="Q125" i="11"/>
  <c r="Q138" i="11" s="1"/>
  <c r="S126" i="11"/>
  <c r="S139" i="11" s="1"/>
  <c r="S154" i="11" s="1"/>
  <c r="T127" i="11"/>
  <c r="T140" i="11" s="1"/>
  <c r="T155" i="11" s="1"/>
  <c r="W123" i="11"/>
  <c r="W136" i="11" s="1"/>
  <c r="W151" i="11" s="1"/>
  <c r="R123" i="11"/>
  <c r="R136" i="11" s="1"/>
  <c r="R151" i="11" s="1"/>
  <c r="V126" i="11"/>
  <c r="V139" i="11" s="1"/>
  <c r="V154" i="11" s="1"/>
  <c r="Q127" i="11"/>
  <c r="Q140" i="11" s="1"/>
  <c r="Q155" i="11" s="1"/>
  <c r="R94" i="11"/>
  <c r="V95" i="11"/>
  <c r="Y134" i="11"/>
  <c r="Y149" i="11" s="1"/>
  <c r="Y157" i="11" s="1"/>
  <c r="V94" i="11"/>
  <c r="T124" i="11"/>
  <c r="T137" i="11" s="1"/>
  <c r="T152" i="11" s="1"/>
  <c r="X134" i="11"/>
  <c r="X149" i="11" s="1"/>
  <c r="X157" i="11" s="1"/>
  <c r="W133" i="11"/>
  <c r="W148" i="11" s="1"/>
  <c r="X129" i="11"/>
  <c r="R121" i="11"/>
  <c r="R134" i="11" s="1"/>
  <c r="R149" i="11" s="1"/>
  <c r="T120" i="11"/>
  <c r="V121" i="11"/>
  <c r="V134" i="11" s="1"/>
  <c r="V149" i="11" s="1"/>
  <c r="AB157" i="11"/>
  <c r="S122" i="11"/>
  <c r="S135" i="11" s="1"/>
  <c r="S150" i="11" s="1"/>
  <c r="AA95" i="11"/>
  <c r="AC95" i="11" s="1"/>
  <c r="AC81" i="11"/>
  <c r="AD78" i="11" s="1"/>
  <c r="AA157" i="11"/>
  <c r="R120" i="11"/>
  <c r="Z134" i="11"/>
  <c r="Z149" i="11" s="1"/>
  <c r="Z157" i="11" s="1"/>
  <c r="S121" i="11"/>
  <c r="S134" i="11" s="1"/>
  <c r="S149" i="11" s="1"/>
  <c r="Y129" i="11"/>
  <c r="AA129" i="11"/>
  <c r="R98" i="11"/>
  <c r="R99" i="11" s="1"/>
  <c r="T121" i="11"/>
  <c r="T134" i="11" s="1"/>
  <c r="T149" i="11" s="1"/>
  <c r="U121" i="11"/>
  <c r="U134" i="11" s="1"/>
  <c r="U149" i="11" s="1"/>
  <c r="U157" i="11" s="1"/>
  <c r="U120" i="11"/>
  <c r="V120" i="11"/>
  <c r="AC93" i="11"/>
  <c r="S120" i="11"/>
  <c r="Z129" i="11"/>
  <c r="AB129" i="11"/>
  <c r="T125" i="11"/>
  <c r="T138" i="11" s="1"/>
  <c r="T153" i="11" s="1"/>
  <c r="Q120" i="11"/>
  <c r="Q116" i="11"/>
  <c r="AC108" i="11"/>
  <c r="AC116" i="11" s="1"/>
  <c r="W121" i="11"/>
  <c r="W134" i="11" s="1"/>
  <c r="W149" i="11" s="1"/>
  <c r="Z148" i="11"/>
  <c r="Z142" i="11"/>
  <c r="AB148" i="11"/>
  <c r="AB142" i="11"/>
  <c r="R100" i="11"/>
  <c r="Y99" i="11"/>
  <c r="Y100" i="11"/>
  <c r="AA99" i="11"/>
  <c r="AA100" i="11"/>
  <c r="U99" i="11"/>
  <c r="V100" i="11"/>
  <c r="V99" i="11"/>
  <c r="X99" i="11"/>
  <c r="X100" i="11"/>
  <c r="S99" i="11"/>
  <c r="X148" i="11"/>
  <c r="Q99" i="11"/>
  <c r="Q100" i="11"/>
  <c r="AB99" i="11"/>
  <c r="AB100" i="11"/>
  <c r="Q137" i="11"/>
  <c r="T99" i="11"/>
  <c r="T100" i="11"/>
  <c r="Q136" i="11"/>
  <c r="Z100" i="11"/>
  <c r="Z99" i="11"/>
  <c r="Q141" i="11"/>
  <c r="AC122" i="11"/>
  <c r="Y148" i="11"/>
  <c r="W99" i="11"/>
  <c r="W100" i="11"/>
  <c r="AA148" i="11"/>
  <c r="AA142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Y142" i="11" l="1"/>
  <c r="W142" i="11"/>
  <c r="W157" i="11"/>
  <c r="AC128" i="11"/>
  <c r="AC123" i="11"/>
  <c r="AC124" i="11"/>
  <c r="X142" i="11"/>
  <c r="X143" i="11" s="1"/>
  <c r="AC127" i="11"/>
  <c r="V157" i="11"/>
  <c r="AC155" i="11"/>
  <c r="AC126" i="11"/>
  <c r="AC98" i="11"/>
  <c r="Q139" i="11"/>
  <c r="AC139" i="11" s="1"/>
  <c r="AC140" i="11"/>
  <c r="R157" i="11"/>
  <c r="S157" i="11"/>
  <c r="AC125" i="11"/>
  <c r="AC121" i="11"/>
  <c r="Q129" i="11"/>
  <c r="AC120" i="11"/>
  <c r="Q133" i="11"/>
  <c r="S129" i="11"/>
  <c r="S133" i="11"/>
  <c r="R133" i="11"/>
  <c r="R129" i="11"/>
  <c r="T157" i="11"/>
  <c r="T133" i="11"/>
  <c r="T129" i="11"/>
  <c r="V129" i="11"/>
  <c r="V133" i="11"/>
  <c r="W129" i="11"/>
  <c r="U133" i="11"/>
  <c r="U129" i="11"/>
  <c r="AD74" i="11"/>
  <c r="AD57" i="11"/>
  <c r="AD70" i="11"/>
  <c r="AD54" i="11"/>
  <c r="AD58" i="11"/>
  <c r="AD77" i="11"/>
  <c r="AD68" i="11"/>
  <c r="AD48" i="11"/>
  <c r="AD46" i="11"/>
  <c r="AD55" i="11"/>
  <c r="AD62" i="11"/>
  <c r="AD60" i="11"/>
  <c r="AD73" i="11"/>
  <c r="AD71" i="11"/>
  <c r="AD66" i="11"/>
  <c r="AD65" i="11"/>
  <c r="AD63" i="11"/>
  <c r="AD67" i="11"/>
  <c r="AD47" i="11"/>
  <c r="AD64" i="11"/>
  <c r="AD75" i="11"/>
  <c r="AD45" i="11"/>
  <c r="AD44" i="11"/>
  <c r="AD69" i="11"/>
  <c r="AD61" i="11"/>
  <c r="AD59" i="11"/>
  <c r="AD72" i="11"/>
  <c r="AD50" i="11"/>
  <c r="AD51" i="11"/>
  <c r="AD53" i="11"/>
  <c r="AD56" i="11"/>
  <c r="AD49" i="11"/>
  <c r="AD43" i="11"/>
  <c r="AD52" i="11"/>
  <c r="AD76" i="11"/>
  <c r="AD80" i="11"/>
  <c r="AD79" i="11"/>
  <c r="AA144" i="11"/>
  <c r="AA143" i="11"/>
  <c r="Y143" i="11"/>
  <c r="Y144" i="11"/>
  <c r="Q150" i="11"/>
  <c r="AC150" i="11" s="1"/>
  <c r="AC135" i="11"/>
  <c r="W144" i="11"/>
  <c r="W143" i="11"/>
  <c r="Q153" i="11"/>
  <c r="AC153" i="11" s="1"/>
  <c r="AC138" i="11"/>
  <c r="AB143" i="11"/>
  <c r="AB144" i="11"/>
  <c r="Q152" i="11"/>
  <c r="AC152" i="11" s="1"/>
  <c r="AC137" i="11"/>
  <c r="Q156" i="11"/>
  <c r="AC156" i="11" s="1"/>
  <c r="AC141" i="11"/>
  <c r="Q151" i="11"/>
  <c r="AC151" i="11" s="1"/>
  <c r="AC136" i="11"/>
  <c r="Q154" i="11"/>
  <c r="AC154" i="11" s="1"/>
  <c r="Q149" i="11"/>
  <c r="AC134" i="11"/>
  <c r="Z143" i="11"/>
  <c r="Z144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T16" i="2"/>
  <c r="U16" i="2"/>
  <c r="X144" i="11" l="1"/>
  <c r="AC129" i="11"/>
  <c r="V142" i="11"/>
  <c r="V148" i="11"/>
  <c r="AC133" i="11"/>
  <c r="AC142" i="11" s="1"/>
  <c r="Q148" i="11"/>
  <c r="Q142" i="11"/>
  <c r="U148" i="11"/>
  <c r="U142" i="11"/>
  <c r="R142" i="11"/>
  <c r="R148" i="11"/>
  <c r="T148" i="11"/>
  <c r="T142" i="11"/>
  <c r="S148" i="11"/>
  <c r="S142" i="11"/>
  <c r="AC149" i="11"/>
  <c r="AC157" i="11" s="1"/>
  <c r="Q157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AC148" i="11" l="1"/>
  <c r="T143" i="11"/>
  <c r="T144" i="11"/>
  <c r="U143" i="11"/>
  <c r="U144" i="11"/>
  <c r="R143" i="11"/>
  <c r="R144" i="11"/>
  <c r="S144" i="11"/>
  <c r="S143" i="11"/>
  <c r="Q143" i="11"/>
  <c r="Q144" i="11"/>
  <c r="V143" i="11"/>
  <c r="V144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18" i="2"/>
  <c r="T18" i="2"/>
  <c r="S19" i="2" l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T19" i="2"/>
  <c r="U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U20" i="2"/>
  <c r="T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T22" i="2"/>
  <c r="U22" i="2"/>
  <c r="S23" i="2" l="1"/>
  <c r="X71" i="19"/>
  <c r="X72" i="19" s="1"/>
  <c r="W71" i="19"/>
  <c r="W72" i="19" s="1"/>
  <c r="T23" i="2"/>
  <c r="U23" i="2"/>
  <c r="S24" i="2" l="1"/>
  <c r="R42" i="17"/>
  <c r="C21" i="18" s="1"/>
  <c r="Q42" i="17"/>
  <c r="C20" i="18" s="1"/>
  <c r="O41" i="17"/>
  <c r="O40" i="17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O28" i="17" s="1"/>
  <c r="P28" i="17" s="1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D19" i="18"/>
  <c r="B19" i="18"/>
  <c r="K18" i="18"/>
  <c r="C18" i="18"/>
  <c r="B18" i="18"/>
  <c r="K17" i="18"/>
  <c r="C17" i="18"/>
  <c r="B17" i="18"/>
  <c r="H13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T24" i="2"/>
  <c r="U24" i="2"/>
  <c r="S25" i="2" l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O21" i="17"/>
  <c r="O32" i="17" s="1"/>
  <c r="L19" i="18" s="1"/>
  <c r="O23" i="17"/>
  <c r="R23" i="17" s="1"/>
  <c r="O25" i="17"/>
  <c r="O27" i="17"/>
  <c r="I13" i="18"/>
  <c r="G15" i="15"/>
  <c r="P15" i="15" s="1"/>
  <c r="D13" i="15"/>
  <c r="G14" i="15"/>
  <c r="P14" i="15" s="1"/>
  <c r="C15" i="15"/>
  <c r="C18" i="15" s="1"/>
  <c r="J15" i="15"/>
  <c r="B10" i="18"/>
  <c r="B12" i="18" s="1"/>
  <c r="B27" i="18" s="1"/>
  <c r="B29" i="18" s="1"/>
  <c r="G10" i="18"/>
  <c r="C11" i="18"/>
  <c r="K11" i="18"/>
  <c r="H4" i="15"/>
  <c r="H8" i="15"/>
  <c r="E12" i="15"/>
  <c r="N12" i="15" s="1"/>
  <c r="E13" i="15"/>
  <c r="N13" i="15" s="1"/>
  <c r="C14" i="15"/>
  <c r="J14" i="15"/>
  <c r="D15" i="15"/>
  <c r="M15" i="15" s="1"/>
  <c r="O29" i="17"/>
  <c r="Q29" i="17" s="1"/>
  <c r="C10" i="18"/>
  <c r="K10" i="18"/>
  <c r="D11" i="18"/>
  <c r="L11" i="18"/>
  <c r="N11" i="15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M13" i="15"/>
  <c r="P21" i="17"/>
  <c r="O34" i="17"/>
  <c r="G19" i="18" s="1"/>
  <c r="R25" i="17"/>
  <c r="Q25" i="17"/>
  <c r="P25" i="17"/>
  <c r="O36" i="17"/>
  <c r="I19" i="18" s="1"/>
  <c r="R27" i="17"/>
  <c r="Q27" i="17"/>
  <c r="P27" i="17"/>
  <c r="O38" i="17"/>
  <c r="J19" i="18" s="1"/>
  <c r="E20" i="15"/>
  <c r="C16" i="17"/>
  <c r="G16" i="17"/>
  <c r="D20" i="15"/>
  <c r="O10" i="15"/>
  <c r="L14" i="15"/>
  <c r="F18" i="15"/>
  <c r="L10" i="15"/>
  <c r="P10" i="15"/>
  <c r="P13" i="15"/>
  <c r="G18" i="15"/>
  <c r="G20" i="15"/>
  <c r="D16" i="17"/>
  <c r="Q28" i="17"/>
  <c r="O39" i="17"/>
  <c r="M19" i="18" s="1"/>
  <c r="E16" i="17"/>
  <c r="R28" i="17"/>
  <c r="H18" i="20"/>
  <c r="H5" i="20"/>
  <c r="H7" i="20"/>
  <c r="H9" i="20"/>
  <c r="H11" i="20"/>
  <c r="H13" i="20"/>
  <c r="H15" i="20"/>
  <c r="H17" i="20"/>
  <c r="H19" i="20"/>
  <c r="H20" i="20"/>
  <c r="E3" i="7"/>
  <c r="U25" i="2"/>
  <c r="T25" i="2"/>
  <c r="L12" i="18" l="1"/>
  <c r="S26" i="2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G22" i="15" s="1"/>
  <c r="M11" i="18" s="1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D27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C22" i="15" s="1"/>
  <c r="H11" i="18" s="1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C19" i="18"/>
  <c r="E9" i="18"/>
  <c r="E12" i="7"/>
  <c r="E11" i="7"/>
  <c r="U26" i="2"/>
  <c r="T26" i="2"/>
  <c r="E19" i="15" l="1"/>
  <c r="S27" i="2"/>
  <c r="T42" i="17"/>
  <c r="C23" i="18" s="1"/>
  <c r="C28" i="18" s="1"/>
  <c r="C29" i="18" s="1"/>
  <c r="G19" i="15"/>
  <c r="S42" i="17"/>
  <c r="C22" i="18" s="1"/>
  <c r="M12" i="18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D29" i="18"/>
  <c r="M18" i="18"/>
  <c r="D17" i="18"/>
  <c r="J18" i="18"/>
  <c r="M17" i="18"/>
  <c r="S39" i="17"/>
  <c r="M22" i="18" s="1"/>
  <c r="J27" i="18"/>
  <c r="H16" i="15"/>
  <c r="C21" i="15"/>
  <c r="H10" i="18" s="1"/>
  <c r="H12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T27" i="2"/>
  <c r="U27" i="2"/>
  <c r="S28" i="2" l="1"/>
  <c r="E27" i="18"/>
  <c r="E29" i="18" s="1"/>
  <c r="M27" i="18"/>
  <c r="M29" i="18" s="1"/>
  <c r="J29" i="18"/>
  <c r="I27" i="18"/>
  <c r="I29" i="18" s="1"/>
  <c r="H27" i="18"/>
  <c r="H29" i="18" s="1"/>
  <c r="F29" i="18"/>
  <c r="L29" i="18"/>
  <c r="U28" i="2"/>
  <c r="T28" i="2"/>
  <c r="S29" i="2" l="1"/>
  <c r="U29" i="2"/>
  <c r="T29" i="2"/>
  <c r="S30" i="2" l="1"/>
  <c r="U30" i="2"/>
  <c r="T30" i="2"/>
  <c r="S31" i="2" l="1"/>
  <c r="T31" i="2"/>
  <c r="U31" i="2"/>
  <c r="S32" i="2" l="1"/>
  <c r="U32" i="2"/>
  <c r="T32" i="2"/>
  <c r="S33" i="2" l="1"/>
  <c r="T33" i="2"/>
  <c r="U33" i="2"/>
  <c r="S34" i="2" l="1"/>
  <c r="U34" i="2"/>
  <c r="T34" i="2"/>
  <c r="S35" i="2" l="1"/>
  <c r="T35" i="2"/>
  <c r="U35" i="2"/>
  <c r="S36" i="2" l="1"/>
  <c r="U36" i="2"/>
  <c r="T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T41" i="2"/>
  <c r="U41" i="2"/>
  <c r="S42" i="2" l="1"/>
  <c r="U42" i="2"/>
  <c r="T42" i="2"/>
  <c r="S43" i="2" l="1"/>
  <c r="T43" i="2"/>
  <c r="U43" i="2"/>
  <c r="S44" i="2" l="1"/>
  <c r="U44" i="2"/>
  <c r="T44" i="2"/>
  <c r="S45" i="2" l="1"/>
  <c r="T45" i="2"/>
  <c r="U45" i="2"/>
  <c r="S46" i="2" l="1"/>
  <c r="U46" i="2"/>
  <c r="T46" i="2"/>
  <c r="S47" i="2" l="1"/>
  <c r="U47" i="2"/>
  <c r="T47" i="2"/>
  <c r="S48" i="2" l="1"/>
  <c r="U48" i="2"/>
  <c r="T48" i="2"/>
  <c r="S49" i="2" l="1"/>
  <c r="U49" i="2"/>
  <c r="T49" i="2"/>
  <c r="S50" i="2" l="1"/>
  <c r="T50" i="2"/>
  <c r="U50" i="2"/>
  <c r="S51" i="2" l="1"/>
  <c r="T51" i="2"/>
  <c r="U51" i="2"/>
  <c r="S52" i="2" l="1"/>
  <c r="U52" i="2"/>
  <c r="T52" i="2"/>
  <c r="S53" i="2" l="1"/>
  <c r="U53" i="2"/>
  <c r="T53" i="2"/>
  <c r="S54" i="2" l="1"/>
  <c r="U54" i="2"/>
  <c r="T54" i="2"/>
  <c r="S55" i="2" l="1"/>
  <c r="T55" i="2"/>
  <c r="U55" i="2"/>
  <c r="S56" i="2" l="1"/>
  <c r="U56" i="2"/>
  <c r="T56" i="2"/>
  <c r="S57" i="2" l="1"/>
  <c r="U57" i="2"/>
  <c r="T57" i="2"/>
  <c r="S58" i="2" l="1"/>
  <c r="U58" i="2"/>
  <c r="T58" i="2"/>
  <c r="S59" i="2" l="1"/>
  <c r="U59" i="2"/>
  <c r="T59" i="2"/>
  <c r="S60" i="2" l="1"/>
  <c r="T60" i="2"/>
  <c r="U60" i="2"/>
  <c r="S61" i="2" l="1"/>
  <c r="U61" i="2"/>
  <c r="T61" i="2"/>
  <c r="S62" i="2" l="1"/>
  <c r="U62" i="2"/>
  <c r="T62" i="2"/>
  <c r="S63" i="2" l="1"/>
  <c r="T63" i="2"/>
  <c r="U63" i="2"/>
  <c r="S64" i="2" l="1"/>
  <c r="U64" i="2"/>
  <c r="T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T69" i="2"/>
  <c r="U69" i="2"/>
  <c r="S70" i="2" l="1"/>
  <c r="U70" i="2"/>
  <c r="T70" i="2"/>
  <c r="S71" i="2" l="1"/>
  <c r="U71" i="2"/>
  <c r="T71" i="2"/>
  <c r="S72" i="2" l="1"/>
  <c r="T72" i="2"/>
  <c r="U72" i="2"/>
  <c r="S73" i="2" l="1"/>
  <c r="U73" i="2"/>
  <c r="T73" i="2"/>
  <c r="S74" i="2" l="1"/>
  <c r="U74" i="2"/>
  <c r="T74" i="2"/>
  <c r="S75" i="2" l="1"/>
  <c r="U75" i="2"/>
  <c r="T75" i="2"/>
  <c r="S76" i="2" l="1"/>
  <c r="T76" i="2"/>
  <c r="U76" i="2"/>
  <c r="S77" i="2" l="1"/>
  <c r="U77" i="2"/>
  <c r="T77" i="2"/>
  <c r="S78" i="2" l="1"/>
  <c r="U78" i="2"/>
  <c r="T78" i="2"/>
  <c r="S79" i="2" l="1"/>
  <c r="U79" i="2"/>
  <c r="T79" i="2"/>
  <c r="S80" i="2" l="1"/>
  <c r="T80" i="2"/>
  <c r="U80" i="2"/>
  <c r="S81" i="2" l="1"/>
  <c r="T81" i="2"/>
  <c r="U81" i="2"/>
  <c r="S82" i="2" l="1"/>
  <c r="U82" i="2"/>
  <c r="T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U87" i="2"/>
  <c r="T87" i="2"/>
  <c r="S88" i="2" l="1"/>
  <c r="T88" i="2"/>
  <c r="U88" i="2"/>
  <c r="S89" i="2" l="1"/>
  <c r="T89" i="2"/>
  <c r="U89" i="2"/>
  <c r="S90" i="2" l="1"/>
  <c r="U90" i="2"/>
  <c r="T90" i="2"/>
  <c r="S91" i="2" l="1"/>
  <c r="U91" i="2"/>
  <c r="T91" i="2"/>
  <c r="S92" i="2" l="1"/>
  <c r="T92" i="2"/>
  <c r="U92" i="2"/>
  <c r="S93" i="2" l="1"/>
  <c r="U93" i="2"/>
  <c r="T93" i="2"/>
  <c r="S94" i="2" l="1"/>
  <c r="T94" i="2"/>
  <c r="U94" i="2"/>
  <c r="S95" i="2" l="1"/>
  <c r="U95" i="2"/>
  <c r="T95" i="2"/>
  <c r="S96" i="2" l="1"/>
  <c r="T96" i="2"/>
  <c r="U96" i="2"/>
  <c r="S97" i="2" l="1"/>
  <c r="U97" i="2"/>
  <c r="T97" i="2"/>
  <c r="S98" i="2" l="1"/>
  <c r="U98" i="2"/>
  <c r="T98" i="2"/>
  <c r="S99" i="2" l="1"/>
  <c r="U99" i="2"/>
  <c r="T99" i="2"/>
  <c r="S100" i="2" l="1"/>
  <c r="T100" i="2"/>
  <c r="U100" i="2"/>
  <c r="S101" i="2" l="1"/>
  <c r="U101" i="2"/>
  <c r="T101" i="2"/>
  <c r="S102" i="2" l="1"/>
  <c r="T102" i="2"/>
  <c r="U102" i="2"/>
  <c r="S103" i="2" l="1"/>
  <c r="U103" i="2"/>
  <c r="T103" i="2"/>
  <c r="S104" i="2" l="1"/>
  <c r="T104" i="2"/>
  <c r="U104" i="2"/>
  <c r="S105" i="2" l="1"/>
  <c r="T105" i="2"/>
  <c r="U105" i="2"/>
  <c r="S106" i="2" l="1"/>
  <c r="U106" i="2"/>
  <c r="T106" i="2"/>
  <c r="S107" i="2" l="1"/>
  <c r="U107" i="2"/>
  <c r="T107" i="2"/>
  <c r="S108" i="2" l="1"/>
  <c r="T108" i="2"/>
  <c r="U108" i="2"/>
  <c r="S109" i="2" l="1"/>
  <c r="U109" i="2"/>
  <c r="T109" i="2"/>
  <c r="S110" i="2" l="1"/>
  <c r="U110" i="2"/>
  <c r="T110" i="2"/>
  <c r="S111" i="2" l="1"/>
  <c r="T111" i="2"/>
  <c r="U111" i="2"/>
  <c r="S112" i="2" l="1"/>
  <c r="T112" i="2"/>
  <c r="U112" i="2"/>
  <c r="S113" i="2" l="1"/>
  <c r="U113" i="2"/>
  <c r="T113" i="2"/>
  <c r="S114" i="2" l="1"/>
  <c r="U114" i="2"/>
  <c r="T114" i="2"/>
  <c r="S115" i="2" l="1"/>
  <c r="U115" i="2"/>
  <c r="T115" i="2"/>
  <c r="S116" i="2" l="1"/>
  <c r="T116" i="2"/>
  <c r="U116" i="2"/>
  <c r="S117" i="2" l="1"/>
  <c r="U117" i="2"/>
  <c r="T117" i="2"/>
  <c r="S118" i="2" l="1"/>
  <c r="U118" i="2"/>
  <c r="T118" i="2"/>
  <c r="S119" i="2" l="1"/>
  <c r="U119" i="2"/>
  <c r="T119" i="2"/>
  <c r="S120" i="2" l="1"/>
  <c r="T120" i="2"/>
  <c r="U120" i="2"/>
  <c r="S121" i="2" l="1"/>
  <c r="U121" i="2"/>
  <c r="T121" i="2"/>
  <c r="S122" i="2" l="1"/>
  <c r="U122" i="2"/>
  <c r="T122" i="2"/>
  <c r="S123" i="2" l="1"/>
  <c r="T123" i="2"/>
  <c r="U123" i="2"/>
  <c r="S124" i="2" l="1"/>
  <c r="T124" i="2"/>
  <c r="U124" i="2"/>
  <c r="S125" i="2" l="1"/>
  <c r="T125" i="2"/>
  <c r="U125" i="2"/>
  <c r="S126" i="2" l="1"/>
  <c r="U126" i="2"/>
  <c r="T126" i="2"/>
  <c r="S127" i="2" l="1"/>
  <c r="U127" i="2"/>
  <c r="T127" i="2"/>
  <c r="S128" i="2" l="1"/>
  <c r="T128" i="2"/>
  <c r="U128" i="2"/>
  <c r="S129" i="2" l="1"/>
  <c r="U129" i="2"/>
  <c r="T129" i="2"/>
  <c r="S130" i="2" l="1"/>
  <c r="T130" i="2"/>
  <c r="U130" i="2"/>
  <c r="S131" i="2" l="1"/>
  <c r="U131" i="2"/>
  <c r="T131" i="2"/>
  <c r="S132" i="2" l="1"/>
  <c r="U132" i="2"/>
  <c r="T132" i="2"/>
  <c r="S133" i="2" l="1"/>
  <c r="U133" i="2"/>
  <c r="T133" i="2"/>
  <c r="S134" i="2" l="1"/>
  <c r="U134" i="2"/>
  <c r="T134" i="2"/>
  <c r="S135" i="2" l="1"/>
  <c r="U135" i="2"/>
  <c r="T135" i="2"/>
  <c r="S136" i="2" l="1"/>
  <c r="T136" i="2"/>
  <c r="U136" i="2"/>
  <c r="S137" i="2" l="1"/>
  <c r="U137" i="2"/>
  <c r="T137" i="2"/>
  <c r="S138" i="2" l="1"/>
  <c r="U138" i="2"/>
  <c r="T138" i="2"/>
  <c r="S139" i="2" l="1"/>
  <c r="U139" i="2"/>
  <c r="T139" i="2"/>
  <c r="S140" i="2" l="1"/>
  <c r="T140" i="2"/>
  <c r="U140" i="2"/>
  <c r="S141" i="2" l="1"/>
  <c r="U141" i="2"/>
  <c r="T141" i="2"/>
  <c r="S142" i="2" l="1"/>
  <c r="U142" i="2"/>
  <c r="T142" i="2"/>
  <c r="S143" i="2" l="1"/>
  <c r="U143" i="2"/>
  <c r="T143" i="2"/>
  <c r="S144" i="2" l="1"/>
  <c r="T144" i="2"/>
  <c r="U144" i="2"/>
  <c r="S145" i="2" l="1"/>
  <c r="U145" i="2"/>
  <c r="T145" i="2"/>
  <c r="S146" i="2" l="1"/>
  <c r="U146" i="2"/>
  <c r="T146" i="2"/>
  <c r="S147" i="2" l="1"/>
  <c r="U147" i="2"/>
  <c r="T147" i="2"/>
  <c r="S148" i="2" l="1"/>
  <c r="T148" i="2"/>
  <c r="U148" i="2"/>
  <c r="S149" i="2" l="1"/>
  <c r="U149" i="2"/>
  <c r="T149" i="2"/>
  <c r="S150" i="2" l="1"/>
  <c r="U150" i="2"/>
  <c r="T150" i="2"/>
  <c r="S151" i="2" l="1"/>
  <c r="U151" i="2"/>
  <c r="T151" i="2"/>
  <c r="S152" i="2" l="1"/>
  <c r="T152" i="2"/>
  <c r="U152" i="2"/>
  <c r="S153" i="2" l="1"/>
  <c r="T153" i="2"/>
  <c r="U153" i="2"/>
  <c r="S154" i="2" l="1"/>
  <c r="U154" i="2"/>
  <c r="T154" i="2"/>
  <c r="S155" i="2" l="1"/>
  <c r="U155" i="2"/>
  <c r="T155" i="2"/>
  <c r="S156" i="2" l="1"/>
  <c r="T156" i="2"/>
  <c r="U156" i="2"/>
  <c r="S157" i="2" l="1"/>
  <c r="U157" i="2"/>
  <c r="T157" i="2"/>
  <c r="S158" i="2" l="1"/>
  <c r="U158" i="2"/>
  <c r="T158" i="2"/>
  <c r="S159" i="2" l="1"/>
  <c r="U159" i="2"/>
  <c r="T159" i="2"/>
  <c r="S160" i="2" l="1"/>
  <c r="T160" i="2"/>
  <c r="U160" i="2"/>
  <c r="S161" i="2" l="1"/>
  <c r="U161" i="2"/>
  <c r="T161" i="2"/>
  <c r="S162" i="2" l="1"/>
  <c r="T162" i="2"/>
  <c r="U162" i="2"/>
  <c r="S163" i="2" l="1"/>
  <c r="T163" i="2"/>
  <c r="U163" i="2"/>
  <c r="S164" i="2" l="1"/>
  <c r="U164" i="2"/>
  <c r="T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U170" i="2"/>
  <c r="T170" i="2"/>
  <c r="S171" i="2" l="1"/>
  <c r="U171" i="2"/>
  <c r="T171" i="2"/>
  <c r="S172" i="2" l="1"/>
  <c r="T172" i="2"/>
  <c r="U172" i="2"/>
  <c r="S173" i="2" l="1"/>
  <c r="U173" i="2"/>
  <c r="T173" i="2"/>
  <c r="S174" i="2" l="1"/>
  <c r="U174" i="2"/>
  <c r="T174" i="2"/>
  <c r="S175" i="2" l="1"/>
  <c r="U175" i="2"/>
  <c r="T175" i="2"/>
  <c r="S176" i="2" l="1"/>
  <c r="T176" i="2"/>
  <c r="U176" i="2"/>
  <c r="S177" i="2" l="1"/>
  <c r="U177" i="2"/>
  <c r="T177" i="2"/>
  <c r="S178" i="2" l="1"/>
  <c r="U178" i="2"/>
  <c r="T178" i="2"/>
  <c r="S179" i="2" l="1"/>
  <c r="U179" i="2"/>
  <c r="T179" i="2"/>
  <c r="S180" i="2" l="1"/>
  <c r="T180" i="2"/>
  <c r="U180" i="2"/>
  <c r="S181" i="2" l="1"/>
  <c r="U181" i="2"/>
  <c r="T181" i="2"/>
  <c r="S182" i="2" l="1"/>
  <c r="U182" i="2"/>
  <c r="T182" i="2"/>
  <c r="S183" i="2" l="1"/>
  <c r="U183" i="2"/>
  <c r="T183" i="2"/>
  <c r="S184" i="2" l="1"/>
  <c r="T184" i="2"/>
  <c r="U184" i="2"/>
  <c r="S185" i="2" l="1"/>
  <c r="U185" i="2"/>
  <c r="T185" i="2"/>
  <c r="S186" i="2" l="1"/>
  <c r="U186" i="2"/>
  <c r="T186" i="2"/>
  <c r="S187" i="2" l="1"/>
  <c r="U187" i="2"/>
  <c r="T187" i="2"/>
  <c r="S188" i="2" l="1"/>
  <c r="T188" i="2"/>
  <c r="U188" i="2"/>
  <c r="S189" i="2" l="1"/>
  <c r="U189" i="2"/>
  <c r="T189" i="2"/>
  <c r="S190" i="2" l="1"/>
  <c r="U190" i="2"/>
  <c r="T190" i="2"/>
  <c r="S191" i="2" l="1"/>
  <c r="T191" i="2"/>
  <c r="U191" i="2"/>
  <c r="S192" i="2" l="1"/>
  <c r="T192" i="2"/>
  <c r="U192" i="2"/>
  <c r="S193" i="2" l="1"/>
  <c r="U193" i="2"/>
  <c r="T193" i="2"/>
  <c r="S194" i="2" l="1"/>
  <c r="T194" i="2"/>
  <c r="U194" i="2"/>
  <c r="S195" i="2" l="1"/>
  <c r="U195" i="2"/>
  <c r="T195" i="2"/>
  <c r="S196" i="2" l="1"/>
  <c r="U196" i="2"/>
  <c r="T196" i="2"/>
  <c r="S197" i="2" l="1"/>
  <c r="T197" i="2"/>
  <c r="U197" i="2"/>
  <c r="S198" i="2" l="1"/>
  <c r="T198" i="2"/>
  <c r="U198" i="2"/>
  <c r="S199" i="2" l="1"/>
  <c r="U199" i="2"/>
  <c r="T199" i="2"/>
  <c r="S200" i="2" l="1"/>
  <c r="T200" i="2"/>
  <c r="U200" i="2"/>
  <c r="S201" i="2" l="1"/>
  <c r="U201" i="2"/>
  <c r="T201" i="2"/>
  <c r="S202" i="2" l="1"/>
  <c r="U202" i="2"/>
  <c r="T202" i="2"/>
  <c r="S203" i="2" l="1"/>
  <c r="T203" i="2"/>
  <c r="U203" i="2"/>
  <c r="S204" i="2" l="1"/>
  <c r="T204" i="2"/>
  <c r="U204" i="2"/>
  <c r="S205" i="2" l="1"/>
  <c r="U205" i="2"/>
  <c r="T205" i="2"/>
  <c r="S206" i="2" l="1"/>
  <c r="U206" i="2"/>
  <c r="T206" i="2"/>
  <c r="S207" i="2" l="1"/>
  <c r="U207" i="2"/>
  <c r="T207" i="2"/>
  <c r="S208" i="2" l="1"/>
  <c r="T208" i="2"/>
  <c r="U208" i="2"/>
  <c r="S209" i="2" l="1"/>
  <c r="U209" i="2"/>
  <c r="T209" i="2"/>
  <c r="S210" i="2" l="1"/>
  <c r="U210" i="2"/>
  <c r="T210" i="2"/>
  <c r="S211" i="2" l="1"/>
  <c r="U211" i="2"/>
  <c r="T211" i="2"/>
  <c r="S212" i="2" l="1"/>
  <c r="T212" i="2"/>
  <c r="U212" i="2"/>
  <c r="S213" i="2" l="1"/>
  <c r="U213" i="2"/>
  <c r="T213" i="2"/>
  <c r="S214" i="2" l="1"/>
  <c r="U214" i="2"/>
  <c r="T214" i="2"/>
  <c r="S215" i="2" l="1"/>
  <c r="U215" i="2"/>
  <c r="T215" i="2"/>
  <c r="S216" i="2" l="1"/>
  <c r="T216" i="2"/>
  <c r="U216" i="2"/>
  <c r="S217" i="2" l="1"/>
  <c r="U217" i="2"/>
  <c r="T217" i="2"/>
  <c r="S218" i="2" l="1"/>
  <c r="U218" i="2"/>
  <c r="T218" i="2"/>
  <c r="S219" i="2" l="1"/>
  <c r="U219" i="2"/>
  <c r="T219" i="2"/>
  <c r="S220" i="2" l="1"/>
  <c r="T220" i="2"/>
  <c r="U220" i="2"/>
  <c r="S221" i="2" l="1"/>
  <c r="U221" i="2"/>
  <c r="T221" i="2"/>
  <c r="S222" i="2" l="1"/>
  <c r="T222" i="2"/>
  <c r="U222" i="2"/>
  <c r="S223" i="2" l="1"/>
  <c r="U223" i="2"/>
  <c r="T223" i="2"/>
  <c r="S224" i="2" l="1"/>
  <c r="T224" i="2"/>
  <c r="U224" i="2"/>
  <c r="S225" i="2" l="1"/>
  <c r="U225" i="2"/>
  <c r="T225" i="2"/>
  <c r="S226" i="2" l="1"/>
  <c r="T226" i="2"/>
  <c r="U226" i="2"/>
  <c r="S227" i="2" l="1"/>
  <c r="U227" i="2"/>
  <c r="T227" i="2"/>
  <c r="S228" i="2" l="1"/>
  <c r="T228" i="2"/>
  <c r="U228" i="2"/>
  <c r="S229" i="2" l="1"/>
  <c r="U229" i="2"/>
  <c r="T229" i="2"/>
  <c r="S230" i="2" l="1"/>
  <c r="U230" i="2"/>
  <c r="T230" i="2"/>
  <c r="S231" i="2" l="1"/>
  <c r="U231" i="2"/>
  <c r="T231" i="2"/>
  <c r="S232" i="2" l="1"/>
  <c r="U232" i="2"/>
  <c r="T232" i="2"/>
  <c r="S233" i="2" l="1"/>
  <c r="U233" i="2"/>
  <c r="T233" i="2"/>
  <c r="S234" i="2" l="1"/>
  <c r="U234" i="2"/>
  <c r="T234" i="2"/>
  <c r="S235" i="2" l="1"/>
  <c r="U235" i="2"/>
  <c r="T235" i="2"/>
  <c r="S236" i="2" l="1"/>
  <c r="T236" i="2"/>
  <c r="U236" i="2"/>
  <c r="S237" i="2" l="1"/>
  <c r="U237" i="2"/>
  <c r="T237" i="2"/>
  <c r="S238" i="2" l="1"/>
  <c r="U238" i="2"/>
  <c r="T238" i="2"/>
  <c r="S239" i="2" l="1"/>
  <c r="U239" i="2"/>
  <c r="T239" i="2"/>
  <c r="S240" i="2" l="1"/>
  <c r="T240" i="2"/>
  <c r="U240" i="2"/>
  <c r="S241" i="2" l="1"/>
  <c r="U241" i="2"/>
  <c r="T241" i="2"/>
  <c r="S242" i="2" l="1"/>
  <c r="U242" i="2"/>
  <c r="T242" i="2"/>
  <c r="S243" i="2" l="1"/>
  <c r="U243" i="2"/>
  <c r="T243" i="2"/>
  <c r="S244" i="2" l="1"/>
  <c r="T244" i="2"/>
  <c r="U244" i="2"/>
  <c r="S245" i="2" l="1"/>
  <c r="U245" i="2"/>
  <c r="T245" i="2"/>
  <c r="S246" i="2" l="1"/>
  <c r="U246" i="2"/>
  <c r="T246" i="2"/>
  <c r="S247" i="2" l="1"/>
  <c r="U247" i="2"/>
  <c r="T247" i="2"/>
  <c r="S248" i="2" l="1"/>
  <c r="U248" i="2"/>
  <c r="T248" i="2"/>
  <c r="S249" i="2" l="1"/>
  <c r="T249" i="2"/>
  <c r="U249" i="2"/>
  <c r="S250" i="2" l="1"/>
  <c r="U250" i="2"/>
  <c r="T250" i="2"/>
  <c r="S251" i="2" l="1"/>
  <c r="U251" i="2"/>
  <c r="T251" i="2"/>
  <c r="S252" i="2" l="1"/>
  <c r="T252" i="2"/>
  <c r="U252" i="2"/>
  <c r="S253" i="2" l="1"/>
  <c r="U253" i="2"/>
  <c r="T253" i="2"/>
  <c r="S254" i="2" l="1"/>
  <c r="U254" i="2"/>
  <c r="T254" i="2"/>
  <c r="S255" i="2" l="1"/>
  <c r="U255" i="2"/>
  <c r="T255" i="2"/>
  <c r="S256" i="2" l="1"/>
  <c r="T256" i="2"/>
  <c r="U256" i="2"/>
  <c r="S257" i="2" l="1"/>
  <c r="T257" i="2"/>
  <c r="U257" i="2"/>
  <c r="S258" i="2" l="1"/>
  <c r="T258" i="2"/>
  <c r="U258" i="2"/>
  <c r="S259" i="2" l="1"/>
  <c r="U259" i="2"/>
  <c r="T259" i="2"/>
  <c r="S260" i="2" l="1"/>
  <c r="U260" i="2"/>
  <c r="T260" i="2"/>
  <c r="S261" i="2" l="1"/>
  <c r="U261" i="2"/>
  <c r="T261" i="2"/>
  <c r="S262" i="2" l="1"/>
  <c r="U262" i="2"/>
  <c r="T262" i="2"/>
  <c r="S263" i="2" l="1"/>
  <c r="T263" i="2"/>
  <c r="U263" i="2"/>
  <c r="S264" i="2" l="1"/>
  <c r="U264" i="2"/>
  <c r="T264" i="2"/>
  <c r="S265" i="2" l="1"/>
  <c r="U265" i="2"/>
  <c r="T265" i="2"/>
  <c r="S266" i="2" l="1"/>
  <c r="U266" i="2"/>
  <c r="T266" i="2"/>
  <c r="S267" i="2" l="1"/>
  <c r="T267" i="2"/>
  <c r="U267" i="2"/>
  <c r="S268" i="2" l="1"/>
  <c r="T268" i="2"/>
  <c r="U268" i="2"/>
  <c r="S269" i="2" l="1"/>
  <c r="U269" i="2"/>
  <c r="T269" i="2"/>
  <c r="S270" i="2" l="1"/>
  <c r="U270" i="2"/>
  <c r="T270" i="2"/>
  <c r="S271" i="2" l="1"/>
  <c r="U271" i="2"/>
  <c r="T271" i="2"/>
  <c r="S272" i="2" l="1"/>
  <c r="T272" i="2"/>
  <c r="U272" i="2"/>
  <c r="S273" i="2" l="1"/>
  <c r="U273" i="2"/>
  <c r="T273" i="2"/>
  <c r="S274" i="2" l="1"/>
  <c r="U274" i="2"/>
  <c r="T274" i="2"/>
  <c r="S275" i="2" l="1"/>
  <c r="U275" i="2"/>
  <c r="T275" i="2"/>
  <c r="S276" i="2" l="1"/>
  <c r="T276" i="2"/>
  <c r="U276" i="2"/>
  <c r="S277" i="2" l="1"/>
  <c r="U277" i="2"/>
  <c r="T277" i="2"/>
  <c r="S278" i="2" l="1"/>
  <c r="T278" i="2"/>
  <c r="U278" i="2"/>
  <c r="S279" i="2" l="1"/>
  <c r="U279" i="2"/>
  <c r="T279" i="2"/>
  <c r="S280" i="2" l="1"/>
  <c r="T280" i="2"/>
  <c r="U280" i="2"/>
  <c r="S281" i="2" l="1"/>
  <c r="U281" i="2"/>
  <c r="T281" i="2"/>
  <c r="S282" i="2" l="1"/>
  <c r="U282" i="2"/>
  <c r="T282" i="2"/>
  <c r="S283" i="2" l="1"/>
  <c r="U283" i="2"/>
  <c r="T283" i="2"/>
  <c r="S284" i="2" l="1"/>
  <c r="T284" i="2"/>
  <c r="U284" i="2"/>
  <c r="S285" i="2" l="1"/>
  <c r="U285" i="2"/>
  <c r="T285" i="2"/>
  <c r="S286" i="2" l="1"/>
  <c r="T286" i="2"/>
  <c r="U286" i="2"/>
  <c r="S287" i="2" l="1"/>
  <c r="U287" i="2"/>
  <c r="T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U293" i="2"/>
  <c r="T293" i="2"/>
  <c r="S294" i="2" l="1"/>
  <c r="T294" i="2"/>
  <c r="U294" i="2"/>
  <c r="S295" i="2" l="1"/>
  <c r="U295" i="2"/>
  <c r="T295" i="2"/>
  <c r="S296" i="2" l="1"/>
  <c r="T296" i="2"/>
  <c r="U296" i="2"/>
  <c r="S297" i="2" l="1"/>
  <c r="U297" i="2"/>
  <c r="T297" i="2"/>
  <c r="S298" i="2" l="1"/>
  <c r="T298" i="2"/>
  <c r="U298" i="2"/>
  <c r="S299" i="2" l="1"/>
  <c r="T299" i="2"/>
  <c r="U299" i="2"/>
  <c r="S300" i="2" l="1"/>
  <c r="T300" i="2"/>
  <c r="U300" i="2"/>
  <c r="S301" i="2" l="1"/>
  <c r="U301" i="2"/>
  <c r="T301" i="2"/>
  <c r="S302" i="2" l="1"/>
  <c r="U302" i="2"/>
  <c r="T302" i="2"/>
  <c r="S303" i="2" l="1"/>
  <c r="U303" i="2"/>
  <c r="T303" i="2"/>
  <c r="S304" i="2" l="1"/>
  <c r="T304" i="2"/>
  <c r="U304" i="2"/>
  <c r="S305" i="2" l="1"/>
  <c r="T305" i="2"/>
  <c r="U305" i="2"/>
  <c r="S306" i="2" l="1"/>
  <c r="U306" i="2"/>
  <c r="T306" i="2"/>
  <c r="S307" i="2" l="1"/>
  <c r="T307" i="2"/>
  <c r="U307" i="2"/>
  <c r="S308" i="2" l="1"/>
  <c r="T308" i="2"/>
  <c r="U308" i="2"/>
  <c r="S309" i="2" l="1"/>
  <c r="U309" i="2"/>
  <c r="T309" i="2"/>
  <c r="S310" i="2" l="1"/>
  <c r="U310" i="2"/>
  <c r="T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U315" i="2"/>
  <c r="T315" i="2"/>
  <c r="S316" i="2" l="1"/>
  <c r="T316" i="2"/>
  <c r="U316" i="2"/>
  <c r="S317" i="2" l="1"/>
  <c r="U317" i="2"/>
  <c r="T317" i="2"/>
  <c r="S318" i="2" l="1"/>
  <c r="U318" i="2"/>
  <c r="T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T323" i="2"/>
  <c r="U323" i="2"/>
  <c r="S324" i="2" l="1"/>
  <c r="T324" i="2"/>
  <c r="U324" i="2"/>
  <c r="S325" i="2" l="1"/>
  <c r="U325" i="2"/>
  <c r="T325" i="2"/>
  <c r="S326" i="2" l="1"/>
  <c r="U326" i="2"/>
  <c r="T326" i="2"/>
  <c r="S327" i="2" l="1"/>
  <c r="U327" i="2"/>
  <c r="T327" i="2"/>
  <c r="S328" i="2" l="1"/>
  <c r="T328" i="2"/>
  <c r="U328" i="2"/>
  <c r="S329" i="2" l="1"/>
  <c r="U329" i="2"/>
  <c r="T329" i="2"/>
  <c r="S330" i="2" l="1"/>
  <c r="U330" i="2"/>
  <c r="T330" i="2"/>
  <c r="S331" i="2" l="1"/>
  <c r="U331" i="2"/>
  <c r="T331" i="2"/>
  <c r="S332" i="2" l="1"/>
  <c r="T332" i="2"/>
  <c r="U332" i="2"/>
  <c r="S333" i="2" l="1"/>
  <c r="U333" i="2"/>
  <c r="T333" i="2"/>
  <c r="S334" i="2" l="1"/>
  <c r="U334" i="2"/>
  <c r="T334" i="2"/>
  <c r="S335" i="2" l="1"/>
  <c r="U335" i="2"/>
  <c r="T335" i="2"/>
  <c r="S336" i="2" l="1"/>
  <c r="T336" i="2"/>
  <c r="U336" i="2"/>
  <c r="S337" i="2" l="1"/>
  <c r="U337" i="2"/>
  <c r="T337" i="2"/>
  <c r="S338" i="2" l="1"/>
  <c r="U338" i="2"/>
  <c r="T338" i="2"/>
  <c r="S339" i="2" l="1"/>
  <c r="U339" i="2"/>
  <c r="T339" i="2"/>
  <c r="S340" i="2" l="1"/>
  <c r="T340" i="2"/>
  <c r="U340" i="2"/>
  <c r="S341" i="2" l="1"/>
  <c r="U341" i="2"/>
  <c r="T341" i="2"/>
  <c r="S342" i="2" l="1"/>
  <c r="U342" i="2"/>
  <c r="T342" i="2"/>
  <c r="S343" i="2" l="1"/>
  <c r="U343" i="2"/>
  <c r="T343" i="2"/>
  <c r="S344" i="2" l="1"/>
  <c r="T344" i="2"/>
  <c r="U344" i="2"/>
  <c r="S345" i="2" l="1"/>
  <c r="T345" i="2"/>
  <c r="U345" i="2"/>
  <c r="S346" i="2" l="1"/>
  <c r="U346" i="2"/>
  <c r="T346" i="2"/>
  <c r="S347" i="2" l="1"/>
  <c r="U347" i="2"/>
  <c r="T347" i="2"/>
  <c r="S348" i="2" l="1"/>
  <c r="T348" i="2"/>
  <c r="U348" i="2"/>
  <c r="S349" i="2" l="1"/>
  <c r="U349" i="2"/>
  <c r="T349" i="2"/>
  <c r="S350" i="2" l="1"/>
  <c r="T350" i="2"/>
  <c r="U350" i="2"/>
  <c r="S351" i="2" l="1"/>
  <c r="U351" i="2"/>
  <c r="T351" i="2"/>
  <c r="S352" i="2" l="1"/>
  <c r="T352" i="2"/>
  <c r="U352" i="2"/>
  <c r="S353" i="2" l="1"/>
  <c r="U353" i="2"/>
  <c r="T353" i="2"/>
  <c r="S354" i="2" l="1"/>
  <c r="U354" i="2"/>
  <c r="T354" i="2"/>
  <c r="S355" i="2" l="1"/>
  <c r="U355" i="2"/>
  <c r="T355" i="2"/>
  <c r="S356" i="2" l="1"/>
  <c r="T356" i="2"/>
  <c r="U356" i="2"/>
  <c r="S357" i="2" l="1"/>
  <c r="U357" i="2"/>
  <c r="T357" i="2"/>
  <c r="S358" i="2" l="1"/>
  <c r="U358" i="2"/>
  <c r="T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U363" i="2"/>
  <c r="T363" i="2"/>
  <c r="S364" i="2" l="1"/>
  <c r="T364" i="2"/>
  <c r="U364" i="2"/>
  <c r="S365" i="2" l="1"/>
  <c r="T365" i="2"/>
  <c r="U365" i="2"/>
  <c r="S366" i="2" l="1"/>
  <c r="U366" i="2"/>
  <c r="T366" i="2"/>
  <c r="S367" i="2" l="1"/>
  <c r="T367" i="2"/>
  <c r="U367" i="2"/>
  <c r="S368" i="2" l="1"/>
  <c r="T368" i="2"/>
  <c r="U368" i="2"/>
  <c r="S369" i="2" l="1"/>
  <c r="U369" i="2"/>
  <c r="T369" i="2"/>
  <c r="S370" i="2" l="1"/>
  <c r="U370" i="2"/>
  <c r="T370" i="2"/>
  <c r="S371" i="2" l="1"/>
  <c r="U371" i="2"/>
  <c r="T371" i="2"/>
  <c r="S372" i="2" l="1"/>
  <c r="T372" i="2"/>
  <c r="U372" i="2"/>
  <c r="S373" i="2" l="1"/>
  <c r="U373" i="2"/>
  <c r="T373" i="2"/>
  <c r="S374" i="2" l="1"/>
  <c r="U374" i="2"/>
  <c r="T374" i="2"/>
  <c r="S375" i="2" l="1"/>
  <c r="T375" i="2"/>
  <c r="U375" i="2"/>
  <c r="S376" i="2" l="1"/>
  <c r="T376" i="2"/>
  <c r="U376" i="2"/>
  <c r="S377" i="2" l="1"/>
  <c r="U377" i="2"/>
  <c r="T377" i="2"/>
  <c r="S378" i="2" l="1"/>
  <c r="U378" i="2"/>
  <c r="T378" i="2"/>
  <c r="S379" i="2" l="1"/>
  <c r="U379" i="2"/>
  <c r="T379" i="2"/>
  <c r="S380" i="2" l="1"/>
  <c r="U380" i="2"/>
  <c r="T380" i="2"/>
  <c r="S381" i="2" l="1"/>
  <c r="U381" i="2"/>
  <c r="T381" i="2"/>
  <c r="S382" i="2" l="1"/>
  <c r="U382" i="2"/>
  <c r="T382" i="2"/>
  <c r="S383" i="2" l="1"/>
  <c r="U383" i="2"/>
  <c r="T383" i="2"/>
  <c r="S384" i="2" l="1"/>
  <c r="U384" i="2"/>
  <c r="T384" i="2"/>
  <c r="S385" i="2" l="1"/>
  <c r="U385" i="2"/>
  <c r="T385" i="2"/>
  <c r="S386" i="2" l="1"/>
  <c r="U386" i="2"/>
  <c r="T386" i="2"/>
  <c r="S387" i="2" l="1"/>
  <c r="U387" i="2"/>
  <c r="T387" i="2"/>
  <c r="S388" i="2" l="1"/>
  <c r="T388" i="2"/>
  <c r="U388" i="2"/>
  <c r="S389" i="2" l="1"/>
  <c r="U389" i="2"/>
  <c r="T389" i="2"/>
  <c r="S390" i="2" l="1"/>
  <c r="U390" i="2"/>
  <c r="T390" i="2"/>
  <c r="S391" i="2" l="1"/>
  <c r="U391" i="2"/>
  <c r="T391" i="2"/>
  <c r="S392" i="2" l="1"/>
  <c r="T392" i="2"/>
  <c r="U392" i="2"/>
  <c r="S393" i="2" l="1"/>
  <c r="U393" i="2"/>
  <c r="T393" i="2"/>
  <c r="S394" i="2" l="1"/>
  <c r="U394" i="2"/>
  <c r="T394" i="2"/>
  <c r="S395" i="2" l="1"/>
  <c r="U395" i="2"/>
  <c r="T395" i="2"/>
  <c r="S396" i="2" l="1"/>
  <c r="T396" i="2"/>
  <c r="U396" i="2"/>
  <c r="S397" i="2" l="1"/>
  <c r="U397" i="2"/>
  <c r="T397" i="2"/>
  <c r="S398" i="2" l="1"/>
  <c r="T398" i="2"/>
  <c r="U398" i="2"/>
  <c r="S399" i="2" l="1"/>
  <c r="U399" i="2"/>
  <c r="T399" i="2"/>
  <c r="S400" i="2" l="1"/>
  <c r="U400" i="2"/>
  <c r="T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U406" i="2"/>
  <c r="T406" i="2"/>
  <c r="S407" i="2" l="1"/>
  <c r="U407" i="2"/>
  <c r="T407" i="2"/>
  <c r="S408" i="2" l="1"/>
  <c r="T408" i="2"/>
  <c r="U408" i="2"/>
  <c r="S409" i="2" l="1"/>
  <c r="U409" i="2"/>
  <c r="T409" i="2"/>
  <c r="S410" i="2" l="1"/>
  <c r="U410" i="2"/>
  <c r="T410" i="2"/>
  <c r="S411" i="2" l="1"/>
  <c r="U411" i="2"/>
  <c r="T411" i="2"/>
  <c r="S412" i="2" l="1"/>
  <c r="T412" i="2"/>
  <c r="U412" i="2"/>
  <c r="S413" i="2" l="1"/>
  <c r="U413" i="2"/>
  <c r="T413" i="2"/>
  <c r="S414" i="2" l="1"/>
  <c r="U414" i="2"/>
  <c r="T414" i="2"/>
  <c r="S415" i="2" l="1"/>
  <c r="U415" i="2"/>
  <c r="T415" i="2"/>
  <c r="S416" i="2" l="1"/>
  <c r="T416" i="2"/>
  <c r="U416" i="2"/>
  <c r="S417" i="2" l="1"/>
  <c r="U417" i="2"/>
  <c r="T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U422" i="2"/>
  <c r="T422" i="2"/>
  <c r="S423" i="2" l="1"/>
  <c r="T423" i="2"/>
  <c r="U423" i="2"/>
  <c r="S424" i="2" l="1"/>
  <c r="T424" i="2"/>
  <c r="U424" i="2"/>
  <c r="S425" i="2" l="1"/>
  <c r="U425" i="2"/>
  <c r="T425" i="2"/>
  <c r="S426" i="2" l="1"/>
  <c r="U426" i="2"/>
  <c r="T426" i="2"/>
  <c r="S427" i="2" l="1"/>
  <c r="U427" i="2"/>
  <c r="T427" i="2"/>
  <c r="S428" i="2" l="1"/>
  <c r="T428" i="2"/>
  <c r="U428" i="2"/>
  <c r="S429" i="2" l="1"/>
  <c r="U429" i="2"/>
  <c r="T429" i="2"/>
  <c r="S430" i="2" l="1"/>
  <c r="U430" i="2"/>
  <c r="T430" i="2"/>
  <c r="S431" i="2" l="1"/>
  <c r="U431" i="2"/>
  <c r="T431" i="2"/>
  <c r="S432" i="2" l="1"/>
  <c r="T432" i="2"/>
  <c r="U432" i="2"/>
  <c r="S433" i="2" l="1"/>
  <c r="U433" i="2"/>
  <c r="T433" i="2"/>
  <c r="S434" i="2" l="1"/>
  <c r="U434" i="2"/>
  <c r="T434" i="2"/>
  <c r="S435" i="2" l="1"/>
  <c r="U435" i="2"/>
  <c r="T435" i="2"/>
  <c r="S436" i="2" l="1"/>
  <c r="T436" i="2"/>
  <c r="U436" i="2"/>
  <c r="S437" i="2" l="1"/>
  <c r="U437" i="2"/>
  <c r="T437" i="2"/>
  <c r="S438" i="2" l="1"/>
  <c r="U438" i="2"/>
  <c r="T438" i="2"/>
  <c r="S439" i="2" l="1"/>
  <c r="U439" i="2"/>
  <c r="T439" i="2"/>
  <c r="S440" i="2" l="1"/>
  <c r="T440" i="2"/>
  <c r="U440" i="2"/>
  <c r="S441" i="2" l="1"/>
  <c r="U441" i="2"/>
  <c r="T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U446" i="2"/>
  <c r="T446" i="2"/>
  <c r="S447" i="2" l="1"/>
  <c r="U447" i="2"/>
  <c r="T447" i="2"/>
  <c r="S448" i="2" l="1"/>
  <c r="U448" i="2"/>
  <c r="T448" i="2"/>
  <c r="S449" i="2" l="1"/>
  <c r="U449" i="2"/>
  <c r="T449" i="2"/>
  <c r="S450" i="2" l="1"/>
  <c r="T450" i="2"/>
  <c r="U450" i="2"/>
  <c r="S451" i="2" l="1"/>
  <c r="T451" i="2"/>
  <c r="U451" i="2"/>
  <c r="S452" i="2" l="1"/>
  <c r="T452" i="2"/>
  <c r="U452" i="2"/>
  <c r="S453" i="2" l="1"/>
  <c r="U453" i="2"/>
  <c r="T453" i="2"/>
  <c r="S454" i="2" l="1"/>
  <c r="U454" i="2"/>
  <c r="T454" i="2"/>
  <c r="S455" i="2" l="1"/>
  <c r="T455" i="2"/>
  <c r="U455" i="2"/>
  <c r="S456" i="2" l="1"/>
  <c r="T456" i="2"/>
  <c r="U456" i="2"/>
  <c r="S457" i="2" l="1"/>
  <c r="U457" i="2"/>
  <c r="T457" i="2"/>
  <c r="S458" i="2" l="1"/>
  <c r="U458" i="2"/>
  <c r="T458" i="2"/>
  <c r="S459" i="2" l="1"/>
  <c r="U459" i="2"/>
  <c r="T459" i="2"/>
  <c r="S460" i="2" l="1"/>
  <c r="T460" i="2"/>
  <c r="U460" i="2"/>
  <c r="S461" i="2" l="1"/>
  <c r="U461" i="2"/>
  <c r="T461" i="2"/>
  <c r="S462" i="2" l="1"/>
  <c r="U462" i="2"/>
  <c r="T462" i="2"/>
  <c r="S463" i="2" l="1"/>
  <c r="U463" i="2"/>
  <c r="T463" i="2"/>
  <c r="S464" i="2" l="1"/>
  <c r="T464" i="2"/>
  <c r="U464" i="2"/>
  <c r="S465" i="2" l="1"/>
  <c r="U465" i="2"/>
  <c r="T465" i="2"/>
  <c r="S466" i="2" l="1"/>
  <c r="U466" i="2"/>
  <c r="T466" i="2"/>
  <c r="S467" i="2" l="1"/>
  <c r="U467" i="2"/>
  <c r="T467" i="2"/>
  <c r="S468" i="2" l="1"/>
  <c r="T468" i="2"/>
  <c r="U468" i="2"/>
  <c r="S469" i="2" l="1"/>
  <c r="T469" i="2"/>
  <c r="U469" i="2"/>
  <c r="S470" i="2" l="1"/>
  <c r="U470" i="2"/>
  <c r="T470" i="2"/>
  <c r="S471" i="2" l="1"/>
  <c r="U471" i="2"/>
  <c r="T471" i="2"/>
  <c r="S472" i="2" l="1"/>
  <c r="T472" i="2"/>
  <c r="U472" i="2"/>
  <c r="S473" i="2" l="1"/>
  <c r="U473" i="2"/>
  <c r="T473" i="2"/>
  <c r="S474" i="2" l="1"/>
  <c r="U474" i="2"/>
  <c r="T474" i="2"/>
  <c r="S475" i="2" l="1"/>
  <c r="U475" i="2"/>
  <c r="T475" i="2"/>
  <c r="S476" i="2" l="1"/>
  <c r="T476" i="2"/>
  <c r="U476" i="2"/>
  <c r="S477" i="2" l="1"/>
  <c r="U477" i="2"/>
  <c r="T477" i="2"/>
  <c r="S478" i="2" l="1"/>
  <c r="U478" i="2"/>
  <c r="T478" i="2"/>
  <c r="S479" i="2" l="1"/>
  <c r="U479" i="2"/>
  <c r="T479" i="2"/>
  <c r="S480" i="2" l="1"/>
  <c r="T480" i="2"/>
  <c r="U480" i="2"/>
  <c r="S481" i="2" l="1"/>
  <c r="U481" i="2"/>
  <c r="T481" i="2"/>
  <c r="S482" i="2" l="1"/>
  <c r="U482" i="2"/>
  <c r="T482" i="2"/>
  <c r="S483" i="2" l="1"/>
  <c r="U483" i="2"/>
  <c r="T483" i="2"/>
  <c r="S484" i="2" l="1"/>
  <c r="T484" i="2"/>
  <c r="U484" i="2"/>
  <c r="S485" i="2" l="1"/>
  <c r="U485" i="2"/>
  <c r="T485" i="2"/>
  <c r="S486" i="2" l="1"/>
  <c r="T486" i="2"/>
  <c r="U486" i="2"/>
  <c r="S487" i="2" l="1"/>
  <c r="U487" i="2"/>
  <c r="T487" i="2"/>
  <c r="S488" i="2" l="1"/>
  <c r="U488" i="2"/>
  <c r="T488" i="2"/>
  <c r="S489" i="2" l="1"/>
  <c r="U489" i="2"/>
  <c r="T489" i="2"/>
  <c r="S490" i="2" l="1"/>
  <c r="T490" i="2"/>
  <c r="U490" i="2"/>
  <c r="S491" i="2" l="1"/>
  <c r="T491" i="2"/>
  <c r="U491" i="2"/>
  <c r="S492" i="2" l="1"/>
  <c r="U492" i="2"/>
  <c r="T492" i="2"/>
  <c r="S493" i="2" l="1"/>
  <c r="T493" i="2"/>
  <c r="U493" i="2"/>
  <c r="S494" i="2" l="1"/>
  <c r="U494" i="2"/>
  <c r="T494" i="2"/>
  <c r="S495" i="2" l="1"/>
  <c r="U495" i="2"/>
  <c r="T495" i="2"/>
  <c r="S496" i="2" l="1"/>
  <c r="T496" i="2"/>
  <c r="U496" i="2"/>
  <c r="S497" i="2" l="1"/>
  <c r="U497" i="2"/>
  <c r="T497" i="2"/>
  <c r="S498" i="2" l="1"/>
  <c r="U498" i="2"/>
  <c r="T498" i="2"/>
  <c r="S499" i="2" l="1"/>
  <c r="T499" i="2"/>
  <c r="U499" i="2"/>
  <c r="S500" i="2" l="1"/>
  <c r="T500" i="2"/>
  <c r="U500" i="2"/>
  <c r="S501" i="2" l="1"/>
  <c r="U501" i="2"/>
  <c r="T501" i="2"/>
  <c r="S502" i="2" l="1"/>
  <c r="U502" i="2"/>
  <c r="T502" i="2"/>
  <c r="S503" i="2" l="1"/>
  <c r="U503" i="2"/>
  <c r="T503" i="2"/>
  <c r="S504" i="2" l="1"/>
  <c r="T504" i="2"/>
  <c r="U504" i="2"/>
  <c r="S505" i="2" l="1"/>
  <c r="U505" i="2"/>
  <c r="T505" i="2"/>
  <c r="S506" i="2" l="1"/>
  <c r="T506" i="2"/>
  <c r="U506" i="2"/>
  <c r="S507" i="2" l="1"/>
  <c r="U507" i="2"/>
  <c r="T507" i="2"/>
  <c r="S508" i="2" l="1"/>
  <c r="T508" i="2"/>
  <c r="U508" i="2"/>
  <c r="S509" i="2" l="1"/>
  <c r="T509" i="2"/>
  <c r="U509" i="2"/>
  <c r="S510" i="2" l="1"/>
  <c r="U510" i="2"/>
  <c r="T510" i="2"/>
  <c r="S511" i="2" l="1"/>
  <c r="U511" i="2"/>
  <c r="T511" i="2"/>
  <c r="S512" i="2" l="1"/>
  <c r="T512" i="2"/>
  <c r="U512" i="2"/>
  <c r="S513" i="2" l="1"/>
  <c r="U513" i="2"/>
  <c r="T513" i="2"/>
  <c r="S514" i="2" l="1"/>
  <c r="U514" i="2"/>
  <c r="T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U521" i="2"/>
  <c r="T521" i="2"/>
  <c r="S522" i="2" l="1"/>
  <c r="U522" i="2"/>
  <c r="T522" i="2"/>
  <c r="S523" i="2" l="1"/>
  <c r="U523" i="2"/>
  <c r="T523" i="2"/>
  <c r="S524" i="2" l="1"/>
  <c r="T524" i="2"/>
  <c r="U524" i="2"/>
  <c r="S525" i="2" l="1"/>
  <c r="U525" i="2"/>
  <c r="T525" i="2"/>
  <c r="S526" i="2" l="1"/>
  <c r="U526" i="2"/>
  <c r="T526" i="2"/>
  <c r="S527" i="2" l="1"/>
  <c r="T527" i="2"/>
  <c r="U527" i="2"/>
  <c r="S528" i="2" l="1"/>
  <c r="T528" i="2"/>
  <c r="U528" i="2"/>
  <c r="S529" i="2" l="1"/>
  <c r="U529" i="2"/>
  <c r="T529" i="2"/>
  <c r="S530" i="2" l="1"/>
  <c r="U530" i="2"/>
  <c r="T530" i="2"/>
  <c r="S531" i="2" l="1"/>
  <c r="T531" i="2"/>
  <c r="U531" i="2"/>
  <c r="S532" i="2" l="1"/>
  <c r="U532" i="2"/>
  <c r="T532" i="2"/>
  <c r="S533" i="2" l="1"/>
  <c r="U533" i="2"/>
  <c r="T533" i="2"/>
  <c r="S534" i="2" l="1"/>
  <c r="U534" i="2"/>
  <c r="T534" i="2"/>
  <c r="S535" i="2" l="1"/>
  <c r="U535" i="2"/>
  <c r="T535" i="2"/>
  <c r="S536" i="2" l="1"/>
  <c r="T536" i="2"/>
  <c r="U536" i="2"/>
  <c r="S537" i="2" l="1"/>
  <c r="U537" i="2"/>
  <c r="T537" i="2"/>
  <c r="S538" i="2" l="1"/>
  <c r="U538" i="2"/>
  <c r="T538" i="2"/>
  <c r="S539" i="2" l="1"/>
  <c r="U539" i="2"/>
  <c r="T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T544" i="2"/>
  <c r="U544" i="2"/>
  <c r="S545" i="2" l="1"/>
  <c r="U545" i="2"/>
  <c r="T545" i="2"/>
  <c r="S546" i="2" l="1"/>
  <c r="T546" i="2"/>
  <c r="U546" i="2"/>
  <c r="S547" i="2" l="1"/>
  <c r="U547" i="2"/>
  <c r="T547" i="2"/>
  <c r="S548" i="2" l="1"/>
  <c r="T548" i="2"/>
  <c r="U548" i="2"/>
  <c r="S549" i="2" l="1"/>
  <c r="U549" i="2"/>
  <c r="T549" i="2"/>
  <c r="S550" i="2" l="1"/>
  <c r="U550" i="2"/>
  <c r="T550" i="2"/>
  <c r="S551" i="2" l="1"/>
  <c r="U551" i="2"/>
  <c r="T551" i="2"/>
  <c r="S552" i="2" l="1"/>
  <c r="T552" i="2"/>
  <c r="U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U561" i="2"/>
  <c r="T561" i="2"/>
  <c r="S562" i="2" l="1"/>
  <c r="U562" i="2"/>
  <c r="T562" i="2"/>
  <c r="S563" i="2" l="1"/>
  <c r="U563" i="2"/>
  <c r="T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U570" i="2"/>
  <c r="T570" i="2"/>
  <c r="S571" i="2" l="1"/>
  <c r="U571" i="2"/>
  <c r="T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T576" i="2"/>
  <c r="U576" i="2"/>
  <c r="S577" i="2" l="1"/>
  <c r="U577" i="2"/>
  <c r="T577" i="2"/>
  <c r="S578" i="2" l="1"/>
  <c r="U578" i="2"/>
  <c r="T578" i="2"/>
  <c r="S579" i="2" l="1"/>
  <c r="U579" i="2"/>
  <c r="T579" i="2"/>
  <c r="S580" i="2" l="1"/>
  <c r="T580" i="2"/>
  <c r="U580" i="2"/>
  <c r="S581" i="2" l="1"/>
  <c r="U581" i="2"/>
  <c r="T581" i="2"/>
  <c r="S582" i="2" l="1"/>
  <c r="U582" i="2"/>
  <c r="T582" i="2"/>
  <c r="S583" i="2" l="1"/>
  <c r="U583" i="2"/>
  <c r="T583" i="2"/>
  <c r="S584" i="2" l="1"/>
  <c r="T584" i="2"/>
  <c r="U584" i="2"/>
  <c r="S585" i="2" l="1"/>
  <c r="U585" i="2"/>
  <c r="T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U595" i="2"/>
  <c r="T595" i="2"/>
  <c r="S596" i="2" l="1"/>
  <c r="T596" i="2"/>
  <c r="U596" i="2"/>
  <c r="S597" i="2" l="1"/>
  <c r="U597" i="2"/>
  <c r="T597" i="2"/>
  <c r="S598" i="2" l="1"/>
  <c r="U598" i="2"/>
  <c r="T598" i="2"/>
  <c r="S599" i="2" l="1"/>
  <c r="U599" i="2"/>
  <c r="T599" i="2"/>
  <c r="S600" i="2" l="1"/>
  <c r="U600" i="2"/>
  <c r="T600" i="2"/>
  <c r="S601" i="2" l="1"/>
  <c r="U601" i="2"/>
  <c r="T601" i="2"/>
  <c r="S602" i="2" l="1"/>
  <c r="U602" i="2"/>
  <c r="T602" i="2"/>
  <c r="S603" i="2" l="1"/>
  <c r="T603" i="2"/>
  <c r="U603" i="2"/>
  <c r="S604" i="2" l="1"/>
  <c r="T604" i="2"/>
  <c r="U604" i="2"/>
  <c r="S605" i="2" l="1"/>
  <c r="U605" i="2"/>
  <c r="T605" i="2"/>
  <c r="S606" i="2" l="1"/>
  <c r="U606" i="2"/>
  <c r="T606" i="2"/>
  <c r="S607" i="2" l="1"/>
  <c r="U607" i="2"/>
  <c r="T607" i="2"/>
  <c r="S608" i="2" l="1"/>
  <c r="T608" i="2"/>
  <c r="U608" i="2"/>
  <c r="S609" i="2" l="1"/>
  <c r="U609" i="2"/>
  <c r="T609" i="2"/>
  <c r="S610" i="2" l="1"/>
  <c r="U610" i="2"/>
  <c r="T610" i="2"/>
  <c r="S611" i="2" l="1"/>
  <c r="U611" i="2"/>
  <c r="T611" i="2"/>
  <c r="S612" i="2" l="1"/>
  <c r="T612" i="2"/>
  <c r="U612" i="2"/>
  <c r="S613" i="2" l="1"/>
  <c r="U613" i="2"/>
  <c r="T613" i="2"/>
  <c r="S614" i="2" l="1"/>
  <c r="U614" i="2"/>
  <c r="T614" i="2"/>
  <c r="S615" i="2" l="1"/>
  <c r="U615" i="2"/>
  <c r="T615" i="2"/>
  <c r="S616" i="2" l="1"/>
  <c r="T616" i="2"/>
  <c r="U616" i="2"/>
  <c r="S617" i="2" l="1"/>
  <c r="U617" i="2"/>
  <c r="T617" i="2"/>
  <c r="S618" i="2" l="1"/>
  <c r="U618" i="2"/>
  <c r="T618" i="2"/>
  <c r="S619" i="2" l="1"/>
  <c r="U619" i="2"/>
  <c r="T619" i="2"/>
  <c r="S620" i="2" l="1"/>
  <c r="T620" i="2"/>
  <c r="U620" i="2"/>
  <c r="S621" i="2" l="1"/>
  <c r="U621" i="2"/>
  <c r="T621" i="2"/>
  <c r="S622" i="2" l="1"/>
  <c r="U622" i="2"/>
  <c r="T622" i="2"/>
  <c r="S623" i="2" l="1"/>
  <c r="U623" i="2"/>
  <c r="T623" i="2"/>
  <c r="S624" i="2" l="1"/>
  <c r="T624" i="2"/>
  <c r="U624" i="2"/>
  <c r="S625" i="2" l="1"/>
  <c r="U625" i="2"/>
  <c r="T625" i="2"/>
  <c r="S626" i="2" l="1"/>
  <c r="U626" i="2"/>
  <c r="T626" i="2"/>
  <c r="S627" i="2" l="1"/>
  <c r="U627" i="2"/>
  <c r="T627" i="2"/>
  <c r="S628" i="2" l="1"/>
  <c r="T628" i="2"/>
  <c r="U628" i="2"/>
  <c r="S629" i="2" l="1"/>
  <c r="U629" i="2"/>
  <c r="T629" i="2"/>
  <c r="S630" i="2" l="1"/>
  <c r="T630" i="2"/>
  <c r="U630" i="2"/>
  <c r="S631" i="2" l="1"/>
  <c r="U631" i="2"/>
  <c r="T631" i="2"/>
  <c r="S632" i="2" l="1"/>
  <c r="T632" i="2"/>
  <c r="U632" i="2"/>
  <c r="S633" i="2" l="1"/>
  <c r="U633" i="2"/>
  <c r="T633" i="2"/>
  <c r="S634" i="2" l="1"/>
  <c r="U634" i="2"/>
  <c r="T634" i="2"/>
  <c r="S635" i="2" l="1"/>
  <c r="U635" i="2"/>
  <c r="T635" i="2"/>
  <c r="S636" i="2" l="1"/>
  <c r="T636" i="2"/>
  <c r="U636" i="2"/>
  <c r="S637" i="2" l="1"/>
  <c r="U637" i="2"/>
  <c r="T637" i="2"/>
  <c r="S638" i="2" l="1"/>
  <c r="T638" i="2"/>
  <c r="U638" i="2"/>
  <c r="S639" i="2" l="1"/>
  <c r="U639" i="2"/>
  <c r="T639" i="2"/>
  <c r="S640" i="2" l="1"/>
  <c r="T640" i="2"/>
  <c r="U640" i="2"/>
  <c r="S641" i="2" l="1"/>
  <c r="U641" i="2"/>
  <c r="T641" i="2"/>
  <c r="S642" i="2" l="1"/>
  <c r="U642" i="2"/>
  <c r="T642" i="2"/>
  <c r="S643" i="2" l="1"/>
  <c r="U643" i="2"/>
  <c r="T643" i="2"/>
  <c r="S644" i="2" l="1"/>
  <c r="U644" i="2"/>
  <c r="T644" i="2"/>
  <c r="S645" i="2" l="1"/>
  <c r="U645" i="2"/>
  <c r="T645" i="2"/>
  <c r="S646" i="2" l="1"/>
  <c r="T646" i="2"/>
  <c r="U646" i="2"/>
  <c r="S647" i="2" l="1"/>
  <c r="T647" i="2"/>
  <c r="U647" i="2"/>
  <c r="S648" i="2" l="1"/>
  <c r="T648" i="2"/>
  <c r="U648" i="2"/>
  <c r="S649" i="2" l="1"/>
  <c r="U649" i="2"/>
  <c r="T649" i="2"/>
  <c r="S650" i="2" l="1"/>
  <c r="U650" i="2"/>
  <c r="T650" i="2"/>
  <c r="S651" i="2" l="1"/>
  <c r="U651" i="2"/>
  <c r="T651" i="2"/>
  <c r="S652" i="2" l="1"/>
  <c r="T652" i="2"/>
  <c r="U652" i="2"/>
  <c r="S653" i="2" l="1"/>
  <c r="U653" i="2"/>
  <c r="T653" i="2"/>
  <c r="S654" i="2" l="1"/>
  <c r="U654" i="2"/>
  <c r="T654" i="2"/>
  <c r="S655" i="2" l="1"/>
  <c r="U655" i="2"/>
  <c r="T655" i="2"/>
  <c r="S656" i="2" l="1"/>
  <c r="T656" i="2"/>
  <c r="U656" i="2"/>
  <c r="S657" i="2" l="1"/>
  <c r="U657" i="2"/>
  <c r="T657" i="2"/>
  <c r="S658" i="2" l="1"/>
  <c r="U658" i="2"/>
  <c r="T658" i="2"/>
  <c r="S659" i="2" l="1"/>
  <c r="U659" i="2"/>
  <c r="T659" i="2"/>
  <c r="S660" i="2" l="1"/>
  <c r="T660" i="2"/>
  <c r="U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U665" i="2"/>
  <c r="T665" i="2"/>
  <c r="S666" i="2" l="1"/>
  <c r="U666" i="2"/>
  <c r="T666" i="2"/>
  <c r="S667" i="2" l="1"/>
  <c r="U667" i="2"/>
  <c r="T667" i="2"/>
  <c r="S668" i="2" l="1"/>
  <c r="T668" i="2"/>
  <c r="U668" i="2"/>
  <c r="S669" i="2" l="1"/>
  <c r="U669" i="2"/>
  <c r="T669" i="2"/>
  <c r="S670" i="2" l="1"/>
  <c r="U670" i="2"/>
  <c r="T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T675" i="2"/>
  <c r="U675" i="2"/>
  <c r="S676" i="2" l="1"/>
  <c r="T676" i="2"/>
  <c r="U676" i="2"/>
  <c r="S677" i="2" l="1"/>
  <c r="U677" i="2"/>
  <c r="T677" i="2"/>
  <c r="S678" i="2" l="1"/>
  <c r="U678" i="2"/>
  <c r="T678" i="2"/>
  <c r="S679" i="2" l="1"/>
  <c r="U679" i="2"/>
  <c r="T679" i="2"/>
  <c r="S680" i="2" l="1"/>
  <c r="T680" i="2"/>
  <c r="U680" i="2"/>
  <c r="S681" i="2" l="1"/>
  <c r="U681" i="2"/>
  <c r="T681" i="2"/>
  <c r="S682" i="2" l="1"/>
  <c r="U682" i="2"/>
  <c r="T682" i="2"/>
  <c r="S683" i="2" l="1"/>
  <c r="U683" i="2"/>
  <c r="T683" i="2"/>
  <c r="S684" i="2" l="1"/>
  <c r="T684" i="2"/>
  <c r="U684" i="2"/>
  <c r="S685" i="2" l="1"/>
  <c r="T685" i="2"/>
  <c r="U685" i="2"/>
  <c r="S686" i="2" l="1"/>
  <c r="T686" i="2"/>
  <c r="U686" i="2"/>
  <c r="S687" i="2" l="1"/>
  <c r="T687" i="2"/>
  <c r="U687" i="2"/>
  <c r="S688" i="2" l="1"/>
  <c r="U688" i="2"/>
  <c r="T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U694" i="2"/>
  <c r="T694" i="2"/>
  <c r="S695" i="2" l="1"/>
  <c r="U695" i="2"/>
  <c r="T695" i="2"/>
  <c r="S696" i="2" l="1"/>
  <c r="U696" i="2"/>
  <c r="T696" i="2"/>
  <c r="S697" i="2" l="1"/>
  <c r="U697" i="2"/>
  <c r="T697" i="2"/>
  <c r="S698" i="2" l="1"/>
  <c r="U698" i="2"/>
  <c r="T698" i="2"/>
  <c r="S699" i="2" l="1"/>
  <c r="U699" i="2"/>
  <c r="T699" i="2"/>
  <c r="S700" i="2" l="1"/>
  <c r="T700" i="2"/>
  <c r="U700" i="2"/>
  <c r="S701" i="2" l="1"/>
  <c r="U701" i="2"/>
  <c r="T701" i="2"/>
  <c r="S702" i="2" l="1"/>
  <c r="U702" i="2"/>
  <c r="T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U707" i="2"/>
  <c r="T707" i="2"/>
  <c r="S708" i="2" l="1"/>
  <c r="T708" i="2"/>
  <c r="U708" i="2"/>
  <c r="S709" i="2" l="1"/>
  <c r="U709" i="2"/>
  <c r="T709" i="2"/>
  <c r="S710" i="2" l="1"/>
  <c r="U710" i="2"/>
  <c r="T710" i="2"/>
  <c r="S711" i="2" l="1"/>
  <c r="U711" i="2"/>
  <c r="T711" i="2"/>
  <c r="S712" i="2" l="1"/>
  <c r="T712" i="2"/>
  <c r="U712" i="2"/>
  <c r="S713" i="2" l="1"/>
  <c r="U713" i="2"/>
  <c r="T713" i="2"/>
  <c r="S714" i="2" l="1"/>
  <c r="U714" i="2"/>
  <c r="T714" i="2"/>
  <c r="S715" i="2" l="1"/>
  <c r="U715" i="2"/>
  <c r="T715" i="2"/>
  <c r="S716" i="2" l="1"/>
  <c r="T716" i="2"/>
  <c r="U716" i="2"/>
  <c r="S717" i="2" l="1"/>
  <c r="U717" i="2"/>
  <c r="T717" i="2"/>
  <c r="S718" i="2" l="1"/>
  <c r="T718" i="2"/>
  <c r="U718" i="2"/>
  <c r="S719" i="2" l="1"/>
  <c r="T719" i="2"/>
  <c r="U719" i="2"/>
  <c r="S720" i="2" l="1"/>
  <c r="T720" i="2"/>
  <c r="U720" i="2"/>
  <c r="S721" i="2" l="1"/>
  <c r="U721" i="2"/>
  <c r="T721" i="2"/>
  <c r="S722" i="2" l="1"/>
  <c r="U722" i="2"/>
  <c r="T722" i="2"/>
  <c r="S723" i="2" l="1"/>
  <c r="T723" i="2"/>
  <c r="U723" i="2"/>
  <c r="S724" i="2" l="1"/>
  <c r="T724" i="2"/>
  <c r="U724" i="2"/>
  <c r="S725" i="2" l="1"/>
  <c r="U725" i="2"/>
  <c r="T725" i="2"/>
  <c r="S726" i="2" l="1"/>
  <c r="T726" i="2"/>
  <c r="U726" i="2"/>
  <c r="S727" i="2" l="1"/>
  <c r="U727" i="2"/>
  <c r="T727" i="2"/>
  <c r="S728" i="2" l="1"/>
  <c r="T728" i="2"/>
  <c r="U728" i="2"/>
  <c r="S729" i="2" l="1"/>
  <c r="U729" i="2"/>
  <c r="T729" i="2"/>
  <c r="S730" i="2" l="1"/>
  <c r="U730" i="2"/>
  <c r="T730" i="2"/>
  <c r="S731" i="2" l="1"/>
  <c r="U731" i="2"/>
  <c r="T731" i="2"/>
  <c r="S732" i="2" l="1"/>
  <c r="T732" i="2"/>
  <c r="U732" i="2"/>
  <c r="S733" i="2" l="1"/>
  <c r="T733" i="2"/>
  <c r="U733" i="2"/>
  <c r="S734" i="2" l="1"/>
  <c r="U734" i="2"/>
  <c r="T734" i="2"/>
  <c r="S735" i="2" l="1"/>
  <c r="U735" i="2"/>
  <c r="T735" i="2"/>
  <c r="S736" i="2" l="1"/>
  <c r="T736" i="2"/>
  <c r="U736" i="2"/>
  <c r="S737" i="2" l="1"/>
  <c r="U737" i="2"/>
  <c r="T737" i="2"/>
  <c r="S738" i="2" l="1"/>
  <c r="U738" i="2"/>
  <c r="T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U743" i="2"/>
  <c r="T743" i="2"/>
  <c r="S744" i="2" l="1"/>
  <c r="T744" i="2"/>
  <c r="U744" i="2"/>
  <c r="S745" i="2" l="1"/>
  <c r="T745" i="2"/>
  <c r="U745" i="2"/>
  <c r="S746" i="2" l="1"/>
  <c r="U746" i="2"/>
  <c r="T746" i="2"/>
  <c r="S747" i="2" l="1"/>
  <c r="U747" i="2"/>
  <c r="T747" i="2"/>
  <c r="S748" i="2" l="1"/>
  <c r="T748" i="2"/>
  <c r="U748" i="2"/>
  <c r="S749" i="2" l="1"/>
  <c r="U749" i="2"/>
  <c r="T749" i="2"/>
  <c r="S750" i="2" l="1"/>
  <c r="U750" i="2"/>
  <c r="T750" i="2"/>
  <c r="S751" i="2" l="1"/>
  <c r="U751" i="2"/>
  <c r="T751" i="2"/>
  <c r="S752" i="2" l="1"/>
  <c r="T752" i="2"/>
  <c r="U752" i="2"/>
  <c r="S753" i="2" l="1"/>
  <c r="U753" i="2"/>
  <c r="T753" i="2"/>
  <c r="S754" i="2" l="1"/>
  <c r="U754" i="2"/>
  <c r="T754" i="2"/>
  <c r="S755" i="2" l="1"/>
  <c r="U755" i="2"/>
  <c r="T755" i="2"/>
  <c r="S756" i="2" l="1"/>
  <c r="T756" i="2"/>
  <c r="U756" i="2"/>
  <c r="S757" i="2" l="1"/>
  <c r="U757" i="2"/>
  <c r="T757" i="2"/>
  <c r="S758" i="2" l="1"/>
  <c r="U758" i="2"/>
  <c r="T758" i="2"/>
  <c r="S759" i="2" l="1"/>
  <c r="U759" i="2"/>
  <c r="T759" i="2"/>
  <c r="S760" i="2" l="1"/>
  <c r="T760" i="2"/>
  <c r="U760" i="2"/>
  <c r="S761" i="2" l="1"/>
  <c r="U761" i="2"/>
  <c r="T761" i="2"/>
  <c r="S762" i="2" l="1"/>
  <c r="U762" i="2"/>
  <c r="T762" i="2"/>
  <c r="S763" i="2" l="1"/>
  <c r="U763" i="2"/>
  <c r="T763" i="2"/>
  <c r="S764" i="2" l="1"/>
  <c r="T764" i="2"/>
  <c r="U764" i="2"/>
  <c r="S765" i="2" l="1"/>
  <c r="U765" i="2"/>
  <c r="T765" i="2"/>
  <c r="S766" i="2" l="1"/>
  <c r="U766" i="2"/>
  <c r="T766" i="2"/>
  <c r="S767" i="2" l="1"/>
  <c r="U767" i="2"/>
  <c r="T767" i="2"/>
  <c r="S768" i="2" l="1"/>
  <c r="T768" i="2"/>
  <c r="U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U774" i="2"/>
  <c r="T774" i="2"/>
  <c r="S775" i="2" l="1"/>
  <c r="U775" i="2"/>
  <c r="T775" i="2"/>
  <c r="S776" i="2" l="1"/>
  <c r="T776" i="2"/>
  <c r="U776" i="2"/>
  <c r="S777" i="2" l="1"/>
  <c r="U777" i="2"/>
  <c r="T777" i="2"/>
  <c r="S778" i="2" l="1"/>
  <c r="U778" i="2"/>
  <c r="T778" i="2"/>
  <c r="S779" i="2" l="1"/>
  <c r="U779" i="2"/>
  <c r="T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T784" i="2"/>
  <c r="U784" i="2"/>
  <c r="S785" i="2" l="1"/>
  <c r="U785" i="2"/>
  <c r="T785" i="2"/>
  <c r="S786" i="2" l="1"/>
  <c r="U786" i="2"/>
  <c r="T786" i="2"/>
  <c r="S787" i="2" l="1"/>
  <c r="U787" i="2"/>
  <c r="T787" i="2"/>
  <c r="S788" i="2" l="1"/>
  <c r="U788" i="2"/>
  <c r="T788" i="2"/>
  <c r="S789" i="2" l="1"/>
  <c r="U789" i="2"/>
  <c r="T789" i="2"/>
  <c r="S790" i="2" l="1"/>
  <c r="U790" i="2"/>
  <c r="T790" i="2"/>
  <c r="S791" i="2" l="1"/>
  <c r="U791" i="2"/>
  <c r="T791" i="2"/>
  <c r="S792" i="2" l="1"/>
  <c r="T792" i="2"/>
  <c r="U792" i="2"/>
  <c r="S793" i="2" l="1"/>
  <c r="U793" i="2"/>
  <c r="T793" i="2"/>
  <c r="S794" i="2" l="1"/>
  <c r="U794" i="2"/>
  <c r="T794" i="2"/>
  <c r="S795" i="2" l="1"/>
  <c r="U795" i="2"/>
  <c r="T795" i="2"/>
  <c r="S796" i="2" l="1"/>
  <c r="T796" i="2"/>
  <c r="U796" i="2"/>
  <c r="S797" i="2" l="1"/>
  <c r="T797" i="2"/>
  <c r="U797" i="2"/>
  <c r="S798" i="2" l="1"/>
  <c r="U798" i="2"/>
  <c r="T798" i="2"/>
  <c r="S799" i="2" l="1"/>
  <c r="T799" i="2"/>
  <c r="U799" i="2"/>
  <c r="S800" i="2" l="1"/>
  <c r="T800" i="2"/>
  <c r="U800" i="2"/>
  <c r="S801" i="2" l="1"/>
  <c r="U801" i="2"/>
  <c r="T801" i="2"/>
  <c r="S802" i="2" l="1"/>
  <c r="U802" i="2"/>
  <c r="T802" i="2"/>
  <c r="S803" i="2" l="1"/>
  <c r="U803" i="2"/>
  <c r="T803" i="2"/>
  <c r="S804" i="2" l="1"/>
  <c r="U804" i="2"/>
  <c r="T804" i="2"/>
  <c r="S805" i="2" l="1"/>
  <c r="U805" i="2"/>
  <c r="T805" i="2"/>
  <c r="S806" i="2" l="1"/>
  <c r="U806" i="2"/>
  <c r="T806" i="2"/>
  <c r="S807" i="2" l="1"/>
  <c r="U807" i="2"/>
  <c r="T807" i="2"/>
  <c r="S808" i="2" l="1"/>
  <c r="U808" i="2"/>
  <c r="T808" i="2"/>
  <c r="S809" i="2" l="1"/>
  <c r="T809" i="2"/>
  <c r="U809" i="2"/>
  <c r="S810" i="2" l="1"/>
  <c r="U810" i="2"/>
  <c r="T810" i="2"/>
  <c r="S811" i="2" l="1"/>
  <c r="U811" i="2"/>
  <c r="T811" i="2"/>
  <c r="S812" i="2" l="1"/>
  <c r="U812" i="2"/>
  <c r="T812" i="2"/>
  <c r="S813" i="2" l="1"/>
  <c r="T813" i="2"/>
  <c r="U813" i="2"/>
  <c r="S814" i="2" l="1"/>
  <c r="U814" i="2"/>
  <c r="T814" i="2"/>
  <c r="S815" i="2" l="1"/>
  <c r="U815" i="2"/>
  <c r="T815" i="2"/>
  <c r="S816" i="2" l="1"/>
  <c r="U816" i="2"/>
  <c r="T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U822" i="2"/>
  <c r="T822" i="2"/>
  <c r="S823" i="2" l="1"/>
  <c r="U823" i="2"/>
  <c r="T823" i="2"/>
  <c r="S824" i="2" l="1"/>
  <c r="T824" i="2"/>
  <c r="U824" i="2"/>
  <c r="S825" i="2" l="1"/>
  <c r="U825" i="2"/>
  <c r="T825" i="2"/>
  <c r="S826" i="2" l="1"/>
  <c r="U826" i="2"/>
  <c r="T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T832" i="2"/>
  <c r="U832" i="2"/>
  <c r="S833" i="2" l="1"/>
  <c r="U833" i="2"/>
  <c r="T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U838" i="2"/>
  <c r="T838" i="2"/>
  <c r="S839" i="2" l="1"/>
  <c r="T839" i="2"/>
  <c r="U839" i="2"/>
  <c r="S840" i="2" l="1"/>
  <c r="U840" i="2"/>
  <c r="T840" i="2"/>
  <c r="S841" i="2" l="1"/>
  <c r="T841" i="2"/>
  <c r="U841" i="2"/>
  <c r="S842" i="2" l="1"/>
  <c r="U842" i="2"/>
  <c r="T842" i="2"/>
  <c r="S843" i="2" l="1"/>
  <c r="U843" i="2"/>
  <c r="T843" i="2"/>
  <c r="S844" i="2" l="1"/>
  <c r="U844" i="2"/>
  <c r="T844" i="2"/>
  <c r="S845" i="2" l="1"/>
  <c r="T845" i="2"/>
  <c r="U845" i="2"/>
  <c r="S846" i="2" l="1"/>
  <c r="U846" i="2"/>
  <c r="T846" i="2"/>
  <c r="S847" i="2" l="1"/>
  <c r="U847" i="2"/>
  <c r="T847" i="2"/>
  <c r="S848" i="2" l="1"/>
  <c r="T848" i="2"/>
  <c r="U848" i="2"/>
  <c r="S849" i="2" l="1"/>
  <c r="U849" i="2"/>
  <c r="T849" i="2"/>
  <c r="S850" i="2" l="1"/>
  <c r="T850" i="2"/>
  <c r="U850" i="2"/>
  <c r="S851" i="2" l="1"/>
  <c r="U851" i="2"/>
  <c r="T851" i="2"/>
  <c r="S852" i="2" l="1"/>
  <c r="T852" i="2"/>
  <c r="U852" i="2"/>
  <c r="S853" i="2" l="1"/>
  <c r="U853" i="2"/>
  <c r="T853" i="2"/>
  <c r="S854" i="2" l="1"/>
  <c r="T854" i="2"/>
  <c r="U854" i="2"/>
  <c r="S855" i="2" l="1"/>
  <c r="U855" i="2"/>
  <c r="T855" i="2"/>
  <c r="S856" i="2" l="1"/>
  <c r="U856" i="2"/>
  <c r="T856" i="2"/>
  <c r="S857" i="2" l="1"/>
  <c r="T857" i="2"/>
  <c r="U857" i="2"/>
  <c r="S858" i="2" l="1"/>
  <c r="U858" i="2"/>
  <c r="T858" i="2"/>
  <c r="S859" i="2" l="1"/>
  <c r="U859" i="2"/>
  <c r="T859" i="2"/>
  <c r="S860" i="2" l="1"/>
  <c r="T860" i="2"/>
  <c r="U860" i="2"/>
  <c r="S861" i="2" l="1"/>
  <c r="U861" i="2"/>
  <c r="T861" i="2"/>
  <c r="S862" i="2" l="1"/>
  <c r="T862" i="2"/>
  <c r="U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U867" i="2"/>
  <c r="T867" i="2"/>
  <c r="S868" i="2" l="1"/>
  <c r="U868" i="2"/>
  <c r="T868" i="2"/>
  <c r="S869" i="2" l="1"/>
  <c r="T869" i="2"/>
  <c r="U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T874" i="2"/>
  <c r="U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U881" i="2"/>
  <c r="T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T887" i="2"/>
  <c r="U887" i="2"/>
  <c r="S888" i="2" l="1"/>
  <c r="T888" i="2"/>
  <c r="U888" i="2"/>
  <c r="S889" i="2" l="1"/>
  <c r="U889" i="2"/>
  <c r="T889" i="2"/>
  <c r="S890" i="2" l="1"/>
  <c r="U890" i="2"/>
  <c r="T890" i="2"/>
  <c r="S891" i="2" l="1"/>
  <c r="U891" i="2"/>
  <c r="T891" i="2"/>
  <c r="S892" i="2" l="1"/>
  <c r="T892" i="2"/>
  <c r="U892" i="2"/>
  <c r="S893" i="2" l="1"/>
  <c r="U893" i="2"/>
  <c r="T893" i="2"/>
  <c r="S894" i="2" l="1"/>
  <c r="T894" i="2"/>
  <c r="U894" i="2"/>
  <c r="S895" i="2" l="1"/>
  <c r="U895" i="2"/>
  <c r="T895" i="2"/>
  <c r="S896" i="2" l="1"/>
  <c r="T896" i="2"/>
  <c r="U896" i="2"/>
  <c r="S897" i="2" l="1"/>
  <c r="T897" i="2"/>
  <c r="U897" i="2"/>
  <c r="S898" i="2" l="1"/>
  <c r="U898" i="2"/>
  <c r="T898" i="2"/>
  <c r="S899" i="2" l="1"/>
  <c r="U899" i="2"/>
  <c r="T899" i="2"/>
  <c r="S900" i="2" l="1"/>
  <c r="T900" i="2"/>
  <c r="U900" i="2"/>
  <c r="S901" i="2" l="1"/>
  <c r="U901" i="2"/>
  <c r="T901" i="2"/>
  <c r="S902" i="2" l="1"/>
  <c r="T902" i="2"/>
  <c r="U902" i="2"/>
  <c r="S903" i="2" l="1"/>
  <c r="T903" i="2"/>
  <c r="U903" i="2"/>
  <c r="S904" i="2" l="1"/>
  <c r="T904" i="2"/>
  <c r="U904" i="2"/>
  <c r="S905" i="2" l="1"/>
  <c r="T905" i="2"/>
  <c r="U905" i="2"/>
  <c r="S906" i="2" l="1"/>
  <c r="T906" i="2"/>
  <c r="U906" i="2"/>
  <c r="S907" i="2" l="1"/>
  <c r="T907" i="2"/>
  <c r="U907" i="2"/>
  <c r="S908" i="2" l="1"/>
  <c r="U908" i="2"/>
  <c r="T908" i="2"/>
  <c r="S909" i="2" l="1"/>
  <c r="T909" i="2"/>
  <c r="U909" i="2"/>
  <c r="S910" i="2" l="1"/>
  <c r="U910" i="2"/>
  <c r="T910" i="2"/>
  <c r="S911" i="2" l="1"/>
  <c r="T911" i="2"/>
  <c r="U911" i="2"/>
  <c r="S912" i="2" l="1"/>
  <c r="U912" i="2"/>
  <c r="T912" i="2"/>
  <c r="S913" i="2" l="1"/>
  <c r="T913" i="2"/>
  <c r="U913" i="2"/>
  <c r="S914" i="2" l="1"/>
  <c r="U914" i="2"/>
  <c r="T914" i="2"/>
  <c r="S915" i="2" l="1"/>
  <c r="U915" i="2"/>
  <c r="T915" i="2"/>
  <c r="S916" i="2" l="1"/>
  <c r="U916" i="2"/>
  <c r="T916" i="2"/>
  <c r="S917" i="2" l="1"/>
  <c r="T917" i="2"/>
  <c r="U917" i="2"/>
  <c r="S918" i="2" l="1"/>
  <c r="U918" i="2"/>
  <c r="T918" i="2"/>
  <c r="S919" i="2" l="1"/>
  <c r="T919" i="2"/>
  <c r="U919" i="2"/>
  <c r="S920" i="2" l="1"/>
  <c r="U920" i="2"/>
  <c r="T920" i="2"/>
  <c r="S921" i="2" l="1"/>
  <c r="T921" i="2"/>
  <c r="U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U934" i="2"/>
  <c r="T934" i="2"/>
  <c r="S935" i="2" l="1"/>
  <c r="U935" i="2"/>
  <c r="T935" i="2"/>
  <c r="S936" i="2" l="1"/>
  <c r="U936" i="2"/>
  <c r="T936" i="2"/>
  <c r="S937" i="2" l="1"/>
  <c r="T937" i="2"/>
  <c r="U937" i="2"/>
  <c r="S938" i="2" l="1"/>
  <c r="U938" i="2"/>
  <c r="T938" i="2"/>
  <c r="S939" i="2" l="1"/>
  <c r="U939" i="2"/>
  <c r="T939" i="2"/>
  <c r="S940" i="2" l="1"/>
  <c r="T940" i="2"/>
  <c r="U940" i="2"/>
  <c r="S941" i="2" l="1"/>
  <c r="T941" i="2"/>
  <c r="U941" i="2"/>
  <c r="S942" i="2" l="1"/>
  <c r="T942" i="2"/>
  <c r="U942" i="2"/>
  <c r="S943" i="2" l="1"/>
  <c r="U943" i="2"/>
  <c r="T943" i="2"/>
  <c r="S944" i="2" l="1"/>
  <c r="U944" i="2"/>
  <c r="T944" i="2"/>
  <c r="S945" i="2" l="1"/>
  <c r="T945" i="2"/>
  <c r="U945" i="2"/>
  <c r="S946" i="2" l="1"/>
  <c r="U946" i="2"/>
  <c r="T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T953" i="2"/>
  <c r="U953" i="2"/>
  <c r="S954" i="2" l="1"/>
  <c r="T954" i="2"/>
  <c r="U954" i="2"/>
  <c r="S955" i="2" l="1"/>
  <c r="T955" i="2"/>
  <c r="U955" i="2"/>
  <c r="S956" i="2" l="1"/>
  <c r="U956" i="2"/>
  <c r="T956" i="2"/>
  <c r="S957" i="2" l="1"/>
  <c r="T957" i="2"/>
  <c r="U957" i="2"/>
  <c r="S958" i="2" l="1"/>
  <c r="U958" i="2"/>
  <c r="T958" i="2"/>
  <c r="S959" i="2" l="1"/>
  <c r="U959" i="2"/>
  <c r="T959" i="2"/>
  <c r="S960" i="2" l="1"/>
  <c r="U960" i="2"/>
  <c r="T960" i="2"/>
  <c r="S961" i="2" l="1"/>
  <c r="T961" i="2"/>
  <c r="U961" i="2"/>
  <c r="S962" i="2" l="1"/>
  <c r="T962" i="2"/>
  <c r="U962" i="2"/>
  <c r="S963" i="2" l="1"/>
  <c r="T963" i="2"/>
  <c r="U963" i="2"/>
  <c r="S964" i="2" l="1"/>
  <c r="U964" i="2"/>
  <c r="T964" i="2"/>
  <c r="S965" i="2" l="1"/>
  <c r="U965" i="2"/>
  <c r="T965" i="2"/>
  <c r="S966" i="2" l="1"/>
  <c r="T966" i="2"/>
  <c r="U966" i="2"/>
  <c r="S967" i="2" l="1"/>
  <c r="U967" i="2"/>
  <c r="T967" i="2"/>
  <c r="S968" i="2" l="1"/>
  <c r="T968" i="2"/>
  <c r="U968" i="2"/>
  <c r="S969" i="2" l="1"/>
  <c r="T969" i="2"/>
  <c r="U969" i="2"/>
  <c r="S970" i="2" l="1"/>
  <c r="T970" i="2"/>
  <c r="U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T977" i="2"/>
  <c r="U977" i="2"/>
  <c r="S978" i="2" l="1"/>
  <c r="T978" i="2"/>
  <c r="U978" i="2"/>
  <c r="S979" i="2" l="1"/>
  <c r="U979" i="2"/>
  <c r="T979" i="2"/>
  <c r="S980" i="2" l="1"/>
  <c r="T980" i="2"/>
  <c r="U980" i="2"/>
  <c r="S981" i="2" l="1"/>
  <c r="T981" i="2"/>
  <c r="U981" i="2"/>
  <c r="S982" i="2" l="1"/>
  <c r="U982" i="2"/>
  <c r="T982" i="2"/>
  <c r="S983" i="2" l="1"/>
  <c r="U983" i="2"/>
  <c r="T983" i="2"/>
  <c r="S984" i="2" l="1"/>
  <c r="U984" i="2"/>
  <c r="T984" i="2"/>
  <c r="S985" i="2" l="1"/>
  <c r="T985" i="2"/>
  <c r="U985" i="2"/>
  <c r="S986" i="2" l="1"/>
  <c r="T986" i="2"/>
  <c r="U986" i="2"/>
  <c r="S987" i="2" l="1"/>
  <c r="U987" i="2"/>
  <c r="T987" i="2"/>
  <c r="S988" i="2" l="1"/>
  <c r="U988" i="2"/>
  <c r="T988" i="2"/>
  <c r="S989" i="2" l="1"/>
  <c r="T989" i="2"/>
  <c r="U989" i="2"/>
  <c r="S990" i="2" l="1"/>
  <c r="U990" i="2"/>
  <c r="T990" i="2"/>
  <c r="S991" i="2" l="1"/>
  <c r="U991" i="2"/>
  <c r="T991" i="2"/>
  <c r="S992" i="2" l="1"/>
  <c r="U992" i="2"/>
  <c r="T992" i="2"/>
  <c r="S993" i="2" l="1"/>
  <c r="T993" i="2"/>
  <c r="U993" i="2"/>
  <c r="S994" i="2" l="1"/>
  <c r="T994" i="2"/>
  <c r="U994" i="2"/>
  <c r="S995" i="2" l="1"/>
  <c r="U995" i="2"/>
  <c r="T995" i="2"/>
  <c r="S996" i="2" l="1"/>
  <c r="U996" i="2"/>
  <c r="T996" i="2"/>
  <c r="S997" i="2" l="1"/>
  <c r="T997" i="2"/>
  <c r="U997" i="2"/>
  <c r="S998" i="2" l="1"/>
  <c r="U998" i="2"/>
  <c r="T998" i="2"/>
  <c r="S999" i="2" l="1"/>
  <c r="U999" i="2"/>
  <c r="T999" i="2"/>
  <c r="S1000" i="2" l="1"/>
  <c r="U1000" i="2"/>
  <c r="T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U1005" i="2"/>
  <c r="T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U1011" i="2"/>
  <c r="T1011" i="2"/>
  <c r="S1012" i="2" l="1"/>
  <c r="U1012" i="2"/>
  <c r="T1012" i="2"/>
  <c r="S1013" i="2" l="1"/>
  <c r="T1013" i="2"/>
  <c r="U1013" i="2"/>
  <c r="S1014" i="2" l="1"/>
  <c r="T1014" i="2"/>
  <c r="U1014" i="2"/>
  <c r="S1015" i="2" l="1"/>
  <c r="U1015" i="2"/>
  <c r="T1015" i="2"/>
  <c r="S1016" i="2" l="1"/>
  <c r="U1016" i="2"/>
  <c r="T1016" i="2"/>
  <c r="S1017" i="2" l="1"/>
  <c r="T1017" i="2"/>
  <c r="U1017" i="2"/>
  <c r="S1018" i="2" l="1"/>
  <c r="U1018" i="2"/>
  <c r="T1018" i="2"/>
  <c r="S1019" i="2" l="1"/>
  <c r="U1019" i="2"/>
  <c r="T1019" i="2"/>
  <c r="S1020" i="2" l="1"/>
  <c r="T1020" i="2"/>
  <c r="U1020" i="2"/>
  <c r="S1021" i="2" l="1"/>
  <c r="T1021" i="2"/>
  <c r="U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T1026" i="2"/>
  <c r="U1026" i="2"/>
  <c r="S1027" i="2" l="1"/>
  <c r="U1027" i="2"/>
  <c r="T1027" i="2"/>
  <c r="S1028" i="2" l="1"/>
  <c r="U1028" i="2"/>
  <c r="T1028" i="2"/>
  <c r="S1029" i="2" l="1"/>
  <c r="T1029" i="2"/>
  <c r="U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T1034" i="2"/>
  <c r="U1034" i="2"/>
  <c r="S1035" i="2" l="1"/>
  <c r="T1035" i="2"/>
  <c r="U1035" i="2"/>
  <c r="S1036" i="2" l="1"/>
  <c r="T1036" i="2"/>
  <c r="U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T1043" i="2"/>
  <c r="U1043" i="2"/>
  <c r="S1044" i="2" l="1"/>
  <c r="U1044" i="2"/>
  <c r="T1044" i="2"/>
  <c r="S1045" i="2" l="1"/>
  <c r="T1045" i="2"/>
  <c r="U1045" i="2"/>
  <c r="S1046" i="2" l="1"/>
  <c r="U1046" i="2"/>
  <c r="T1046" i="2"/>
  <c r="S1047" i="2" l="1"/>
  <c r="U1047" i="2"/>
  <c r="T1047" i="2"/>
  <c r="S1048" i="2" l="1"/>
  <c r="U1048" i="2"/>
  <c r="T1048" i="2"/>
  <c r="S1049" i="2" l="1"/>
  <c r="U1049" i="2"/>
  <c r="T1049" i="2"/>
  <c r="S1050" i="2" l="1"/>
  <c r="U1050" i="2"/>
  <c r="T1050" i="2"/>
  <c r="S1051" i="2" l="1"/>
  <c r="U1051" i="2"/>
  <c r="T1051" i="2"/>
  <c r="S1052" i="2" l="1"/>
  <c r="U1052" i="2"/>
  <c r="T1052" i="2"/>
  <c r="S1053" i="2" l="1"/>
  <c r="T1053" i="2"/>
  <c r="U1053" i="2"/>
  <c r="S1054" i="2" l="1"/>
  <c r="U1054" i="2"/>
  <c r="T1054" i="2"/>
  <c r="S1055" i="2" l="1"/>
  <c r="U1055" i="2"/>
  <c r="T1055" i="2"/>
  <c r="S1056" i="2" l="1"/>
  <c r="U1056" i="2"/>
  <c r="T1056" i="2"/>
  <c r="S1057" i="2" l="1"/>
  <c r="U1057" i="2"/>
  <c r="T1057" i="2"/>
  <c r="S1058" i="2" l="1"/>
  <c r="T1058" i="2"/>
  <c r="U1058" i="2"/>
  <c r="S1059" i="2" l="1"/>
  <c r="U1059" i="2"/>
  <c r="T1059" i="2"/>
  <c r="S1060" i="2" l="1"/>
  <c r="U1060" i="2"/>
  <c r="T1060" i="2"/>
  <c r="S1061" i="2" l="1"/>
  <c r="T1061" i="2"/>
  <c r="U1061" i="2"/>
  <c r="S1062" i="2" l="1"/>
  <c r="U1062" i="2"/>
  <c r="T1062" i="2"/>
  <c r="S1063" i="2" l="1"/>
  <c r="U1063" i="2"/>
  <c r="T1063" i="2"/>
  <c r="S1064" i="2" l="1"/>
  <c r="T1064" i="2"/>
  <c r="U1064" i="2"/>
  <c r="S1065" i="2" l="1"/>
  <c r="T1065" i="2"/>
  <c r="U1065" i="2"/>
  <c r="S1066" i="2" l="1"/>
  <c r="T1066" i="2"/>
  <c r="U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U1071" i="2"/>
  <c r="T1071" i="2"/>
  <c r="S1072" i="2" l="1"/>
  <c r="U1072" i="2"/>
  <c r="T1072" i="2"/>
  <c r="S1073" i="2" l="1"/>
  <c r="T1073" i="2"/>
  <c r="U1073" i="2"/>
  <c r="S1074" i="2" l="1"/>
  <c r="T1074" i="2"/>
  <c r="U1074" i="2"/>
  <c r="S1075" i="2" l="1"/>
  <c r="U1075" i="2"/>
  <c r="T1075" i="2"/>
  <c r="S1076" i="2" l="1"/>
  <c r="U1076" i="2"/>
  <c r="T1076" i="2"/>
  <c r="S1077" i="2" l="1"/>
  <c r="T1077" i="2"/>
  <c r="U1077" i="2"/>
  <c r="S1078" i="2" l="1"/>
  <c r="U1078" i="2"/>
  <c r="T1078" i="2"/>
  <c r="S1079" i="2" l="1"/>
  <c r="U1079" i="2"/>
  <c r="T1079" i="2"/>
  <c r="S1080" i="2" l="1"/>
  <c r="T1080" i="2"/>
  <c r="U1080" i="2"/>
  <c r="S1081" i="2" l="1"/>
  <c r="T1081" i="2"/>
  <c r="U1081" i="2"/>
  <c r="S1082" i="2" l="1"/>
  <c r="U1082" i="2"/>
  <c r="T1082" i="2"/>
  <c r="S1083" i="2" l="1"/>
  <c r="T1083" i="2"/>
  <c r="U1083" i="2"/>
  <c r="S1084" i="2" l="1"/>
  <c r="U1084" i="2"/>
  <c r="T1084" i="2"/>
  <c r="S1085" i="2" l="1"/>
  <c r="T1085" i="2"/>
  <c r="U1085" i="2"/>
  <c r="S1086" i="2" l="1"/>
  <c r="U1086" i="2"/>
  <c r="T1086" i="2"/>
  <c r="S1087" i="2" l="1"/>
  <c r="U1087" i="2"/>
  <c r="T1087" i="2"/>
  <c r="S1088" i="2" l="1"/>
  <c r="U1088" i="2"/>
  <c r="T1088" i="2"/>
  <c r="S1089" i="2" l="1"/>
  <c r="U1089" i="2"/>
  <c r="T1089" i="2"/>
  <c r="S1090" i="2" l="1"/>
  <c r="U1090" i="2"/>
  <c r="T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T1098" i="2"/>
  <c r="U1098" i="2"/>
  <c r="S1099" i="2" l="1"/>
  <c r="U1099" i="2"/>
  <c r="T1099" i="2"/>
  <c r="S1100" i="2" l="1"/>
  <c r="U1100" i="2"/>
  <c r="T1100" i="2"/>
  <c r="S1101" i="2" l="1"/>
  <c r="T1101" i="2"/>
  <c r="U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T1109" i="2"/>
  <c r="U1109" i="2"/>
  <c r="S1110" i="2" l="1"/>
  <c r="U1110" i="2"/>
  <c r="T1110" i="2"/>
  <c r="S1111" i="2" l="1"/>
  <c r="U1111" i="2"/>
  <c r="T1111" i="2"/>
  <c r="S1112" i="2" l="1"/>
  <c r="U1112" i="2"/>
  <c r="T1112" i="2"/>
  <c r="S1113" i="2" l="1"/>
  <c r="T1113" i="2"/>
  <c r="U1113" i="2"/>
  <c r="S1114" i="2" l="1"/>
  <c r="T1114" i="2"/>
  <c r="U1114" i="2"/>
  <c r="S1115" i="2" l="1"/>
  <c r="U1115" i="2"/>
  <c r="T1115" i="2"/>
  <c r="S1116" i="2" l="1"/>
  <c r="T1116" i="2"/>
  <c r="U1116" i="2"/>
  <c r="S1117" i="2" l="1"/>
  <c r="T1117" i="2"/>
  <c r="U1117" i="2"/>
  <c r="S1118" i="2" l="1"/>
  <c r="U1118" i="2"/>
  <c r="T1118" i="2"/>
  <c r="S1119" i="2" l="1"/>
  <c r="U1119" i="2"/>
  <c r="T1119" i="2"/>
  <c r="S1120" i="2" l="1"/>
  <c r="U1120" i="2"/>
  <c r="T1120" i="2"/>
  <c r="S1121" i="2" l="1"/>
  <c r="T1121" i="2"/>
  <c r="U1121" i="2"/>
  <c r="S1122" i="2" l="1"/>
  <c r="T1122" i="2"/>
  <c r="U1122" i="2"/>
  <c r="S1123" i="2" l="1"/>
  <c r="U1123" i="2"/>
  <c r="T1123" i="2"/>
  <c r="S1124" i="2" l="1"/>
  <c r="U1124" i="2"/>
  <c r="T1124" i="2"/>
  <c r="S1125" i="2" l="1"/>
  <c r="T1125" i="2"/>
  <c r="U1125" i="2"/>
  <c r="S1126" i="2" l="1"/>
  <c r="U1126" i="2"/>
  <c r="T1126" i="2"/>
  <c r="S1127" i="2" l="1"/>
  <c r="U1127" i="2"/>
  <c r="T1127" i="2"/>
  <c r="S1128" i="2" l="1"/>
  <c r="U1128" i="2"/>
  <c r="T1128" i="2"/>
  <c r="S1129" i="2" l="1"/>
  <c r="T1129" i="2"/>
  <c r="U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T1134" i="2"/>
  <c r="U1134" i="2"/>
  <c r="S1135" i="2" l="1"/>
  <c r="U1135" i="2"/>
  <c r="T1135" i="2"/>
  <c r="S1136" i="2" l="1"/>
  <c r="U1136" i="2"/>
  <c r="T1136" i="2"/>
  <c r="S1137" i="2" l="1"/>
  <c r="T1137" i="2"/>
  <c r="U1137" i="2"/>
  <c r="S1138" i="2" l="1"/>
  <c r="T1138" i="2"/>
  <c r="U1138" i="2"/>
  <c r="S1139" i="2" l="1"/>
  <c r="U1139" i="2"/>
  <c r="T1139" i="2"/>
  <c r="S1140" i="2" l="1"/>
  <c r="U1140" i="2"/>
  <c r="T1140" i="2"/>
  <c r="S1141" i="2" l="1"/>
  <c r="T1141" i="2"/>
  <c r="U1141" i="2"/>
  <c r="S1142" i="2" l="1"/>
  <c r="U1142" i="2"/>
  <c r="T1142" i="2"/>
  <c r="S1143" i="2" l="1"/>
  <c r="U1143" i="2"/>
  <c r="T1143" i="2"/>
  <c r="S1144" i="2" l="1"/>
  <c r="U1144" i="2"/>
  <c r="T1144" i="2"/>
  <c r="S1145" i="2" l="1"/>
  <c r="U1145" i="2"/>
  <c r="T1145" i="2"/>
  <c r="S1146" i="2" l="1"/>
  <c r="U1146" i="2"/>
  <c r="T1146" i="2"/>
  <c r="S1147" i="2" l="1"/>
  <c r="U1147" i="2"/>
  <c r="T1147" i="2"/>
  <c r="S1148" i="2" l="1"/>
  <c r="U1148" i="2"/>
  <c r="T1148" i="2"/>
  <c r="S1149" i="2" l="1"/>
  <c r="T1149" i="2"/>
  <c r="U1149" i="2"/>
  <c r="S1150" i="2" l="1"/>
  <c r="U1150" i="2"/>
  <c r="T1150" i="2"/>
  <c r="S1151" i="2" l="1"/>
  <c r="U1151" i="2"/>
  <c r="T1151" i="2"/>
  <c r="S1152" i="2" l="1"/>
  <c r="U1152" i="2"/>
  <c r="T1152" i="2"/>
  <c r="S1153" i="2" l="1"/>
  <c r="T1153" i="2"/>
  <c r="U1153" i="2"/>
  <c r="S1154" i="2" l="1"/>
  <c r="T1154" i="2"/>
  <c r="U1154" i="2"/>
  <c r="S1155" i="2" l="1"/>
  <c r="U1155" i="2"/>
  <c r="T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U1160" i="2"/>
  <c r="T1160" i="2"/>
  <c r="S1161" i="2" l="1"/>
  <c r="T1161" i="2"/>
  <c r="U1161" i="2"/>
  <c r="S1162" i="2" l="1"/>
  <c r="T1162" i="2"/>
  <c r="U1162" i="2"/>
  <c r="S1163" i="2" l="1"/>
  <c r="T1163" i="2"/>
  <c r="U1163" i="2"/>
  <c r="S1164" i="2" l="1"/>
  <c r="U1164" i="2"/>
  <c r="T1164" i="2"/>
  <c r="S1165" i="2" l="1"/>
  <c r="T1165" i="2"/>
  <c r="U1165" i="2"/>
  <c r="S1166" i="2" l="1"/>
  <c r="U1166" i="2"/>
  <c r="T1166" i="2"/>
  <c r="S1167" i="2" l="1"/>
  <c r="U1167" i="2"/>
  <c r="T1167" i="2"/>
  <c r="S1168" i="2" l="1"/>
  <c r="U1168" i="2"/>
  <c r="T1168" i="2"/>
  <c r="S1169" i="2" l="1"/>
  <c r="U1169" i="2"/>
  <c r="T1169" i="2"/>
  <c r="S1170" i="2" l="1"/>
  <c r="T1170" i="2"/>
  <c r="U1170" i="2"/>
  <c r="S1171" i="2" l="1"/>
  <c r="T1171" i="2"/>
  <c r="U1171" i="2"/>
  <c r="S1172" i="2" l="1"/>
  <c r="U1172" i="2"/>
  <c r="T1172" i="2"/>
  <c r="S1173" i="2" l="1"/>
  <c r="T1173" i="2"/>
  <c r="U1173" i="2"/>
  <c r="S1174" i="2" l="1"/>
  <c r="T1174" i="2"/>
  <c r="U1174" i="2"/>
  <c r="S1175" i="2" l="1"/>
  <c r="U1175" i="2"/>
  <c r="T1175" i="2"/>
  <c r="S1176" i="2" l="1"/>
  <c r="U1176" i="2"/>
  <c r="T1176" i="2"/>
  <c r="S1177" i="2" l="1"/>
  <c r="T1177" i="2"/>
  <c r="U1177" i="2"/>
  <c r="S1178" i="2" l="1"/>
  <c r="T1178" i="2"/>
  <c r="U1178" i="2"/>
  <c r="S1179" i="2" l="1"/>
  <c r="U1179" i="2"/>
  <c r="T1179" i="2"/>
  <c r="S1180" i="2" l="1"/>
  <c r="U1180" i="2"/>
  <c r="T1180" i="2"/>
  <c r="S1181" i="2" l="1"/>
  <c r="T1181" i="2"/>
  <c r="U1181" i="2"/>
  <c r="S1182" i="2" l="1"/>
  <c r="T1182" i="2"/>
  <c r="U1182" i="2"/>
  <c r="S1183" i="2" l="1"/>
  <c r="U1183" i="2"/>
  <c r="T1183" i="2"/>
  <c r="S1184" i="2" l="1"/>
  <c r="U1184" i="2"/>
  <c r="T1184" i="2"/>
  <c r="S1185" i="2" l="1"/>
  <c r="T1185" i="2"/>
  <c r="U1185" i="2"/>
  <c r="S1186" i="2" l="1"/>
  <c r="T1186" i="2"/>
  <c r="U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U1191" i="2"/>
  <c r="T1191" i="2"/>
  <c r="S1192" i="2" l="1"/>
  <c r="U1192" i="2"/>
  <c r="T1192" i="2"/>
  <c r="S1193" i="2" l="1"/>
  <c r="T1193" i="2"/>
  <c r="U1193" i="2"/>
  <c r="S1194" i="2" l="1"/>
  <c r="T1194" i="2"/>
  <c r="U1194" i="2"/>
  <c r="S1195" i="2" l="1"/>
  <c r="U1195" i="2"/>
  <c r="T1195" i="2"/>
  <c r="S1196" i="2" l="1"/>
  <c r="T1196" i="2"/>
  <c r="U1196" i="2"/>
  <c r="S1197" i="2" l="1"/>
  <c r="U1197" i="2"/>
  <c r="T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T1202" i="2"/>
  <c r="U1202" i="2"/>
  <c r="S1203" i="2" l="1"/>
  <c r="U1203" i="2"/>
  <c r="T1203" i="2"/>
  <c r="S1204" i="2" l="1"/>
  <c r="U1204" i="2"/>
  <c r="T1204" i="2"/>
  <c r="S1205" i="2" l="1"/>
  <c r="T1205" i="2"/>
  <c r="U1205" i="2"/>
  <c r="S1206" i="2" l="1"/>
  <c r="U1206" i="2"/>
  <c r="T1206" i="2"/>
  <c r="S1207" i="2" l="1"/>
  <c r="U1207" i="2"/>
  <c r="T1207" i="2"/>
  <c r="S1208" i="2" l="1"/>
  <c r="U1208" i="2"/>
  <c r="T1208" i="2"/>
  <c r="S1209" i="2" l="1"/>
  <c r="T1209" i="2"/>
  <c r="U1209" i="2"/>
  <c r="S1210" i="2" l="1"/>
  <c r="U1210" i="2"/>
  <c r="T1210" i="2"/>
  <c r="S1211" i="2" l="1"/>
  <c r="T1211" i="2"/>
  <c r="U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T1218" i="2"/>
  <c r="U1218" i="2"/>
  <c r="S1219" i="2" l="1"/>
  <c r="U1219" i="2"/>
  <c r="T1219" i="2"/>
  <c r="S1220" i="2" l="1"/>
  <c r="T1220" i="2"/>
  <c r="U1220" i="2"/>
  <c r="S1221" i="2" l="1"/>
  <c r="T1221" i="2"/>
  <c r="U1221" i="2"/>
  <c r="S1222" i="2" l="1"/>
  <c r="U1222" i="2"/>
  <c r="T1222" i="2"/>
  <c r="S1223" i="2" l="1"/>
  <c r="U1223" i="2"/>
  <c r="T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U1229" i="2"/>
  <c r="T1229" i="2"/>
  <c r="S1230" i="2" l="1"/>
  <c r="U1230" i="2"/>
  <c r="T1230" i="2"/>
  <c r="S1231" i="2" l="1"/>
  <c r="U1231" i="2"/>
  <c r="T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U1236" i="2"/>
  <c r="T1236" i="2"/>
  <c r="S1237" i="2" l="1"/>
  <c r="T1237" i="2"/>
  <c r="U1237" i="2"/>
  <c r="S1238" i="2" l="1"/>
  <c r="U1238" i="2"/>
  <c r="T1238" i="2"/>
  <c r="S1239" i="2" l="1"/>
  <c r="U1239" i="2"/>
  <c r="T1239" i="2"/>
  <c r="S1240" i="2" l="1"/>
  <c r="U1240" i="2"/>
  <c r="T1240" i="2"/>
  <c r="S1241" i="2" l="1"/>
  <c r="T1241" i="2"/>
  <c r="U1241" i="2"/>
  <c r="S1242" i="2" l="1"/>
  <c r="T1242" i="2"/>
  <c r="U1242" i="2"/>
  <c r="S1243" i="2" l="1"/>
  <c r="U1243" i="2"/>
  <c r="T1243" i="2"/>
  <c r="S1244" i="2" l="1"/>
  <c r="U1244" i="2"/>
  <c r="T1244" i="2"/>
  <c r="S1245" i="2" l="1"/>
  <c r="T1245" i="2"/>
  <c r="U1245" i="2"/>
  <c r="S1246" i="2" l="1"/>
  <c r="T1246" i="2"/>
  <c r="U1246" i="2"/>
  <c r="S1247" i="2" l="1"/>
  <c r="U1247" i="2"/>
  <c r="T1247" i="2"/>
  <c r="S1248" i="2" l="1"/>
  <c r="T1248" i="2"/>
  <c r="U1248" i="2"/>
  <c r="S1249" i="2" l="1"/>
  <c r="U1249" i="2"/>
  <c r="T1249" i="2"/>
  <c r="S1250" i="2" l="1"/>
  <c r="T1250" i="2"/>
  <c r="U1250" i="2"/>
  <c r="S1251" i="2" l="1"/>
  <c r="U1251" i="2"/>
  <c r="T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U1259" i="2"/>
  <c r="T1259" i="2"/>
  <c r="S1260" i="2" l="1"/>
  <c r="U1260" i="2"/>
  <c r="T1260" i="2"/>
  <c r="S1261" i="2" l="1"/>
  <c r="T1261" i="2"/>
  <c r="U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T1268" i="2"/>
  <c r="U1268" i="2"/>
  <c r="S1269" i="2" l="1"/>
  <c r="T1269" i="2"/>
  <c r="U1269" i="2"/>
  <c r="S1270" i="2" l="1"/>
  <c r="U1270" i="2"/>
  <c r="T1270" i="2"/>
  <c r="S1271" i="2" l="1"/>
  <c r="T1271" i="2"/>
  <c r="U1271" i="2"/>
  <c r="S1272" i="2" l="1"/>
  <c r="T1272" i="2"/>
  <c r="U1272" i="2"/>
  <c r="S1273" i="2" l="1"/>
  <c r="T1273" i="2"/>
  <c r="U1273" i="2"/>
  <c r="S1274" i="2" l="1"/>
  <c r="T1274" i="2"/>
  <c r="U1274" i="2"/>
  <c r="S1275" i="2" l="1"/>
  <c r="T1275" i="2"/>
  <c r="U1275" i="2"/>
  <c r="S1276" i="2" l="1"/>
  <c r="T1276" i="2"/>
  <c r="U1276" i="2"/>
  <c r="S1277" i="2" l="1"/>
  <c r="T1277" i="2"/>
  <c r="U1277" i="2"/>
  <c r="S1278" i="2" l="1"/>
  <c r="U1278" i="2"/>
  <c r="T1278" i="2"/>
  <c r="S1279" i="2" l="1"/>
  <c r="U1279" i="2"/>
  <c r="T1279" i="2"/>
  <c r="S1280" i="2" l="1"/>
  <c r="U1280" i="2"/>
  <c r="T1280" i="2"/>
  <c r="S1281" i="2" l="1"/>
  <c r="U1281" i="2"/>
  <c r="T1281" i="2"/>
  <c r="S1282" i="2" l="1"/>
  <c r="T1282" i="2"/>
  <c r="U1282" i="2"/>
  <c r="S1283" i="2" l="1"/>
  <c r="U1283" i="2"/>
  <c r="T1283" i="2"/>
  <c r="S1284" i="2" l="1"/>
  <c r="U1284" i="2"/>
  <c r="T1284" i="2"/>
  <c r="S1285" i="2" l="1"/>
  <c r="T1285" i="2"/>
  <c r="U1285" i="2"/>
  <c r="S1286" i="2" l="1"/>
  <c r="U1286" i="2"/>
  <c r="T1286" i="2"/>
  <c r="S1287" i="2" l="1"/>
  <c r="U1287" i="2"/>
  <c r="T1287" i="2"/>
  <c r="S1288" i="2" l="1"/>
  <c r="T1288" i="2"/>
  <c r="U1288" i="2"/>
  <c r="S1289" i="2" l="1"/>
  <c r="T1289" i="2"/>
  <c r="U1289" i="2"/>
  <c r="S1290" i="2" l="1"/>
  <c r="T1290" i="2"/>
  <c r="U1290" i="2"/>
  <c r="S1291" i="2" l="1"/>
  <c r="T1291" i="2"/>
  <c r="U1291" i="2"/>
  <c r="S1292" i="2" l="1"/>
  <c r="U1292" i="2"/>
  <c r="T1292" i="2"/>
  <c r="S1293" i="2" l="1"/>
  <c r="T1293" i="2"/>
  <c r="U1293" i="2"/>
  <c r="S1294" i="2" l="1"/>
  <c r="U1294" i="2"/>
  <c r="T1294" i="2"/>
  <c r="S1295" i="2" l="1"/>
  <c r="T1295" i="2"/>
  <c r="U1295" i="2"/>
  <c r="S1296" i="2" l="1"/>
  <c r="U1296" i="2"/>
  <c r="T1296" i="2"/>
  <c r="S1297" i="2" l="1"/>
  <c r="T1297" i="2"/>
  <c r="U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U1304" i="2"/>
  <c r="T1304" i="2"/>
  <c r="S1305" i="2" l="1"/>
  <c r="T1305" i="2"/>
  <c r="U1305" i="2"/>
  <c r="S1306" i="2" l="1"/>
  <c r="T1306" i="2"/>
  <c r="U1306" i="2"/>
  <c r="S1307" i="2" l="1"/>
  <c r="U1307" i="2"/>
  <c r="T1307" i="2"/>
  <c r="S1308" i="2" l="1"/>
  <c r="U1308" i="2"/>
  <c r="T1308" i="2"/>
  <c r="S1309" i="2" l="1"/>
  <c r="T1309" i="2"/>
  <c r="U1309" i="2"/>
  <c r="S1310" i="2" l="1"/>
  <c r="U1310" i="2"/>
  <c r="T1310" i="2"/>
  <c r="S1311" i="2" l="1"/>
  <c r="U1311" i="2"/>
  <c r="T1311" i="2"/>
  <c r="S1312" i="2" l="1"/>
  <c r="U1312" i="2"/>
  <c r="T1312" i="2"/>
  <c r="S1313" i="2" l="1"/>
  <c r="T1313" i="2"/>
  <c r="U1313" i="2"/>
  <c r="S1314" i="2" l="1"/>
  <c r="T1314" i="2"/>
  <c r="U1314" i="2"/>
  <c r="S1315" i="2" l="1"/>
  <c r="U1315" i="2"/>
  <c r="T1315" i="2"/>
  <c r="S1316" i="2" l="1"/>
  <c r="U1316" i="2"/>
  <c r="T1316" i="2"/>
  <c r="S1317" i="2" l="1"/>
  <c r="T1317" i="2"/>
  <c r="U1317" i="2"/>
  <c r="S1318" i="2" l="1"/>
  <c r="U1318" i="2"/>
  <c r="T1318" i="2"/>
  <c r="S1319" i="2" l="1"/>
  <c r="U1319" i="2"/>
  <c r="T1319" i="2"/>
  <c r="S1320" i="2" l="1"/>
  <c r="U1320" i="2"/>
  <c r="T1320" i="2"/>
  <c r="S1321" i="2" l="1"/>
  <c r="T1321" i="2"/>
  <c r="U1321" i="2"/>
  <c r="S1322" i="2" l="1"/>
  <c r="T1322" i="2"/>
  <c r="U1322" i="2"/>
  <c r="S1323" i="2" l="1"/>
  <c r="U1323" i="2"/>
  <c r="T1323" i="2"/>
  <c r="S1324" i="2" l="1"/>
  <c r="U1324" i="2"/>
  <c r="T1324" i="2"/>
  <c r="S1325" i="2" l="1"/>
  <c r="T1325" i="2"/>
  <c r="U1325" i="2"/>
  <c r="S1326" i="2" l="1"/>
  <c r="T1326" i="2"/>
  <c r="U1326" i="2"/>
  <c r="S1327" i="2" l="1"/>
  <c r="T1327" i="2"/>
  <c r="U1327" i="2"/>
  <c r="S1328" i="2" l="1"/>
  <c r="T1328" i="2"/>
  <c r="U1328" i="2"/>
  <c r="S1329" i="2" l="1"/>
  <c r="T1329" i="2"/>
  <c r="U1329" i="2"/>
  <c r="S1330" i="2" l="1"/>
  <c r="T1330" i="2"/>
  <c r="U1330" i="2"/>
  <c r="S1331" i="2" l="1"/>
  <c r="U1331" i="2"/>
  <c r="T1331" i="2"/>
  <c r="S1332" i="2" l="1"/>
  <c r="T1332" i="2"/>
  <c r="U1332" i="2"/>
  <c r="S1333" i="2" l="1"/>
  <c r="T1333" i="2"/>
  <c r="U1333" i="2"/>
  <c r="S1334" i="2" l="1"/>
  <c r="U1334" i="2"/>
  <c r="T1334" i="2"/>
  <c r="S1335" i="2" l="1"/>
  <c r="U1335" i="2"/>
  <c r="T1335" i="2"/>
  <c r="S1336" i="2" l="1"/>
  <c r="T1336" i="2"/>
  <c r="U1336" i="2"/>
  <c r="S1337" i="2" l="1"/>
  <c r="T1337" i="2"/>
  <c r="U1337" i="2"/>
  <c r="S1338" i="2" l="1"/>
  <c r="T1338" i="2"/>
  <c r="U1338" i="2"/>
  <c r="S1339" i="2" l="1"/>
  <c r="U1339" i="2"/>
  <c r="T1339" i="2"/>
  <c r="S1340" i="2" l="1"/>
  <c r="U1340" i="2"/>
  <c r="T1340" i="2"/>
  <c r="S1341" i="2" l="1"/>
  <c r="T1341" i="2"/>
  <c r="U1341" i="2"/>
  <c r="S1342" i="2" l="1"/>
  <c r="U1342" i="2"/>
  <c r="T1342" i="2"/>
  <c r="S1343" i="2" l="1"/>
  <c r="T1343" i="2"/>
  <c r="U1343" i="2"/>
  <c r="S1344" i="2" l="1"/>
  <c r="U1344" i="2"/>
  <c r="T1344" i="2"/>
  <c r="S1345" i="2" l="1"/>
  <c r="T1345" i="2"/>
  <c r="U1345" i="2"/>
  <c r="S1346" i="2" l="1"/>
  <c r="T1346" i="2"/>
  <c r="U1346" i="2"/>
  <c r="S1347" i="2" l="1"/>
  <c r="U1347" i="2"/>
  <c r="T1347" i="2"/>
  <c r="S1348" i="2" l="1"/>
  <c r="U1348" i="2"/>
  <c r="T1348" i="2"/>
  <c r="S1349" i="2" l="1"/>
  <c r="T1349" i="2"/>
  <c r="U1349" i="2"/>
  <c r="S1350" i="2" l="1"/>
  <c r="U1350" i="2"/>
  <c r="T1350" i="2"/>
  <c r="S1351" i="2" l="1"/>
  <c r="T1351" i="2"/>
  <c r="U1351" i="2"/>
  <c r="S1352" i="2" l="1"/>
  <c r="U1352" i="2"/>
  <c r="T1352" i="2"/>
  <c r="S1353" i="2" l="1"/>
  <c r="T1353" i="2"/>
  <c r="U1353" i="2"/>
  <c r="S1354" i="2" l="1"/>
  <c r="T1354" i="2"/>
  <c r="U1354" i="2"/>
  <c r="S1355" i="2" l="1"/>
  <c r="U1355" i="2"/>
  <c r="T1355" i="2"/>
  <c r="S1356" i="2" l="1"/>
  <c r="U1356" i="2"/>
  <c r="T1356" i="2"/>
  <c r="S1357" i="2" l="1"/>
  <c r="T1357" i="2"/>
  <c r="U1357" i="2"/>
  <c r="S1358" i="2" l="1"/>
  <c r="U1358" i="2"/>
  <c r="T1358" i="2"/>
  <c r="S1359" i="2" l="1"/>
  <c r="U1359" i="2"/>
  <c r="T1359" i="2"/>
  <c r="S1360" i="2" l="1"/>
  <c r="U1360" i="2"/>
  <c r="T1360" i="2"/>
  <c r="S1361" i="2" l="1"/>
  <c r="T1361" i="2"/>
  <c r="U1361" i="2"/>
  <c r="S1362" i="2" l="1"/>
  <c r="T1362" i="2"/>
  <c r="U1362" i="2"/>
  <c r="S1363" i="2" l="1"/>
  <c r="U1363" i="2"/>
  <c r="T1363" i="2"/>
  <c r="S1364" i="2" l="1"/>
  <c r="U1364" i="2"/>
  <c r="T1364" i="2"/>
  <c r="S1365" i="2" l="1"/>
  <c r="T1365" i="2"/>
  <c r="U1365" i="2"/>
  <c r="S1366" i="2" l="1"/>
  <c r="T1366" i="2"/>
  <c r="U1366" i="2"/>
  <c r="S1367" i="2" l="1"/>
  <c r="T1367" i="2"/>
  <c r="U1367" i="2"/>
  <c r="S1368" i="2" l="1"/>
  <c r="U1368" i="2"/>
  <c r="T1368" i="2"/>
  <c r="S1369" i="2" l="1"/>
  <c r="T1369" i="2"/>
  <c r="U1369" i="2"/>
  <c r="S1370" i="2" l="1"/>
  <c r="T1370" i="2"/>
  <c r="U1370" i="2"/>
  <c r="S1371" i="2" l="1"/>
  <c r="U1371" i="2"/>
  <c r="T1371" i="2"/>
  <c r="S1372" i="2" l="1"/>
  <c r="U1372" i="2"/>
  <c r="T1372" i="2"/>
  <c r="S1373" i="2" l="1"/>
  <c r="T1373" i="2"/>
  <c r="U1373" i="2"/>
  <c r="S1374" i="2" l="1"/>
  <c r="U1374" i="2"/>
  <c r="T1374" i="2"/>
  <c r="S1375" i="2" l="1"/>
  <c r="U1375" i="2"/>
  <c r="T1375" i="2"/>
  <c r="S1376" i="2" l="1"/>
  <c r="U1376" i="2"/>
  <c r="T1376" i="2"/>
  <c r="S1377" i="2" l="1"/>
  <c r="U1377" i="2"/>
  <c r="T1377" i="2"/>
  <c r="S1378" i="2" l="1"/>
  <c r="T1378" i="2"/>
  <c r="U1378" i="2"/>
  <c r="S1379" i="2" l="1"/>
  <c r="U1379" i="2"/>
  <c r="T1379" i="2"/>
  <c r="S1380" i="2" l="1"/>
  <c r="U1380" i="2"/>
  <c r="T1380" i="2"/>
  <c r="S1381" i="2" l="1"/>
  <c r="U1381" i="2"/>
  <c r="T1381" i="2"/>
  <c r="S1382" i="2" l="1"/>
  <c r="U1382" i="2"/>
  <c r="T1382" i="2"/>
  <c r="S1383" i="2" l="1"/>
  <c r="U1383" i="2"/>
  <c r="T1383" i="2"/>
  <c r="S1384" i="2" l="1"/>
  <c r="U1384" i="2"/>
  <c r="T1384" i="2"/>
  <c r="S1385" i="2" l="1"/>
  <c r="T1385" i="2"/>
  <c r="U1385" i="2"/>
  <c r="S1386" i="2" l="1"/>
  <c r="T1386" i="2"/>
  <c r="U1386" i="2"/>
  <c r="S1387" i="2" l="1"/>
  <c r="U1387" i="2"/>
  <c r="T1387" i="2"/>
  <c r="S1388" i="2" l="1"/>
  <c r="U1388" i="2"/>
  <c r="T1388" i="2"/>
  <c r="S1389" i="2" l="1"/>
  <c r="T1389" i="2"/>
  <c r="U1389" i="2"/>
  <c r="S1390" i="2" l="1"/>
  <c r="T1390" i="2"/>
  <c r="U1390" i="2"/>
  <c r="S1391" i="2" l="1"/>
  <c r="U1391" i="2"/>
  <c r="T1391" i="2"/>
  <c r="S1392" i="2" l="1"/>
  <c r="U1392" i="2"/>
  <c r="T1392" i="2"/>
  <c r="S1393" i="2" l="1"/>
  <c r="T1393" i="2"/>
  <c r="U1393" i="2"/>
  <c r="S1394" i="2" l="1"/>
  <c r="U1394" i="2"/>
  <c r="T1394" i="2"/>
  <c r="S1395" i="2" l="1"/>
  <c r="U1395" i="2"/>
  <c r="T1395" i="2"/>
  <c r="S1396" i="2" l="1"/>
  <c r="U1396" i="2"/>
  <c r="T1396" i="2"/>
  <c r="S1397" i="2" l="1"/>
  <c r="T1397" i="2"/>
  <c r="U1397" i="2"/>
  <c r="S1398" i="2" l="1"/>
  <c r="U1398" i="2"/>
  <c r="T1398" i="2"/>
  <c r="S1399" i="2" l="1"/>
  <c r="U1399" i="2"/>
  <c r="T1399" i="2"/>
  <c r="S1400" i="2" l="1"/>
  <c r="U1400" i="2"/>
  <c r="T1400" i="2"/>
  <c r="S1401" i="2" l="1"/>
  <c r="T1401" i="2"/>
  <c r="U1401" i="2"/>
  <c r="S1402" i="2" l="1"/>
  <c r="T1402" i="2"/>
  <c r="U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T1409" i="2"/>
  <c r="U1409" i="2"/>
  <c r="S1410" i="2" l="1"/>
  <c r="T1410" i="2"/>
  <c r="U1410" i="2"/>
  <c r="S1411" i="2" l="1"/>
  <c r="U1411" i="2"/>
  <c r="T1411" i="2"/>
  <c r="S1412" i="2" l="1"/>
  <c r="U1412" i="2"/>
  <c r="T1412" i="2"/>
  <c r="S1413" i="2" l="1"/>
  <c r="T1413" i="2"/>
  <c r="U1413" i="2"/>
  <c r="S1414" i="2" l="1"/>
  <c r="T1414" i="2"/>
  <c r="U1414" i="2"/>
  <c r="S1415" i="2" l="1"/>
  <c r="U1415" i="2"/>
  <c r="T1415" i="2"/>
  <c r="S1416" i="2" l="1"/>
  <c r="U1416" i="2"/>
  <c r="T1416" i="2"/>
  <c r="S1417" i="2" l="1"/>
  <c r="T1417" i="2"/>
  <c r="U1417" i="2"/>
  <c r="S1418" i="2" l="1"/>
  <c r="T1418" i="2"/>
  <c r="U1418" i="2"/>
  <c r="S1419" i="2" l="1"/>
  <c r="T1419" i="2"/>
  <c r="U1419" i="2"/>
  <c r="S1420" i="2" l="1"/>
  <c r="U1420" i="2"/>
  <c r="T1420" i="2"/>
  <c r="S1421" i="2" l="1"/>
  <c r="T1421" i="2"/>
  <c r="U1421" i="2"/>
  <c r="S1422" i="2" l="1"/>
  <c r="U1422" i="2"/>
  <c r="T1422" i="2"/>
  <c r="S1423" i="2" l="1"/>
  <c r="U1423" i="2"/>
  <c r="T1423" i="2"/>
  <c r="S1424" i="2" l="1"/>
  <c r="U1424" i="2"/>
  <c r="T1424" i="2"/>
  <c r="S1425" i="2" l="1"/>
  <c r="T1425" i="2"/>
  <c r="U1425" i="2"/>
  <c r="S1426" i="2" l="1"/>
  <c r="U1426" i="2"/>
  <c r="T1426" i="2"/>
  <c r="S1427" i="2" l="1"/>
  <c r="U1427" i="2"/>
  <c r="T1427" i="2"/>
  <c r="S1428" i="2" l="1"/>
  <c r="U1428" i="2"/>
  <c r="T1428" i="2"/>
  <c r="S1429" i="2" l="1"/>
  <c r="T1429" i="2"/>
  <c r="U1429" i="2"/>
  <c r="S1430" i="2" l="1"/>
  <c r="U1430" i="2"/>
  <c r="T1430" i="2"/>
  <c r="S1431" i="2" l="1"/>
  <c r="U1431" i="2"/>
  <c r="T1431" i="2"/>
  <c r="S1432" i="2" l="1"/>
  <c r="U1432" i="2"/>
  <c r="T1432" i="2"/>
  <c r="S1433" i="2" l="1"/>
  <c r="T1433" i="2"/>
  <c r="U1433" i="2"/>
  <c r="S1434" i="2" l="1"/>
  <c r="T1434" i="2"/>
  <c r="U1434" i="2"/>
  <c r="S1435" i="2" l="1"/>
  <c r="U1435" i="2"/>
  <c r="T1435" i="2"/>
  <c r="S1436" i="2" l="1"/>
  <c r="U1436" i="2"/>
  <c r="T1436" i="2"/>
  <c r="S1437" i="2" l="1"/>
  <c r="T1437" i="2"/>
  <c r="U1437" i="2"/>
  <c r="S1438" i="2" l="1"/>
  <c r="U1438" i="2"/>
  <c r="T1438" i="2"/>
  <c r="S1439" i="2" l="1"/>
  <c r="U1439" i="2"/>
  <c r="T1439" i="2"/>
  <c r="S1440" i="2" l="1"/>
  <c r="U1440" i="2"/>
  <c r="T1440" i="2"/>
  <c r="S1441" i="2" l="1"/>
  <c r="T1441" i="2"/>
  <c r="U1441" i="2"/>
  <c r="S1442" i="2" l="1"/>
  <c r="T1442" i="2"/>
  <c r="U1442" i="2"/>
  <c r="S1443" i="2" l="1"/>
  <c r="U1443" i="2"/>
  <c r="T1443" i="2"/>
  <c r="S1444" i="2" l="1"/>
  <c r="U1444" i="2"/>
  <c r="T1444" i="2"/>
  <c r="S1445" i="2" l="1"/>
  <c r="T1445" i="2"/>
  <c r="U1445" i="2"/>
  <c r="S1446" i="2" l="1"/>
  <c r="U1446" i="2"/>
  <c r="T1446" i="2"/>
  <c r="S1447" i="2" l="1"/>
  <c r="U1447" i="2"/>
  <c r="T1447" i="2"/>
  <c r="S1448" i="2" l="1"/>
  <c r="U1448" i="2"/>
  <c r="T1448" i="2"/>
  <c r="S1449" i="2" l="1"/>
  <c r="T1449" i="2"/>
  <c r="U1449" i="2"/>
  <c r="S1450" i="2" l="1"/>
  <c r="T1450" i="2"/>
  <c r="U1450" i="2"/>
  <c r="S1451" i="2" l="1"/>
  <c r="U1451" i="2"/>
  <c r="T1451" i="2"/>
  <c r="S1452" i="2" l="1"/>
  <c r="U1452" i="2"/>
  <c r="T1452" i="2"/>
  <c r="S1453" i="2" l="1"/>
  <c r="T1453" i="2"/>
  <c r="U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U1460" i="2"/>
  <c r="T1460" i="2"/>
  <c r="S1461" i="2" l="1"/>
  <c r="T1461" i="2"/>
  <c r="U1461" i="2"/>
  <c r="S1462" i="2" l="1"/>
  <c r="U1462" i="2"/>
  <c r="T1462" i="2"/>
  <c r="S1463" i="2" l="1"/>
  <c r="U1463" i="2"/>
  <c r="T1463" i="2"/>
  <c r="S1464" i="2" l="1"/>
  <c r="T1464" i="2"/>
  <c r="U1464" i="2"/>
  <c r="S1465" i="2" l="1"/>
  <c r="T1465" i="2"/>
  <c r="U1465" i="2"/>
  <c r="S1466" i="2" l="1"/>
  <c r="T1466" i="2"/>
  <c r="U1466" i="2"/>
  <c r="S1467" i="2" l="1"/>
  <c r="U1467" i="2"/>
  <c r="T1467" i="2"/>
  <c r="S1468" i="2" l="1"/>
  <c r="T1468" i="2"/>
  <c r="U1468" i="2"/>
  <c r="S1469" i="2" l="1"/>
  <c r="T1469" i="2"/>
  <c r="U1469" i="2"/>
  <c r="S1470" i="2" l="1"/>
  <c r="U1470" i="2"/>
  <c r="T1470" i="2"/>
  <c r="S1471" i="2" l="1"/>
  <c r="U1471" i="2"/>
  <c r="T1471" i="2"/>
  <c r="S1472" i="2" l="1"/>
  <c r="U1472" i="2"/>
  <c r="T1472" i="2"/>
  <c r="S1473" i="2" l="1"/>
  <c r="T1473" i="2"/>
  <c r="U1473" i="2"/>
  <c r="S1474" i="2" l="1"/>
  <c r="T1474" i="2"/>
  <c r="U1474" i="2"/>
  <c r="S1475" i="2" l="1"/>
  <c r="T1475" i="2"/>
  <c r="U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U1480" i="2"/>
  <c r="T1480" i="2"/>
  <c r="S1481" i="2" l="1"/>
  <c r="U1481" i="2"/>
  <c r="T1481" i="2"/>
  <c r="S1482" i="2" l="1"/>
  <c r="T1482" i="2"/>
  <c r="U1482" i="2"/>
  <c r="S1483" i="2" l="1"/>
  <c r="U1483" i="2"/>
  <c r="T1483" i="2"/>
  <c r="S1484" i="2" l="1"/>
  <c r="U1484" i="2"/>
  <c r="T1484" i="2"/>
  <c r="S1485" i="2" l="1"/>
  <c r="T1485" i="2"/>
  <c r="U1485" i="2"/>
  <c r="S1486" i="2" l="1"/>
  <c r="U1486" i="2"/>
  <c r="T1486" i="2"/>
  <c r="S1487" i="2" l="1"/>
  <c r="U1487" i="2"/>
  <c r="T1487" i="2"/>
  <c r="S1488" i="2" l="1"/>
  <c r="U1488" i="2"/>
  <c r="T1488" i="2"/>
  <c r="S1489" i="2" l="1"/>
  <c r="U1489" i="2"/>
  <c r="T1489" i="2"/>
  <c r="S1490" i="2" l="1"/>
  <c r="T1490" i="2"/>
  <c r="U1490" i="2"/>
  <c r="S1491" i="2" l="1"/>
  <c r="U1491" i="2"/>
  <c r="T1491" i="2"/>
  <c r="S1492" i="2" l="1"/>
  <c r="U1492" i="2"/>
  <c r="T1492" i="2"/>
  <c r="S1493" i="2" l="1"/>
  <c r="U1493" i="2"/>
  <c r="T1493" i="2"/>
  <c r="S1494" i="2" l="1"/>
  <c r="U1494" i="2"/>
  <c r="T1494" i="2"/>
  <c r="S1495" i="2" l="1"/>
  <c r="U1495" i="2"/>
  <c r="T1495" i="2"/>
  <c r="S1496" i="2" l="1"/>
  <c r="U1496" i="2"/>
  <c r="T1496" i="2"/>
  <c r="S1497" i="2" l="1"/>
  <c r="T1497" i="2"/>
  <c r="U1497" i="2"/>
  <c r="S1498" i="2" l="1"/>
  <c r="T1498" i="2"/>
  <c r="U1498" i="2"/>
  <c r="S1499" i="2" l="1"/>
  <c r="U1499" i="2"/>
  <c r="T1499" i="2"/>
  <c r="S1500" i="2" l="1"/>
  <c r="U1500" i="2"/>
  <c r="T1500" i="2"/>
  <c r="S1501" i="2" l="1"/>
  <c r="T1501" i="2"/>
  <c r="U1501" i="2"/>
  <c r="S1502" i="2" l="1"/>
  <c r="U1502" i="2"/>
  <c r="T1502" i="2"/>
  <c r="S1503" i="2" l="1"/>
  <c r="U1503" i="2"/>
  <c r="T1503" i="2"/>
  <c r="S1504" i="2" l="1"/>
  <c r="U1504" i="2"/>
  <c r="T1504" i="2"/>
  <c r="S1505" i="2" l="1"/>
  <c r="T1505" i="2"/>
  <c r="U1505" i="2"/>
  <c r="S1506" i="2" l="1"/>
  <c r="T1506" i="2"/>
  <c r="U1506" i="2"/>
  <c r="S1507" i="2" l="1"/>
  <c r="U1507" i="2"/>
  <c r="T1507" i="2"/>
  <c r="S1508" i="2" l="1"/>
  <c r="U1508" i="2"/>
  <c r="T1508" i="2"/>
  <c r="S1509" i="2" l="1"/>
  <c r="U1509" i="2"/>
  <c r="T1509" i="2"/>
  <c r="S1510" i="2" l="1"/>
  <c r="U1510" i="2"/>
  <c r="T1510" i="2"/>
  <c r="S1511" i="2" l="1"/>
  <c r="U1511" i="2"/>
  <c r="T1511" i="2"/>
  <c r="S1512" i="2" l="1"/>
  <c r="U1512" i="2"/>
  <c r="T1512" i="2"/>
  <c r="S1513" i="2" l="1"/>
  <c r="T1513" i="2"/>
  <c r="U1513" i="2"/>
  <c r="S1514" i="2" l="1"/>
  <c r="T1514" i="2"/>
  <c r="U1514" i="2"/>
  <c r="S1515" i="2" l="1"/>
  <c r="U1515" i="2"/>
  <c r="T1515" i="2"/>
  <c r="S1516" i="2" l="1"/>
  <c r="U1516" i="2"/>
  <c r="T1516" i="2"/>
  <c r="S1517" i="2" l="1"/>
  <c r="T1517" i="2"/>
  <c r="U1517" i="2"/>
  <c r="S1518" i="2" l="1"/>
  <c r="T1518" i="2"/>
  <c r="U1518" i="2"/>
  <c r="S1519" i="2" l="1"/>
  <c r="T1519" i="2"/>
  <c r="U1519" i="2"/>
  <c r="S1520" i="2" l="1"/>
  <c r="T1520" i="2"/>
  <c r="U1520" i="2"/>
  <c r="S1521" i="2" l="1"/>
  <c r="T1521" i="2"/>
  <c r="U1521" i="2"/>
  <c r="S1522" i="2" l="1"/>
  <c r="T1522" i="2"/>
  <c r="U1522" i="2"/>
  <c r="S1523" i="2" l="1"/>
  <c r="U1523" i="2"/>
  <c r="T1523" i="2"/>
  <c r="S1524" i="2" l="1"/>
  <c r="U1524" i="2"/>
  <c r="T1524" i="2"/>
  <c r="S1525" i="2" l="1"/>
  <c r="T1525" i="2"/>
  <c r="U1525" i="2"/>
  <c r="S1526" i="2" l="1"/>
  <c r="U1526" i="2"/>
  <c r="T1526" i="2"/>
  <c r="S1527" i="2" l="1"/>
  <c r="U1527" i="2"/>
  <c r="T1527" i="2"/>
  <c r="S1528" i="2" l="1"/>
  <c r="U1528" i="2"/>
  <c r="T1528" i="2"/>
  <c r="S1529" i="2" l="1"/>
  <c r="T1529" i="2"/>
  <c r="U1529" i="2"/>
  <c r="S1530" i="2" l="1"/>
  <c r="T1530" i="2"/>
  <c r="U1530" i="2"/>
  <c r="S1531" i="2" l="1"/>
  <c r="U1531" i="2"/>
  <c r="T1531" i="2"/>
  <c r="S1532" i="2" l="1"/>
  <c r="U1532" i="2"/>
  <c r="T1532" i="2"/>
  <c r="S1533" i="2" l="1"/>
  <c r="T1533" i="2"/>
  <c r="U1533" i="2"/>
  <c r="S1534" i="2" l="1"/>
  <c r="U1534" i="2"/>
  <c r="T1534" i="2"/>
  <c r="S1535" i="2" l="1"/>
  <c r="U1535" i="2"/>
  <c r="T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U1541" i="2"/>
  <c r="T1541" i="2"/>
  <c r="S1542" i="2" l="1"/>
  <c r="U1542" i="2"/>
  <c r="T1542" i="2"/>
  <c r="S1543" i="2" l="1"/>
  <c r="U1543" i="2"/>
  <c r="T1543" i="2"/>
  <c r="S1544" i="2" l="1"/>
  <c r="U1544" i="2"/>
  <c r="T1544" i="2"/>
  <c r="S1545" i="2" l="1"/>
  <c r="U1545" i="2"/>
  <c r="T1545" i="2"/>
  <c r="S1546" i="2" l="1"/>
  <c r="U1546" i="2"/>
  <c r="T1546" i="2"/>
  <c r="S1547" i="2" l="1"/>
  <c r="U1547" i="2"/>
  <c r="T1547" i="2"/>
  <c r="S1548" i="2" l="1"/>
  <c r="U1548" i="2"/>
  <c r="T1548" i="2"/>
  <c r="S1549" i="2" l="1"/>
  <c r="T1549" i="2"/>
  <c r="U1549" i="2"/>
  <c r="S1550" i="2" l="1"/>
  <c r="U1550" i="2"/>
  <c r="T1550" i="2"/>
  <c r="S1551" i="2" l="1"/>
  <c r="U1551" i="2"/>
  <c r="T1551" i="2"/>
  <c r="S1552" i="2" l="1"/>
  <c r="U1552" i="2"/>
  <c r="T1552" i="2"/>
  <c r="S1553" i="2" l="1"/>
  <c r="T1553" i="2"/>
  <c r="U1553" i="2"/>
  <c r="S1554" i="2" l="1"/>
  <c r="T1554" i="2"/>
  <c r="U1554" i="2"/>
  <c r="S1555" i="2" l="1"/>
  <c r="U1555" i="2"/>
  <c r="T1555" i="2"/>
  <c r="S1556" i="2" l="1"/>
  <c r="U1556" i="2"/>
  <c r="T1556" i="2"/>
  <c r="S1557" i="2" l="1"/>
  <c r="U1557" i="2"/>
  <c r="T1557" i="2"/>
  <c r="S1558" i="2" l="1"/>
  <c r="U1558" i="2"/>
  <c r="T1558" i="2"/>
  <c r="S1559" i="2" l="1"/>
  <c r="U1559" i="2"/>
  <c r="T1559" i="2"/>
  <c r="S1560" i="2" l="1"/>
  <c r="U1560" i="2"/>
  <c r="T1560" i="2"/>
  <c r="S1561" i="2" l="1"/>
  <c r="T1561" i="2"/>
  <c r="U1561" i="2"/>
  <c r="S1562" i="2" l="1"/>
  <c r="T1562" i="2"/>
  <c r="U1562" i="2"/>
  <c r="S1563" i="2" l="1"/>
  <c r="U1563" i="2"/>
  <c r="T1563" i="2"/>
  <c r="S1564" i="2" l="1"/>
  <c r="T1564" i="2"/>
  <c r="U1564" i="2"/>
  <c r="S1565" i="2" l="1"/>
  <c r="T1565" i="2"/>
  <c r="U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U1571" i="2"/>
  <c r="T1571" i="2"/>
  <c r="S1572" i="2" l="1"/>
  <c r="U1572" i="2"/>
  <c r="T1572" i="2"/>
  <c r="S1573" i="2" l="1"/>
  <c r="T1573" i="2"/>
  <c r="U1573" i="2"/>
  <c r="S1574" i="2" l="1"/>
  <c r="U1574" i="2"/>
  <c r="T1574" i="2"/>
  <c r="S1575" i="2" l="1"/>
  <c r="U1575" i="2"/>
  <c r="T1575" i="2"/>
  <c r="S1576" i="2" l="1"/>
  <c r="U1576" i="2"/>
  <c r="T1576" i="2"/>
  <c r="S1577" i="2" l="1"/>
  <c r="T1577" i="2"/>
  <c r="U1577" i="2"/>
  <c r="S1578" i="2" l="1"/>
  <c r="U1578" i="2"/>
  <c r="T1578" i="2"/>
  <c r="S1579" i="2" l="1"/>
  <c r="U1579" i="2"/>
  <c r="T1579" i="2"/>
  <c r="S1580" i="2" l="1"/>
  <c r="U1580" i="2"/>
  <c r="T1580" i="2"/>
  <c r="S1581" i="2" l="1"/>
  <c r="T1581" i="2"/>
  <c r="U1581" i="2"/>
  <c r="S1582" i="2" l="1"/>
  <c r="U1582" i="2"/>
  <c r="T1582" i="2"/>
  <c r="S1583" i="2" l="1"/>
  <c r="U1583" i="2"/>
  <c r="T1583" i="2"/>
  <c r="S1584" i="2" l="1"/>
  <c r="U1584" i="2"/>
  <c r="T1584" i="2"/>
  <c r="S1585" i="2" l="1"/>
  <c r="T1585" i="2"/>
  <c r="U1585" i="2"/>
  <c r="S1586" i="2" l="1"/>
  <c r="T1586" i="2"/>
  <c r="U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U1591" i="2"/>
  <c r="T1591" i="2"/>
  <c r="S1592" i="2" l="1"/>
  <c r="U1592" i="2"/>
  <c r="T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T1597" i="2"/>
  <c r="U1597" i="2"/>
  <c r="S1598" i="2" l="1"/>
  <c r="U1598" i="2"/>
  <c r="T1598" i="2"/>
  <c r="S1599" i="2" l="1"/>
  <c r="U1599" i="2"/>
  <c r="T1599" i="2"/>
  <c r="S1600" i="2" l="1"/>
  <c r="U1600" i="2"/>
  <c r="T1600" i="2"/>
  <c r="S1601" i="2" l="1"/>
  <c r="U1601" i="2"/>
  <c r="T1601" i="2"/>
  <c r="S1602" i="2" l="1"/>
  <c r="T1602" i="2"/>
  <c r="U1602" i="2"/>
  <c r="S1603" i="2" l="1"/>
  <c r="U1603" i="2"/>
  <c r="T1603" i="2"/>
  <c r="S1604" i="2" l="1"/>
  <c r="T1604" i="2"/>
  <c r="U1604" i="2"/>
  <c r="S1605" i="2" l="1"/>
  <c r="T1605" i="2"/>
  <c r="U1605" i="2"/>
  <c r="S1606" i="2" l="1"/>
  <c r="T1606" i="2"/>
  <c r="U1606" i="2"/>
  <c r="S1607" i="2" l="1"/>
  <c r="U1607" i="2"/>
  <c r="T1607" i="2"/>
  <c r="S1608" i="2" l="1"/>
  <c r="T1608" i="2"/>
  <c r="U1608" i="2"/>
  <c r="S1609" i="2" l="1"/>
  <c r="T1609" i="2"/>
  <c r="U1609" i="2"/>
  <c r="S1610" i="2" l="1"/>
  <c r="U1610" i="2"/>
  <c r="T1610" i="2"/>
  <c r="S1611" i="2" l="1"/>
  <c r="U1611" i="2"/>
  <c r="T1611" i="2"/>
  <c r="S1612" i="2" l="1"/>
  <c r="T1612" i="2"/>
  <c r="U1612" i="2"/>
  <c r="S1613" i="2" l="1"/>
  <c r="T1613" i="2"/>
  <c r="U1613" i="2"/>
  <c r="S1614" i="2" l="1"/>
  <c r="U1614" i="2"/>
  <c r="T1614" i="2"/>
  <c r="S1615" i="2" l="1"/>
  <c r="U1615" i="2"/>
  <c r="T1615" i="2"/>
  <c r="S1616" i="2" l="1"/>
  <c r="T1616" i="2"/>
  <c r="U1616" i="2"/>
  <c r="S1617" i="2" l="1"/>
  <c r="U1617" i="2"/>
  <c r="T1617" i="2"/>
  <c r="S1618" i="2" l="1"/>
  <c r="T1618" i="2"/>
  <c r="U1618" i="2"/>
  <c r="S1619" i="2" l="1"/>
  <c r="U1619" i="2"/>
  <c r="T1619" i="2"/>
  <c r="S1620" i="2" l="1"/>
  <c r="U1620" i="2"/>
  <c r="T1620" i="2"/>
  <c r="S1621" i="2" l="1"/>
  <c r="U1621" i="2"/>
  <c r="T1621" i="2"/>
  <c r="S1622" i="2" l="1"/>
  <c r="U1622" i="2"/>
  <c r="T1622" i="2"/>
  <c r="S1623" i="2" l="1"/>
  <c r="U1623" i="2"/>
  <c r="T1623" i="2"/>
  <c r="S1624" i="2" l="1"/>
  <c r="U1624" i="2"/>
  <c r="T1624" i="2"/>
  <c r="S1625" i="2" l="1"/>
  <c r="T1625" i="2"/>
  <c r="U1625" i="2"/>
  <c r="S1626" i="2" l="1"/>
  <c r="T1626" i="2"/>
  <c r="U1626" i="2"/>
  <c r="S1627" i="2" l="1"/>
  <c r="U1627" i="2"/>
  <c r="T1627" i="2"/>
  <c r="S1628" i="2" l="1"/>
  <c r="U1628" i="2"/>
  <c r="T1628" i="2"/>
  <c r="S1629" i="2" l="1"/>
  <c r="T1629" i="2"/>
  <c r="U1629" i="2"/>
  <c r="S1630" i="2" l="1"/>
  <c r="U1630" i="2"/>
  <c r="T1630" i="2"/>
  <c r="S1631" i="2" l="1"/>
  <c r="T1631" i="2"/>
  <c r="U1631" i="2"/>
  <c r="S1632" i="2" l="1"/>
  <c r="T1632" i="2"/>
  <c r="U1632" i="2"/>
  <c r="S1633" i="2" l="1"/>
  <c r="T1633" i="2"/>
  <c r="U1633" i="2"/>
  <c r="S1634" i="2" l="1"/>
  <c r="U1634" i="2"/>
  <c r="T1634" i="2"/>
  <c r="S1635" i="2" l="1"/>
  <c r="T1635" i="2"/>
  <c r="U1635" i="2"/>
  <c r="S1636" i="2" l="1"/>
  <c r="T1636" i="2"/>
  <c r="U1636" i="2"/>
  <c r="S1637" i="2" l="1"/>
  <c r="U1637" i="2"/>
  <c r="T1637" i="2"/>
  <c r="S1638" i="2" l="1"/>
  <c r="U1638" i="2"/>
  <c r="T1638" i="2"/>
  <c r="S1639" i="2" l="1"/>
  <c r="U1639" i="2"/>
  <c r="T1639" i="2"/>
  <c r="S1640" i="2" l="1"/>
  <c r="U1640" i="2"/>
  <c r="T1640" i="2"/>
  <c r="S1641" i="2" l="1"/>
  <c r="T1641" i="2"/>
  <c r="U1641" i="2"/>
  <c r="S1642" i="2" l="1"/>
  <c r="T1642" i="2"/>
  <c r="U1642" i="2"/>
  <c r="S1643" i="2" l="1"/>
  <c r="T1643" i="2"/>
  <c r="U1643" i="2"/>
  <c r="S1644" i="2" l="1"/>
  <c r="U1644" i="2"/>
  <c r="T1644" i="2"/>
  <c r="S1645" i="2" l="1"/>
  <c r="T1645" i="2"/>
  <c r="U1645" i="2"/>
  <c r="S1646" i="2" l="1"/>
  <c r="U1646" i="2"/>
  <c r="T1646" i="2"/>
  <c r="S1647" i="2" l="1"/>
  <c r="T1647" i="2"/>
  <c r="U1647" i="2"/>
  <c r="S1648" i="2" l="1"/>
  <c r="U1648" i="2"/>
  <c r="T1648" i="2"/>
  <c r="S1649" i="2" l="1"/>
  <c r="T1649" i="2"/>
  <c r="U1649" i="2"/>
  <c r="S1650" i="2" l="1"/>
  <c r="T1650" i="2"/>
  <c r="U1650" i="2"/>
  <c r="S1651" i="2" l="1"/>
  <c r="U1651" i="2"/>
  <c r="T1651" i="2"/>
  <c r="S1652" i="2" l="1"/>
  <c r="U1652" i="2"/>
  <c r="T1652" i="2"/>
  <c r="S1653" i="2" l="1"/>
  <c r="T1653" i="2"/>
  <c r="U1653" i="2"/>
  <c r="S1654" i="2" l="1"/>
  <c r="T1654" i="2"/>
  <c r="U1654" i="2"/>
  <c r="S1655" i="2" l="1"/>
  <c r="U1655" i="2"/>
  <c r="T1655" i="2"/>
  <c r="S1656" i="2" l="1"/>
  <c r="T1656" i="2"/>
  <c r="U1656" i="2"/>
  <c r="S1657" i="2" l="1"/>
  <c r="T1657" i="2"/>
  <c r="U1657" i="2"/>
  <c r="S1658" i="2" l="1"/>
  <c r="T1658" i="2"/>
  <c r="U1658" i="2"/>
  <c r="S1659" i="2" l="1"/>
  <c r="U1659" i="2"/>
  <c r="T1659" i="2"/>
  <c r="S1660" i="2" l="1"/>
  <c r="U1660" i="2"/>
  <c r="T1660" i="2"/>
  <c r="S1661" i="2" l="1"/>
  <c r="T1661" i="2"/>
  <c r="U1661" i="2"/>
  <c r="S1662" i="2" l="1"/>
  <c r="T1662" i="2"/>
  <c r="U1662" i="2"/>
  <c r="S1663" i="2" l="1"/>
  <c r="U1663" i="2"/>
  <c r="T1663" i="2"/>
  <c r="S1664" i="2" l="1"/>
  <c r="U1664" i="2"/>
  <c r="T1664" i="2"/>
  <c r="S1665" i="2" l="1"/>
  <c r="T1665" i="2"/>
  <c r="U1665" i="2"/>
  <c r="S1666" i="2" l="1"/>
  <c r="T1666" i="2"/>
  <c r="U1666" i="2"/>
  <c r="S1667" i="2" l="1"/>
  <c r="T1667" i="2"/>
  <c r="U1667" i="2"/>
  <c r="S1668" i="2" l="1"/>
  <c r="U1668" i="2"/>
  <c r="T1668" i="2"/>
  <c r="S1669" i="2" l="1"/>
  <c r="T1669" i="2"/>
  <c r="U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T1674" i="2"/>
  <c r="U1674" i="2"/>
  <c r="S1675" i="2" l="1"/>
  <c r="U1675" i="2"/>
  <c r="T1675" i="2"/>
  <c r="S1676" i="2" l="1"/>
  <c r="U1676" i="2"/>
  <c r="T1676" i="2"/>
  <c r="S1677" i="2" l="1"/>
  <c r="T1677" i="2"/>
  <c r="U1677" i="2"/>
  <c r="S1678" i="2" l="1"/>
  <c r="U1678" i="2"/>
  <c r="T1678" i="2"/>
  <c r="S1679" i="2" l="1"/>
  <c r="U1679" i="2"/>
  <c r="T1679" i="2"/>
  <c r="S1680" i="2" l="1"/>
  <c r="U1680" i="2"/>
  <c r="T1680" i="2"/>
  <c r="S1681" i="2" l="1"/>
  <c r="T1681" i="2"/>
  <c r="U1681" i="2"/>
  <c r="S1682" i="2" l="1"/>
  <c r="T1682" i="2"/>
  <c r="U1682" i="2"/>
  <c r="S1683" i="2" l="1"/>
  <c r="U1683" i="2"/>
  <c r="T1683" i="2"/>
  <c r="S1684" i="2" l="1"/>
  <c r="U1684" i="2"/>
  <c r="T1684" i="2"/>
  <c r="S1685" i="2" l="1"/>
  <c r="T1685" i="2"/>
  <c r="U1685" i="2"/>
  <c r="S1686" i="2" l="1"/>
  <c r="U1686" i="2"/>
  <c r="T1686" i="2"/>
  <c r="S1687" i="2" l="1"/>
  <c r="U1687" i="2"/>
  <c r="T1687" i="2"/>
  <c r="S1688" i="2" l="1"/>
  <c r="U1688" i="2"/>
  <c r="T1688" i="2"/>
  <c r="S1689" i="2" l="1"/>
  <c r="T1689" i="2"/>
  <c r="U1689" i="2"/>
  <c r="S1690" i="2" l="1"/>
  <c r="T1690" i="2"/>
  <c r="U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T1698" i="2"/>
  <c r="U1698" i="2"/>
  <c r="S1699" i="2" l="1"/>
  <c r="U1699" i="2"/>
  <c r="T1699" i="2"/>
  <c r="S1700" i="2" l="1"/>
  <c r="U1700" i="2"/>
  <c r="T1700" i="2"/>
  <c r="S1701" i="2" l="1"/>
  <c r="T1701" i="2"/>
  <c r="U1701" i="2"/>
  <c r="S1702" i="2" l="1"/>
  <c r="T1702" i="2"/>
  <c r="U1702" i="2"/>
  <c r="S1703" i="2" l="1"/>
  <c r="T1703" i="2"/>
  <c r="U1703" i="2"/>
  <c r="S1704" i="2" l="1"/>
  <c r="U1704" i="2"/>
  <c r="T1704" i="2"/>
  <c r="S1705" i="2" l="1"/>
  <c r="T1705" i="2"/>
  <c r="U1705" i="2"/>
  <c r="S1706" i="2" l="1"/>
  <c r="T1706" i="2"/>
  <c r="U1706" i="2"/>
  <c r="S1707" i="2" l="1"/>
  <c r="U1707" i="2"/>
  <c r="T1707" i="2"/>
  <c r="S1708" i="2" l="1"/>
  <c r="U1708" i="2"/>
  <c r="T1708" i="2"/>
  <c r="S1709" i="2" l="1"/>
  <c r="T1709" i="2"/>
  <c r="U1709" i="2"/>
  <c r="S1710" i="2" l="1"/>
  <c r="U1710" i="2"/>
  <c r="T1710" i="2"/>
  <c r="S1711" i="2" l="1"/>
  <c r="U1711" i="2"/>
  <c r="T1711" i="2"/>
  <c r="S1712" i="2" l="1"/>
  <c r="T1712" i="2"/>
  <c r="U1712" i="2"/>
  <c r="S1713" i="2" l="1"/>
  <c r="T1713" i="2"/>
  <c r="U1713" i="2"/>
  <c r="S1714" i="2" l="1"/>
  <c r="T1714" i="2"/>
  <c r="U1714" i="2"/>
  <c r="S1715" i="2" l="1"/>
  <c r="U1715" i="2"/>
  <c r="T1715" i="2"/>
  <c r="S1716" i="2" l="1"/>
  <c r="U1716" i="2"/>
  <c r="T1716" i="2"/>
  <c r="S1717" i="2" l="1"/>
  <c r="T1717" i="2"/>
  <c r="U1717" i="2"/>
  <c r="S1718" i="2" l="1"/>
  <c r="U1718" i="2"/>
  <c r="T1718" i="2"/>
  <c r="S1719" i="2" l="1"/>
  <c r="U1719" i="2"/>
  <c r="T1719" i="2"/>
  <c r="S1720" i="2" l="1"/>
  <c r="U1720" i="2"/>
  <c r="T1720" i="2"/>
  <c r="S1721" i="2" l="1"/>
  <c r="T1721" i="2"/>
  <c r="U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U1727" i="2"/>
  <c r="T1727" i="2"/>
  <c r="S1728" i="2" l="1"/>
  <c r="T1728" i="2"/>
  <c r="U1728" i="2"/>
  <c r="S1729" i="2" l="1"/>
  <c r="T1729" i="2"/>
  <c r="U1729" i="2"/>
  <c r="S1730" i="2" l="1"/>
  <c r="T1730" i="2"/>
  <c r="U1730" i="2"/>
  <c r="S1731" i="2" l="1"/>
  <c r="U1731" i="2"/>
  <c r="T1731" i="2"/>
  <c r="S1732" i="2" l="1"/>
  <c r="U1732" i="2"/>
  <c r="T1732" i="2"/>
  <c r="S1733" i="2" l="1"/>
  <c r="T1733" i="2"/>
  <c r="U1733" i="2"/>
  <c r="S1734" i="2" l="1"/>
  <c r="U1734" i="2"/>
  <c r="T1734" i="2"/>
  <c r="S1735" i="2" l="1"/>
  <c r="U1735" i="2"/>
  <c r="T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U1740" i="2"/>
  <c r="T1740" i="2"/>
  <c r="S1741" i="2" l="1"/>
  <c r="U1741" i="2"/>
  <c r="T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U1747" i="2"/>
  <c r="T1747" i="2"/>
  <c r="S1748" i="2" l="1"/>
  <c r="U1748" i="2"/>
  <c r="T1748" i="2"/>
  <c r="S1749" i="2" l="1"/>
  <c r="T1749" i="2"/>
  <c r="U1749" i="2"/>
  <c r="S1750" i="2" l="1"/>
  <c r="U1750" i="2"/>
  <c r="T1750" i="2"/>
  <c r="S1751" i="2" l="1"/>
  <c r="U1751" i="2"/>
  <c r="T1751" i="2"/>
  <c r="S1752" i="2" l="1"/>
  <c r="U1752" i="2"/>
  <c r="T1752" i="2"/>
  <c r="S1753" i="2" l="1"/>
  <c r="T1753" i="2"/>
  <c r="U1753" i="2"/>
  <c r="S1754" i="2" l="1"/>
  <c r="U1754" i="2"/>
  <c r="T1754" i="2"/>
  <c r="S1755" i="2" l="1"/>
  <c r="U1755" i="2"/>
  <c r="T1755" i="2"/>
  <c r="S1756" i="2" l="1"/>
  <c r="U1756" i="2"/>
  <c r="T1756" i="2"/>
  <c r="S1757" i="2" l="1"/>
  <c r="T1757" i="2"/>
  <c r="U1757" i="2"/>
  <c r="S1758" i="2" l="1"/>
  <c r="U1758" i="2"/>
  <c r="T1758" i="2"/>
  <c r="S1759" i="2" l="1"/>
  <c r="U1759" i="2"/>
  <c r="T1759" i="2"/>
  <c r="S1760" i="2" l="1"/>
  <c r="U1760" i="2"/>
  <c r="T1760" i="2"/>
  <c r="S1761" i="2" l="1"/>
  <c r="T1761" i="2"/>
  <c r="U1761" i="2"/>
  <c r="S1762" i="2" l="1"/>
  <c r="T1762" i="2"/>
  <c r="U1762" i="2"/>
  <c r="S1763" i="2" l="1"/>
  <c r="U1763" i="2"/>
  <c r="T1763" i="2"/>
  <c r="S1764" i="2" l="1"/>
  <c r="U1764" i="2"/>
  <c r="T1764" i="2"/>
  <c r="S1765" i="2" l="1"/>
  <c r="T1765" i="2"/>
  <c r="U1765" i="2"/>
  <c r="S1766" i="2" l="1"/>
  <c r="U1766" i="2"/>
  <c r="T1766" i="2"/>
  <c r="S1767" i="2" l="1"/>
  <c r="U1767" i="2"/>
  <c r="T1767" i="2"/>
  <c r="S1768" i="2" l="1"/>
  <c r="U1768" i="2"/>
  <c r="T1768" i="2"/>
  <c r="S1769" i="2" l="1"/>
  <c r="U1769" i="2"/>
  <c r="T1769" i="2"/>
  <c r="S1770" i="2" l="1"/>
  <c r="U1770" i="2"/>
  <c r="T1770" i="2"/>
  <c r="S1771" i="2" l="1"/>
  <c r="T1771" i="2"/>
  <c r="U1771" i="2"/>
  <c r="S1772" i="2" l="1"/>
  <c r="U1772" i="2"/>
  <c r="T1772" i="2"/>
  <c r="S1773" i="2" l="1"/>
  <c r="T1773" i="2"/>
  <c r="U1773" i="2"/>
  <c r="S1774" i="2" l="1"/>
  <c r="U1774" i="2"/>
  <c r="T1774" i="2"/>
  <c r="S1775" i="2" l="1"/>
  <c r="U1775" i="2"/>
  <c r="T1775" i="2"/>
  <c r="S1776" i="2" l="1"/>
  <c r="T1776" i="2"/>
  <c r="U1776" i="2"/>
  <c r="S1777" i="2" l="1"/>
  <c r="T1777" i="2"/>
  <c r="U1777" i="2"/>
  <c r="S1778" i="2" l="1"/>
  <c r="T1778" i="2"/>
  <c r="U1778" i="2"/>
  <c r="S1779" i="2" l="1"/>
  <c r="U1779" i="2"/>
  <c r="T1779" i="2"/>
  <c r="S1780" i="2" l="1"/>
  <c r="U1780" i="2"/>
  <c r="T1780" i="2"/>
  <c r="S1781" i="2" l="1"/>
  <c r="T1781" i="2"/>
  <c r="U1781" i="2"/>
  <c r="S1782" i="2" l="1"/>
  <c r="U1782" i="2"/>
  <c r="T1782" i="2"/>
  <c r="S1783" i="2" l="1"/>
  <c r="U1783" i="2"/>
  <c r="T1783" i="2"/>
  <c r="S1784" i="2" l="1"/>
  <c r="U1784" i="2"/>
  <c r="T1784" i="2"/>
  <c r="S1785" i="2" l="1"/>
  <c r="T1785" i="2"/>
  <c r="U1785" i="2"/>
  <c r="S1786" i="2" l="1"/>
  <c r="T1786" i="2"/>
  <c r="U1786" i="2"/>
  <c r="S1787" i="2" l="1"/>
  <c r="U1787" i="2"/>
  <c r="T1787" i="2"/>
  <c r="S1788" i="2" l="1"/>
  <c r="U1788" i="2"/>
  <c r="T1788" i="2"/>
  <c r="S1789" i="2" l="1"/>
  <c r="T1789" i="2"/>
  <c r="U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T1794" i="2"/>
  <c r="U1794" i="2"/>
  <c r="S1795" i="2" l="1"/>
  <c r="U1795" i="2"/>
  <c r="T1795" i="2"/>
  <c r="S1796" i="2" l="1"/>
  <c r="U1796" i="2"/>
  <c r="T1796" i="2"/>
  <c r="S1797" i="2" l="1"/>
  <c r="T1797" i="2"/>
  <c r="U1797" i="2"/>
  <c r="S1798" i="2" l="1"/>
  <c r="U1798" i="2"/>
  <c r="T1798" i="2"/>
  <c r="S1799" i="2" l="1"/>
  <c r="U1799" i="2"/>
  <c r="T1799" i="2"/>
  <c r="S1800" i="2" l="1"/>
  <c r="U1800" i="2"/>
  <c r="T1800" i="2"/>
  <c r="S1801" i="2" l="1"/>
  <c r="T1801" i="2"/>
  <c r="U1801" i="2"/>
  <c r="S1802" i="2" l="1"/>
  <c r="T1802" i="2"/>
  <c r="U1802" i="2"/>
  <c r="S1803" i="2" l="1"/>
  <c r="U1803" i="2"/>
  <c r="T1803" i="2"/>
  <c r="S1804" i="2" l="1"/>
  <c r="U1804" i="2"/>
  <c r="T1804" i="2"/>
  <c r="S1805" i="2" l="1"/>
  <c r="U1805" i="2"/>
  <c r="T1805" i="2"/>
  <c r="S1806" i="2" l="1"/>
  <c r="U1806" i="2"/>
  <c r="T1806" i="2"/>
  <c r="S1807" i="2" l="1"/>
  <c r="U1807" i="2"/>
  <c r="T1807" i="2"/>
  <c r="S1808" i="2" l="1"/>
  <c r="T1808" i="2"/>
  <c r="U1808" i="2"/>
  <c r="S1809" i="2" l="1"/>
  <c r="U1809" i="2"/>
  <c r="T1809" i="2"/>
  <c r="S1810" i="2" l="1"/>
  <c r="T1810" i="2"/>
  <c r="U1810" i="2"/>
  <c r="S1811" i="2" l="1"/>
  <c r="U1811" i="2"/>
  <c r="T1811" i="2"/>
  <c r="S1812" i="2" l="1"/>
  <c r="U1812" i="2"/>
  <c r="T1812" i="2"/>
  <c r="S1813" i="2" l="1"/>
  <c r="T1813" i="2"/>
  <c r="U1813" i="2"/>
  <c r="S1814" i="2" l="1"/>
  <c r="T1814" i="2"/>
  <c r="U1814" i="2"/>
  <c r="S1815" i="2" l="1"/>
  <c r="T1815" i="2"/>
  <c r="U1815" i="2"/>
  <c r="S1816" i="2" l="1"/>
  <c r="T1816" i="2"/>
  <c r="U1816" i="2"/>
  <c r="S1817" i="2" l="1"/>
  <c r="T1817" i="2"/>
  <c r="U1817" i="2"/>
  <c r="S1818" i="2" l="1"/>
  <c r="T1818" i="2"/>
  <c r="U1818" i="2"/>
  <c r="S1819" i="2" l="1"/>
  <c r="U1819" i="2"/>
  <c r="T1819" i="2"/>
  <c r="S1820" i="2" l="1"/>
  <c r="T1820" i="2"/>
  <c r="U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T1825" i="2"/>
  <c r="U1825" i="2"/>
  <c r="S1826" i="2" l="1"/>
  <c r="T1826" i="2"/>
  <c r="U1826" i="2"/>
  <c r="S1827" i="2" l="1"/>
  <c r="U1827" i="2"/>
  <c r="T1827" i="2"/>
  <c r="S1828" i="2" l="1"/>
  <c r="U1828" i="2"/>
  <c r="T1828" i="2"/>
  <c r="S1829" i="2" l="1"/>
  <c r="T1829" i="2"/>
  <c r="U1829" i="2"/>
  <c r="S1830" i="2" l="1"/>
  <c r="U1830" i="2"/>
  <c r="T1830" i="2"/>
  <c r="S1831" i="2" l="1"/>
  <c r="U1831" i="2"/>
  <c r="T1831" i="2"/>
  <c r="S1832" i="2" l="1"/>
  <c r="U1832" i="2"/>
  <c r="T1832" i="2"/>
  <c r="S1833" i="2" l="1"/>
  <c r="T1833" i="2"/>
  <c r="U1833" i="2"/>
  <c r="S1834" i="2" l="1"/>
  <c r="T1834" i="2"/>
  <c r="U1834" i="2"/>
  <c r="S1835" i="2" l="1"/>
  <c r="U1835" i="2"/>
  <c r="T1835" i="2"/>
  <c r="S1836" i="2" l="1"/>
  <c r="U1836" i="2"/>
  <c r="T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T1841" i="2"/>
  <c r="U1841" i="2"/>
  <c r="S1842" i="2" l="1"/>
  <c r="U1842" i="2"/>
  <c r="T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U1847" i="2"/>
  <c r="T1847" i="2"/>
  <c r="S1848" i="2" l="1"/>
  <c r="U1848" i="2"/>
  <c r="T1848" i="2"/>
  <c r="S1849" i="2" l="1"/>
  <c r="U1849" i="2"/>
  <c r="T1849" i="2"/>
  <c r="S1850" i="2" l="1"/>
  <c r="U1850" i="2"/>
  <c r="T1850" i="2"/>
  <c r="S1851" i="2" l="1"/>
  <c r="U1851" i="2"/>
  <c r="T1851" i="2"/>
  <c r="S1852" i="2" l="1"/>
  <c r="U1852" i="2"/>
  <c r="T1852" i="2"/>
  <c r="S1853" i="2" l="1"/>
  <c r="T1853" i="2"/>
  <c r="U1853" i="2"/>
  <c r="S1854" i="2" l="1"/>
  <c r="U1854" i="2"/>
  <c r="T1854" i="2"/>
  <c r="S1855" i="2" l="1"/>
  <c r="U1855" i="2"/>
  <c r="T1855" i="2"/>
  <c r="S1856" i="2" l="1"/>
  <c r="U1856" i="2"/>
  <c r="T1856" i="2"/>
  <c r="S1857" i="2" l="1"/>
  <c r="T1857" i="2"/>
  <c r="U1857" i="2"/>
  <c r="S1858" i="2" l="1"/>
  <c r="U1858" i="2"/>
  <c r="T1858" i="2"/>
  <c r="S1859" i="2" l="1"/>
  <c r="U1859" i="2"/>
  <c r="T1859" i="2"/>
  <c r="S1860" i="2" l="1"/>
  <c r="U1860" i="2"/>
  <c r="T1860" i="2"/>
  <c r="S1861" i="2" l="1"/>
  <c r="T1861" i="2"/>
  <c r="U1861" i="2"/>
  <c r="S1862" i="2" l="1"/>
  <c r="U1862" i="2"/>
  <c r="T1862" i="2"/>
  <c r="S1863" i="2" l="1"/>
  <c r="U1863" i="2"/>
  <c r="T1863" i="2"/>
  <c r="S1864" i="2" l="1"/>
  <c r="U1864" i="2"/>
  <c r="T1864" i="2"/>
  <c r="S1865" i="2" l="1"/>
  <c r="T1865" i="2"/>
  <c r="U1865" i="2"/>
  <c r="S1866" i="2" l="1"/>
  <c r="T1866" i="2"/>
  <c r="U1866" i="2"/>
  <c r="S1867" i="2" l="1"/>
  <c r="U1867" i="2"/>
  <c r="T1867" i="2"/>
  <c r="S1868" i="2" l="1"/>
  <c r="T1868" i="2"/>
  <c r="U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T1873" i="2"/>
  <c r="U1873" i="2"/>
  <c r="S1874" i="2" l="1"/>
  <c r="T1874" i="2"/>
  <c r="U1874" i="2"/>
  <c r="S1875" i="2" l="1"/>
  <c r="U1875" i="2"/>
  <c r="T1875" i="2"/>
  <c r="S1876" i="2" l="1"/>
  <c r="U1876" i="2"/>
  <c r="T1876" i="2"/>
  <c r="S1877" i="2" l="1"/>
  <c r="T1877" i="2"/>
  <c r="U1877" i="2"/>
  <c r="S1878" i="2" l="1"/>
  <c r="U1878" i="2"/>
  <c r="T1878" i="2"/>
  <c r="S1879" i="2" l="1"/>
  <c r="U1879" i="2"/>
  <c r="T1879" i="2"/>
  <c r="S1880" i="2" l="1"/>
  <c r="U1880" i="2"/>
  <c r="T1880" i="2"/>
  <c r="S1881" i="2" l="1"/>
  <c r="U1881" i="2"/>
  <c r="T1881" i="2"/>
  <c r="S1882" i="2" l="1"/>
  <c r="U1882" i="2"/>
  <c r="T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U1888" i="2"/>
  <c r="T1888" i="2"/>
  <c r="S1889" i="2" l="1"/>
  <c r="T1889" i="2"/>
  <c r="U1889" i="2"/>
  <c r="S1890" i="2" l="1"/>
  <c r="T1890" i="2"/>
  <c r="U1890" i="2"/>
  <c r="S1891" i="2" l="1"/>
  <c r="U1891" i="2"/>
  <c r="T1891" i="2"/>
  <c r="S1892" i="2" l="1"/>
  <c r="T1892" i="2"/>
  <c r="U1892" i="2"/>
  <c r="S1893" i="2" l="1"/>
  <c r="T1893" i="2"/>
  <c r="U1893" i="2"/>
  <c r="S1894" i="2" l="1"/>
  <c r="T1894" i="2"/>
  <c r="U1894" i="2"/>
  <c r="S1895" i="2" l="1"/>
  <c r="U1895" i="2"/>
  <c r="T1895" i="2"/>
  <c r="S1896" i="2" l="1"/>
  <c r="U1896" i="2"/>
  <c r="T1896" i="2"/>
  <c r="S1897" i="2" l="1"/>
  <c r="T1897" i="2"/>
  <c r="U1897" i="2"/>
  <c r="S1898" i="2" l="1"/>
  <c r="T1898" i="2"/>
  <c r="U1898" i="2"/>
  <c r="S1899" i="2" l="1"/>
  <c r="U1899" i="2"/>
  <c r="T1899" i="2"/>
  <c r="S1900" i="2" l="1"/>
  <c r="U1900" i="2"/>
  <c r="T1900" i="2"/>
  <c r="S1901" i="2" l="1"/>
  <c r="T1901" i="2"/>
  <c r="U1901" i="2"/>
  <c r="S1902" i="2" l="1"/>
  <c r="U1902" i="2"/>
  <c r="T1902" i="2"/>
  <c r="S1903" i="2" l="1"/>
  <c r="U1903" i="2"/>
  <c r="T1903" i="2"/>
  <c r="S1904" i="2" l="1"/>
  <c r="T1904" i="2"/>
  <c r="U1904" i="2"/>
  <c r="S1905" i="2" l="1"/>
  <c r="T1905" i="2"/>
  <c r="U1905" i="2"/>
  <c r="S1906" i="2" l="1"/>
  <c r="T1906" i="2"/>
  <c r="U1906" i="2"/>
  <c r="S1907" i="2" l="1"/>
  <c r="U1907" i="2"/>
  <c r="T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T1913" i="2"/>
  <c r="U1913" i="2"/>
  <c r="S1914" i="2" l="1"/>
  <c r="T1914" i="2"/>
  <c r="U1914" i="2"/>
  <c r="S1915" i="2" l="1"/>
  <c r="U1915" i="2"/>
  <c r="T1915" i="2"/>
  <c r="S1916" i="2" l="1"/>
  <c r="U1916" i="2"/>
  <c r="T1916" i="2"/>
  <c r="S1917" i="2" l="1"/>
  <c r="T1917" i="2"/>
  <c r="U1917" i="2"/>
  <c r="S1918" i="2" l="1"/>
  <c r="U1918" i="2"/>
  <c r="T1918" i="2"/>
  <c r="S1919" i="2" l="1"/>
  <c r="U1919" i="2"/>
  <c r="T1919" i="2"/>
  <c r="S1920" i="2" l="1"/>
  <c r="U1920" i="2"/>
  <c r="T1920" i="2"/>
  <c r="S1921" i="2" l="1"/>
  <c r="T1921" i="2"/>
  <c r="U1921" i="2"/>
  <c r="S1922" i="2" l="1"/>
  <c r="T1922" i="2"/>
  <c r="U1922" i="2"/>
  <c r="S1923" i="2" l="1"/>
  <c r="T1923" i="2"/>
  <c r="U1923" i="2"/>
  <c r="S1924" i="2" l="1"/>
  <c r="T1924" i="2"/>
  <c r="U1924" i="2"/>
  <c r="S1925" i="2" l="1"/>
  <c r="T1925" i="2"/>
  <c r="U1925" i="2"/>
  <c r="S1926" i="2" l="1"/>
  <c r="T1926" i="2"/>
  <c r="U1926" i="2"/>
  <c r="S1927" i="2" l="1"/>
  <c r="U1927" i="2"/>
  <c r="T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T1932" i="2"/>
  <c r="U1932" i="2"/>
  <c r="S1933" i="2" l="1"/>
  <c r="U1933" i="2"/>
  <c r="T1933" i="2"/>
  <c r="S1934" i="2" l="1"/>
  <c r="T1934" i="2"/>
  <c r="U1934" i="2"/>
  <c r="S1935" i="2" l="1"/>
  <c r="U1935" i="2"/>
  <c r="T1935" i="2"/>
  <c r="S1936" i="2" l="1"/>
  <c r="U1936" i="2"/>
  <c r="T1936" i="2"/>
  <c r="S1937" i="2" l="1"/>
  <c r="U1937" i="2"/>
  <c r="T1937" i="2"/>
  <c r="S1938" i="2" l="1"/>
  <c r="T1938" i="2"/>
  <c r="U1938" i="2"/>
  <c r="S1939" i="2" l="1"/>
  <c r="T1939" i="2"/>
  <c r="U1939" i="2"/>
  <c r="S1940" i="2" l="1"/>
  <c r="T1940" i="2"/>
  <c r="U1940" i="2"/>
  <c r="S1941" i="2" l="1"/>
  <c r="T1941" i="2"/>
  <c r="U1941" i="2"/>
  <c r="S1942" i="2" l="1"/>
  <c r="U1942" i="2"/>
  <c r="T1942" i="2"/>
  <c r="S1943" i="2" l="1"/>
  <c r="U1943" i="2"/>
  <c r="T1943" i="2"/>
  <c r="S1944" i="2" l="1"/>
  <c r="U1944" i="2"/>
  <c r="T1944" i="2"/>
  <c r="S1945" i="2" l="1"/>
  <c r="U1945" i="2"/>
  <c r="T1945" i="2"/>
  <c r="S1946" i="2" l="1"/>
  <c r="T1946" i="2"/>
  <c r="U1946" i="2"/>
  <c r="S1947" i="2" l="1"/>
  <c r="U1947" i="2"/>
  <c r="T1947" i="2"/>
  <c r="S1948" i="2" l="1"/>
  <c r="U1948" i="2"/>
  <c r="T1948" i="2"/>
  <c r="S1949" i="2" l="1"/>
  <c r="T1949" i="2"/>
  <c r="U1949" i="2"/>
  <c r="S1950" i="2" l="1"/>
  <c r="U1950" i="2"/>
  <c r="T1950" i="2"/>
  <c r="S1951" i="2" l="1"/>
  <c r="U1951" i="2"/>
  <c r="T1951" i="2"/>
  <c r="S1952" i="2" l="1"/>
  <c r="U1952" i="2"/>
  <c r="T1952" i="2"/>
  <c r="S1953" i="2" l="1"/>
  <c r="T1953" i="2"/>
  <c r="U1953" i="2"/>
  <c r="S1954" i="2" l="1"/>
  <c r="U1954" i="2"/>
  <c r="T1954" i="2"/>
  <c r="S1955" i="2" l="1"/>
  <c r="T1955" i="2"/>
  <c r="U1955" i="2"/>
  <c r="S1956" i="2" l="1"/>
  <c r="U1956" i="2"/>
  <c r="T1956" i="2"/>
  <c r="S1957" i="2" l="1"/>
  <c r="T1957" i="2"/>
  <c r="U1957" i="2"/>
  <c r="S1958" i="2" l="1"/>
  <c r="U1958" i="2"/>
  <c r="T1958" i="2"/>
  <c r="S1959" i="2" l="1"/>
  <c r="U1959" i="2"/>
  <c r="T1959" i="2"/>
  <c r="S1960" i="2" l="1"/>
  <c r="U1960" i="2"/>
  <c r="T1960" i="2"/>
  <c r="S1961" i="2" l="1"/>
  <c r="U1961" i="2"/>
  <c r="T1961" i="2"/>
  <c r="S1962" i="2" l="1"/>
  <c r="T1962" i="2"/>
  <c r="U1962" i="2"/>
  <c r="S1963" i="2" l="1"/>
  <c r="T1963" i="2"/>
  <c r="U1963" i="2"/>
  <c r="S1964" i="2" l="1"/>
  <c r="U1964" i="2"/>
  <c r="T1964" i="2"/>
  <c r="S1965" i="2" l="1"/>
  <c r="T1965" i="2"/>
  <c r="U1965" i="2"/>
  <c r="S1966" i="2" l="1"/>
  <c r="U1966" i="2"/>
  <c r="T1966" i="2"/>
  <c r="S1967" i="2" l="1"/>
  <c r="T1967" i="2"/>
  <c r="U1967" i="2"/>
  <c r="S1968" i="2" l="1"/>
  <c r="U1968" i="2"/>
  <c r="T1968" i="2"/>
  <c r="S1969" i="2" l="1"/>
  <c r="U1969" i="2"/>
  <c r="T1969" i="2"/>
  <c r="S1970" i="2" l="1"/>
  <c r="T1970" i="2"/>
  <c r="U1970" i="2"/>
  <c r="S1971" i="2" l="1"/>
  <c r="T1971" i="2"/>
  <c r="U1971" i="2"/>
  <c r="S1972" i="2" l="1"/>
  <c r="T1972" i="2"/>
  <c r="U1972" i="2"/>
  <c r="S1973" i="2" l="1"/>
  <c r="T1973" i="2"/>
  <c r="U1973" i="2"/>
  <c r="S1974" i="2" l="1"/>
  <c r="U1974" i="2"/>
  <c r="T1974" i="2"/>
  <c r="S1975" i="2" l="1"/>
  <c r="U1975" i="2"/>
  <c r="T1975" i="2"/>
  <c r="S1976" i="2" l="1"/>
  <c r="U1976" i="2"/>
  <c r="T1976" i="2"/>
  <c r="S1977" i="2" l="1"/>
  <c r="T1977" i="2"/>
  <c r="U1977" i="2"/>
  <c r="S1978" i="2" l="1"/>
  <c r="T1978" i="2"/>
  <c r="U1978" i="2"/>
  <c r="S1979" i="2" l="1"/>
  <c r="T1979" i="2"/>
  <c r="U1979" i="2"/>
  <c r="S1980" i="2" l="1"/>
  <c r="T1980" i="2"/>
  <c r="U1980" i="2"/>
  <c r="S1981" i="2" l="1"/>
  <c r="U1981" i="2"/>
  <c r="T1981" i="2"/>
  <c r="S1982" i="2" l="1"/>
  <c r="T1982" i="2"/>
  <c r="U1982" i="2"/>
  <c r="S1983" i="2" l="1"/>
  <c r="T1983" i="2"/>
  <c r="U1983" i="2"/>
  <c r="S1984" i="2" l="1"/>
  <c r="T1984" i="2"/>
  <c r="U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T1991" i="2"/>
  <c r="U1991" i="2"/>
  <c r="S1992" i="2" l="1"/>
  <c r="U1992" i="2"/>
  <c r="T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T1997" i="2"/>
  <c r="U1997" i="2"/>
  <c r="S1998" i="2" l="1"/>
  <c r="U1998" i="2"/>
  <c r="T1998" i="2"/>
  <c r="S1999" i="2" l="1"/>
  <c r="T1999" i="2"/>
  <c r="U1999" i="2"/>
  <c r="S2000" i="2" l="1"/>
  <c r="U2000" i="2"/>
  <c r="T2000" i="2"/>
  <c r="S2001" i="2" l="1"/>
  <c r="U2001" i="2"/>
  <c r="T2001" i="2"/>
  <c r="S2002" i="2" l="1"/>
  <c r="T2002" i="2"/>
  <c r="U2002" i="2"/>
  <c r="S2003" i="2" l="1"/>
  <c r="T2003" i="2"/>
  <c r="U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T2009" i="2"/>
  <c r="U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T2015" i="2"/>
  <c r="U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T2021" i="2"/>
  <c r="U2021" i="2"/>
  <c r="S2022" i="2" l="1"/>
  <c r="U2022" i="2"/>
  <c r="T2022" i="2"/>
  <c r="S2023" i="2" l="1"/>
  <c r="T2023" i="2"/>
  <c r="U2023" i="2"/>
  <c r="S2024" i="2" l="1"/>
  <c r="U2024" i="2"/>
  <c r="T2024" i="2"/>
  <c r="S2025" i="2" l="1"/>
  <c r="T2025" i="2"/>
  <c r="U2025" i="2"/>
  <c r="S2026" i="2" l="1"/>
  <c r="U2026" i="2"/>
  <c r="T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T2031" i="2"/>
  <c r="U2031" i="2"/>
  <c r="S2032" i="2" l="1"/>
  <c r="U2032" i="2"/>
  <c r="T2032" i="2"/>
  <c r="S2033" i="2" l="1"/>
  <c r="U2033" i="2"/>
  <c r="T2033" i="2"/>
  <c r="S2034" i="2" l="1"/>
  <c r="T2034" i="2"/>
  <c r="U2034" i="2"/>
  <c r="S2035" i="2" l="1"/>
  <c r="T2035" i="2"/>
  <c r="U2035" i="2"/>
  <c r="S2036" i="2" l="1"/>
  <c r="T2036" i="2"/>
  <c r="U2036" i="2"/>
  <c r="S2037" i="2" l="1"/>
  <c r="T2037" i="2"/>
  <c r="U2037" i="2"/>
  <c r="S2038" i="2" l="1"/>
  <c r="U2038" i="2"/>
  <c r="T2038" i="2"/>
  <c r="S2039" i="2" l="1"/>
  <c r="T2039" i="2"/>
  <c r="U2039" i="2"/>
  <c r="S2040" i="2" l="1"/>
  <c r="U2040" i="2"/>
  <c r="T2040" i="2"/>
  <c r="S2041" i="2" l="1"/>
  <c r="T2041" i="2"/>
  <c r="U2041" i="2"/>
  <c r="S2042" i="2" l="1"/>
  <c r="T2042" i="2"/>
  <c r="U2042" i="2"/>
  <c r="S2043" i="2" l="1"/>
  <c r="T2043" i="2"/>
  <c r="U2043" i="2"/>
  <c r="S2044" i="2" l="1"/>
  <c r="T2044" i="2"/>
  <c r="U2044" i="2"/>
  <c r="S2045" i="2" l="1"/>
  <c r="T2045" i="2"/>
  <c r="U2045" i="2"/>
  <c r="S2046" i="2" l="1"/>
  <c r="U2046" i="2"/>
  <c r="T2046" i="2"/>
  <c r="S2047" i="2" l="1"/>
  <c r="T2047" i="2"/>
  <c r="U2047" i="2"/>
  <c r="S2048" i="2" l="1"/>
  <c r="U2048" i="2"/>
  <c r="T2048" i="2"/>
  <c r="S2049" i="2" l="1"/>
  <c r="U2049" i="2"/>
  <c r="T2049" i="2"/>
  <c r="S2050" i="2" l="1"/>
  <c r="U2050" i="2"/>
  <c r="T2050" i="2"/>
  <c r="S2051" i="2" l="1"/>
  <c r="T2051" i="2"/>
  <c r="U2051" i="2"/>
  <c r="S2052" i="2" l="1"/>
  <c r="U2052" i="2"/>
  <c r="T2052" i="2"/>
  <c r="S2053" i="2" l="1"/>
  <c r="T2053" i="2"/>
  <c r="U2053" i="2"/>
  <c r="S2054" i="2" l="1"/>
  <c r="U2054" i="2"/>
  <c r="T2054" i="2"/>
  <c r="S2055" i="2" l="1"/>
  <c r="T2055" i="2"/>
  <c r="U2055" i="2"/>
  <c r="S2056" i="2" l="1"/>
  <c r="U2056" i="2"/>
  <c r="T2056" i="2"/>
  <c r="S2057" i="2" l="1"/>
  <c r="U2057" i="2"/>
  <c r="T2057" i="2"/>
  <c r="S2058" i="2" l="1"/>
  <c r="T2058" i="2"/>
  <c r="U2058" i="2"/>
  <c r="S2059" i="2" l="1"/>
  <c r="T2059" i="2"/>
  <c r="U2059" i="2"/>
  <c r="S2060" i="2" l="1"/>
  <c r="U2060" i="2"/>
  <c r="T2060" i="2"/>
  <c r="S2061" i="2" l="1"/>
  <c r="T2061" i="2"/>
  <c r="U2061" i="2"/>
  <c r="S2062" i="2" l="1"/>
  <c r="U2062" i="2"/>
  <c r="T2062" i="2"/>
  <c r="S2063" i="2" l="1"/>
  <c r="T2063" i="2"/>
  <c r="U2063" i="2"/>
  <c r="S2064" i="2" l="1"/>
  <c r="T2064" i="2"/>
  <c r="U2064" i="2"/>
  <c r="S2065" i="2" l="1"/>
  <c r="U2065" i="2"/>
  <c r="T2065" i="2"/>
  <c r="S2066" i="2" l="1"/>
  <c r="T2066" i="2"/>
  <c r="U2066" i="2"/>
  <c r="S2067" i="2" l="1"/>
  <c r="T2067" i="2"/>
  <c r="U2067" i="2"/>
  <c r="S2068" i="2" l="1"/>
  <c r="T2068" i="2"/>
  <c r="U2068" i="2"/>
  <c r="S2069" i="2" l="1"/>
  <c r="T2069" i="2"/>
  <c r="U2069" i="2"/>
  <c r="S2070" i="2" l="1"/>
  <c r="U2070" i="2"/>
  <c r="T2070" i="2"/>
  <c r="S2071" i="2" l="1"/>
  <c r="T2071" i="2"/>
  <c r="U2071" i="2"/>
  <c r="S2072" i="2" l="1"/>
  <c r="U2072" i="2"/>
  <c r="T2072" i="2"/>
  <c r="S2073" i="2" l="1"/>
  <c r="T2073" i="2"/>
  <c r="U2073" i="2"/>
  <c r="S2074" i="2" l="1"/>
  <c r="T2074" i="2"/>
  <c r="U2074" i="2"/>
  <c r="S2075" i="2" l="1"/>
  <c r="T2075" i="2"/>
  <c r="U2075" i="2"/>
  <c r="S2076" i="2" l="1"/>
  <c r="T2076" i="2"/>
  <c r="U2076" i="2"/>
  <c r="S2077" i="2" l="1"/>
  <c r="T2077" i="2"/>
  <c r="U2077" i="2"/>
  <c r="S2078" i="2" l="1"/>
  <c r="T2078" i="2"/>
  <c r="U2078" i="2"/>
  <c r="S2079" i="2" l="1"/>
  <c r="U2079" i="2"/>
  <c r="T2079" i="2"/>
  <c r="S2080" i="2" l="1"/>
  <c r="U2080" i="2"/>
  <c r="T2080" i="2"/>
  <c r="S2081" i="2" l="1"/>
  <c r="U2081" i="2"/>
  <c r="T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U2089" i="2"/>
  <c r="T2089" i="2"/>
  <c r="S2090" i="2" l="1"/>
  <c r="T2090" i="2"/>
  <c r="U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T2095" i="2"/>
  <c r="U2095" i="2"/>
  <c r="S2096" i="2" l="1"/>
  <c r="U2096" i="2"/>
  <c r="T2096" i="2"/>
  <c r="S2097" i="2" l="1"/>
  <c r="U2097" i="2"/>
  <c r="T2097" i="2"/>
  <c r="S2098" i="2" l="1"/>
  <c r="T2098" i="2"/>
  <c r="U2098" i="2"/>
  <c r="S2099" i="2" l="1"/>
  <c r="T2099" i="2"/>
  <c r="U2099" i="2"/>
  <c r="S2100" i="2" l="1"/>
  <c r="T2100" i="2"/>
  <c r="U2100" i="2"/>
  <c r="S2101" i="2" l="1"/>
  <c r="T2101" i="2"/>
  <c r="U2101" i="2"/>
  <c r="S2102" i="2" l="1"/>
  <c r="U2102" i="2"/>
  <c r="T2102" i="2"/>
  <c r="S2103" i="2" l="1"/>
  <c r="T2103" i="2"/>
  <c r="U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T2108" i="2"/>
  <c r="U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U2113" i="2"/>
  <c r="T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U2118" i="2"/>
  <c r="T2118" i="2"/>
  <c r="S2119" i="2" l="1"/>
  <c r="T2119" i="2"/>
  <c r="U2119" i="2"/>
  <c r="S2120" i="2" l="1"/>
  <c r="U2120" i="2"/>
  <c r="T2120" i="2"/>
  <c r="S2121" i="2" l="1"/>
  <c r="U2121" i="2"/>
  <c r="T2121" i="2"/>
  <c r="S2122" i="2" l="1"/>
  <c r="T2122" i="2"/>
  <c r="U2122" i="2"/>
  <c r="S2123" i="2" l="1"/>
  <c r="T2123" i="2"/>
  <c r="U2123" i="2"/>
  <c r="S2124" i="2" l="1"/>
  <c r="U2124" i="2"/>
  <c r="T2124" i="2"/>
  <c r="S2125" i="2" l="1"/>
  <c r="T2125" i="2"/>
  <c r="U2125" i="2"/>
  <c r="S2126" i="2" l="1"/>
  <c r="U2126" i="2"/>
  <c r="T2126" i="2"/>
  <c r="S2127" i="2" l="1"/>
  <c r="T2127" i="2"/>
  <c r="U2127" i="2"/>
  <c r="S2128" i="2" l="1"/>
  <c r="U2128" i="2"/>
  <c r="T2128" i="2"/>
  <c r="S2129" i="2" l="1"/>
  <c r="U2129" i="2"/>
  <c r="T2129" i="2"/>
  <c r="S2130" i="2" l="1"/>
  <c r="T2130" i="2"/>
  <c r="U2130" i="2"/>
  <c r="S2131" i="2" l="1"/>
  <c r="U2131" i="2"/>
  <c r="T2131" i="2"/>
  <c r="S2132" i="2" l="1"/>
  <c r="U2132" i="2"/>
  <c r="T2132" i="2"/>
  <c r="S2133" i="2" l="1"/>
  <c r="T2133" i="2"/>
  <c r="U2133" i="2"/>
  <c r="S2134" i="2" l="1"/>
  <c r="U2134" i="2"/>
  <c r="T2134" i="2"/>
  <c r="S2135" i="2" l="1"/>
  <c r="T2135" i="2"/>
  <c r="U2135" i="2"/>
  <c r="S2136" i="2" l="1"/>
  <c r="U2136" i="2"/>
  <c r="T2136" i="2"/>
  <c r="S2137" i="2" l="1"/>
  <c r="U2137" i="2"/>
  <c r="T2137" i="2"/>
  <c r="S2138" i="2" l="1"/>
  <c r="U2138" i="2"/>
  <c r="T2138" i="2"/>
  <c r="S2139" i="2" l="1"/>
  <c r="T2139" i="2"/>
  <c r="U2139" i="2"/>
  <c r="S2140" i="2" l="1"/>
  <c r="U2140" i="2"/>
  <c r="T2140" i="2"/>
  <c r="S2141" i="2" l="1"/>
  <c r="T2141" i="2"/>
  <c r="U2141" i="2"/>
  <c r="S2142" i="2" l="1"/>
  <c r="U2142" i="2"/>
  <c r="T2142" i="2"/>
  <c r="S2143" i="2" l="1"/>
  <c r="T2143" i="2"/>
  <c r="U2143" i="2"/>
  <c r="S2144" i="2" l="1"/>
  <c r="U2144" i="2"/>
  <c r="T2144" i="2"/>
  <c r="S2145" i="2" l="1"/>
  <c r="U2145" i="2"/>
  <c r="T2145" i="2"/>
  <c r="S2146" i="2" l="1"/>
  <c r="T2146" i="2"/>
  <c r="U2146" i="2"/>
  <c r="S2147" i="2" l="1"/>
  <c r="U2147" i="2"/>
  <c r="T2147" i="2"/>
  <c r="S2148" i="2" l="1"/>
  <c r="U2148" i="2"/>
  <c r="T2148" i="2"/>
  <c r="S2149" i="2" l="1"/>
  <c r="T2149" i="2"/>
  <c r="U2149" i="2"/>
  <c r="S2150" i="2" l="1"/>
  <c r="U2150" i="2"/>
  <c r="T2150" i="2"/>
  <c r="S2151" i="2" l="1"/>
  <c r="T2151" i="2"/>
  <c r="U2151" i="2"/>
  <c r="S2152" i="2" l="1"/>
  <c r="U2152" i="2"/>
  <c r="T2152" i="2"/>
  <c r="S2153" i="2" l="1"/>
  <c r="U2153" i="2"/>
  <c r="T2153" i="2"/>
  <c r="S2154" i="2" l="1"/>
  <c r="T2154" i="2"/>
  <c r="U2154" i="2"/>
  <c r="S2155" i="2" l="1"/>
  <c r="T2155" i="2"/>
  <c r="U2155" i="2"/>
  <c r="S2156" i="2" l="1"/>
  <c r="U2156" i="2"/>
  <c r="T2156" i="2"/>
  <c r="S2157" i="2" l="1"/>
  <c r="T2157" i="2"/>
  <c r="U2157" i="2"/>
  <c r="S2158" i="2" l="1"/>
  <c r="U2158" i="2"/>
  <c r="T2158" i="2"/>
  <c r="S2159" i="2" l="1"/>
  <c r="T2159" i="2"/>
  <c r="U2159" i="2"/>
  <c r="S2160" i="2" l="1"/>
  <c r="U2160" i="2"/>
  <c r="T2160" i="2"/>
  <c r="S2161" i="2" l="1"/>
  <c r="T2161" i="2"/>
  <c r="U2161" i="2"/>
  <c r="S2162" i="2" l="1"/>
  <c r="T2162" i="2"/>
  <c r="U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T2167" i="2"/>
  <c r="U2167" i="2"/>
  <c r="S2168" i="2" l="1"/>
  <c r="U2168" i="2"/>
  <c r="T2168" i="2"/>
  <c r="S2169" i="2" l="1"/>
  <c r="U2169" i="2"/>
  <c r="T2169" i="2"/>
  <c r="S2170" i="2" l="1"/>
  <c r="T2170" i="2"/>
  <c r="U2170" i="2"/>
  <c r="S2171" i="2" l="1"/>
  <c r="T2171" i="2"/>
  <c r="U2171" i="2"/>
  <c r="S2172" i="2" l="1"/>
  <c r="T2172" i="2"/>
  <c r="U2172" i="2"/>
  <c r="S2173" i="2" l="1"/>
  <c r="T2173" i="2"/>
  <c r="U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T2178" i="2"/>
  <c r="U2178" i="2"/>
  <c r="S2179" i="2" l="1"/>
  <c r="T2179" i="2"/>
  <c r="U2179" i="2"/>
  <c r="S2180" i="2" l="1"/>
  <c r="U2180" i="2"/>
  <c r="T2180" i="2"/>
  <c r="S2181" i="2" l="1"/>
  <c r="T2181" i="2"/>
  <c r="U2181" i="2"/>
  <c r="S2182" i="2" l="1"/>
  <c r="U2182" i="2"/>
  <c r="T2182" i="2"/>
  <c r="S2183" i="2" l="1"/>
  <c r="T2183" i="2"/>
  <c r="U2183" i="2"/>
  <c r="S2184" i="2" l="1"/>
  <c r="U2184" i="2"/>
  <c r="T2184" i="2"/>
  <c r="S2185" i="2" l="1"/>
  <c r="U2185" i="2"/>
  <c r="T2185" i="2"/>
  <c r="S2186" i="2" l="1"/>
  <c r="T2186" i="2"/>
  <c r="U2186" i="2"/>
  <c r="S2187" i="2" l="1"/>
  <c r="U2187" i="2"/>
  <c r="T2187" i="2"/>
  <c r="S2188" i="2" l="1"/>
  <c r="U2188" i="2"/>
  <c r="T2188" i="2"/>
  <c r="S2189" i="2" l="1"/>
  <c r="T2189" i="2"/>
  <c r="U2189" i="2"/>
  <c r="S2190" i="2" l="1"/>
  <c r="U2190" i="2"/>
  <c r="T2190" i="2"/>
  <c r="S2191" i="2" l="1"/>
  <c r="T2191" i="2"/>
  <c r="U2191" i="2"/>
  <c r="S2192" i="2" l="1"/>
  <c r="T2192" i="2"/>
  <c r="U2192" i="2"/>
  <c r="S2193" i="2" l="1"/>
  <c r="U2193" i="2"/>
  <c r="T2193" i="2"/>
  <c r="S2194" i="2" l="1"/>
  <c r="T2194" i="2"/>
  <c r="U2194" i="2"/>
  <c r="S2195" i="2" l="1"/>
  <c r="T2195" i="2"/>
  <c r="U2195" i="2"/>
  <c r="S2196" i="2" l="1"/>
  <c r="T2196" i="2"/>
  <c r="U2196" i="2"/>
  <c r="S2197" i="2" l="1"/>
  <c r="T2197" i="2"/>
  <c r="U2197" i="2"/>
  <c r="S2198" i="2" l="1"/>
  <c r="U2198" i="2"/>
  <c r="T2198" i="2"/>
  <c r="S2199" i="2" l="1"/>
  <c r="T2199" i="2"/>
  <c r="U2199" i="2"/>
  <c r="S2200" i="2" l="1"/>
  <c r="U2200" i="2"/>
  <c r="T2200" i="2"/>
  <c r="S2201" i="2" l="1"/>
  <c r="T2201" i="2"/>
  <c r="U2201" i="2"/>
  <c r="S2202" i="2" l="1"/>
  <c r="U2202" i="2"/>
  <c r="T2202" i="2"/>
  <c r="S2203" i="2" l="1"/>
  <c r="T2203" i="2"/>
  <c r="U2203" i="2"/>
  <c r="S2204" i="2" l="1"/>
  <c r="T2204" i="2"/>
  <c r="U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T2215" i="2"/>
  <c r="U2215" i="2"/>
  <c r="S2216" i="2" l="1"/>
  <c r="U2216" i="2"/>
  <c r="T2216" i="2"/>
  <c r="S2217" i="2" l="1"/>
  <c r="T2217" i="2"/>
  <c r="U2217" i="2"/>
  <c r="S2218" i="2" l="1"/>
  <c r="T2218" i="2"/>
  <c r="U2218" i="2"/>
  <c r="S2219" i="2" l="1"/>
  <c r="T2219" i="2"/>
  <c r="U2219" i="2"/>
  <c r="S2220" i="2" l="1"/>
  <c r="U2220" i="2"/>
  <c r="T2220" i="2"/>
  <c r="S2221" i="2" l="1"/>
  <c r="U2221" i="2"/>
  <c r="T2221" i="2"/>
  <c r="S2222" i="2" l="1"/>
  <c r="U2222" i="2"/>
  <c r="T2222" i="2"/>
  <c r="S2223" i="2" l="1"/>
  <c r="U2223" i="2"/>
  <c r="T2223" i="2"/>
  <c r="S2224" i="2" l="1"/>
  <c r="T2224" i="2"/>
  <c r="U2224" i="2"/>
  <c r="S2225" i="2" l="1"/>
  <c r="U2225" i="2"/>
  <c r="T2225" i="2"/>
  <c r="S2226" i="2" l="1"/>
  <c r="U2226" i="2"/>
  <c r="T2226" i="2"/>
  <c r="S2227" i="2" l="1"/>
  <c r="T2227" i="2"/>
  <c r="U2227" i="2"/>
  <c r="S2228" i="2" l="1"/>
  <c r="T2228" i="2"/>
  <c r="U2228" i="2"/>
  <c r="S2229" i="2" l="1"/>
  <c r="U2229" i="2"/>
  <c r="T2229" i="2"/>
  <c r="S2230" i="2" l="1"/>
  <c r="U2230" i="2"/>
  <c r="T2230" i="2"/>
  <c r="S2231" i="2" l="1"/>
  <c r="U2231" i="2"/>
  <c r="T2231" i="2"/>
  <c r="S2232" i="2" l="1"/>
  <c r="U2232" i="2"/>
  <c r="T2232" i="2"/>
  <c r="S2233" i="2" l="1"/>
  <c r="T2233" i="2"/>
  <c r="U2233" i="2"/>
  <c r="S2234" i="2" l="1"/>
  <c r="T2234" i="2"/>
  <c r="U2234" i="2"/>
  <c r="S2235" i="2" l="1"/>
  <c r="T2235" i="2"/>
  <c r="U2235" i="2"/>
  <c r="S2236" i="2" l="1"/>
  <c r="T2236" i="2"/>
  <c r="U2236" i="2"/>
  <c r="S2237" i="2" l="1"/>
  <c r="T2237" i="2"/>
  <c r="U2237" i="2"/>
  <c r="S2238" i="2" l="1"/>
  <c r="U2238" i="2"/>
  <c r="T2238" i="2"/>
  <c r="S2239" i="2" l="1"/>
  <c r="T2239" i="2"/>
  <c r="U2239" i="2"/>
  <c r="S2240" i="2" l="1"/>
  <c r="U2240" i="2"/>
  <c r="T2240" i="2"/>
  <c r="S2241" i="2" l="1"/>
  <c r="U2241" i="2"/>
  <c r="T2241" i="2"/>
  <c r="S2242" i="2" l="1"/>
  <c r="T2242" i="2"/>
  <c r="U2242" i="2"/>
  <c r="S2243" i="2" l="1"/>
  <c r="T2243" i="2"/>
  <c r="U2243" i="2"/>
  <c r="S2244" i="2" l="1"/>
  <c r="U2244" i="2"/>
  <c r="T2244" i="2"/>
  <c r="S2245" i="2" l="1"/>
  <c r="T2245" i="2"/>
  <c r="U2245" i="2"/>
  <c r="S2246" i="2" l="1"/>
  <c r="U2246" i="2"/>
  <c r="T2246" i="2"/>
  <c r="S2247" i="2" l="1"/>
  <c r="T2247" i="2"/>
  <c r="U2247" i="2"/>
  <c r="S2248" i="2" l="1"/>
  <c r="U2248" i="2"/>
  <c r="T2248" i="2"/>
  <c r="S2249" i="2" l="1"/>
  <c r="U2249" i="2"/>
  <c r="T2249" i="2"/>
  <c r="S2250" i="2" l="1"/>
  <c r="T2250" i="2"/>
  <c r="U2250" i="2"/>
  <c r="S2251" i="2" l="1"/>
  <c r="T2251" i="2"/>
  <c r="U2251" i="2"/>
  <c r="S2252" i="2" l="1"/>
  <c r="T2252" i="2"/>
  <c r="U2252" i="2"/>
  <c r="S2253" i="2" l="1"/>
  <c r="T2253" i="2"/>
  <c r="U2253" i="2"/>
  <c r="S2254" i="2" l="1"/>
  <c r="U2254" i="2"/>
  <c r="T2254" i="2"/>
  <c r="S2255" i="2" l="1"/>
  <c r="T2255" i="2"/>
  <c r="U2255" i="2"/>
  <c r="S2256" i="2" l="1"/>
  <c r="U2256" i="2"/>
  <c r="T2256" i="2"/>
  <c r="S2257" i="2" l="1"/>
  <c r="U2257" i="2"/>
  <c r="T2257" i="2"/>
  <c r="S2258" i="2" l="1"/>
  <c r="T2258" i="2"/>
  <c r="U2258" i="2"/>
  <c r="S2259" i="2" l="1"/>
  <c r="T2259" i="2"/>
  <c r="U2259" i="2"/>
  <c r="S2260" i="2" l="1"/>
  <c r="T2260" i="2"/>
  <c r="U2260" i="2"/>
  <c r="S2261" i="2" l="1"/>
  <c r="T2261" i="2"/>
  <c r="U2261" i="2"/>
  <c r="S2262" i="2" l="1"/>
  <c r="U2262" i="2"/>
  <c r="T2262" i="2"/>
  <c r="S2263" i="2" l="1"/>
  <c r="T2263" i="2"/>
  <c r="U2263" i="2"/>
  <c r="S2264" i="2" l="1"/>
  <c r="U2264" i="2"/>
  <c r="T2264" i="2"/>
  <c r="S2265" i="2" l="1"/>
  <c r="T2265" i="2"/>
  <c r="U2265" i="2"/>
  <c r="S2266" i="2" l="1"/>
  <c r="T2266" i="2"/>
  <c r="U2266" i="2"/>
  <c r="S2267" i="2" l="1"/>
  <c r="T2267" i="2"/>
  <c r="U2267" i="2"/>
  <c r="S2268" i="2" l="1"/>
  <c r="T2268" i="2"/>
  <c r="U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U2273" i="2"/>
  <c r="T2273" i="2"/>
  <c r="S2274" i="2" l="1"/>
  <c r="T2274" i="2"/>
  <c r="U2274" i="2"/>
  <c r="S2275" i="2" l="1"/>
  <c r="T2275" i="2"/>
  <c r="U2275" i="2"/>
  <c r="S2276" i="2" l="1"/>
  <c r="U2276" i="2"/>
  <c r="T2276" i="2"/>
  <c r="S2277" i="2" l="1"/>
  <c r="T2277" i="2"/>
  <c r="U2277" i="2"/>
  <c r="S2278" i="2" l="1"/>
  <c r="U2278" i="2"/>
  <c r="T2278" i="2"/>
  <c r="S2279" i="2" l="1"/>
  <c r="T2279" i="2"/>
  <c r="U2279" i="2"/>
  <c r="S2280" i="2" l="1"/>
  <c r="T2280" i="2"/>
  <c r="U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U2286" i="2"/>
  <c r="T2286" i="2"/>
  <c r="S2287" i="2" l="1"/>
  <c r="T2287" i="2"/>
  <c r="U2287" i="2"/>
  <c r="S2288" i="2" l="1"/>
  <c r="U2288" i="2"/>
  <c r="T2288" i="2"/>
  <c r="S2289" i="2" l="1"/>
  <c r="U2289" i="2"/>
  <c r="T2289" i="2"/>
  <c r="S2290" i="2" l="1"/>
  <c r="T2290" i="2"/>
  <c r="U2290" i="2"/>
  <c r="S2291" i="2" l="1"/>
  <c r="T2291" i="2"/>
  <c r="U2291" i="2"/>
  <c r="S2292" i="2" l="1"/>
  <c r="T2292" i="2"/>
  <c r="U2292" i="2"/>
  <c r="S2293" i="2" l="1"/>
  <c r="T2293" i="2"/>
  <c r="U2293" i="2"/>
  <c r="S2294" i="2" l="1"/>
  <c r="U2294" i="2"/>
  <c r="T2294" i="2"/>
  <c r="S2295" i="2" l="1"/>
  <c r="T2295" i="2"/>
  <c r="U2295" i="2"/>
  <c r="S2296" i="2" l="1"/>
  <c r="U2296" i="2"/>
  <c r="T2296" i="2"/>
  <c r="S2297" i="2" l="1"/>
  <c r="T2297" i="2"/>
  <c r="U2297" i="2"/>
  <c r="S2298" i="2" l="1"/>
  <c r="T2298" i="2"/>
  <c r="U2298" i="2"/>
  <c r="S2299" i="2" l="1"/>
  <c r="T2299" i="2"/>
  <c r="U2299" i="2"/>
  <c r="S2300" i="2" l="1"/>
  <c r="U2300" i="2"/>
  <c r="T2300" i="2"/>
  <c r="S2301" i="2" l="1"/>
  <c r="U2301" i="2"/>
  <c r="T2301" i="2"/>
  <c r="S2302" i="2" l="1"/>
  <c r="U2302" i="2"/>
  <c r="T2302" i="2"/>
  <c r="S2303" i="2" l="1"/>
  <c r="T2303" i="2"/>
  <c r="U2303" i="2"/>
  <c r="S2304" i="2" l="1"/>
  <c r="U2304" i="2"/>
  <c r="T2304" i="2"/>
  <c r="S2305" i="2" l="1"/>
  <c r="U2305" i="2"/>
  <c r="T2305" i="2"/>
  <c r="S2306" i="2" l="1"/>
  <c r="U2306" i="2"/>
  <c r="T2306" i="2"/>
  <c r="S2307" i="2" l="1"/>
  <c r="U2307" i="2"/>
  <c r="T2307" i="2"/>
  <c r="S2308" i="2" l="1"/>
  <c r="T2308" i="2"/>
  <c r="U2308" i="2"/>
  <c r="S2309" i="2" l="1"/>
  <c r="T2309" i="2"/>
  <c r="U2309" i="2"/>
  <c r="S2310" i="2" l="1"/>
  <c r="U2310" i="2"/>
  <c r="T2310" i="2"/>
  <c r="S2311" i="2" l="1"/>
  <c r="T2311" i="2"/>
  <c r="U2311" i="2"/>
  <c r="S2312" i="2" l="1"/>
  <c r="U2312" i="2"/>
  <c r="T2312" i="2"/>
  <c r="S2313" i="2" l="1"/>
  <c r="U2313" i="2"/>
  <c r="T2313" i="2"/>
  <c r="S2314" i="2" l="1"/>
  <c r="T2314" i="2"/>
  <c r="U2314" i="2"/>
  <c r="S2315" i="2" l="1"/>
  <c r="T2315" i="2"/>
  <c r="U2315" i="2"/>
  <c r="S2316" i="2" l="1"/>
  <c r="U2316" i="2"/>
  <c r="T2316" i="2"/>
  <c r="S2317" i="2" l="1"/>
  <c r="T2317" i="2"/>
  <c r="U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T2322" i="2"/>
  <c r="U2322" i="2"/>
  <c r="S2323" i="2" l="1"/>
  <c r="T2323" i="2"/>
  <c r="U2323" i="2"/>
  <c r="S2324" i="2" l="1"/>
  <c r="T2324" i="2"/>
  <c r="U2324" i="2"/>
  <c r="S2325" i="2" l="1"/>
  <c r="T2325" i="2"/>
  <c r="U2325" i="2"/>
  <c r="S2326" i="2" l="1"/>
  <c r="U2326" i="2"/>
  <c r="T2326" i="2"/>
  <c r="S2327" i="2" l="1"/>
  <c r="U2327" i="2"/>
  <c r="T2327" i="2"/>
  <c r="S2328" i="2" l="1"/>
  <c r="U2328" i="2"/>
  <c r="T2328" i="2"/>
  <c r="S2329" i="2" l="1"/>
  <c r="T2329" i="2"/>
  <c r="U2329" i="2"/>
  <c r="S2330" i="2" l="1"/>
  <c r="T2330" i="2"/>
  <c r="U2330" i="2"/>
  <c r="S2331" i="2" l="1"/>
  <c r="T2331" i="2"/>
  <c r="U2331" i="2"/>
  <c r="S2332" i="2" l="1"/>
  <c r="T2332" i="2"/>
  <c r="U2332" i="2"/>
  <c r="S2333" i="2" l="1"/>
  <c r="T2333" i="2"/>
  <c r="U2333" i="2"/>
  <c r="S2334" i="2" l="1"/>
  <c r="U2334" i="2"/>
  <c r="T2334" i="2"/>
  <c r="S2335" i="2" l="1"/>
  <c r="T2335" i="2"/>
  <c r="U2335" i="2"/>
  <c r="S2336" i="2" l="1"/>
  <c r="U2336" i="2"/>
  <c r="T2336" i="2"/>
  <c r="S2337" i="2" l="1"/>
  <c r="U2337" i="2"/>
  <c r="T2337" i="2"/>
  <c r="S2338" i="2" l="1"/>
  <c r="T2338" i="2"/>
  <c r="U2338" i="2"/>
  <c r="S2339" i="2" l="1"/>
  <c r="T2339" i="2"/>
  <c r="U2339" i="2"/>
  <c r="S2340" i="2" l="1"/>
  <c r="U2340" i="2"/>
  <c r="T2340" i="2"/>
  <c r="S2341" i="2" l="1"/>
  <c r="T2341" i="2"/>
  <c r="U2341" i="2"/>
  <c r="S2342" i="2" l="1"/>
  <c r="U2342" i="2"/>
  <c r="T2342" i="2"/>
  <c r="S2343" i="2" l="1"/>
  <c r="T2343" i="2"/>
  <c r="U2343" i="2"/>
  <c r="S2344" i="2" l="1"/>
  <c r="U2344" i="2"/>
  <c r="T2344" i="2"/>
  <c r="S2345" i="2" l="1"/>
  <c r="U2345" i="2"/>
  <c r="T2345" i="2"/>
  <c r="S2346" i="2" l="1"/>
  <c r="T2346" i="2"/>
  <c r="U2346" i="2"/>
  <c r="S2347" i="2" l="1"/>
  <c r="T2347" i="2"/>
  <c r="U2347" i="2"/>
  <c r="S2348" i="2" l="1"/>
  <c r="U2348" i="2"/>
  <c r="T2348" i="2"/>
  <c r="S2349" i="2" l="1"/>
  <c r="T2349" i="2"/>
  <c r="U2349" i="2"/>
  <c r="S2350" i="2" l="1"/>
  <c r="T2350" i="2"/>
  <c r="U2350" i="2"/>
  <c r="S2351" i="2" l="1"/>
  <c r="T2351" i="2"/>
  <c r="U2351" i="2"/>
  <c r="S2352" i="2" l="1"/>
  <c r="T2352" i="2"/>
  <c r="U2352" i="2"/>
  <c r="S2353" i="2" l="1"/>
  <c r="U2353" i="2"/>
  <c r="T2353" i="2"/>
  <c r="S2354" i="2" l="1"/>
  <c r="T2354" i="2"/>
  <c r="U2354" i="2"/>
  <c r="S2355" i="2" l="1"/>
  <c r="U2355" i="2"/>
  <c r="T2355" i="2"/>
  <c r="S2356" i="2" l="1"/>
  <c r="T2356" i="2"/>
  <c r="U2356" i="2"/>
  <c r="S2357" i="2" l="1"/>
  <c r="T2357" i="2"/>
  <c r="U2357" i="2"/>
  <c r="S2358" i="2" l="1"/>
  <c r="U2358" i="2"/>
  <c r="T2358" i="2"/>
  <c r="S2359" i="2" l="1"/>
  <c r="T2359" i="2"/>
  <c r="U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T2373" i="2"/>
  <c r="U2373" i="2"/>
  <c r="S2374" i="2" l="1"/>
  <c r="T2374" i="2"/>
  <c r="U2374" i="2"/>
  <c r="S2375" i="2" l="1"/>
  <c r="U2375" i="2"/>
  <c r="T2375" i="2"/>
  <c r="S2376" i="2" l="1"/>
  <c r="U2376" i="2"/>
  <c r="T2376" i="2"/>
  <c r="S2377" i="2" l="1"/>
  <c r="T2377" i="2"/>
  <c r="U2377" i="2"/>
  <c r="S2378" i="2" l="1"/>
  <c r="T2378" i="2"/>
  <c r="U2378" i="2"/>
  <c r="S2379" i="2" l="1"/>
  <c r="U2379" i="2"/>
  <c r="T2379" i="2"/>
  <c r="S2380" i="2" l="1"/>
  <c r="U2380" i="2"/>
  <c r="T2380" i="2"/>
  <c r="S2381" i="2" l="1"/>
  <c r="T2381" i="2"/>
  <c r="U2381" i="2"/>
  <c r="S2382" i="2" l="1"/>
  <c r="U2382" i="2"/>
  <c r="T2382" i="2"/>
  <c r="S2383" i="2" l="1"/>
  <c r="U2383" i="2"/>
  <c r="T2383" i="2"/>
  <c r="S2384" i="2" l="1"/>
  <c r="U2384" i="2"/>
  <c r="T2384" i="2"/>
  <c r="S2385" i="2" l="1"/>
  <c r="U2385" i="2"/>
  <c r="T2385" i="2"/>
  <c r="S2386" i="2" l="1"/>
  <c r="U2386" i="2"/>
  <c r="T2386" i="2"/>
  <c r="S2387" i="2" l="1"/>
  <c r="U2387" i="2"/>
  <c r="T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U2393" i="2"/>
  <c r="T2393" i="2"/>
  <c r="S2394" i="2" l="1"/>
  <c r="T2394" i="2"/>
  <c r="U2394" i="2"/>
  <c r="S2395" i="2" l="1"/>
  <c r="U2395" i="2"/>
  <c r="T2395" i="2"/>
  <c r="S2396" i="2" l="1"/>
  <c r="U2396" i="2"/>
  <c r="T2396" i="2"/>
  <c r="S2397" i="2" l="1"/>
  <c r="T2397" i="2"/>
  <c r="U2397" i="2"/>
  <c r="S2398" i="2" l="1"/>
  <c r="U2398" i="2"/>
  <c r="T2398" i="2"/>
  <c r="S2399" i="2" l="1"/>
  <c r="U2399" i="2"/>
  <c r="T2399" i="2"/>
  <c r="S2400" i="2" l="1"/>
  <c r="U2400" i="2"/>
  <c r="T2400" i="2"/>
  <c r="S2401" i="2" l="1"/>
  <c r="T2401" i="2"/>
  <c r="U2401" i="2"/>
  <c r="S2402" i="2" l="1"/>
  <c r="T2402" i="2"/>
  <c r="U2402" i="2"/>
  <c r="S2403" i="2" l="1"/>
  <c r="U2403" i="2"/>
  <c r="T2403" i="2"/>
  <c r="S2404" i="2" l="1"/>
  <c r="U2404" i="2"/>
  <c r="T2404" i="2"/>
  <c r="S2405" i="2" l="1"/>
  <c r="T2405" i="2"/>
  <c r="U2405" i="2"/>
  <c r="S2406" i="2" l="1"/>
  <c r="T2406" i="2"/>
  <c r="U2406" i="2"/>
  <c r="S2407" i="2" l="1"/>
  <c r="U2407" i="2"/>
  <c r="T2407" i="2"/>
  <c r="S2408" i="2" l="1"/>
  <c r="U2408" i="2"/>
  <c r="T2408" i="2"/>
  <c r="S2409" i="2" l="1"/>
  <c r="T2409" i="2"/>
  <c r="U2409" i="2"/>
  <c r="S2410" i="2" l="1"/>
  <c r="T2410" i="2"/>
  <c r="U2410" i="2"/>
  <c r="S2411" i="2" l="1"/>
  <c r="U2411" i="2"/>
  <c r="T2411" i="2"/>
  <c r="S2412" i="2" l="1"/>
  <c r="U2412" i="2"/>
  <c r="T2412" i="2"/>
  <c r="S2413" i="2" l="1"/>
  <c r="T2413" i="2"/>
  <c r="U2413" i="2"/>
  <c r="S2414" i="2" l="1"/>
  <c r="T2414" i="2"/>
  <c r="U2414" i="2"/>
  <c r="S2415" i="2" l="1"/>
  <c r="U2415" i="2"/>
  <c r="T2415" i="2"/>
  <c r="S2416" i="2" l="1"/>
  <c r="T2416" i="2"/>
  <c r="U2416" i="2"/>
  <c r="S2417" i="2" l="1"/>
  <c r="T2417" i="2"/>
  <c r="U2417" i="2"/>
  <c r="S2418" i="2" l="1"/>
  <c r="T2418" i="2"/>
  <c r="U2418" i="2"/>
  <c r="S2419" i="2" l="1"/>
  <c r="U2419" i="2"/>
  <c r="T2419" i="2"/>
  <c r="S2420" i="2" l="1"/>
  <c r="U2420" i="2"/>
  <c r="T2420" i="2"/>
  <c r="S2421" i="2" l="1"/>
  <c r="U2421" i="2"/>
  <c r="T2421" i="2"/>
  <c r="S2422" i="2" l="1"/>
  <c r="T2422" i="2"/>
  <c r="U2422" i="2"/>
  <c r="S2423" i="2" l="1"/>
  <c r="T2423" i="2"/>
  <c r="U2423" i="2"/>
  <c r="S2424" i="2" l="1"/>
  <c r="U2424" i="2"/>
  <c r="T2424" i="2"/>
  <c r="S2425" i="2" l="1"/>
  <c r="U2425" i="2"/>
  <c r="T2425" i="2"/>
  <c r="S2426" i="2" l="1"/>
  <c r="T2426" i="2"/>
  <c r="U2426" i="2"/>
  <c r="S2427" i="2" l="1"/>
  <c r="U2427" i="2"/>
  <c r="T2427" i="2"/>
  <c r="S2428" i="2" l="1"/>
  <c r="U2428" i="2"/>
  <c r="T2428" i="2"/>
  <c r="S2429" i="2" l="1"/>
  <c r="T2429" i="2"/>
  <c r="U2429" i="2"/>
  <c r="S2430" i="2" l="1"/>
  <c r="U2430" i="2"/>
  <c r="T2430" i="2"/>
  <c r="S2431" i="2" l="1"/>
  <c r="U2431" i="2"/>
  <c r="T2431" i="2"/>
  <c r="S2432" i="2" l="1"/>
  <c r="U2432" i="2"/>
  <c r="T2432" i="2"/>
  <c r="S2433" i="2" l="1"/>
  <c r="T2433" i="2"/>
  <c r="U2433" i="2"/>
  <c r="S2434" i="2" l="1"/>
  <c r="T2434" i="2"/>
  <c r="U2434" i="2"/>
  <c r="S2435" i="2" l="1"/>
  <c r="U2435" i="2"/>
  <c r="T2435" i="2"/>
  <c r="S2436" i="2" l="1"/>
  <c r="U2436" i="2"/>
  <c r="T2436" i="2"/>
  <c r="S2437" i="2" l="1"/>
  <c r="U2437" i="2"/>
  <c r="T2437" i="2"/>
  <c r="S2438" i="2" l="1"/>
  <c r="U2438" i="2"/>
  <c r="T2438" i="2"/>
  <c r="S2439" i="2" l="1"/>
  <c r="U2439" i="2"/>
  <c r="T2439" i="2"/>
  <c r="S2440" i="2" l="1"/>
  <c r="U2440" i="2"/>
  <c r="T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T2447" i="2"/>
  <c r="U2447" i="2"/>
  <c r="S2448" i="2" l="1"/>
  <c r="U2448" i="2"/>
  <c r="T2448" i="2"/>
  <c r="S2449" i="2" l="1"/>
  <c r="T2449" i="2"/>
  <c r="U2449" i="2"/>
  <c r="S2450" i="2" l="1"/>
  <c r="T2450" i="2"/>
  <c r="U2450" i="2"/>
  <c r="S2451" i="2" l="1"/>
  <c r="U2451" i="2"/>
  <c r="T2451" i="2"/>
  <c r="S2452" i="2" l="1"/>
  <c r="U2452" i="2"/>
  <c r="T2452" i="2"/>
  <c r="S2453" i="2" l="1"/>
  <c r="T2453" i="2"/>
  <c r="U2453" i="2"/>
  <c r="S2454" i="2" l="1"/>
  <c r="U2454" i="2"/>
  <c r="T2454" i="2"/>
  <c r="S2455" i="2" l="1"/>
  <c r="U2455" i="2"/>
  <c r="T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U2462" i="2"/>
  <c r="T2462" i="2"/>
  <c r="S2463" i="2" l="1"/>
  <c r="U2463" i="2"/>
  <c r="T2463" i="2"/>
  <c r="S2464" i="2" l="1"/>
  <c r="T2464" i="2"/>
  <c r="U2464" i="2"/>
  <c r="S2465" i="2" l="1"/>
  <c r="T2465" i="2"/>
  <c r="U2465" i="2"/>
  <c r="S2466" i="2" l="1"/>
  <c r="T2466" i="2"/>
  <c r="U2466" i="2"/>
  <c r="S2467" i="2" l="1"/>
  <c r="U2467" i="2"/>
  <c r="T2467" i="2"/>
  <c r="S2468" i="2" l="1"/>
  <c r="T2468" i="2"/>
  <c r="U2468" i="2"/>
  <c r="S2469" i="2" l="1"/>
  <c r="T2469" i="2"/>
  <c r="U2469" i="2"/>
  <c r="S2470" i="2" l="1"/>
  <c r="U2470" i="2"/>
  <c r="T2470" i="2"/>
  <c r="S2471" i="2" l="1"/>
  <c r="U2471" i="2"/>
  <c r="T2471" i="2"/>
  <c r="S2472" i="2" l="1"/>
  <c r="U2472" i="2"/>
  <c r="T2472" i="2"/>
  <c r="S2473" i="2" l="1"/>
  <c r="U2473" i="2"/>
  <c r="T2473" i="2"/>
  <c r="S2474" i="2" l="1"/>
  <c r="U2474" i="2"/>
  <c r="T2474" i="2"/>
  <c r="S2475" i="2" l="1"/>
  <c r="U2475" i="2"/>
  <c r="T2475" i="2"/>
  <c r="S2476" i="2" l="1"/>
  <c r="U2476" i="2"/>
  <c r="T2476" i="2"/>
  <c r="S2477" i="2" l="1"/>
  <c r="T2477" i="2"/>
  <c r="U2477" i="2"/>
  <c r="S2478" i="2" l="1"/>
  <c r="T2478" i="2"/>
  <c r="U2478" i="2"/>
  <c r="S2479" i="2" l="1"/>
  <c r="U2479" i="2"/>
  <c r="T2479" i="2"/>
  <c r="S2480" i="2" l="1"/>
  <c r="T2480" i="2"/>
  <c r="U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U2485" i="2"/>
  <c r="T2485" i="2"/>
  <c r="S2486" i="2" l="1"/>
  <c r="T2486" i="2"/>
  <c r="U2486" i="2"/>
  <c r="S2487" i="2" l="1"/>
  <c r="U2487" i="2"/>
  <c r="T2487" i="2"/>
  <c r="S2488" i="2" l="1"/>
  <c r="U2488" i="2"/>
  <c r="T2488" i="2"/>
  <c r="S2489" i="2" l="1"/>
  <c r="T2489" i="2"/>
  <c r="U2489" i="2"/>
  <c r="S2490" i="2" l="1"/>
  <c r="T2490" i="2"/>
  <c r="U2490" i="2"/>
  <c r="S2491" i="2" l="1"/>
  <c r="U2491" i="2"/>
  <c r="T2491" i="2"/>
  <c r="S2492" i="2" l="1"/>
  <c r="U2492" i="2"/>
  <c r="T2492" i="2"/>
  <c r="S2493" i="2" l="1"/>
  <c r="U2493" i="2"/>
  <c r="T2493" i="2"/>
  <c r="S2494" i="2" l="1"/>
  <c r="U2494" i="2"/>
  <c r="T2494" i="2"/>
  <c r="S2495" i="2" l="1"/>
  <c r="T2495" i="2"/>
  <c r="U2495" i="2"/>
  <c r="S2496" i="2" l="1"/>
  <c r="U2496" i="2"/>
  <c r="T2496" i="2"/>
  <c r="S2497" i="2" l="1"/>
  <c r="T2497" i="2"/>
  <c r="U2497" i="2"/>
  <c r="S2498" i="2" l="1"/>
  <c r="T2498" i="2"/>
  <c r="U2498" i="2"/>
  <c r="S2499" i="2" l="1"/>
  <c r="U2499" i="2"/>
  <c r="T2499" i="2"/>
  <c r="S2500" i="2" l="1"/>
  <c r="T2500" i="2"/>
  <c r="U2500" i="2"/>
  <c r="S2501" i="2" l="1"/>
  <c r="T2501" i="2"/>
  <c r="U2501" i="2"/>
  <c r="S2502" i="2" l="1"/>
  <c r="U2502" i="2"/>
  <c r="T2502" i="2"/>
  <c r="S2503" i="2" l="1"/>
  <c r="U2503" i="2"/>
  <c r="T2503" i="2"/>
  <c r="S2504" i="2" l="1"/>
  <c r="U2504" i="2"/>
  <c r="T2504" i="2"/>
  <c r="S2505" i="2" l="1"/>
  <c r="T2505" i="2"/>
  <c r="U2505" i="2"/>
  <c r="S2506" i="2" l="1"/>
  <c r="T2506" i="2"/>
  <c r="U2506" i="2"/>
  <c r="S2507" i="2" l="1"/>
  <c r="U2507" i="2"/>
  <c r="T2507" i="2"/>
  <c r="S2508" i="2" l="1"/>
  <c r="U2508" i="2"/>
  <c r="T2508" i="2"/>
  <c r="S2509" i="2" l="1"/>
  <c r="T2509" i="2"/>
  <c r="U2509" i="2"/>
  <c r="S2510" i="2" l="1"/>
  <c r="U2510" i="2"/>
  <c r="T2510" i="2"/>
  <c r="S2511" i="2" l="1"/>
  <c r="U2511" i="2"/>
  <c r="T2511" i="2"/>
  <c r="S2512" i="2" l="1"/>
  <c r="T2512" i="2"/>
  <c r="U2512" i="2"/>
  <c r="S2513" i="2" l="1"/>
  <c r="T2513" i="2"/>
  <c r="U2513" i="2"/>
  <c r="S2514" i="2" l="1"/>
  <c r="T2514" i="2"/>
  <c r="U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U2519" i="2"/>
  <c r="T2519" i="2"/>
  <c r="S2520" i="2" l="1"/>
  <c r="U2520" i="2"/>
  <c r="T2520" i="2"/>
  <c r="S2521" i="2" l="1"/>
  <c r="T2521" i="2"/>
  <c r="U2521" i="2"/>
  <c r="S2522" i="2" l="1"/>
  <c r="T2522" i="2"/>
  <c r="U2522" i="2"/>
  <c r="S2523" i="2" l="1"/>
  <c r="U2523" i="2"/>
  <c r="T2523" i="2"/>
  <c r="S2524" i="2" l="1"/>
  <c r="T2524" i="2"/>
  <c r="U2524" i="2"/>
  <c r="S2525" i="2" l="1"/>
  <c r="T2525" i="2"/>
  <c r="U2525" i="2"/>
  <c r="S2526" i="2" l="1"/>
  <c r="U2526" i="2"/>
  <c r="T2526" i="2"/>
  <c r="S2527" i="2" l="1"/>
  <c r="U2527" i="2"/>
  <c r="T2527" i="2"/>
  <c r="S2528" i="2" l="1"/>
  <c r="U2528" i="2"/>
  <c r="T2528" i="2"/>
  <c r="S2529" i="2" l="1"/>
  <c r="U2529" i="2"/>
  <c r="T2529" i="2"/>
  <c r="S2530" i="2" l="1"/>
  <c r="T2530" i="2"/>
  <c r="U2530" i="2"/>
  <c r="S2531" i="2" l="1"/>
  <c r="U2531" i="2"/>
  <c r="T2531" i="2"/>
  <c r="S2532" i="2" l="1"/>
  <c r="U2532" i="2"/>
  <c r="T2532" i="2"/>
  <c r="S2533" i="2" l="1"/>
  <c r="T2533" i="2"/>
  <c r="U2533" i="2"/>
  <c r="S2534" i="2" l="1"/>
  <c r="U2534" i="2"/>
  <c r="T2534" i="2"/>
  <c r="S2535" i="2" l="1"/>
  <c r="U2535" i="2"/>
  <c r="T2535" i="2"/>
  <c r="S2536" i="2" l="1"/>
  <c r="U2536" i="2"/>
  <c r="T2536" i="2"/>
  <c r="S2537" i="2" l="1"/>
  <c r="T2537" i="2"/>
  <c r="U2537" i="2"/>
  <c r="S2538" i="2" l="1"/>
  <c r="T2538" i="2"/>
  <c r="U2538" i="2"/>
  <c r="S2539" i="2" l="1"/>
  <c r="U2539" i="2"/>
  <c r="T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T2546" i="2"/>
  <c r="U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U2552" i="2"/>
  <c r="T2552" i="2"/>
  <c r="S2553" i="2" l="1"/>
  <c r="T2553" i="2"/>
  <c r="U2553" i="2"/>
  <c r="S2554" i="2" l="1"/>
  <c r="T2554" i="2"/>
  <c r="U2554" i="2"/>
  <c r="S2555" i="2" l="1"/>
  <c r="U2555" i="2"/>
  <c r="T2555" i="2"/>
  <c r="S2556" i="2" l="1"/>
  <c r="T2556" i="2"/>
  <c r="U2556" i="2"/>
  <c r="S2557" i="2" l="1"/>
  <c r="T2557" i="2"/>
  <c r="U2557" i="2"/>
  <c r="S2558" i="2" l="1"/>
  <c r="U2558" i="2"/>
  <c r="T2558" i="2"/>
  <c r="S2559" i="2" l="1"/>
  <c r="U2559" i="2"/>
  <c r="T2559" i="2"/>
  <c r="S2560" i="2" l="1"/>
  <c r="U2560" i="2"/>
  <c r="T2560" i="2"/>
  <c r="S2561" i="2" l="1"/>
  <c r="T2561" i="2"/>
  <c r="U2561" i="2"/>
  <c r="S2562" i="2" l="1"/>
  <c r="T2562" i="2"/>
  <c r="U2562" i="2"/>
  <c r="S2563" i="2" l="1"/>
  <c r="U2563" i="2"/>
  <c r="T2563" i="2"/>
  <c r="S2564" i="2" l="1"/>
  <c r="T2564" i="2"/>
  <c r="U2564" i="2"/>
  <c r="S2565" i="2" l="1"/>
  <c r="U2565" i="2"/>
  <c r="T2565" i="2"/>
  <c r="S2566" i="2" l="1"/>
  <c r="U2566" i="2"/>
  <c r="T2566" i="2"/>
  <c r="S2567" i="2" l="1"/>
  <c r="U2567" i="2"/>
  <c r="T2567" i="2"/>
  <c r="S2568" i="2" l="1"/>
  <c r="U2568" i="2"/>
  <c r="T2568" i="2"/>
  <c r="S2569" i="2" l="1"/>
  <c r="T2569" i="2"/>
  <c r="U2569" i="2"/>
  <c r="S2570" i="2" l="1"/>
  <c r="T2570" i="2"/>
  <c r="U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U2576" i="2"/>
  <c r="T2576" i="2"/>
  <c r="S2577" i="2" l="1"/>
  <c r="T2577" i="2"/>
  <c r="U2577" i="2"/>
  <c r="S2578" i="2" l="1"/>
  <c r="T2578" i="2"/>
  <c r="U2578" i="2"/>
  <c r="S2579" i="2" l="1"/>
  <c r="U2579" i="2"/>
  <c r="T2579" i="2"/>
  <c r="S2580" i="2" l="1"/>
  <c r="U2580" i="2"/>
  <c r="T2580" i="2"/>
  <c r="S2581" i="2" l="1"/>
  <c r="T2581" i="2"/>
  <c r="U2581" i="2"/>
  <c r="S2582" i="2" l="1"/>
  <c r="T2582" i="2"/>
  <c r="U2582" i="2"/>
  <c r="S2583" i="2" l="1"/>
  <c r="U2583" i="2"/>
  <c r="T2583" i="2"/>
  <c r="S2584" i="2" l="1"/>
  <c r="U2584" i="2"/>
  <c r="T2584" i="2"/>
  <c r="S2585" i="2" l="1"/>
  <c r="T2585" i="2"/>
  <c r="U2585" i="2"/>
  <c r="S2586" i="2" l="1"/>
  <c r="T2586" i="2"/>
  <c r="U2586" i="2"/>
  <c r="S2587" i="2" l="1"/>
  <c r="U2587" i="2"/>
  <c r="T2587" i="2"/>
  <c r="S2588" i="2" l="1"/>
  <c r="T2588" i="2"/>
  <c r="U2588" i="2"/>
  <c r="S2589" i="2" l="1"/>
  <c r="T2589" i="2"/>
  <c r="U2589" i="2"/>
  <c r="S2590" i="2" l="1"/>
  <c r="U2590" i="2"/>
  <c r="T2590" i="2"/>
  <c r="S2591" i="2" l="1"/>
  <c r="U2591" i="2"/>
  <c r="T2591" i="2"/>
  <c r="S2592" i="2" l="1"/>
  <c r="U2592" i="2"/>
  <c r="T2592" i="2"/>
  <c r="S2593" i="2" l="1"/>
  <c r="T2593" i="2"/>
  <c r="U2593" i="2"/>
  <c r="S2594" i="2" l="1"/>
  <c r="T2594" i="2"/>
  <c r="U2594" i="2"/>
  <c r="S2595" i="2" l="1"/>
  <c r="U2595" i="2"/>
  <c r="T2595" i="2"/>
  <c r="S2596" i="2" l="1"/>
  <c r="T2596" i="2"/>
  <c r="U2596" i="2"/>
  <c r="S2597" i="2" l="1"/>
  <c r="T2597" i="2"/>
  <c r="U2597" i="2"/>
  <c r="S2598" i="2" l="1"/>
  <c r="U2598" i="2"/>
  <c r="T2598" i="2"/>
  <c r="S2599" i="2" l="1"/>
  <c r="U2599" i="2"/>
  <c r="T2599" i="2"/>
  <c r="S2600" i="2" l="1"/>
  <c r="U2600" i="2"/>
  <c r="T2600" i="2"/>
  <c r="S2601" i="2" l="1"/>
  <c r="T2601" i="2"/>
  <c r="U2601" i="2"/>
  <c r="S2602" i="2" l="1"/>
  <c r="T2602" i="2"/>
  <c r="U2602" i="2"/>
  <c r="S2603" i="2" l="1"/>
  <c r="U2603" i="2"/>
  <c r="T2603" i="2"/>
  <c r="S2604" i="2" l="1"/>
  <c r="U2604" i="2"/>
  <c r="T2604" i="2"/>
  <c r="S2605" i="2" l="1"/>
  <c r="T2605" i="2"/>
  <c r="U2605" i="2"/>
  <c r="S2606" i="2" l="1"/>
  <c r="U2606" i="2"/>
  <c r="T2606" i="2"/>
  <c r="S2607" i="2" l="1"/>
  <c r="U2607" i="2"/>
  <c r="T2607" i="2"/>
  <c r="S2608" i="2" l="1"/>
  <c r="U2608" i="2"/>
  <c r="T2608" i="2"/>
  <c r="S2609" i="2" l="1"/>
  <c r="T2609" i="2"/>
  <c r="U2609" i="2"/>
  <c r="S2610" i="2" l="1"/>
  <c r="U2610" i="2"/>
  <c r="T2610" i="2"/>
  <c r="S2611" i="2" l="1"/>
  <c r="U2611" i="2"/>
  <c r="T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T2618" i="2"/>
  <c r="U2618" i="2"/>
  <c r="S2619" i="2" l="1"/>
  <c r="U2619" i="2"/>
  <c r="T2619" i="2"/>
  <c r="S2620" i="2" l="1"/>
  <c r="T2620" i="2"/>
  <c r="U2620" i="2"/>
  <c r="S2621" i="2" l="1"/>
  <c r="T2621" i="2"/>
  <c r="U2621" i="2"/>
  <c r="S2622" i="2" l="1"/>
  <c r="U2622" i="2"/>
  <c r="T2622" i="2"/>
  <c r="S2623" i="2" l="1"/>
  <c r="U2623" i="2"/>
  <c r="T2623" i="2"/>
  <c r="S2624" i="2" l="1"/>
  <c r="U2624" i="2"/>
  <c r="T2624" i="2"/>
  <c r="S2625" i="2" l="1"/>
  <c r="T2625" i="2"/>
  <c r="U2625" i="2"/>
  <c r="S2626" i="2" l="1"/>
  <c r="T2626" i="2"/>
  <c r="U2626" i="2"/>
  <c r="S2627" i="2" l="1"/>
  <c r="U2627" i="2"/>
  <c r="T2627" i="2"/>
  <c r="S2628" i="2" l="1"/>
  <c r="T2628" i="2"/>
  <c r="U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T2633" i="2"/>
  <c r="U2633" i="2"/>
  <c r="S2634" i="2" l="1"/>
  <c r="T2634" i="2"/>
  <c r="U2634" i="2"/>
  <c r="S2635" i="2" l="1"/>
  <c r="U2635" i="2"/>
  <c r="T2635" i="2"/>
  <c r="S2636" i="2" l="1"/>
  <c r="U2636" i="2"/>
  <c r="T2636" i="2"/>
  <c r="S2637" i="2" l="1"/>
  <c r="T2637" i="2"/>
  <c r="U2637" i="2"/>
  <c r="S2638" i="2" l="1"/>
  <c r="U2638" i="2"/>
  <c r="T2638" i="2"/>
  <c r="S2639" i="2" l="1"/>
  <c r="U2639" i="2"/>
  <c r="T2639" i="2"/>
  <c r="S2640" i="2" l="1"/>
  <c r="U2640" i="2"/>
  <c r="T2640" i="2"/>
  <c r="S2641" i="2" l="1"/>
  <c r="U2641" i="2"/>
  <c r="T2641" i="2"/>
  <c r="S2642" i="2" l="1"/>
  <c r="U2642" i="2"/>
  <c r="T2642" i="2"/>
  <c r="S2643" i="2" l="1"/>
  <c r="T2643" i="2"/>
  <c r="U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U2648" i="2"/>
  <c r="T2648" i="2"/>
  <c r="S2649" i="2" l="1"/>
  <c r="T2649" i="2"/>
  <c r="U2649" i="2"/>
  <c r="S2650" i="2" l="1"/>
  <c r="T2650" i="2"/>
  <c r="U2650" i="2"/>
  <c r="S2651" i="2" l="1"/>
  <c r="T2651" i="2"/>
  <c r="U2651" i="2"/>
  <c r="S2652" i="2" l="1"/>
  <c r="T2652" i="2"/>
  <c r="U2652" i="2"/>
  <c r="S2653" i="2" l="1"/>
  <c r="T2653" i="2"/>
  <c r="U2653" i="2"/>
  <c r="S2654" i="2" l="1"/>
  <c r="U2654" i="2"/>
  <c r="T2654" i="2"/>
  <c r="S2655" i="2" l="1"/>
  <c r="U2655" i="2"/>
  <c r="T2655" i="2"/>
  <c r="S2656" i="2" l="1"/>
  <c r="U2656" i="2"/>
  <c r="T2656" i="2"/>
  <c r="S2657" i="2" l="1"/>
  <c r="T2657" i="2"/>
  <c r="U2657" i="2"/>
  <c r="S2658" i="2" l="1"/>
  <c r="U2658" i="2"/>
  <c r="T2658" i="2"/>
  <c r="S2659" i="2" l="1"/>
  <c r="U2659" i="2"/>
  <c r="T2659" i="2"/>
  <c r="S2660" i="2" l="1"/>
  <c r="T2660" i="2"/>
  <c r="U2660" i="2"/>
  <c r="S2661" i="2" l="1"/>
  <c r="T2661" i="2"/>
  <c r="U2661" i="2"/>
  <c r="S2662" i="2" l="1"/>
  <c r="U2662" i="2"/>
  <c r="T2662" i="2"/>
  <c r="S2663" i="2" l="1"/>
  <c r="U2663" i="2"/>
  <c r="T2663" i="2"/>
  <c r="S2664" i="2" l="1"/>
  <c r="T2664" i="2"/>
  <c r="U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T2669" i="2"/>
  <c r="U2669" i="2"/>
  <c r="S2670" i="2" l="1"/>
  <c r="U2670" i="2"/>
  <c r="T2670" i="2"/>
  <c r="S2671" i="2" l="1"/>
  <c r="U2671" i="2"/>
  <c r="T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T2677" i="2"/>
  <c r="U2677" i="2"/>
  <c r="S2678" i="2" l="1"/>
  <c r="U2678" i="2"/>
  <c r="T2678" i="2"/>
  <c r="S2679" i="2" l="1"/>
  <c r="T2679" i="2"/>
  <c r="U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T2684" i="2"/>
  <c r="U2684" i="2"/>
  <c r="S2685" i="2" l="1"/>
  <c r="T2685" i="2"/>
  <c r="U2685" i="2"/>
  <c r="S2686" i="2" l="1"/>
  <c r="U2686" i="2"/>
  <c r="T2686" i="2"/>
  <c r="S2687" i="2" l="1"/>
  <c r="T2687" i="2"/>
  <c r="U2687" i="2"/>
  <c r="S2688" i="2" l="1"/>
  <c r="U2688" i="2"/>
  <c r="T2688" i="2"/>
  <c r="S2689" i="2" l="1"/>
  <c r="T2689" i="2"/>
  <c r="U2689" i="2"/>
  <c r="S2690" i="2" l="1"/>
  <c r="T2690" i="2"/>
  <c r="U2690" i="2"/>
  <c r="S2691" i="2" l="1"/>
  <c r="U2691" i="2"/>
  <c r="T2691" i="2"/>
  <c r="S2692" i="2" l="1"/>
  <c r="U2692" i="2"/>
  <c r="T2692" i="2"/>
  <c r="S2693" i="2" l="1"/>
  <c r="T2693" i="2"/>
  <c r="U2693" i="2"/>
  <c r="S2694" i="2" l="1"/>
  <c r="T2694" i="2"/>
  <c r="U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U2700" i="2"/>
  <c r="T2700" i="2"/>
  <c r="S2701" i="2" l="1"/>
  <c r="T2701" i="2"/>
  <c r="U2701" i="2"/>
  <c r="S2702" i="2" l="1"/>
  <c r="U2702" i="2"/>
  <c r="T2702" i="2"/>
  <c r="S2703" i="2" l="1"/>
  <c r="U2703" i="2"/>
  <c r="T2703" i="2"/>
  <c r="S2704" i="2" l="1"/>
  <c r="T2704" i="2"/>
  <c r="U2704" i="2"/>
  <c r="S2705" i="2" l="1"/>
  <c r="U2705" i="2"/>
  <c r="T2705" i="2"/>
  <c r="S2706" i="2" l="1"/>
  <c r="T2706" i="2"/>
  <c r="U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U2711" i="2"/>
  <c r="T2711" i="2"/>
  <c r="S2712" i="2" l="1"/>
  <c r="U2712" i="2"/>
  <c r="T2712" i="2"/>
  <c r="S2713" i="2" l="1"/>
  <c r="T2713" i="2"/>
  <c r="U2713" i="2"/>
  <c r="S2714" i="2" l="1"/>
  <c r="T2714" i="2"/>
  <c r="U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T2722" i="2"/>
  <c r="U2722" i="2"/>
  <c r="S2723" i="2" l="1"/>
  <c r="U2723" i="2"/>
  <c r="T2723" i="2"/>
  <c r="S2724" i="2" l="1"/>
  <c r="U2724" i="2"/>
  <c r="T2724" i="2"/>
  <c r="S2725" i="2" l="1"/>
  <c r="T2725" i="2"/>
  <c r="U2725" i="2"/>
  <c r="S2726" i="2" l="1"/>
  <c r="U2726" i="2"/>
  <c r="T2726" i="2"/>
  <c r="S2727" i="2" l="1"/>
  <c r="U2727" i="2"/>
  <c r="T2727" i="2"/>
  <c r="S2728" i="2" l="1"/>
  <c r="U2728" i="2"/>
  <c r="T2728" i="2"/>
  <c r="S2729" i="2" l="1"/>
  <c r="T2729" i="2"/>
  <c r="U2729" i="2"/>
  <c r="S2730" i="2" l="1"/>
  <c r="T2730" i="2"/>
  <c r="U2730" i="2"/>
  <c r="S2731" i="2" l="1"/>
  <c r="U2731" i="2"/>
  <c r="T2731" i="2"/>
  <c r="S2732" i="2" l="1"/>
  <c r="U2732" i="2"/>
  <c r="T2732" i="2"/>
  <c r="S2733" i="2" l="1"/>
  <c r="T2733" i="2"/>
  <c r="U2733" i="2"/>
  <c r="S2734" i="2" l="1"/>
  <c r="T2734" i="2"/>
  <c r="U2734" i="2"/>
  <c r="S2735" i="2" l="1"/>
  <c r="U2735" i="2"/>
  <c r="T2735" i="2"/>
  <c r="S2736" i="2" l="1"/>
  <c r="U2736" i="2"/>
  <c r="T2736" i="2"/>
  <c r="S2737" i="2" l="1"/>
  <c r="T2737" i="2"/>
  <c r="U2737" i="2"/>
  <c r="S2738" i="2" l="1"/>
  <c r="T2738" i="2"/>
  <c r="U2738" i="2"/>
  <c r="S2739" i="2" l="1"/>
  <c r="T2739" i="2"/>
  <c r="U2739" i="2"/>
  <c r="S2740" i="2" l="1"/>
  <c r="U2740" i="2"/>
  <c r="T2740" i="2"/>
  <c r="S2741" i="2" l="1"/>
  <c r="T2741" i="2"/>
  <c r="U2741" i="2"/>
  <c r="S2742" i="2" l="1"/>
  <c r="U2742" i="2"/>
  <c r="T2742" i="2"/>
  <c r="S2743" i="2" l="1"/>
  <c r="U2743" i="2"/>
  <c r="T2743" i="2"/>
  <c r="S2744" i="2" l="1"/>
  <c r="U2744" i="2"/>
  <c r="T2744" i="2"/>
  <c r="S2745" i="2" l="1"/>
  <c r="T2745" i="2"/>
  <c r="U2745" i="2"/>
  <c r="S2746" i="2" l="1"/>
  <c r="T2746" i="2"/>
  <c r="U2746" i="2"/>
  <c r="S2747" i="2" l="1"/>
  <c r="U2747" i="2"/>
  <c r="T2747" i="2"/>
  <c r="S2748" i="2" l="1"/>
  <c r="T2748" i="2"/>
  <c r="U2748" i="2"/>
  <c r="S2749" i="2" l="1"/>
  <c r="T2749" i="2"/>
  <c r="U2749" i="2"/>
  <c r="S2750" i="2" l="1"/>
  <c r="U2750" i="2"/>
  <c r="T2750" i="2"/>
  <c r="S2751" i="2" l="1"/>
  <c r="U2751" i="2"/>
  <c r="T2751" i="2"/>
  <c r="S2752" i="2" l="1"/>
  <c r="U2752" i="2"/>
  <c r="T2752" i="2"/>
  <c r="S2753" i="2" l="1"/>
  <c r="T2753" i="2"/>
  <c r="U2753" i="2"/>
  <c r="S2754" i="2" l="1"/>
  <c r="T2754" i="2"/>
  <c r="U2754" i="2"/>
  <c r="S2755" i="2" l="1"/>
  <c r="U2755" i="2"/>
  <c r="T2755" i="2"/>
  <c r="S2756" i="2" l="1"/>
  <c r="U2756" i="2"/>
  <c r="T2756" i="2"/>
  <c r="S2757" i="2" l="1"/>
  <c r="T2757" i="2"/>
  <c r="U2757" i="2"/>
  <c r="S2758" i="2" l="1"/>
  <c r="U2758" i="2"/>
  <c r="T2758" i="2"/>
  <c r="S2759" i="2" l="1"/>
  <c r="U2759" i="2"/>
  <c r="T2759" i="2"/>
  <c r="S2760" i="2" l="1"/>
  <c r="U2760" i="2"/>
  <c r="T2760" i="2"/>
  <c r="S2761" i="2" l="1"/>
  <c r="T2761" i="2"/>
  <c r="U2761" i="2"/>
  <c r="S2762" i="2" l="1"/>
  <c r="T2762" i="2"/>
  <c r="U2762" i="2"/>
  <c r="S2763" i="2" l="1"/>
  <c r="U2763" i="2"/>
  <c r="T2763" i="2"/>
  <c r="S2764" i="2" l="1"/>
  <c r="U2764" i="2"/>
  <c r="T2764" i="2"/>
  <c r="S2765" i="2" l="1"/>
  <c r="T2765" i="2"/>
  <c r="U2765" i="2"/>
  <c r="S2766" i="2" l="1"/>
  <c r="U2766" i="2"/>
  <c r="T2766" i="2"/>
  <c r="S2767" i="2" l="1"/>
  <c r="U2767" i="2"/>
  <c r="T2767" i="2"/>
  <c r="S2768" i="2" l="1"/>
  <c r="U2768" i="2"/>
  <c r="T2768" i="2"/>
  <c r="S2769" i="2" l="1"/>
  <c r="T2769" i="2"/>
  <c r="U2769" i="2"/>
  <c r="S2770" i="2" l="1"/>
  <c r="T2770" i="2"/>
  <c r="U2770" i="2"/>
  <c r="S2771" i="2" l="1"/>
  <c r="U2771" i="2"/>
  <c r="T2771" i="2"/>
  <c r="S2772" i="2" l="1"/>
  <c r="U2772" i="2"/>
  <c r="T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T2781" i="2"/>
  <c r="U2781" i="2"/>
  <c r="S2782" i="2" l="1"/>
  <c r="T2782" i="2"/>
  <c r="U2782" i="2"/>
  <c r="S2783" i="2" l="1"/>
  <c r="U2783" i="2"/>
  <c r="T2783" i="2"/>
  <c r="S2784" i="2" l="1"/>
  <c r="U2784" i="2"/>
  <c r="T2784" i="2"/>
  <c r="S2785" i="2" l="1"/>
  <c r="U2785" i="2"/>
  <c r="T2785" i="2"/>
  <c r="S2786" i="2" l="1"/>
  <c r="U2786" i="2"/>
  <c r="T2786" i="2"/>
  <c r="S2787" i="2" l="1"/>
  <c r="T2787" i="2"/>
  <c r="U2787" i="2"/>
  <c r="S2788" i="2" l="1"/>
  <c r="U2788" i="2"/>
  <c r="T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U2793" i="2"/>
  <c r="T2793" i="2"/>
  <c r="S2794" i="2" l="1"/>
  <c r="U2794" i="2"/>
  <c r="T2794" i="2"/>
  <c r="S2795" i="2" l="1"/>
  <c r="T2795" i="2"/>
  <c r="U2795" i="2"/>
  <c r="S2796" i="2" l="1"/>
  <c r="U2796" i="2"/>
  <c r="T2796" i="2"/>
  <c r="S2797" i="2" l="1"/>
  <c r="U2797" i="2"/>
  <c r="T2797" i="2"/>
  <c r="S2798" i="2" l="1"/>
  <c r="T2798" i="2"/>
  <c r="U2798" i="2"/>
  <c r="S2799" i="2" l="1"/>
  <c r="T2799" i="2"/>
  <c r="U2799" i="2"/>
  <c r="S2800" i="2" l="1"/>
  <c r="U2800" i="2"/>
  <c r="T2800" i="2"/>
  <c r="S2801" i="2" l="1"/>
  <c r="U2801" i="2"/>
  <c r="T2801" i="2"/>
  <c r="S2802" i="2" l="1"/>
  <c r="T2802" i="2"/>
  <c r="U2802" i="2"/>
  <c r="S2803" i="2" l="1"/>
  <c r="T2803" i="2"/>
  <c r="U2803" i="2"/>
  <c r="S2804" i="2" l="1"/>
  <c r="U2804" i="2"/>
  <c r="T2804" i="2"/>
  <c r="S2805" i="2" l="1"/>
  <c r="T2805" i="2"/>
  <c r="U2805" i="2"/>
  <c r="S2806" i="2" l="1"/>
  <c r="T2806" i="2"/>
  <c r="U2806" i="2"/>
  <c r="S2807" i="2" l="1"/>
  <c r="T2807" i="2"/>
  <c r="U2807" i="2"/>
  <c r="S2808" i="2" l="1"/>
  <c r="U2808" i="2"/>
  <c r="T2808" i="2"/>
  <c r="S2809" i="2" l="1"/>
  <c r="U2809" i="2"/>
  <c r="T2809" i="2"/>
  <c r="S2810" i="2" l="1"/>
  <c r="U2810" i="2"/>
  <c r="T2810" i="2"/>
  <c r="S2811" i="2" l="1"/>
  <c r="T2811" i="2"/>
  <c r="U2811" i="2"/>
  <c r="S2812" i="2" l="1"/>
  <c r="U2812" i="2"/>
  <c r="T2812" i="2"/>
  <c r="S2813" i="2" l="1"/>
  <c r="T2813" i="2"/>
  <c r="U2813" i="2"/>
  <c r="S2814" i="2" l="1"/>
  <c r="U2814" i="2"/>
  <c r="T2814" i="2"/>
  <c r="S2815" i="2" l="1"/>
  <c r="T2815" i="2"/>
  <c r="U2815" i="2"/>
  <c r="S2816" i="2" l="1"/>
  <c r="U2816" i="2"/>
  <c r="T2816" i="2"/>
  <c r="S2817" i="2" l="1"/>
  <c r="U2817" i="2"/>
  <c r="T2817" i="2"/>
  <c r="S2818" i="2" l="1"/>
  <c r="U2818" i="2"/>
  <c r="T2818" i="2"/>
  <c r="S2819" i="2" l="1"/>
  <c r="T2819" i="2"/>
  <c r="U2819" i="2"/>
  <c r="S2820" i="2" l="1"/>
  <c r="U2820" i="2"/>
  <c r="T2820" i="2"/>
  <c r="S2821" i="2" l="1"/>
  <c r="T2821" i="2"/>
  <c r="U2821" i="2"/>
  <c r="S2822" i="2" l="1"/>
  <c r="T2822" i="2"/>
  <c r="U2822" i="2"/>
  <c r="S2823" i="2" l="1"/>
  <c r="T2823" i="2"/>
  <c r="U2823" i="2"/>
  <c r="S2824" i="2" l="1"/>
  <c r="U2824" i="2"/>
  <c r="T2824" i="2"/>
  <c r="S2825" i="2" l="1"/>
  <c r="U2825" i="2"/>
  <c r="T2825" i="2"/>
  <c r="S2826" i="2" l="1"/>
  <c r="U2826" i="2"/>
  <c r="T2826" i="2"/>
  <c r="S2827" i="2" l="1"/>
  <c r="T2827" i="2"/>
  <c r="U2827" i="2"/>
  <c r="S2828" i="2" l="1"/>
  <c r="U2828" i="2"/>
  <c r="T2828" i="2"/>
  <c r="S2829" i="2" l="1"/>
  <c r="U2829" i="2"/>
  <c r="T2829" i="2"/>
  <c r="S2830" i="2" l="1"/>
  <c r="T2830" i="2"/>
  <c r="U2830" i="2"/>
  <c r="S2831" i="2" l="1"/>
  <c r="T2831" i="2"/>
  <c r="U2831" i="2"/>
  <c r="S2832" i="2" l="1"/>
  <c r="U2832" i="2"/>
  <c r="T2832" i="2"/>
  <c r="S2833" i="2" l="1"/>
  <c r="U2833" i="2"/>
  <c r="T2833" i="2"/>
  <c r="S2834" i="2" l="1"/>
  <c r="T2834" i="2"/>
  <c r="U2834" i="2"/>
  <c r="S2835" i="2" l="1"/>
  <c r="U2835" i="2"/>
  <c r="T2835" i="2"/>
  <c r="S2836" i="2" l="1"/>
  <c r="U2836" i="2"/>
  <c r="T2836" i="2"/>
  <c r="S2837" i="2" l="1"/>
  <c r="T2837" i="2"/>
  <c r="U2837" i="2"/>
  <c r="S2838" i="2" l="1"/>
  <c r="T2838" i="2"/>
  <c r="U2838" i="2"/>
  <c r="S2839" i="2" l="1"/>
  <c r="T2839" i="2"/>
  <c r="U2839" i="2"/>
  <c r="S2840" i="2" l="1"/>
  <c r="U2840" i="2"/>
  <c r="T2840" i="2"/>
  <c r="S2841" i="2" l="1"/>
  <c r="U2841" i="2"/>
  <c r="T2841" i="2"/>
  <c r="S2842" i="2" l="1"/>
  <c r="U2842" i="2"/>
  <c r="T2842" i="2"/>
  <c r="S2843" i="2" l="1"/>
  <c r="U2843" i="2"/>
  <c r="T2843" i="2"/>
  <c r="S2844" i="2" l="1"/>
  <c r="T2844" i="2"/>
  <c r="U2844" i="2"/>
  <c r="S2845" i="2" l="1"/>
  <c r="U2845" i="2"/>
  <c r="T2845" i="2"/>
  <c r="S2846" i="2" l="1"/>
  <c r="T2846" i="2"/>
  <c r="U2846" i="2"/>
  <c r="S2847" i="2" l="1"/>
  <c r="U2847" i="2"/>
  <c r="T2847" i="2"/>
  <c r="S2848" i="2" l="1"/>
  <c r="T2848" i="2"/>
  <c r="U2848" i="2"/>
  <c r="S2849" i="2" l="1"/>
  <c r="U2849" i="2"/>
  <c r="T2849" i="2"/>
  <c r="S2850" i="2" l="1"/>
  <c r="U2850" i="2"/>
  <c r="T2850" i="2"/>
  <c r="S2851" i="2" l="1"/>
  <c r="T2851" i="2"/>
  <c r="U2851" i="2"/>
  <c r="S2852" i="2" l="1"/>
  <c r="U2852" i="2"/>
  <c r="T2852" i="2"/>
  <c r="S2853" i="2" l="1"/>
  <c r="T2853" i="2"/>
  <c r="U2853" i="2"/>
  <c r="S2854" i="2" l="1"/>
  <c r="T2854" i="2"/>
  <c r="U2854" i="2"/>
  <c r="S2855" i="2" l="1"/>
  <c r="T2855" i="2"/>
  <c r="U2855" i="2"/>
  <c r="S2856" i="2" l="1"/>
  <c r="U2856" i="2"/>
  <c r="T2856" i="2"/>
  <c r="S2857" i="2" l="1"/>
  <c r="T2857" i="2"/>
  <c r="U2857" i="2"/>
  <c r="S2858" i="2" l="1"/>
  <c r="U2858" i="2"/>
  <c r="T2858" i="2"/>
  <c r="S2859" i="2" l="1"/>
  <c r="T2859" i="2"/>
  <c r="U2859" i="2"/>
  <c r="S2860" i="2" l="1"/>
  <c r="U2860" i="2"/>
  <c r="T2860" i="2"/>
  <c r="S2861" i="2" l="1"/>
  <c r="U2861" i="2"/>
  <c r="T2861" i="2"/>
  <c r="S2862" i="2" l="1"/>
  <c r="T2862" i="2"/>
  <c r="U2862" i="2"/>
  <c r="S2863" i="2" l="1"/>
  <c r="T2863" i="2"/>
  <c r="U2863" i="2"/>
  <c r="S2864" i="2" l="1"/>
  <c r="U2864" i="2"/>
  <c r="T2864" i="2"/>
  <c r="S2865" i="2" l="1"/>
  <c r="U2865" i="2"/>
  <c r="T2865" i="2"/>
  <c r="S2866" i="2" l="1"/>
  <c r="U2866" i="2"/>
  <c r="T2866" i="2"/>
  <c r="S2867" i="2" l="1"/>
  <c r="T2867" i="2"/>
  <c r="U2867" i="2"/>
  <c r="S2868" i="2" l="1"/>
  <c r="U2868" i="2"/>
  <c r="T2868" i="2"/>
  <c r="S2869" i="2" l="1"/>
  <c r="U2869" i="2"/>
  <c r="T2869" i="2"/>
  <c r="S2870" i="2" l="1"/>
  <c r="U2870" i="2"/>
  <c r="T2870" i="2"/>
  <c r="S2871" i="2" l="1"/>
  <c r="T2871" i="2"/>
  <c r="U2871" i="2"/>
  <c r="S2872" i="2" l="1"/>
  <c r="U2872" i="2"/>
  <c r="T2872" i="2"/>
  <c r="S2873" i="2" l="1"/>
  <c r="U2873" i="2"/>
  <c r="T2873" i="2"/>
  <c r="S2874" i="2" l="1"/>
  <c r="U2874" i="2"/>
  <c r="T2874" i="2"/>
  <c r="S2875" i="2" l="1"/>
  <c r="T2875" i="2"/>
  <c r="U2875" i="2"/>
  <c r="S2876" i="2" l="1"/>
  <c r="U2876" i="2"/>
  <c r="T2876" i="2"/>
  <c r="S2877" i="2" l="1"/>
  <c r="T2877" i="2"/>
  <c r="U2877" i="2"/>
  <c r="S2878" i="2" l="1"/>
  <c r="U2878" i="2"/>
  <c r="T2878" i="2"/>
  <c r="S2879" i="2" l="1"/>
  <c r="U2879" i="2"/>
  <c r="T2879" i="2"/>
  <c r="S2880" i="2" l="1"/>
  <c r="U2880" i="2"/>
  <c r="T2880" i="2"/>
  <c r="S2881" i="2" l="1"/>
  <c r="T2881" i="2"/>
  <c r="U2881" i="2"/>
  <c r="S2882" i="2" l="1"/>
  <c r="U2882" i="2"/>
  <c r="T2882" i="2"/>
  <c r="S2883" i="2" l="1"/>
  <c r="T2883" i="2"/>
  <c r="U2883" i="2"/>
  <c r="S2884" i="2" l="1"/>
  <c r="U2884" i="2"/>
  <c r="T2884" i="2"/>
  <c r="S2885" i="2" l="1"/>
  <c r="U2885" i="2"/>
  <c r="T2885" i="2"/>
  <c r="S2886" i="2" l="1"/>
  <c r="T2886" i="2"/>
  <c r="U2886" i="2"/>
  <c r="S2887" i="2" l="1"/>
  <c r="T2887" i="2"/>
  <c r="U2887" i="2"/>
  <c r="S2888" i="2" l="1"/>
  <c r="U2888" i="2"/>
  <c r="T2888" i="2"/>
  <c r="S2889" i="2" l="1"/>
  <c r="U2889" i="2"/>
  <c r="T2889" i="2"/>
  <c r="S2890" i="2" l="1"/>
  <c r="U2890" i="2"/>
  <c r="T2890" i="2"/>
  <c r="S2891" i="2" l="1"/>
  <c r="T2891" i="2"/>
  <c r="U2891" i="2"/>
  <c r="S2892" i="2" l="1"/>
  <c r="U2892" i="2"/>
  <c r="T2892" i="2"/>
  <c r="S2893" i="2" l="1"/>
  <c r="U2893" i="2"/>
  <c r="T2893" i="2"/>
  <c r="S2894" i="2" l="1"/>
  <c r="T2894" i="2"/>
  <c r="U2894" i="2"/>
  <c r="S2895" i="2" l="1"/>
  <c r="T2895" i="2"/>
  <c r="U2895" i="2"/>
  <c r="S2896" i="2" l="1"/>
  <c r="T2896" i="2"/>
  <c r="U2896" i="2"/>
  <c r="S2897" i="2" l="1"/>
  <c r="U2897" i="2"/>
  <c r="T2897" i="2"/>
  <c r="S2898" i="2" l="1"/>
  <c r="U2898" i="2"/>
  <c r="T2898" i="2"/>
  <c r="S2899" i="2" l="1"/>
  <c r="T2899" i="2"/>
  <c r="U2899" i="2"/>
  <c r="S2900" i="2" l="1"/>
  <c r="T2900" i="2"/>
  <c r="U2900" i="2"/>
  <c r="S2901" i="2" l="1"/>
  <c r="U2901" i="2"/>
  <c r="T2901" i="2"/>
  <c r="S2902" i="2" l="1"/>
  <c r="U2902" i="2"/>
  <c r="T2902" i="2"/>
  <c r="S2903" i="2" l="1"/>
  <c r="U2903" i="2"/>
  <c r="T2903" i="2"/>
  <c r="S2904" i="2" l="1"/>
  <c r="U2904" i="2"/>
  <c r="T2904" i="2"/>
  <c r="S2905" i="2" l="1"/>
  <c r="U2905" i="2"/>
  <c r="T2905" i="2"/>
  <c r="S2906" i="2" l="1"/>
  <c r="U2906" i="2"/>
  <c r="T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T2911" i="2"/>
  <c r="U2911" i="2"/>
  <c r="S2912" i="2" l="1"/>
  <c r="T2912" i="2"/>
  <c r="U2912" i="2"/>
  <c r="S2913" i="2" l="1"/>
  <c r="U2913" i="2"/>
  <c r="T2913" i="2"/>
  <c r="S2914" i="2" l="1"/>
  <c r="U2914" i="2"/>
  <c r="T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T2919" i="2"/>
  <c r="U2919" i="2"/>
  <c r="S2920" i="2" l="1"/>
  <c r="U2920" i="2"/>
  <c r="T2920" i="2"/>
  <c r="S2921" i="2" l="1"/>
  <c r="U2921" i="2"/>
  <c r="T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U2927" i="2"/>
  <c r="T2927" i="2"/>
  <c r="S2928" i="2" l="1"/>
  <c r="U2928" i="2"/>
  <c r="T2928" i="2"/>
  <c r="S2929" i="2" l="1"/>
  <c r="U2929" i="2"/>
  <c r="T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T2934" i="2"/>
  <c r="U2934" i="2"/>
  <c r="S2935" i="2" l="1"/>
  <c r="T2935" i="2"/>
  <c r="U2935" i="2"/>
  <c r="S2936" i="2" l="1"/>
  <c r="T2936" i="2"/>
  <c r="U2936" i="2"/>
  <c r="S2937" i="2" l="1"/>
  <c r="U2937" i="2"/>
  <c r="T2937" i="2"/>
  <c r="S2938" i="2" l="1"/>
  <c r="U2938" i="2"/>
  <c r="T2938" i="2"/>
  <c r="S2939" i="2" l="1"/>
  <c r="T2939" i="2"/>
  <c r="U2939" i="2"/>
  <c r="S2940" i="2" l="1"/>
  <c r="U2940" i="2"/>
  <c r="T2940" i="2"/>
  <c r="S2941" i="2" l="1"/>
  <c r="T2941" i="2"/>
  <c r="U2941" i="2"/>
  <c r="S2942" i="2" l="1"/>
  <c r="U2942" i="2"/>
  <c r="T2942" i="2"/>
  <c r="S2943" i="2" l="1"/>
  <c r="U2943" i="2"/>
  <c r="T2943" i="2"/>
  <c r="S2944" i="2" l="1"/>
  <c r="U2944" i="2"/>
  <c r="T2944" i="2"/>
  <c r="S2945" i="2" l="1"/>
  <c r="U2945" i="2"/>
  <c r="T2945" i="2"/>
  <c r="S2946" i="2" l="1"/>
  <c r="U2946" i="2"/>
  <c r="T2946" i="2"/>
  <c r="S2947" i="2" l="1"/>
  <c r="T2947" i="2"/>
  <c r="U2947" i="2"/>
  <c r="S2948" i="2" l="1"/>
  <c r="U2948" i="2"/>
  <c r="T2948" i="2"/>
  <c r="S2949" i="2" l="1"/>
  <c r="T2949" i="2"/>
  <c r="U2949" i="2"/>
  <c r="S2950" i="2" l="1"/>
  <c r="T2950" i="2"/>
  <c r="U2950" i="2"/>
  <c r="S2951" i="2" l="1"/>
  <c r="T2951" i="2"/>
  <c r="U2951" i="2"/>
  <c r="S2952" i="2" l="1"/>
  <c r="T2952" i="2"/>
  <c r="U2952" i="2"/>
  <c r="S2953" i="2" l="1"/>
  <c r="U2953" i="2"/>
  <c r="T2953" i="2"/>
  <c r="S2954" i="2" l="1"/>
  <c r="U2954" i="2"/>
  <c r="T2954" i="2"/>
  <c r="S2955" i="2" l="1"/>
  <c r="T2955" i="2"/>
  <c r="U2955" i="2"/>
  <c r="S2956" i="2" l="1"/>
  <c r="T2956" i="2"/>
  <c r="U2956" i="2"/>
  <c r="S2957" i="2" l="1"/>
  <c r="U2957" i="2"/>
  <c r="T2957" i="2"/>
  <c r="S2958" i="2" l="1"/>
  <c r="T2958" i="2"/>
  <c r="U2958" i="2"/>
  <c r="S2959" i="2" l="1"/>
  <c r="U2959" i="2"/>
  <c r="T2959" i="2"/>
  <c r="S2960" i="2" l="1"/>
  <c r="U2960" i="2"/>
  <c r="T2960" i="2"/>
  <c r="S2961" i="2" l="1"/>
  <c r="U2961" i="2"/>
  <c r="T2961" i="2"/>
  <c r="S2962" i="2" l="1"/>
  <c r="U2962" i="2"/>
  <c r="T2962" i="2"/>
  <c r="S2963" i="2" l="1"/>
  <c r="T2963" i="2"/>
  <c r="U2963" i="2"/>
  <c r="S2964" i="2" l="1"/>
  <c r="U2964" i="2"/>
  <c r="T2964" i="2"/>
  <c r="S2965" i="2" l="1"/>
  <c r="T2965" i="2"/>
  <c r="U2965" i="2"/>
  <c r="S2966" i="2" l="1"/>
  <c r="T2966" i="2"/>
  <c r="U2966" i="2"/>
  <c r="S2967" i="2" l="1"/>
  <c r="T2967" i="2"/>
  <c r="U2967" i="2"/>
  <c r="S2968" i="2" l="1"/>
  <c r="T2968" i="2"/>
  <c r="U2968" i="2"/>
  <c r="S2969" i="2" l="1"/>
  <c r="U2969" i="2"/>
  <c r="T2969" i="2"/>
  <c r="S2970" i="2" l="1"/>
  <c r="U2970" i="2"/>
  <c r="T2970" i="2"/>
  <c r="S2971" i="2" l="1"/>
  <c r="T2971" i="2"/>
  <c r="U2971" i="2"/>
  <c r="S2972" i="2" l="1"/>
  <c r="U2972" i="2"/>
  <c r="T2972" i="2"/>
  <c r="S2973" i="2" l="1"/>
  <c r="U2973" i="2"/>
  <c r="T2973" i="2"/>
  <c r="S2974" i="2" l="1"/>
  <c r="T2974" i="2"/>
  <c r="U2974" i="2"/>
  <c r="S2975" i="2" l="1"/>
  <c r="T2975" i="2"/>
  <c r="U2975" i="2"/>
  <c r="S2976" i="2" l="1"/>
  <c r="U2976" i="2"/>
  <c r="T2976" i="2"/>
  <c r="S2977" i="2" l="1"/>
  <c r="U2977" i="2"/>
  <c r="T2977" i="2"/>
  <c r="S2978" i="2" l="1"/>
  <c r="U2978" i="2"/>
  <c r="T2978" i="2"/>
  <c r="S2979" i="2" l="1"/>
  <c r="T2979" i="2"/>
  <c r="U2979" i="2"/>
  <c r="S2980" i="2" l="1"/>
  <c r="U2980" i="2"/>
  <c r="T2980" i="2"/>
  <c r="S2981" i="2" l="1"/>
  <c r="U2981" i="2"/>
  <c r="T2981" i="2"/>
  <c r="S2982" i="2" l="1"/>
  <c r="T2982" i="2"/>
  <c r="U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U2988" i="2"/>
  <c r="T2988" i="2"/>
  <c r="S2989" i="2" l="1"/>
  <c r="T2989" i="2"/>
  <c r="U2989" i="2"/>
  <c r="S2990" i="2" l="1"/>
  <c r="U2990" i="2"/>
  <c r="T2990" i="2"/>
  <c r="S2991" i="2" l="1"/>
  <c r="T2991" i="2"/>
  <c r="U2991" i="2"/>
  <c r="S2992" i="2" l="1"/>
  <c r="U2992" i="2"/>
  <c r="T2992" i="2"/>
  <c r="S2993" i="2" l="1"/>
  <c r="T2993" i="2"/>
  <c r="U2993" i="2"/>
  <c r="S2994" i="2" l="1"/>
  <c r="U2994" i="2"/>
  <c r="T2994" i="2"/>
  <c r="S2995" i="2" l="1"/>
  <c r="T2995" i="2"/>
  <c r="U2995" i="2"/>
  <c r="S2996" i="2" l="1"/>
  <c r="U2996" i="2"/>
  <c r="T2996" i="2"/>
  <c r="S2997" i="2" l="1"/>
  <c r="T2997" i="2"/>
  <c r="U2997" i="2"/>
  <c r="S2998" i="2" l="1"/>
  <c r="U2998" i="2"/>
  <c r="T2998" i="2"/>
  <c r="S2999" i="2" l="1"/>
  <c r="T2999" i="2"/>
  <c r="U2999" i="2"/>
  <c r="S3000" i="2" l="1"/>
  <c r="U3000" i="2"/>
  <c r="T3000" i="2"/>
  <c r="S3001" i="2" l="1"/>
  <c r="U3001" i="2"/>
  <c r="T3001" i="2"/>
  <c r="S3002" i="2" l="1"/>
  <c r="T3002" i="2"/>
  <c r="U3002" i="2"/>
  <c r="S3003" i="2" l="1"/>
  <c r="T3003" i="2"/>
  <c r="U3003" i="2"/>
  <c r="S3004" i="2" l="1"/>
  <c r="U3004" i="2"/>
  <c r="T3004" i="2"/>
  <c r="S3005" i="2" l="1"/>
  <c r="U3005" i="2"/>
  <c r="T3005" i="2"/>
  <c r="S3006" i="2" l="1"/>
  <c r="T3006" i="2"/>
  <c r="U3006" i="2"/>
  <c r="S3007" i="2" l="1"/>
  <c r="T3007" i="2"/>
  <c r="U3007" i="2"/>
  <c r="S3008" i="2" l="1"/>
  <c r="U3008" i="2"/>
  <c r="T3008" i="2"/>
  <c r="S3009" i="2" l="1"/>
  <c r="U3009" i="2"/>
  <c r="T3009" i="2"/>
  <c r="S3010" i="2" l="1"/>
  <c r="T3010" i="2"/>
  <c r="U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T3015" i="2"/>
  <c r="U3015" i="2"/>
  <c r="S3016" i="2" l="1"/>
  <c r="U3016" i="2"/>
  <c r="T3016" i="2"/>
  <c r="S3017" i="2" l="1"/>
  <c r="U3017" i="2"/>
  <c r="T3017" i="2"/>
  <c r="S3018" i="2" l="1"/>
  <c r="T3018" i="2"/>
  <c r="U3018" i="2"/>
  <c r="S3019" i="2" l="1"/>
  <c r="T3019" i="2"/>
  <c r="U3019" i="2"/>
  <c r="S3020" i="2" l="1"/>
  <c r="U3020" i="2"/>
  <c r="T3020" i="2"/>
  <c r="S3021" i="2" l="1"/>
  <c r="T3021" i="2"/>
  <c r="U3021" i="2"/>
  <c r="S3022" i="2" l="1"/>
  <c r="T3022" i="2"/>
  <c r="U3022" i="2"/>
  <c r="S3023" i="2" l="1"/>
  <c r="T3023" i="2"/>
  <c r="U3023" i="2"/>
  <c r="S3024" i="2" l="1"/>
  <c r="T3024" i="2"/>
  <c r="U3024" i="2"/>
  <c r="S3025" i="2" l="1"/>
  <c r="T3025" i="2"/>
  <c r="U3025" i="2"/>
  <c r="S3026" i="2" l="1"/>
  <c r="U3026" i="2"/>
  <c r="T3026" i="2"/>
  <c r="S3027" i="2" l="1"/>
  <c r="T3027" i="2"/>
  <c r="U3027" i="2"/>
  <c r="S3028" i="2" l="1"/>
  <c r="U3028" i="2"/>
  <c r="T3028" i="2"/>
  <c r="S3029" i="2" l="1"/>
  <c r="T3029" i="2"/>
  <c r="U3029" i="2"/>
  <c r="S3030" i="2" l="1"/>
  <c r="U3030" i="2"/>
  <c r="T3030" i="2"/>
  <c r="S3031" i="2" l="1"/>
  <c r="U3031" i="2"/>
  <c r="T3031" i="2"/>
  <c r="S3032" i="2" l="1"/>
  <c r="T3032" i="2"/>
  <c r="U3032" i="2"/>
  <c r="S3033" i="2" l="1"/>
  <c r="U3033" i="2"/>
  <c r="T3033" i="2"/>
  <c r="S3034" i="2" l="1"/>
  <c r="T3034" i="2"/>
  <c r="U3034" i="2"/>
  <c r="S3035" i="2" l="1"/>
  <c r="T3035" i="2"/>
  <c r="U3035" i="2"/>
  <c r="S3036" i="2" l="1"/>
  <c r="U3036" i="2"/>
  <c r="T3036" i="2"/>
  <c r="S3037" i="2" l="1"/>
  <c r="U3037" i="2"/>
  <c r="T3037" i="2"/>
  <c r="S3038" i="2" l="1"/>
  <c r="U3038" i="2"/>
  <c r="T3038" i="2"/>
  <c r="S3039" i="2" l="1"/>
  <c r="T3039" i="2"/>
  <c r="U3039" i="2"/>
  <c r="S3040" i="2" l="1"/>
  <c r="U3040" i="2"/>
  <c r="T3040" i="2"/>
  <c r="S3041" i="2" l="1"/>
  <c r="U3041" i="2"/>
  <c r="T3041" i="2"/>
  <c r="S3042" i="2" l="1"/>
  <c r="T3042" i="2"/>
  <c r="U3042" i="2"/>
  <c r="S3043" i="2" l="1"/>
  <c r="T3043" i="2"/>
  <c r="U3043" i="2"/>
  <c r="S3044" i="2" l="1"/>
  <c r="U3044" i="2"/>
  <c r="T3044" i="2"/>
  <c r="S3045" i="2" l="1"/>
  <c r="U3045" i="2"/>
  <c r="T3045" i="2"/>
  <c r="S3046" i="2" l="1"/>
  <c r="U3046" i="2"/>
  <c r="T3046" i="2"/>
  <c r="S3047" i="2" l="1"/>
  <c r="T3047" i="2"/>
  <c r="U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T3055" i="2"/>
  <c r="U3055" i="2"/>
  <c r="S3056" i="2" l="1"/>
  <c r="U3056" i="2"/>
  <c r="T3056" i="2"/>
  <c r="S3057" i="2" l="1"/>
  <c r="T3057" i="2"/>
  <c r="U3057" i="2"/>
  <c r="S3058" i="2" l="1"/>
  <c r="T3058" i="2"/>
  <c r="U3058" i="2"/>
  <c r="S3059" i="2" l="1"/>
  <c r="U3059" i="2"/>
  <c r="T3059" i="2"/>
  <c r="S3060" i="2" l="1"/>
  <c r="U3060" i="2"/>
  <c r="T3060" i="2"/>
  <c r="S3061" i="2" l="1"/>
  <c r="U3061" i="2"/>
  <c r="T3061" i="2"/>
  <c r="S3062" i="2" l="1"/>
  <c r="U3062" i="2"/>
  <c r="T3062" i="2"/>
  <c r="S3063" i="2" l="1"/>
  <c r="T3063" i="2"/>
  <c r="U3063" i="2"/>
  <c r="S3064" i="2" l="1"/>
  <c r="T3064" i="2"/>
  <c r="U3064" i="2"/>
  <c r="S3065" i="2" l="1"/>
  <c r="U3065" i="2"/>
  <c r="T3065" i="2"/>
  <c r="S3066" i="2" l="1"/>
  <c r="T3066" i="2"/>
  <c r="U3066" i="2"/>
  <c r="S3067" i="2" l="1"/>
  <c r="T3067" i="2"/>
  <c r="U3067" i="2"/>
  <c r="S3068" i="2" l="1"/>
  <c r="U3068" i="2"/>
  <c r="T3068" i="2"/>
  <c r="S3069" i="2" l="1"/>
  <c r="T3069" i="2"/>
  <c r="U3069" i="2"/>
  <c r="S3070" i="2" l="1"/>
  <c r="T3070" i="2"/>
  <c r="U3070" i="2"/>
  <c r="S3071" i="2" l="1"/>
  <c r="T3071" i="2"/>
  <c r="U3071" i="2"/>
  <c r="S3072" i="2" l="1"/>
  <c r="U3072" i="2"/>
  <c r="T3072" i="2"/>
  <c r="S3073" i="2" l="1"/>
  <c r="U3073" i="2"/>
  <c r="T3073" i="2"/>
  <c r="S3074" i="2" l="1"/>
  <c r="T3074" i="2"/>
  <c r="U3074" i="2"/>
  <c r="S3075" i="2" l="1"/>
  <c r="T3075" i="2"/>
  <c r="U3075" i="2"/>
  <c r="S3076" i="2" l="1"/>
  <c r="U3076" i="2"/>
  <c r="T3076" i="2"/>
  <c r="S3077" i="2" l="1"/>
  <c r="U3077" i="2"/>
  <c r="T3077" i="2"/>
  <c r="S3078" i="2" l="1"/>
  <c r="U3078" i="2"/>
  <c r="T3078" i="2"/>
  <c r="S3079" i="2" l="1"/>
  <c r="T3079" i="2"/>
  <c r="U3079" i="2"/>
  <c r="S3080" i="2" l="1"/>
  <c r="U3080" i="2"/>
  <c r="T3080" i="2"/>
  <c r="S3081" i="2" l="1"/>
  <c r="U3081" i="2"/>
  <c r="T3081" i="2"/>
  <c r="S3082" i="2" l="1"/>
  <c r="T3082" i="2"/>
  <c r="U3082" i="2"/>
  <c r="S3083" i="2" l="1"/>
  <c r="T3083" i="2"/>
  <c r="U3083" i="2"/>
  <c r="S3084" i="2" l="1"/>
  <c r="U3084" i="2"/>
  <c r="T3084" i="2"/>
  <c r="S3085" i="2" l="1"/>
  <c r="T3085" i="2"/>
  <c r="U3085" i="2"/>
  <c r="S3086" i="2" l="1"/>
  <c r="T3086" i="2"/>
  <c r="U3086" i="2"/>
  <c r="S3087" i="2" l="1"/>
  <c r="T3087" i="2"/>
  <c r="U3087" i="2"/>
  <c r="S3088" i="2" l="1"/>
  <c r="U3088" i="2"/>
  <c r="T3088" i="2"/>
  <c r="S3089" i="2" l="1"/>
  <c r="T3089" i="2"/>
  <c r="U3089" i="2"/>
  <c r="S3090" i="2" l="1"/>
  <c r="T3090" i="2"/>
  <c r="U3090" i="2"/>
  <c r="S3091" i="2" l="1"/>
  <c r="T3091" i="2"/>
  <c r="U3091" i="2"/>
  <c r="S3092" i="2" l="1"/>
  <c r="U3092" i="2"/>
  <c r="T3092" i="2"/>
  <c r="S3093" i="2" l="1"/>
  <c r="U3093" i="2"/>
  <c r="T3093" i="2"/>
  <c r="S3094" i="2" l="1"/>
  <c r="U3094" i="2"/>
  <c r="T3094" i="2"/>
  <c r="S3095" i="2" l="1"/>
  <c r="T3095" i="2"/>
  <c r="U3095" i="2"/>
  <c r="S3096" i="2" l="1"/>
  <c r="U3096" i="2"/>
  <c r="T3096" i="2"/>
  <c r="S3097" i="2" l="1"/>
  <c r="U3097" i="2"/>
  <c r="T3097" i="2"/>
  <c r="S3098" i="2" l="1"/>
  <c r="T3098" i="2"/>
  <c r="U3098" i="2"/>
  <c r="S3099" i="2" l="1"/>
  <c r="T3099" i="2"/>
  <c r="U3099" i="2"/>
  <c r="S3100" i="2" l="1"/>
  <c r="U3100" i="2"/>
  <c r="T3100" i="2"/>
  <c r="S3101" i="2" l="1"/>
  <c r="T3101" i="2"/>
  <c r="U3101" i="2"/>
  <c r="S3102" i="2" l="1"/>
  <c r="T3102" i="2"/>
  <c r="U3102" i="2"/>
  <c r="S3103" i="2" l="1"/>
  <c r="T3103" i="2"/>
  <c r="U3103" i="2"/>
  <c r="S3104" i="2" l="1"/>
  <c r="U3104" i="2"/>
  <c r="T3104" i="2"/>
  <c r="S3105" i="2" l="1"/>
  <c r="U3105" i="2"/>
  <c r="T3105" i="2"/>
  <c r="S3106" i="2" l="1"/>
  <c r="T3106" i="2"/>
  <c r="U3106" i="2"/>
  <c r="S3107" i="2" l="1"/>
  <c r="T3107" i="2"/>
  <c r="U3107" i="2"/>
  <c r="S3108" i="2" l="1"/>
  <c r="U3108" i="2"/>
  <c r="T3108" i="2"/>
  <c r="S3109" i="2" l="1"/>
  <c r="U3109" i="2"/>
  <c r="T3109" i="2"/>
  <c r="S3110" i="2" l="1"/>
  <c r="T3110" i="2"/>
  <c r="U3110" i="2"/>
  <c r="S3111" i="2" l="1"/>
  <c r="T3111" i="2"/>
  <c r="U3111" i="2"/>
  <c r="S3112" i="2" l="1"/>
  <c r="U3112" i="2"/>
  <c r="T3112" i="2"/>
  <c r="S3113" i="2" l="1"/>
  <c r="U3113" i="2"/>
  <c r="T3113" i="2"/>
  <c r="S3114" i="2" l="1"/>
  <c r="T3114" i="2"/>
  <c r="U3114" i="2"/>
  <c r="S3115" i="2" l="1"/>
  <c r="T3115" i="2"/>
  <c r="U3115" i="2"/>
  <c r="S3116" i="2" l="1"/>
  <c r="U3116" i="2"/>
  <c r="T3116" i="2"/>
  <c r="S3117" i="2" l="1"/>
  <c r="T3117" i="2"/>
  <c r="U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T3123" i="2"/>
  <c r="U3123" i="2"/>
  <c r="S3124" i="2" l="1"/>
  <c r="U3124" i="2"/>
  <c r="T3124" i="2"/>
  <c r="S3125" i="2" l="1"/>
  <c r="U3125" i="2"/>
  <c r="T3125" i="2"/>
  <c r="S3126" i="2" l="1"/>
  <c r="U3126" i="2"/>
  <c r="T3126" i="2"/>
  <c r="S3127" i="2" l="1"/>
  <c r="T3127" i="2"/>
  <c r="U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U3134" i="2"/>
  <c r="T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U3140" i="2"/>
  <c r="T3140" i="2"/>
  <c r="S3141" i="2" l="1"/>
  <c r="U3141" i="2"/>
  <c r="T3141" i="2"/>
  <c r="S3142" i="2" l="1"/>
  <c r="U3142" i="2"/>
  <c r="T3142" i="2"/>
  <c r="S3143" i="2" l="1"/>
  <c r="T3143" i="2"/>
  <c r="U3143" i="2"/>
  <c r="S3144" i="2" l="1"/>
  <c r="U3144" i="2"/>
  <c r="T3144" i="2"/>
  <c r="S3145" i="2" l="1"/>
  <c r="U3145" i="2"/>
  <c r="T3145" i="2"/>
  <c r="S3146" i="2" l="1"/>
  <c r="T3146" i="2"/>
  <c r="U3146" i="2"/>
  <c r="S3147" i="2" l="1"/>
  <c r="T3147" i="2"/>
  <c r="U3147" i="2"/>
  <c r="S3148" i="2" l="1"/>
  <c r="T3148" i="2"/>
  <c r="U3148" i="2"/>
  <c r="S3149" i="2" l="1"/>
  <c r="T3149" i="2"/>
  <c r="U3149" i="2"/>
  <c r="S3150" i="2" l="1"/>
  <c r="U3150" i="2"/>
  <c r="T3150" i="2"/>
  <c r="S3151" i="2" l="1"/>
  <c r="T3151" i="2"/>
  <c r="U3151" i="2"/>
  <c r="S3152" i="2" l="1"/>
  <c r="U3152" i="2"/>
  <c r="T3152" i="2"/>
  <c r="S3153" i="2" l="1"/>
  <c r="T3153" i="2"/>
  <c r="U3153" i="2"/>
  <c r="S3154" i="2" l="1"/>
  <c r="T3154" i="2"/>
  <c r="U3154" i="2"/>
  <c r="S3155" i="2" l="1"/>
  <c r="U3155" i="2"/>
  <c r="T3155" i="2"/>
  <c r="S3156" i="2" l="1"/>
  <c r="U3156" i="2"/>
  <c r="T3156" i="2"/>
  <c r="S3157" i="2" l="1"/>
  <c r="T3157" i="2"/>
  <c r="U3157" i="2"/>
  <c r="S3158" i="2" l="1"/>
  <c r="U3158" i="2"/>
  <c r="T3158" i="2"/>
  <c r="S3159" i="2" l="1"/>
  <c r="T3159" i="2"/>
  <c r="U3159" i="2"/>
  <c r="S3160" i="2" l="1"/>
  <c r="U3160" i="2"/>
  <c r="T3160" i="2"/>
  <c r="S3161" i="2" l="1"/>
  <c r="U3161" i="2"/>
  <c r="T3161" i="2"/>
  <c r="S3162" i="2" l="1"/>
  <c r="T3162" i="2"/>
  <c r="U3162" i="2"/>
  <c r="S3163" i="2" l="1"/>
  <c r="T3163" i="2"/>
  <c r="U3163" i="2"/>
  <c r="S3164" i="2" l="1"/>
  <c r="U3164" i="2"/>
  <c r="T3164" i="2"/>
  <c r="S3165" i="2" l="1"/>
  <c r="T3165" i="2"/>
  <c r="U3165" i="2"/>
  <c r="S3166" i="2" l="1"/>
  <c r="U3166" i="2"/>
  <c r="T3166" i="2"/>
  <c r="S3167" i="2" l="1"/>
  <c r="T3167" i="2"/>
  <c r="U3167" i="2"/>
  <c r="S3168" i="2" l="1"/>
  <c r="T3168" i="2"/>
  <c r="U3168" i="2"/>
  <c r="S3169" i="2" l="1"/>
  <c r="U3169" i="2"/>
  <c r="T3169" i="2"/>
  <c r="S3170" i="2" l="1"/>
  <c r="T3170" i="2"/>
  <c r="U3170" i="2"/>
  <c r="S3171" i="2" l="1"/>
  <c r="T3171" i="2"/>
  <c r="U3171" i="2"/>
  <c r="S3172" i="2" l="1"/>
  <c r="U3172" i="2"/>
  <c r="T3172" i="2"/>
  <c r="S3173" i="2" l="1"/>
  <c r="U3173" i="2"/>
  <c r="T3173" i="2"/>
  <c r="S3174" i="2" l="1"/>
  <c r="U3174" i="2"/>
  <c r="T3174" i="2"/>
  <c r="S3175" i="2" l="1"/>
  <c r="T3175" i="2"/>
  <c r="U3175" i="2"/>
  <c r="S3176" i="2" l="1"/>
  <c r="U3176" i="2"/>
  <c r="T3176" i="2"/>
  <c r="S3177" i="2" l="1"/>
  <c r="T3177" i="2"/>
  <c r="U3177" i="2"/>
  <c r="S3178" i="2" l="1"/>
  <c r="T3178" i="2"/>
  <c r="U3178" i="2"/>
  <c r="S3179" i="2" l="1"/>
  <c r="T3179" i="2"/>
  <c r="U3179" i="2"/>
  <c r="S3180" i="2" l="1"/>
  <c r="U3180" i="2"/>
  <c r="T3180" i="2"/>
  <c r="S3181" i="2" l="1"/>
  <c r="T3181" i="2"/>
  <c r="U3181" i="2"/>
  <c r="S3182" i="2" l="1"/>
  <c r="T3182" i="2"/>
  <c r="U3182" i="2"/>
  <c r="S3183" i="2" l="1"/>
  <c r="T3183" i="2"/>
  <c r="U3183" i="2"/>
  <c r="S3184" i="2" l="1"/>
  <c r="U3184" i="2"/>
  <c r="T3184" i="2"/>
  <c r="S3185" i="2" l="1"/>
  <c r="U3185" i="2"/>
  <c r="T3185" i="2"/>
  <c r="S3186" i="2" l="1"/>
  <c r="T3186" i="2"/>
  <c r="U3186" i="2"/>
  <c r="S3187" i="2" l="1"/>
  <c r="T3187" i="2"/>
  <c r="U3187" i="2"/>
  <c r="S3188" i="2" l="1"/>
  <c r="U3188" i="2"/>
  <c r="T3188" i="2"/>
  <c r="S3189" i="2" l="1"/>
  <c r="U3189" i="2"/>
  <c r="T3189" i="2"/>
  <c r="S3190" i="2" l="1"/>
  <c r="U3190" i="2"/>
  <c r="T3190" i="2"/>
  <c r="S3191" i="2" l="1"/>
  <c r="T3191" i="2"/>
  <c r="U3191" i="2"/>
  <c r="S3192" i="2" l="1"/>
  <c r="U3192" i="2"/>
  <c r="T3192" i="2"/>
  <c r="S3193" i="2" l="1"/>
  <c r="T3193" i="2"/>
  <c r="U3193" i="2"/>
  <c r="S3194" i="2" l="1"/>
  <c r="T3194" i="2"/>
  <c r="U3194" i="2"/>
  <c r="S3195" i="2" l="1"/>
  <c r="T3195" i="2"/>
  <c r="U3195" i="2"/>
  <c r="S3196" i="2" l="1"/>
  <c r="U3196" i="2"/>
  <c r="T3196" i="2"/>
  <c r="S3197" i="2" l="1"/>
  <c r="T3197" i="2"/>
  <c r="U3197" i="2"/>
  <c r="S3198" i="2" l="1"/>
  <c r="U3198" i="2"/>
  <c r="T3198" i="2"/>
  <c r="S3199" i="2" l="1"/>
  <c r="T3199" i="2"/>
  <c r="U3199" i="2"/>
  <c r="S3200" i="2" l="1"/>
  <c r="U3200" i="2"/>
  <c r="T3200" i="2"/>
  <c r="S3201" i="2" l="1"/>
  <c r="T3201" i="2"/>
  <c r="U3201" i="2"/>
  <c r="S3202" i="2" l="1"/>
  <c r="T3202" i="2"/>
  <c r="U3202" i="2"/>
  <c r="S3203" i="2" l="1"/>
  <c r="U3203" i="2"/>
  <c r="T3203" i="2"/>
  <c r="S3204" i="2" l="1"/>
  <c r="U3204" i="2"/>
  <c r="T3204" i="2"/>
  <c r="S3205" i="2" l="1"/>
  <c r="U3205" i="2"/>
  <c r="T3205" i="2"/>
  <c r="S3206" i="2" l="1"/>
  <c r="U3206" i="2"/>
  <c r="T3206" i="2"/>
  <c r="S3207" i="2" l="1"/>
  <c r="T3207" i="2"/>
  <c r="U3207" i="2"/>
  <c r="S3208" i="2" l="1"/>
  <c r="T3208" i="2"/>
  <c r="U3208" i="2"/>
  <c r="S3209" i="2" l="1"/>
  <c r="T3209" i="2"/>
  <c r="U3209" i="2"/>
  <c r="S3210" i="2" l="1"/>
  <c r="T3210" i="2"/>
  <c r="U3210" i="2"/>
  <c r="S3211" i="2" l="1"/>
  <c r="T3211" i="2"/>
  <c r="U3211" i="2"/>
  <c r="S3212" i="2" l="1"/>
  <c r="U3212" i="2"/>
  <c r="T3212" i="2"/>
  <c r="S3213" i="2" l="1"/>
  <c r="U3213" i="2"/>
  <c r="T3213" i="2"/>
  <c r="S3214" i="2" l="1"/>
  <c r="U3214" i="2"/>
  <c r="T3214" i="2"/>
  <c r="S3215" i="2" l="1"/>
  <c r="T3215" i="2"/>
  <c r="U3215" i="2"/>
  <c r="S3216" i="2" l="1"/>
  <c r="U3216" i="2"/>
  <c r="T3216" i="2"/>
  <c r="S3217" i="2" l="1"/>
  <c r="U3217" i="2"/>
  <c r="T3217" i="2"/>
  <c r="S3218" i="2" l="1"/>
  <c r="U3218" i="2"/>
  <c r="T3218" i="2"/>
  <c r="S3219" i="2" l="1"/>
  <c r="T3219" i="2"/>
  <c r="U3219" i="2"/>
  <c r="S3220" i="2" l="1"/>
  <c r="U3220" i="2"/>
  <c r="T3220" i="2"/>
  <c r="S3221" i="2" l="1"/>
  <c r="U3221" i="2"/>
  <c r="T3221" i="2"/>
  <c r="S3222" i="2" l="1"/>
  <c r="U3222" i="2"/>
  <c r="T3222" i="2"/>
  <c r="S3223" i="2" l="1"/>
  <c r="T3223" i="2"/>
  <c r="U3223" i="2"/>
  <c r="S3224" i="2" l="1"/>
  <c r="U3224" i="2"/>
  <c r="T3224" i="2"/>
  <c r="S3225" i="2" l="1"/>
  <c r="U3225" i="2"/>
  <c r="T3225" i="2"/>
  <c r="S3226" i="2" l="1"/>
  <c r="T3226" i="2"/>
  <c r="U3226" i="2"/>
  <c r="S3227" i="2" l="1"/>
  <c r="T3227" i="2"/>
  <c r="U3227" i="2"/>
  <c r="S3228" i="2" l="1"/>
  <c r="U3228" i="2"/>
  <c r="T3228" i="2"/>
  <c r="S3229" i="2" l="1"/>
  <c r="T3229" i="2"/>
  <c r="U3229" i="2"/>
  <c r="S3230" i="2" l="1"/>
  <c r="U3230" i="2"/>
  <c r="T3230" i="2"/>
  <c r="S3231" i="2" l="1"/>
  <c r="T3231" i="2"/>
  <c r="U3231" i="2"/>
  <c r="S3232" i="2" l="1"/>
  <c r="U3232" i="2"/>
  <c r="T3232" i="2"/>
  <c r="S3233" i="2" l="1"/>
  <c r="U3233" i="2"/>
  <c r="T3233" i="2"/>
  <c r="S3234" i="2" l="1"/>
  <c r="T3234" i="2"/>
  <c r="U3234" i="2"/>
  <c r="S3235" i="2" l="1"/>
  <c r="U3235" i="2"/>
  <c r="T3235" i="2"/>
  <c r="S3236" i="2" l="1"/>
  <c r="U3236" i="2"/>
  <c r="T3236" i="2"/>
  <c r="S3237" i="2" l="1"/>
  <c r="U3237" i="2"/>
  <c r="T3237" i="2"/>
  <c r="S3238" i="2" l="1"/>
  <c r="U3238" i="2"/>
  <c r="T3238" i="2"/>
  <c r="S3239" i="2" l="1"/>
  <c r="T3239" i="2"/>
  <c r="U3239" i="2"/>
  <c r="S3240" i="2" l="1"/>
  <c r="T3240" i="2"/>
  <c r="U3240" i="2"/>
  <c r="S3241" i="2" l="1"/>
  <c r="U3241" i="2"/>
  <c r="T3241" i="2"/>
  <c r="S3242" i="2" l="1"/>
  <c r="T3242" i="2"/>
  <c r="U3242" i="2"/>
  <c r="S3243" i="2" l="1"/>
  <c r="T3243" i="2"/>
  <c r="U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U3248" i="2"/>
  <c r="T3248" i="2"/>
  <c r="S3249" i="2" l="1"/>
  <c r="U3249" i="2"/>
  <c r="T3249" i="2"/>
  <c r="S3250" i="2" l="1"/>
  <c r="T3250" i="2"/>
  <c r="U3250" i="2"/>
  <c r="S3251" i="2" l="1"/>
  <c r="T3251" i="2"/>
  <c r="U3251" i="2"/>
  <c r="S3252" i="2" l="1"/>
  <c r="U3252" i="2"/>
  <c r="T3252" i="2"/>
  <c r="S3253" i="2" l="1"/>
  <c r="U3253" i="2"/>
  <c r="T3253" i="2"/>
  <c r="S3254" i="2" l="1"/>
  <c r="U3254" i="2"/>
  <c r="T3254" i="2"/>
  <c r="S3255" i="2" l="1"/>
  <c r="T3255" i="2"/>
  <c r="U3255" i="2"/>
  <c r="S3256" i="2" l="1"/>
  <c r="U3256" i="2"/>
  <c r="T3256" i="2"/>
  <c r="S3257" i="2" l="1"/>
  <c r="T3257" i="2"/>
  <c r="U3257" i="2"/>
  <c r="S3258" i="2" l="1"/>
  <c r="U3258" i="2"/>
  <c r="T3258" i="2"/>
  <c r="S3259" i="2" l="1"/>
  <c r="T3259" i="2"/>
  <c r="U3259" i="2"/>
  <c r="S3260" i="2" l="1"/>
  <c r="U3260" i="2"/>
  <c r="T3260" i="2"/>
  <c r="S3261" i="2" l="1"/>
  <c r="U3261" i="2"/>
  <c r="T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U3266" i="2"/>
  <c r="T3266" i="2"/>
  <c r="S3267" i="2" l="1"/>
  <c r="T3267" i="2"/>
  <c r="U3267" i="2"/>
  <c r="S3268" i="2" l="1"/>
  <c r="U3268" i="2"/>
  <c r="T3268" i="2"/>
  <c r="S3269" i="2" l="1"/>
  <c r="U3269" i="2"/>
  <c r="T3269" i="2"/>
  <c r="S3270" i="2" l="1"/>
  <c r="U3270" i="2"/>
  <c r="T3270" i="2"/>
  <c r="S3271" i="2" l="1"/>
  <c r="T3271" i="2"/>
  <c r="U3271" i="2"/>
  <c r="S3272" i="2" l="1"/>
  <c r="U3272" i="2"/>
  <c r="T3272" i="2"/>
  <c r="S3273" i="2" l="1"/>
  <c r="U3273" i="2"/>
  <c r="T3273" i="2"/>
  <c r="S3274" i="2" l="1"/>
  <c r="U3274" i="2"/>
  <c r="T3274" i="2"/>
  <c r="S3275" i="2" l="1"/>
  <c r="T3275" i="2"/>
  <c r="U3275" i="2"/>
  <c r="S3276" i="2" l="1"/>
  <c r="U3276" i="2"/>
  <c r="T3276" i="2"/>
  <c r="S3277" i="2" l="1"/>
  <c r="T3277" i="2"/>
  <c r="U3277" i="2"/>
  <c r="S3278" i="2" l="1"/>
  <c r="T3278" i="2"/>
  <c r="U3278" i="2"/>
  <c r="S3279" i="2" l="1"/>
  <c r="T3279" i="2"/>
  <c r="U3279" i="2"/>
  <c r="S3280" i="2" l="1"/>
  <c r="U3280" i="2"/>
  <c r="T3280" i="2"/>
  <c r="S3281" i="2" l="1"/>
  <c r="U3281" i="2"/>
  <c r="T3281" i="2"/>
  <c r="S3282" i="2" l="1"/>
  <c r="U3282" i="2"/>
  <c r="T3282" i="2"/>
  <c r="S3283" i="2" l="1"/>
  <c r="U3283" i="2"/>
  <c r="T3283" i="2"/>
  <c r="S3284" i="2" l="1"/>
  <c r="U3284" i="2"/>
  <c r="T3284" i="2"/>
  <c r="S3285" i="2" l="1"/>
  <c r="T3285" i="2"/>
  <c r="U3285" i="2"/>
  <c r="S3286" i="2" l="1"/>
  <c r="U3286" i="2"/>
  <c r="T3286" i="2"/>
  <c r="S3287" i="2" l="1"/>
  <c r="T3287" i="2"/>
  <c r="U3287" i="2"/>
  <c r="S3288" i="2" l="1"/>
  <c r="T3288" i="2"/>
  <c r="U3288" i="2"/>
  <c r="S3289" i="2" l="1"/>
  <c r="T3289" i="2"/>
  <c r="U3289" i="2"/>
  <c r="S3290" i="2" l="1"/>
  <c r="T3290" i="2"/>
  <c r="U3290" i="2"/>
  <c r="S3291" i="2" l="1"/>
  <c r="T3291" i="2"/>
  <c r="U3291" i="2"/>
  <c r="S3292" i="2" l="1"/>
  <c r="T3292" i="2"/>
  <c r="U3292" i="2"/>
  <c r="S3293" i="2" l="1"/>
  <c r="U3293" i="2"/>
  <c r="T3293" i="2"/>
  <c r="S3294" i="2" l="1"/>
  <c r="T3294" i="2"/>
  <c r="U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T3299" i="2"/>
  <c r="U3299" i="2"/>
  <c r="S3300" i="2" l="1"/>
  <c r="U3300" i="2"/>
  <c r="T3300" i="2"/>
  <c r="S3301" i="2" l="1"/>
  <c r="T3301" i="2"/>
  <c r="U3301" i="2"/>
  <c r="S3302" i="2" l="1"/>
  <c r="U3302" i="2"/>
  <c r="T3302" i="2"/>
  <c r="S3303" i="2" l="1"/>
  <c r="T3303" i="2"/>
  <c r="U3303" i="2"/>
  <c r="S3304" i="2" l="1"/>
  <c r="U3304" i="2"/>
  <c r="T3304" i="2"/>
  <c r="S3305" i="2" l="1"/>
  <c r="U3305" i="2"/>
  <c r="T3305" i="2"/>
  <c r="S3306" i="2" l="1"/>
  <c r="U3306" i="2"/>
  <c r="T3306" i="2"/>
  <c r="S3307" i="2" l="1"/>
  <c r="T3307" i="2"/>
  <c r="U3307" i="2"/>
  <c r="S3308" i="2" l="1"/>
  <c r="U3308" i="2"/>
  <c r="T3308" i="2"/>
  <c r="S3309" i="2" l="1"/>
  <c r="T3309" i="2"/>
  <c r="U3309" i="2"/>
  <c r="S3310" i="2" l="1"/>
  <c r="T3310" i="2"/>
  <c r="U3310" i="2"/>
  <c r="S3311" i="2" l="1"/>
  <c r="U3311" i="2"/>
  <c r="T3311" i="2"/>
  <c r="S3312" i="2" l="1"/>
  <c r="T3312" i="2"/>
  <c r="U3312" i="2"/>
  <c r="S3313" i="2" l="1"/>
  <c r="U3313" i="2"/>
  <c r="T3313" i="2"/>
  <c r="S3314" i="2" l="1"/>
  <c r="T3314" i="2"/>
  <c r="U3314" i="2"/>
  <c r="S3315" i="2" l="1"/>
  <c r="T3315" i="2"/>
  <c r="U3315" i="2"/>
  <c r="S3316" i="2" l="1"/>
  <c r="U3316" i="2"/>
  <c r="T3316" i="2"/>
  <c r="S3317" i="2" l="1"/>
  <c r="T3317" i="2"/>
  <c r="U3317" i="2"/>
  <c r="S3318" i="2" l="1"/>
  <c r="T3318" i="2"/>
  <c r="U3318" i="2"/>
  <c r="S3319" i="2" l="1"/>
  <c r="U3319" i="2"/>
  <c r="T3319" i="2"/>
  <c r="S3320" i="2" l="1"/>
  <c r="U3320" i="2"/>
  <c r="T3320" i="2"/>
  <c r="S3321" i="2" l="1"/>
  <c r="U3321" i="2"/>
  <c r="T3321" i="2"/>
  <c r="S3322" i="2" l="1"/>
  <c r="U3322" i="2"/>
  <c r="T3322" i="2"/>
  <c r="S3323" i="2" l="1"/>
  <c r="T3323" i="2"/>
  <c r="U3323" i="2"/>
  <c r="S3324" i="2" l="1"/>
  <c r="U3324" i="2"/>
  <c r="T3324" i="2"/>
  <c r="S3325" i="2" l="1"/>
  <c r="U3325" i="2"/>
  <c r="T3325" i="2"/>
  <c r="S3326" i="2" l="1"/>
  <c r="T3326" i="2"/>
  <c r="U3326" i="2"/>
  <c r="S3327" i="2" l="1"/>
  <c r="T3327" i="2"/>
  <c r="U3327" i="2"/>
  <c r="S3328" i="2" l="1"/>
  <c r="T3328" i="2"/>
  <c r="U3328" i="2"/>
  <c r="S3329" i="2" l="1"/>
  <c r="U3329" i="2"/>
  <c r="T3329" i="2"/>
  <c r="S3330" i="2" l="1"/>
  <c r="U3330" i="2"/>
  <c r="T3330" i="2"/>
  <c r="S3331" i="2" l="1"/>
  <c r="T3331" i="2"/>
  <c r="U3331" i="2"/>
  <c r="S3332" i="2" l="1"/>
  <c r="U3332" i="2"/>
  <c r="T3332" i="2"/>
  <c r="S3333" i="2" l="1"/>
  <c r="T3333" i="2"/>
  <c r="U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T3343" i="2"/>
  <c r="U3343" i="2"/>
  <c r="S3344" i="2" l="1"/>
  <c r="U3344" i="2"/>
  <c r="T3344" i="2"/>
  <c r="S3345" i="2" l="1"/>
  <c r="U3345" i="2"/>
  <c r="T3345" i="2"/>
  <c r="S3346" i="2" l="1"/>
  <c r="U3346" i="2"/>
  <c r="T3346" i="2"/>
  <c r="S3347" i="2" l="1"/>
  <c r="U3347" i="2"/>
  <c r="T3347" i="2"/>
  <c r="S3348" i="2" l="1"/>
  <c r="U3348" i="2"/>
  <c r="T3348" i="2"/>
  <c r="S3349" i="2" l="1"/>
  <c r="T3349" i="2"/>
  <c r="U3349" i="2"/>
  <c r="S3350" i="2" l="1"/>
  <c r="T3350" i="2"/>
  <c r="U3350" i="2"/>
  <c r="S3351" i="2" l="1"/>
  <c r="T3351" i="2"/>
  <c r="U3351" i="2"/>
  <c r="S3352" i="2" l="1"/>
  <c r="U3352" i="2"/>
  <c r="T3352" i="2"/>
  <c r="S3353" i="2" l="1"/>
  <c r="T3353" i="2"/>
  <c r="U3353" i="2"/>
  <c r="S3354" i="2" l="1"/>
  <c r="U3354" i="2"/>
  <c r="T3354" i="2"/>
  <c r="S3355" i="2" l="1"/>
  <c r="T3355" i="2"/>
  <c r="U3355" i="2"/>
  <c r="S3356" i="2" l="1"/>
  <c r="T3356" i="2"/>
  <c r="U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U3361" i="2"/>
  <c r="T3361" i="2"/>
  <c r="S3362" i="2" l="1"/>
  <c r="U3362" i="2"/>
  <c r="T3362" i="2"/>
  <c r="S3363" i="2" l="1"/>
  <c r="U3363" i="2"/>
  <c r="T3363" i="2"/>
  <c r="S3364" i="2" l="1"/>
  <c r="U3364" i="2"/>
  <c r="T3364" i="2"/>
  <c r="S3365" i="2" l="1"/>
  <c r="T3365" i="2"/>
  <c r="U3365" i="2"/>
  <c r="S3366" i="2" l="1"/>
  <c r="U3366" i="2"/>
  <c r="T3366" i="2"/>
  <c r="S3367" i="2" l="1"/>
  <c r="T3367" i="2"/>
  <c r="U3367" i="2"/>
  <c r="S3368" i="2" l="1"/>
  <c r="U3368" i="2"/>
  <c r="T3368" i="2"/>
  <c r="S3369" i="2" l="1"/>
  <c r="U3369" i="2"/>
  <c r="T3369" i="2"/>
  <c r="S3370" i="2" l="1"/>
  <c r="U3370" i="2"/>
  <c r="T3370" i="2"/>
  <c r="S3371" i="2" l="1"/>
  <c r="T3371" i="2"/>
  <c r="U3371" i="2"/>
  <c r="S3372" i="2" l="1"/>
  <c r="U3372" i="2"/>
  <c r="T3372" i="2"/>
  <c r="S3373" i="2" l="1"/>
  <c r="T3373" i="2"/>
  <c r="U3373" i="2"/>
  <c r="S3374" i="2" l="1"/>
  <c r="T3374" i="2"/>
  <c r="U3374" i="2"/>
  <c r="S3375" i="2" l="1"/>
  <c r="T3375" i="2"/>
  <c r="U3375" i="2"/>
  <c r="S3376" i="2" l="1"/>
  <c r="U3376" i="2"/>
  <c r="T3376" i="2"/>
  <c r="S3377" i="2" l="1"/>
  <c r="U3377" i="2"/>
  <c r="T3377" i="2"/>
  <c r="S3378" i="2" l="1"/>
  <c r="T3378" i="2"/>
  <c r="U3378" i="2"/>
  <c r="S3379" i="2" l="1"/>
  <c r="U3379" i="2"/>
  <c r="T3379" i="2"/>
  <c r="S3380" i="2" l="1"/>
  <c r="U3380" i="2"/>
  <c r="T3380" i="2"/>
  <c r="S3381" i="2" l="1"/>
  <c r="T3381" i="2"/>
  <c r="U3381" i="2"/>
  <c r="S3382" i="2" l="1"/>
  <c r="U3382" i="2"/>
  <c r="T3382" i="2"/>
  <c r="S3383" i="2" l="1"/>
  <c r="U3383" i="2"/>
  <c r="T3383" i="2"/>
  <c r="S3384" i="2" l="1"/>
  <c r="U3384" i="2"/>
  <c r="T3384" i="2"/>
  <c r="S3385" i="2" l="1"/>
  <c r="T3385" i="2"/>
  <c r="U3385" i="2"/>
  <c r="S3386" i="2" l="1"/>
  <c r="T3386" i="2"/>
  <c r="U3386" i="2"/>
  <c r="S3387" i="2" l="1"/>
  <c r="U3387" i="2"/>
  <c r="T3387" i="2"/>
  <c r="S3388" i="2" l="1"/>
  <c r="T3388" i="2"/>
  <c r="U3388" i="2"/>
  <c r="S3389" i="2" l="1"/>
  <c r="U3389" i="2"/>
  <c r="T3389" i="2"/>
  <c r="S3390" i="2" l="1"/>
  <c r="U3390" i="2"/>
  <c r="T3390" i="2"/>
  <c r="S3391" i="2" l="1"/>
  <c r="U3391" i="2"/>
  <c r="T3391" i="2"/>
  <c r="S3392" i="2" l="1"/>
  <c r="U3392" i="2"/>
  <c r="T3392" i="2"/>
  <c r="S3393" i="2" l="1"/>
  <c r="T3393" i="2"/>
  <c r="U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U3398" i="2"/>
  <c r="T3398" i="2"/>
  <c r="S3399" i="2" l="1"/>
  <c r="T3399" i="2"/>
  <c r="U3399" i="2"/>
  <c r="S3400" i="2" l="1"/>
  <c r="U3400" i="2"/>
  <c r="T3400" i="2"/>
  <c r="S3401" i="2" l="1"/>
  <c r="U3401" i="2"/>
  <c r="T3401" i="2"/>
  <c r="S3402" i="2" l="1"/>
  <c r="T3402" i="2"/>
  <c r="U3402" i="2"/>
  <c r="S3403" i="2" l="1"/>
  <c r="T3403" i="2"/>
  <c r="U3403" i="2"/>
  <c r="S3404" i="2" l="1"/>
  <c r="U3404" i="2"/>
  <c r="T3404" i="2"/>
  <c r="S3405" i="2" l="1"/>
  <c r="T3405" i="2"/>
  <c r="U3405" i="2"/>
  <c r="S3406" i="2" l="1"/>
  <c r="T3406" i="2"/>
  <c r="U3406" i="2"/>
  <c r="S3407" i="2" l="1"/>
  <c r="T3407" i="2"/>
  <c r="U3407" i="2"/>
  <c r="S3408" i="2" l="1"/>
  <c r="U3408" i="2"/>
  <c r="T3408" i="2"/>
  <c r="S3409" i="2" l="1"/>
  <c r="U3409" i="2"/>
  <c r="T3409" i="2"/>
  <c r="S3410" i="2" l="1"/>
  <c r="U3410" i="2"/>
  <c r="T3410" i="2"/>
  <c r="S3411" i="2" l="1"/>
  <c r="U3411" i="2"/>
  <c r="T3411" i="2"/>
  <c r="S3412" i="2" l="1"/>
  <c r="U3412" i="2"/>
  <c r="T3412" i="2"/>
  <c r="S3413" i="2" l="1"/>
  <c r="T3413" i="2"/>
  <c r="U3413" i="2"/>
  <c r="S3414" i="2" l="1"/>
  <c r="U3414" i="2"/>
  <c r="T3414" i="2"/>
  <c r="S3415" i="2" l="1"/>
  <c r="T3415" i="2"/>
  <c r="U3415" i="2"/>
  <c r="S3416" i="2" l="1"/>
  <c r="T3416" i="2"/>
  <c r="U3416" i="2"/>
  <c r="S3417" i="2" l="1"/>
  <c r="U3417" i="2"/>
  <c r="T3417" i="2"/>
  <c r="S3418" i="2" l="1"/>
  <c r="U3418" i="2"/>
  <c r="T3418" i="2"/>
  <c r="S3419" i="2" l="1"/>
  <c r="T3419" i="2"/>
  <c r="U3419" i="2"/>
  <c r="S3420" i="2" l="1"/>
  <c r="U3420" i="2"/>
  <c r="T3420" i="2"/>
  <c r="S3421" i="2" l="1"/>
  <c r="U3421" i="2"/>
  <c r="T3421" i="2"/>
  <c r="S3422" i="2" l="1"/>
  <c r="T3422" i="2"/>
  <c r="U3422" i="2"/>
  <c r="S3423" i="2" l="1"/>
  <c r="T3423" i="2"/>
  <c r="U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T3430" i="2"/>
  <c r="U3430" i="2"/>
  <c r="S3431" i="2" l="1"/>
  <c r="U3431" i="2"/>
  <c r="T3431" i="2"/>
  <c r="S3432" i="2" l="1"/>
  <c r="T3432" i="2"/>
  <c r="U3432" i="2"/>
  <c r="S3433" i="2" l="1"/>
  <c r="U3433" i="2"/>
  <c r="T3433" i="2"/>
  <c r="S3434" i="2" l="1"/>
  <c r="U3434" i="2"/>
  <c r="T3434" i="2"/>
  <c r="S3435" i="2" l="1"/>
  <c r="T3435" i="2"/>
  <c r="U3435" i="2"/>
  <c r="S3436" i="2" l="1"/>
  <c r="U3436" i="2"/>
  <c r="T3436" i="2"/>
  <c r="S3437" i="2" l="1"/>
  <c r="T3437" i="2"/>
  <c r="U3437" i="2"/>
  <c r="S3438" i="2" l="1"/>
  <c r="U3438" i="2"/>
  <c r="T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U3443" i="2"/>
  <c r="T3443" i="2"/>
  <c r="S3444" i="2" l="1"/>
  <c r="T3444" i="2"/>
  <c r="U3444" i="2"/>
  <c r="S3445" i="2" l="1"/>
  <c r="T3445" i="2"/>
  <c r="U3445" i="2"/>
  <c r="S3446" i="2" l="1"/>
  <c r="U3446" i="2"/>
  <c r="T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U3452" i="2"/>
  <c r="T3452" i="2"/>
  <c r="S3453" i="2" l="1"/>
  <c r="T3453" i="2"/>
  <c r="U3453" i="2"/>
  <c r="S3454" i="2" l="1"/>
  <c r="T3454" i="2"/>
  <c r="U3454" i="2"/>
  <c r="S3455" i="2" l="1"/>
  <c r="T3455" i="2"/>
  <c r="U3455" i="2"/>
  <c r="S3456" i="2" l="1"/>
  <c r="U3456" i="2"/>
  <c r="T3456" i="2"/>
  <c r="S3457" i="2" l="1"/>
  <c r="U3457" i="2"/>
  <c r="T3457" i="2"/>
  <c r="S3458" i="2" l="1"/>
  <c r="U3458" i="2"/>
  <c r="T3458" i="2"/>
  <c r="S3459" i="2" l="1"/>
  <c r="U3459" i="2"/>
  <c r="T3459" i="2"/>
  <c r="S3460" i="2" l="1"/>
  <c r="T3460" i="2"/>
  <c r="U3460" i="2"/>
  <c r="S3461" i="2" l="1"/>
  <c r="T3461" i="2"/>
  <c r="U3461" i="2"/>
  <c r="S3462" i="2" l="1"/>
  <c r="U3462" i="2"/>
  <c r="T3462" i="2"/>
  <c r="S3463" i="2" l="1"/>
  <c r="T3463" i="2"/>
  <c r="U3463" i="2"/>
  <c r="S3464" i="2" l="1"/>
  <c r="U3464" i="2"/>
  <c r="T3464" i="2"/>
  <c r="S3465" i="2" l="1"/>
  <c r="U3465" i="2"/>
  <c r="T3465" i="2"/>
  <c r="S3466" i="2" l="1"/>
  <c r="U3466" i="2"/>
  <c r="T3466" i="2"/>
  <c r="S3467" i="2" l="1"/>
  <c r="U3467" i="2"/>
  <c r="T3467" i="2"/>
  <c r="S3468" i="2" l="1"/>
  <c r="U3468" i="2"/>
  <c r="T3468" i="2"/>
  <c r="S3469" i="2" l="1"/>
  <c r="U3469" i="2"/>
  <c r="T3469" i="2"/>
  <c r="S3470" i="2" l="1"/>
  <c r="T3470" i="2"/>
  <c r="U3470" i="2"/>
  <c r="S3471" i="2" l="1"/>
  <c r="T3471" i="2"/>
  <c r="U3471" i="2"/>
  <c r="S3472" i="2" l="1"/>
  <c r="U3472" i="2"/>
  <c r="T3472" i="2"/>
  <c r="S3473" i="2" l="1"/>
  <c r="U3473" i="2"/>
  <c r="T3473" i="2"/>
  <c r="S3474" i="2" l="1"/>
  <c r="T3474" i="2"/>
  <c r="U3474" i="2"/>
  <c r="S3475" i="2" l="1"/>
  <c r="T3475" i="2"/>
  <c r="U3475" i="2"/>
  <c r="S3476" i="2" l="1"/>
  <c r="T3476" i="2"/>
  <c r="U3476" i="2"/>
  <c r="S3477" i="2" l="1"/>
  <c r="U3477" i="2"/>
  <c r="T3477" i="2"/>
  <c r="S3478" i="2" l="1"/>
  <c r="U3478" i="2"/>
  <c r="T3478" i="2"/>
  <c r="S3479" i="2" l="1"/>
  <c r="T3479" i="2"/>
  <c r="U3479" i="2"/>
  <c r="S3480" i="2" l="1"/>
  <c r="T3480" i="2"/>
  <c r="U3480" i="2"/>
  <c r="S3481" i="2" l="1"/>
  <c r="U3481" i="2"/>
  <c r="T3481" i="2"/>
  <c r="S3482" i="2" l="1"/>
  <c r="U3482" i="2"/>
  <c r="T3482" i="2"/>
  <c r="S3483" i="2" l="1"/>
  <c r="T3483" i="2"/>
  <c r="U3483" i="2"/>
  <c r="S3484" i="2" l="1"/>
  <c r="U3484" i="2"/>
  <c r="T3484" i="2"/>
  <c r="S3485" i="2" l="1"/>
  <c r="U3485" i="2"/>
  <c r="T3485" i="2"/>
  <c r="S3486" i="2" l="1"/>
  <c r="T3486" i="2"/>
  <c r="U3486" i="2"/>
  <c r="S3487" i="2" l="1"/>
  <c r="T3487" i="2"/>
  <c r="U3487" i="2"/>
  <c r="S3488" i="2" l="1"/>
  <c r="U3488" i="2"/>
  <c r="T3488" i="2"/>
  <c r="S3489" i="2" l="1"/>
  <c r="U3489" i="2"/>
  <c r="T3489" i="2"/>
  <c r="S3490" i="2" l="1"/>
  <c r="T3490" i="2"/>
  <c r="U3490" i="2"/>
  <c r="S3491" i="2" l="1"/>
  <c r="T3491" i="2"/>
  <c r="U3491" i="2"/>
  <c r="S3492" i="2" l="1"/>
  <c r="U3492" i="2"/>
  <c r="T3492" i="2"/>
  <c r="S3493" i="2" l="1"/>
  <c r="T3493" i="2"/>
  <c r="U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U3498" i="2"/>
  <c r="T3498" i="2"/>
  <c r="S3499" i="2" l="1"/>
  <c r="T3499" i="2"/>
  <c r="U3499" i="2"/>
  <c r="S3500" i="2" l="1"/>
  <c r="T3500" i="2"/>
  <c r="U3500" i="2"/>
  <c r="S3501" i="2" l="1"/>
  <c r="U3501" i="2"/>
  <c r="T3501" i="2"/>
  <c r="S3502" i="2" l="1"/>
  <c r="T3502" i="2"/>
  <c r="U3502" i="2"/>
  <c r="S3503" i="2" l="1"/>
  <c r="T3503" i="2"/>
  <c r="U3503" i="2"/>
  <c r="S3504" i="2" l="1"/>
  <c r="U3504" i="2"/>
  <c r="T3504" i="2"/>
  <c r="S3505" i="2" l="1"/>
  <c r="U3505" i="2"/>
  <c r="T3505" i="2"/>
  <c r="S3506" i="2" l="1"/>
  <c r="U3506" i="2"/>
  <c r="T3506" i="2"/>
  <c r="S3507" i="2" l="1"/>
  <c r="U3507" i="2"/>
  <c r="T3507" i="2"/>
  <c r="S3508" i="2" l="1"/>
  <c r="T3508" i="2"/>
  <c r="U3508" i="2"/>
  <c r="S3509" i="2" l="1"/>
  <c r="T3509" i="2"/>
  <c r="U3509" i="2"/>
  <c r="S3510" i="2" l="1"/>
  <c r="U3510" i="2"/>
  <c r="T3510" i="2"/>
  <c r="S3511" i="2" l="1"/>
  <c r="T3511" i="2"/>
  <c r="U3511" i="2"/>
  <c r="S3512" i="2" l="1"/>
  <c r="T3512" i="2"/>
  <c r="U3512" i="2"/>
  <c r="S3513" i="2" l="1"/>
  <c r="U3513" i="2"/>
  <c r="T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T3519" i="2"/>
  <c r="U3519" i="2"/>
  <c r="S3520" i="2" l="1"/>
  <c r="U3520" i="2"/>
  <c r="T3520" i="2"/>
  <c r="S3521" i="2" l="1"/>
  <c r="U3521" i="2"/>
  <c r="T3521" i="2"/>
  <c r="S3522" i="2" l="1"/>
  <c r="U3522" i="2"/>
  <c r="T3522" i="2"/>
  <c r="S3523" i="2" l="1"/>
  <c r="T3523" i="2"/>
  <c r="U3523" i="2"/>
  <c r="S3524" i="2" l="1"/>
  <c r="T3524" i="2"/>
  <c r="U3524" i="2"/>
  <c r="S3525" i="2" l="1"/>
  <c r="U3525" i="2"/>
  <c r="T3525" i="2"/>
  <c r="S3526" i="2" l="1"/>
  <c r="T3526" i="2"/>
  <c r="U3526" i="2"/>
  <c r="S3527" i="2" l="1"/>
  <c r="T3527" i="2"/>
  <c r="U3527" i="2"/>
  <c r="S3528" i="2" l="1"/>
  <c r="T3528" i="2"/>
  <c r="U3528" i="2"/>
  <c r="S3529" i="2" l="1"/>
  <c r="U3529" i="2"/>
  <c r="T3529" i="2"/>
  <c r="S3530" i="2" l="1"/>
  <c r="T3530" i="2"/>
  <c r="U3530" i="2"/>
  <c r="S3531" i="2" l="1"/>
  <c r="T3531" i="2"/>
  <c r="U3531" i="2"/>
  <c r="S3532" i="2" l="1"/>
  <c r="U3532" i="2"/>
  <c r="T3532" i="2"/>
  <c r="S3533" i="2" l="1"/>
  <c r="U3533" i="2"/>
  <c r="T3533" i="2"/>
  <c r="S3534" i="2" l="1"/>
  <c r="T3534" i="2"/>
  <c r="U3534" i="2"/>
  <c r="S3535" i="2" l="1"/>
  <c r="T3535" i="2"/>
  <c r="U3535" i="2"/>
  <c r="S3536" i="2" l="1"/>
  <c r="U3536" i="2"/>
  <c r="T3536" i="2"/>
  <c r="S3537" i="2" l="1"/>
  <c r="U3537" i="2"/>
  <c r="T3537" i="2"/>
  <c r="S3538" i="2" l="1"/>
  <c r="U3538" i="2"/>
  <c r="T3538" i="2"/>
  <c r="S3539" i="2" l="1"/>
  <c r="U3539" i="2"/>
  <c r="T3539" i="2"/>
  <c r="S3540" i="2" l="1"/>
  <c r="U3540" i="2"/>
  <c r="T3540" i="2"/>
  <c r="S3541" i="2" l="1"/>
  <c r="T3541" i="2"/>
  <c r="U3541" i="2"/>
  <c r="S3542" i="2" l="1"/>
  <c r="U3542" i="2"/>
  <c r="T3542" i="2"/>
  <c r="S3543" i="2" l="1"/>
  <c r="T3543" i="2"/>
  <c r="U3543" i="2"/>
  <c r="S3544" i="2" l="1"/>
  <c r="U3544" i="2"/>
  <c r="T3544" i="2"/>
  <c r="S3545" i="2" l="1"/>
  <c r="T3545" i="2"/>
  <c r="U3545" i="2"/>
  <c r="S3546" i="2" l="1"/>
  <c r="U3546" i="2"/>
  <c r="T3546" i="2"/>
  <c r="S3547" i="2" l="1"/>
  <c r="T3547" i="2"/>
  <c r="U3547" i="2"/>
  <c r="S3548" i="2" l="1"/>
  <c r="U3548" i="2"/>
  <c r="T3548" i="2"/>
  <c r="S3549" i="2" l="1"/>
  <c r="U3549" i="2"/>
  <c r="T3549" i="2"/>
  <c r="S3550" i="2" l="1"/>
  <c r="T3550" i="2"/>
  <c r="U3550" i="2"/>
  <c r="S3551" i="2" l="1"/>
  <c r="T3551" i="2"/>
  <c r="U3551" i="2"/>
  <c r="S3552" i="2" l="1"/>
  <c r="U3552" i="2"/>
  <c r="T3552" i="2"/>
  <c r="S3553" i="2" l="1"/>
  <c r="U3553" i="2"/>
  <c r="T3553" i="2"/>
  <c r="S3554" i="2" l="1"/>
  <c r="U3554" i="2"/>
  <c r="T3554" i="2"/>
  <c r="S3555" i="2" l="1"/>
  <c r="U3555" i="2"/>
  <c r="T3555" i="2"/>
  <c r="S3556" i="2" l="1"/>
  <c r="T3556" i="2"/>
  <c r="U3556" i="2"/>
  <c r="S3557" i="2" l="1"/>
  <c r="T3557" i="2"/>
  <c r="U3557" i="2"/>
  <c r="S3558" i="2" l="1"/>
  <c r="T3558" i="2"/>
  <c r="U3558" i="2"/>
  <c r="S3559" i="2" l="1"/>
  <c r="T3559" i="2"/>
  <c r="U3559" i="2"/>
  <c r="S3560" i="2" l="1"/>
  <c r="U3560" i="2"/>
  <c r="T3560" i="2"/>
  <c r="S3561" i="2" l="1"/>
  <c r="U3561" i="2"/>
  <c r="T3561" i="2"/>
  <c r="S3562" i="2" l="1"/>
  <c r="U3562" i="2"/>
  <c r="T3562" i="2"/>
  <c r="S3563" i="2" l="1"/>
  <c r="T3563" i="2"/>
  <c r="U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U3568" i="2"/>
  <c r="T3568" i="2"/>
  <c r="S3569" i="2" l="1"/>
  <c r="U3569" i="2"/>
  <c r="T3569" i="2"/>
  <c r="S3570" i="2" l="1"/>
  <c r="U3570" i="2"/>
  <c r="T3570" i="2"/>
  <c r="S3571" i="2" l="1"/>
  <c r="U3571" i="2"/>
  <c r="T3571" i="2"/>
  <c r="S3572" i="2" l="1"/>
  <c r="U3572" i="2"/>
  <c r="T3572" i="2"/>
  <c r="S3573" i="2" l="1"/>
  <c r="U3573" i="2"/>
  <c r="T3573" i="2"/>
  <c r="S3574" i="2" l="1"/>
  <c r="U3574" i="2"/>
  <c r="T3574" i="2"/>
  <c r="S3575" i="2" l="1"/>
  <c r="T3575" i="2"/>
  <c r="U3575" i="2"/>
  <c r="S3576" i="2" l="1"/>
  <c r="T3576" i="2"/>
  <c r="U3576" i="2"/>
  <c r="S3577" i="2" l="1"/>
  <c r="T3577" i="2"/>
  <c r="U3577" i="2"/>
  <c r="S3578" i="2" l="1"/>
  <c r="T3578" i="2"/>
  <c r="U3578" i="2"/>
  <c r="S3579" i="2" l="1"/>
  <c r="T3579" i="2"/>
  <c r="U3579" i="2"/>
  <c r="S3580" i="2" l="1"/>
  <c r="T3580" i="2"/>
  <c r="U3580" i="2"/>
  <c r="S3581" i="2" l="1"/>
  <c r="U3581" i="2"/>
  <c r="T3581" i="2"/>
  <c r="S3582" i="2" l="1"/>
  <c r="U3582" i="2"/>
  <c r="T3582" i="2"/>
  <c r="S3583" i="2" l="1"/>
  <c r="T3583" i="2"/>
  <c r="U3583" i="2"/>
  <c r="S3584" i="2" l="1"/>
  <c r="U3584" i="2"/>
  <c r="T3584" i="2"/>
  <c r="S3585" i="2" l="1"/>
  <c r="U3585" i="2"/>
  <c r="T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U3594" i="2"/>
  <c r="T3594" i="2"/>
  <c r="S3595" i="2" l="1"/>
  <c r="T3595" i="2"/>
  <c r="U3595" i="2"/>
  <c r="S3596" i="2" l="1"/>
  <c r="U3596" i="2"/>
  <c r="T3596" i="2"/>
  <c r="S3597" i="2" l="1"/>
  <c r="U3597" i="2"/>
  <c r="T3597" i="2"/>
  <c r="S3598" i="2" l="1"/>
  <c r="T3598" i="2"/>
  <c r="U3598" i="2"/>
  <c r="S3599" i="2" l="1"/>
  <c r="T3599" i="2"/>
  <c r="U3599" i="2"/>
  <c r="S3600" i="2" l="1"/>
  <c r="U3600" i="2"/>
  <c r="T3600" i="2"/>
  <c r="S3601" i="2" l="1"/>
  <c r="U3601" i="2"/>
  <c r="T3601" i="2"/>
  <c r="S3602" i="2" l="1"/>
  <c r="T3602" i="2"/>
  <c r="U3602" i="2"/>
  <c r="S3603" i="2" l="1"/>
  <c r="U3603" i="2"/>
  <c r="T3603" i="2"/>
  <c r="S3604" i="2" l="1"/>
  <c r="U3604" i="2"/>
  <c r="T3604" i="2"/>
  <c r="S3605" i="2" l="1"/>
  <c r="T3605" i="2"/>
  <c r="U3605" i="2"/>
  <c r="S3606" i="2" l="1"/>
  <c r="U3606" i="2"/>
  <c r="T3606" i="2"/>
  <c r="S3607" i="2" l="1"/>
  <c r="T3607" i="2"/>
  <c r="U3607" i="2"/>
  <c r="S3608" i="2" l="1"/>
  <c r="U3608" i="2"/>
  <c r="T3608" i="2"/>
  <c r="S3609" i="2" l="1"/>
  <c r="U3609" i="2"/>
  <c r="T3609" i="2"/>
  <c r="S3610" i="2" l="1"/>
  <c r="U3610" i="2"/>
  <c r="T3610" i="2"/>
  <c r="S3611" i="2" l="1"/>
  <c r="T3611" i="2"/>
  <c r="U3611" i="2"/>
  <c r="S3612" i="2" l="1"/>
  <c r="U3612" i="2"/>
  <c r="T3612" i="2"/>
  <c r="S3613" i="2" l="1"/>
  <c r="U3613" i="2"/>
  <c r="T3613" i="2"/>
  <c r="S3614" i="2" l="1"/>
  <c r="T3614" i="2"/>
  <c r="U3614" i="2"/>
  <c r="S3615" i="2" l="1"/>
  <c r="T3615" i="2"/>
  <c r="U3615" i="2"/>
  <c r="S3616" i="2" l="1"/>
  <c r="U3616" i="2"/>
  <c r="T3616" i="2"/>
  <c r="S3617" i="2" l="1"/>
  <c r="U3617" i="2"/>
  <c r="T3617" i="2"/>
  <c r="S3618" i="2" l="1"/>
  <c r="U3618" i="2"/>
  <c r="T3618" i="2"/>
  <c r="S3619" i="2" l="1"/>
  <c r="U3619" i="2"/>
  <c r="T3619" i="2"/>
  <c r="S3620" i="2" l="1"/>
  <c r="U3620" i="2"/>
  <c r="T3620" i="2"/>
  <c r="S3621" i="2" l="1"/>
  <c r="T3621" i="2"/>
  <c r="U3621" i="2"/>
  <c r="S3622" i="2" l="1"/>
  <c r="U3622" i="2"/>
  <c r="T3622" i="2"/>
  <c r="S3623" i="2" l="1"/>
  <c r="T3623" i="2"/>
  <c r="U3623" i="2"/>
  <c r="S3624" i="2" l="1"/>
  <c r="U3624" i="2"/>
  <c r="T3624" i="2"/>
  <c r="S3625" i="2" l="1"/>
  <c r="U3625" i="2"/>
  <c r="T3625" i="2"/>
  <c r="S3626" i="2" l="1"/>
  <c r="T3626" i="2"/>
  <c r="U3626" i="2"/>
  <c r="S3627" i="2" l="1"/>
  <c r="U3627" i="2"/>
  <c r="T3627" i="2"/>
  <c r="S3628" i="2" l="1"/>
  <c r="U3628" i="2"/>
  <c r="T3628" i="2"/>
  <c r="S3629" i="2" l="1"/>
  <c r="U3629" i="2"/>
  <c r="T3629" i="2"/>
  <c r="S3630" i="2" l="1"/>
  <c r="T3630" i="2"/>
  <c r="U3630" i="2"/>
  <c r="S3631" i="2" l="1"/>
  <c r="T3631" i="2"/>
  <c r="U3631" i="2"/>
  <c r="S3632" i="2" l="1"/>
  <c r="U3632" i="2"/>
  <c r="T3632" i="2"/>
  <c r="S3633" i="2" l="1"/>
  <c r="U3633" i="2"/>
  <c r="T3633" i="2"/>
  <c r="S3634" i="2" l="1"/>
  <c r="U3634" i="2"/>
  <c r="T3634" i="2"/>
  <c r="S3635" i="2" l="1"/>
  <c r="U3635" i="2"/>
  <c r="T3635" i="2"/>
  <c r="S3636" i="2" l="1"/>
  <c r="U3636" i="2"/>
  <c r="T3636" i="2"/>
  <c r="S3637" i="2" l="1"/>
  <c r="T3637" i="2"/>
  <c r="U3637" i="2"/>
  <c r="S3638" i="2" l="1"/>
  <c r="U3638" i="2"/>
  <c r="T3638" i="2"/>
  <c r="S3639" i="2" l="1"/>
  <c r="T3639" i="2"/>
  <c r="U3639" i="2"/>
  <c r="S3640" i="2" l="1"/>
  <c r="T3640" i="2"/>
  <c r="U3640" i="2"/>
  <c r="S3641" i="2" l="1"/>
  <c r="U3641" i="2"/>
  <c r="T3641" i="2"/>
  <c r="S3642" i="2" l="1"/>
  <c r="T3642" i="2"/>
  <c r="U3642" i="2"/>
  <c r="S3643" i="2" l="1"/>
  <c r="T3643" i="2"/>
  <c r="U3643" i="2"/>
  <c r="S3644" i="2" l="1"/>
  <c r="U3644" i="2"/>
  <c r="T3644" i="2"/>
  <c r="S3645" i="2" l="1"/>
  <c r="U3645" i="2"/>
  <c r="T3645" i="2"/>
  <c r="S3646" i="2" l="1"/>
  <c r="T3646" i="2"/>
  <c r="U3646" i="2"/>
  <c r="S3647" i="2" l="1"/>
  <c r="T3647" i="2"/>
  <c r="U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U3652" i="2"/>
  <c r="T3652" i="2"/>
  <c r="S3653" i="2" l="1"/>
  <c r="T3653" i="2"/>
  <c r="U3653" i="2"/>
  <c r="S3654" i="2" l="1"/>
  <c r="U3654" i="2"/>
  <c r="T3654" i="2"/>
  <c r="S3655" i="2" l="1"/>
  <c r="T3655" i="2"/>
  <c r="U3655" i="2"/>
  <c r="S3656" i="2" l="1"/>
  <c r="U3656" i="2"/>
  <c r="T3656" i="2"/>
  <c r="S3657" i="2" l="1"/>
  <c r="T3657" i="2"/>
  <c r="U3657" i="2"/>
  <c r="S3658" i="2" l="1"/>
  <c r="U3658" i="2"/>
  <c r="T3658" i="2"/>
  <c r="S3659" i="2" l="1"/>
  <c r="T3659" i="2"/>
  <c r="U3659" i="2"/>
  <c r="S3660" i="2" l="1"/>
  <c r="U3660" i="2"/>
  <c r="T3660" i="2"/>
  <c r="S3661" i="2" l="1"/>
  <c r="U3661" i="2"/>
  <c r="T3661" i="2"/>
  <c r="S3662" i="2" l="1"/>
  <c r="T3662" i="2"/>
  <c r="U3662" i="2"/>
  <c r="S3663" i="2" l="1"/>
  <c r="U3663" i="2"/>
  <c r="T3663" i="2"/>
  <c r="S3664" i="2" l="1"/>
  <c r="U3664" i="2"/>
  <c r="T3664" i="2"/>
  <c r="S3665" i="2" l="1"/>
  <c r="T3665" i="2"/>
  <c r="U3665" i="2"/>
  <c r="S3666" i="2" l="1"/>
  <c r="T3666" i="2"/>
  <c r="U3666" i="2"/>
  <c r="S3667" i="2" l="1"/>
  <c r="U3667" i="2"/>
  <c r="T3667" i="2"/>
  <c r="S3668" i="2" l="1"/>
  <c r="T3668" i="2"/>
  <c r="U3668" i="2"/>
  <c r="S3669" i="2" l="1"/>
  <c r="U3669" i="2"/>
  <c r="T3669" i="2"/>
  <c r="S3670" i="2" l="1"/>
  <c r="T3670" i="2"/>
  <c r="U3670" i="2"/>
  <c r="S3671" i="2" l="1"/>
  <c r="U3671" i="2"/>
  <c r="T3671" i="2"/>
  <c r="S3672" i="2" l="1"/>
  <c r="U3672" i="2"/>
  <c r="T3672" i="2"/>
  <c r="S3673" i="2" l="1"/>
  <c r="T3673" i="2"/>
  <c r="U3673" i="2"/>
  <c r="S3674" i="2" l="1"/>
  <c r="T3674" i="2"/>
  <c r="U3674" i="2"/>
  <c r="S3675" i="2" l="1"/>
  <c r="T3675" i="2"/>
  <c r="U3675" i="2"/>
  <c r="S3676" i="2" l="1"/>
  <c r="U3676" i="2"/>
  <c r="T3676" i="2"/>
  <c r="S3677" i="2" l="1"/>
  <c r="U3677" i="2"/>
  <c r="T3677" i="2"/>
  <c r="S3678" i="2" l="1"/>
  <c r="T3678" i="2"/>
  <c r="U3678" i="2"/>
  <c r="S3679" i="2" l="1"/>
  <c r="U3679" i="2"/>
  <c r="T3679" i="2"/>
  <c r="S3680" i="2" l="1"/>
  <c r="U3680" i="2"/>
  <c r="T3680" i="2"/>
  <c r="S3681" i="2" l="1"/>
  <c r="T3681" i="2"/>
  <c r="U3681" i="2"/>
  <c r="S3682" i="2" l="1"/>
  <c r="T3682" i="2"/>
  <c r="U3682" i="2"/>
  <c r="S3683" i="2" l="1"/>
  <c r="T3683" i="2"/>
  <c r="U3683" i="2"/>
  <c r="S3684" i="2" l="1"/>
  <c r="U3684" i="2"/>
  <c r="T3684" i="2"/>
  <c r="S3685" i="2" l="1"/>
  <c r="U3685" i="2"/>
  <c r="T3685" i="2"/>
  <c r="S3686" i="2" l="1"/>
  <c r="T3686" i="2"/>
  <c r="U3686" i="2"/>
  <c r="S3687" i="2" l="1"/>
  <c r="U3687" i="2"/>
  <c r="T3687" i="2"/>
  <c r="S3688" i="2" l="1"/>
  <c r="T3688" i="2"/>
  <c r="U3688" i="2"/>
  <c r="S3689" i="2" l="1"/>
  <c r="U3689" i="2"/>
  <c r="T3689" i="2"/>
  <c r="S3690" i="2" l="1"/>
  <c r="T3690" i="2"/>
  <c r="U3690" i="2"/>
  <c r="S3691" i="2" l="1"/>
  <c r="T3691" i="2"/>
  <c r="U3691" i="2"/>
  <c r="S3692" i="2" l="1"/>
  <c r="U3692" i="2"/>
  <c r="T3692" i="2"/>
  <c r="S3693" i="2" l="1"/>
  <c r="U3693" i="2"/>
  <c r="T3693" i="2"/>
  <c r="S3694" i="2" l="1"/>
  <c r="T3694" i="2"/>
  <c r="U3694" i="2"/>
  <c r="S3695" i="2" l="1"/>
  <c r="U3695" i="2"/>
  <c r="T3695" i="2"/>
  <c r="S3696" i="2" l="1"/>
  <c r="U3696" i="2"/>
  <c r="T3696" i="2"/>
  <c r="S3697" i="2" l="1"/>
  <c r="T3697" i="2"/>
  <c r="U3697" i="2"/>
  <c r="S3698" i="2" l="1"/>
  <c r="T3698" i="2"/>
  <c r="U3698" i="2"/>
  <c r="S3699" i="2" l="1"/>
  <c r="T3699" i="2"/>
  <c r="U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U3704" i="2"/>
  <c r="T3704" i="2"/>
  <c r="S3705" i="2" l="1"/>
  <c r="U3705" i="2"/>
  <c r="T3705" i="2"/>
  <c r="S3706" i="2" l="1"/>
  <c r="T3706" i="2"/>
  <c r="U3706" i="2"/>
  <c r="S3707" i="2" l="1"/>
  <c r="T3707" i="2"/>
  <c r="U3707" i="2"/>
  <c r="S3708" i="2" l="1"/>
  <c r="U3708" i="2"/>
  <c r="T3708" i="2"/>
  <c r="S3709" i="2" l="1"/>
  <c r="U3709" i="2"/>
  <c r="T3709" i="2"/>
  <c r="S3710" i="2" l="1"/>
  <c r="T3710" i="2"/>
  <c r="U3710" i="2"/>
  <c r="S3711" i="2" l="1"/>
  <c r="T3711" i="2"/>
  <c r="U3711" i="2"/>
  <c r="S3712" i="2" l="1"/>
  <c r="U3712" i="2"/>
  <c r="T3712" i="2"/>
  <c r="S3713" i="2" l="1"/>
  <c r="U3713" i="2"/>
  <c r="T3713" i="2"/>
  <c r="S3714" i="2" l="1"/>
  <c r="T3714" i="2"/>
  <c r="U3714" i="2"/>
  <c r="S3715" i="2" l="1"/>
  <c r="U3715" i="2"/>
  <c r="T3715" i="2"/>
  <c r="S3716" i="2" l="1"/>
  <c r="U3716" i="2"/>
  <c r="T3716" i="2"/>
  <c r="S3717" i="2" l="1"/>
  <c r="U3717" i="2"/>
  <c r="T3717" i="2"/>
  <c r="S3718" i="2" l="1"/>
  <c r="T3718" i="2"/>
  <c r="U3718" i="2"/>
  <c r="S3719" i="2" l="1"/>
  <c r="T3719" i="2"/>
  <c r="U3719" i="2"/>
  <c r="S3720" i="2" l="1"/>
  <c r="T3720" i="2"/>
  <c r="U3720" i="2"/>
  <c r="S3721" i="2" l="1"/>
  <c r="T3721" i="2"/>
  <c r="U3721" i="2"/>
  <c r="S3722" i="2" l="1"/>
  <c r="U3722" i="2"/>
  <c r="T3722" i="2"/>
  <c r="S3723" i="2" l="1"/>
  <c r="T3723" i="2"/>
  <c r="U3723" i="2"/>
  <c r="S3724" i="2" l="1"/>
  <c r="U3724" i="2"/>
  <c r="T3724" i="2"/>
  <c r="S3725" i="2" l="1"/>
  <c r="U3725" i="2"/>
  <c r="T3725" i="2"/>
  <c r="S3726" i="2" l="1"/>
  <c r="T3726" i="2"/>
  <c r="U3726" i="2"/>
  <c r="S3727" i="2" l="1"/>
  <c r="U3727" i="2"/>
  <c r="T3727" i="2"/>
  <c r="S3728" i="2" l="1"/>
  <c r="T3728" i="2"/>
  <c r="U3728" i="2"/>
  <c r="S3729" i="2" l="1"/>
  <c r="T3729" i="2"/>
  <c r="U3729" i="2"/>
  <c r="S3730" i="2" l="1"/>
  <c r="U3730" i="2"/>
  <c r="T3730" i="2"/>
  <c r="S3731" i="2" l="1"/>
  <c r="T3731" i="2"/>
  <c r="U3731" i="2"/>
  <c r="S3732" i="2" l="1"/>
  <c r="U3732" i="2"/>
  <c r="T3732" i="2"/>
  <c r="S3733" i="2" l="1"/>
  <c r="U3733" i="2"/>
  <c r="T3733" i="2"/>
  <c r="S3734" i="2" l="1"/>
  <c r="T3734" i="2"/>
  <c r="U3734" i="2"/>
  <c r="S3735" i="2" l="1"/>
  <c r="U3735" i="2"/>
  <c r="T3735" i="2"/>
  <c r="S3736" i="2" l="1"/>
  <c r="U3736" i="2"/>
  <c r="T3736" i="2"/>
  <c r="S3737" i="2" l="1"/>
  <c r="U3737" i="2"/>
  <c r="T3737" i="2"/>
  <c r="S3738" i="2" l="1"/>
  <c r="U3738" i="2"/>
  <c r="T3738" i="2"/>
  <c r="S3739" i="2" l="1"/>
  <c r="T3739" i="2"/>
  <c r="U3739" i="2"/>
  <c r="S3740" i="2" l="1"/>
  <c r="U3740" i="2"/>
  <c r="T3740" i="2"/>
  <c r="S3741" i="2" l="1"/>
  <c r="T3741" i="2"/>
  <c r="U3741" i="2"/>
  <c r="S3742" i="2" l="1"/>
  <c r="T3742" i="2"/>
  <c r="U3742" i="2"/>
  <c r="S3743" i="2" l="1"/>
  <c r="U3743" i="2"/>
  <c r="T3743" i="2"/>
  <c r="S3744" i="2" l="1"/>
  <c r="T3744" i="2"/>
  <c r="U3744" i="2"/>
  <c r="S3745" i="2" l="1"/>
  <c r="U3745" i="2"/>
  <c r="T3745" i="2"/>
  <c r="S3746" i="2" l="1"/>
  <c r="T3746" i="2"/>
  <c r="U3746" i="2"/>
  <c r="S3747" i="2" l="1"/>
  <c r="U3747" i="2"/>
  <c r="T3747" i="2"/>
  <c r="S3748" i="2" l="1"/>
  <c r="U3748" i="2"/>
  <c r="T3748" i="2"/>
  <c r="S3749" i="2" l="1"/>
  <c r="U3749" i="2"/>
  <c r="T3749" i="2"/>
  <c r="S3750" i="2" l="1"/>
  <c r="U3750" i="2"/>
  <c r="T3750" i="2"/>
  <c r="S3751" i="2" l="1"/>
  <c r="U3751" i="2"/>
  <c r="T3751" i="2"/>
  <c r="S3752" i="2" l="1"/>
  <c r="U3752" i="2"/>
  <c r="T3752" i="2"/>
  <c r="S3753" i="2" l="1"/>
  <c r="T3753" i="2"/>
  <c r="U3753" i="2"/>
  <c r="S3754" i="2" l="1"/>
  <c r="T3754" i="2"/>
  <c r="U3754" i="2"/>
  <c r="S3755" i="2" l="1"/>
  <c r="T3755" i="2"/>
  <c r="U3755" i="2"/>
  <c r="S3756" i="2" l="1"/>
  <c r="U3756" i="2"/>
  <c r="T3756" i="2"/>
  <c r="S3757" i="2" l="1"/>
  <c r="U3757" i="2"/>
  <c r="T3757" i="2"/>
  <c r="S3758" i="2" l="1"/>
  <c r="T3758" i="2"/>
  <c r="U3758" i="2"/>
  <c r="S3759" i="2" l="1"/>
  <c r="U3759" i="2"/>
  <c r="T3759" i="2"/>
  <c r="S3760" i="2" l="1"/>
  <c r="U3760" i="2"/>
  <c r="T3760" i="2"/>
  <c r="S3761" i="2" l="1"/>
  <c r="T3761" i="2"/>
  <c r="U3761" i="2"/>
  <c r="S3762" i="2" l="1"/>
  <c r="U3762" i="2"/>
  <c r="T3762" i="2"/>
  <c r="S3763" i="2" l="1"/>
  <c r="T3763" i="2"/>
  <c r="U3763" i="2"/>
  <c r="S3764" i="2" l="1"/>
  <c r="U3764" i="2"/>
  <c r="T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T3770" i="2"/>
  <c r="U3770" i="2"/>
  <c r="S3771" i="2" l="1"/>
  <c r="T3771" i="2"/>
  <c r="U3771" i="2"/>
  <c r="S3772" i="2" l="1"/>
  <c r="U3772" i="2"/>
  <c r="T3772" i="2"/>
  <c r="S3773" i="2" l="1"/>
  <c r="T3773" i="2"/>
  <c r="U3773" i="2"/>
  <c r="S3774" i="2" l="1"/>
  <c r="T3774" i="2"/>
  <c r="U3774" i="2"/>
  <c r="S3775" i="2" l="1"/>
  <c r="U3775" i="2"/>
  <c r="T3775" i="2"/>
  <c r="S3776" i="2" l="1"/>
  <c r="U3776" i="2"/>
  <c r="T3776" i="2"/>
  <c r="S3777" i="2" l="1"/>
  <c r="U3777" i="2"/>
  <c r="T3777" i="2"/>
  <c r="S3778" i="2" l="1"/>
  <c r="T3778" i="2"/>
  <c r="U3778" i="2"/>
  <c r="S3779" i="2" l="1"/>
  <c r="T3779" i="2"/>
  <c r="U3779" i="2"/>
  <c r="S3780" i="2" l="1"/>
  <c r="U3780" i="2"/>
  <c r="T3780" i="2"/>
  <c r="S3781" i="2" l="1"/>
  <c r="U3781" i="2"/>
  <c r="T3781" i="2"/>
  <c r="S3782" i="2" l="1"/>
  <c r="T3782" i="2"/>
  <c r="U3782" i="2"/>
  <c r="S3783" i="2" l="1"/>
  <c r="U3783" i="2"/>
  <c r="T3783" i="2"/>
  <c r="S3784" i="2" l="1"/>
  <c r="T3784" i="2"/>
  <c r="U3784" i="2"/>
  <c r="S3785" i="2" l="1"/>
  <c r="U3785" i="2"/>
  <c r="T3785" i="2"/>
  <c r="S3786" i="2" l="1"/>
  <c r="T3786" i="2"/>
  <c r="U3786" i="2"/>
  <c r="S3787" i="2" l="1"/>
  <c r="T3787" i="2"/>
  <c r="U3787" i="2"/>
  <c r="S3788" i="2" l="1"/>
  <c r="U3788" i="2"/>
  <c r="T3788" i="2"/>
  <c r="S3789" i="2" l="1"/>
  <c r="U3789" i="2"/>
  <c r="T3789" i="2"/>
  <c r="S3790" i="2" l="1"/>
  <c r="T3790" i="2"/>
  <c r="U3790" i="2"/>
  <c r="S3791" i="2" l="1"/>
  <c r="U3791" i="2"/>
  <c r="T3791" i="2"/>
  <c r="S3792" i="2" l="1"/>
  <c r="U3792" i="2"/>
  <c r="T3792" i="2"/>
  <c r="S3793" i="2" l="1"/>
  <c r="U3793" i="2"/>
  <c r="T3793" i="2"/>
  <c r="S3794" i="2" l="1"/>
  <c r="U3794" i="2"/>
  <c r="T3794" i="2"/>
  <c r="S3795" i="2" l="1"/>
  <c r="T3795" i="2"/>
  <c r="U3795" i="2"/>
  <c r="S3796" i="2" l="1"/>
  <c r="U3796" i="2"/>
  <c r="T3796" i="2"/>
  <c r="S3797" i="2" l="1"/>
  <c r="T3797" i="2"/>
  <c r="U3797" i="2"/>
  <c r="S3798" i="2" l="1"/>
  <c r="T3798" i="2"/>
  <c r="U3798" i="2"/>
  <c r="S3799" i="2" l="1"/>
  <c r="U3799" i="2"/>
  <c r="T3799" i="2"/>
  <c r="S3800" i="2" l="1"/>
  <c r="T3800" i="2"/>
  <c r="U3800" i="2"/>
  <c r="S3801" i="2" l="1"/>
  <c r="U3801" i="2"/>
  <c r="T3801" i="2"/>
  <c r="S3802" i="2" l="1"/>
  <c r="T3802" i="2"/>
  <c r="U3802" i="2"/>
  <c r="S3803" i="2" l="1"/>
  <c r="T3803" i="2"/>
  <c r="U3803" i="2"/>
  <c r="S3804" i="2" l="1"/>
  <c r="T3804" i="2"/>
  <c r="U3804" i="2"/>
  <c r="S3805" i="2" l="1"/>
  <c r="U3805" i="2"/>
  <c r="T3805" i="2"/>
  <c r="S3806" i="2" l="1"/>
  <c r="U3806" i="2"/>
  <c r="T3806" i="2"/>
  <c r="S3807" i="2" l="1"/>
  <c r="T3807" i="2"/>
  <c r="U3807" i="2"/>
  <c r="S3808" i="2" l="1"/>
  <c r="U3808" i="2"/>
  <c r="T3808" i="2"/>
  <c r="S3809" i="2" l="1"/>
  <c r="T3809" i="2"/>
  <c r="U3809" i="2"/>
  <c r="S3810" i="2" l="1"/>
  <c r="U3810" i="2"/>
  <c r="T3810" i="2"/>
  <c r="S3811" i="2" l="1"/>
  <c r="T3811" i="2"/>
  <c r="U3811" i="2"/>
  <c r="S3812" i="2" l="1"/>
  <c r="U3812" i="2"/>
  <c r="T3812" i="2"/>
  <c r="S3813" i="2" l="1"/>
  <c r="T3813" i="2"/>
  <c r="U3813" i="2"/>
  <c r="S3814" i="2" l="1"/>
  <c r="T3814" i="2"/>
  <c r="U3814" i="2"/>
  <c r="S3815" i="2" l="1"/>
  <c r="U3815" i="2"/>
  <c r="T3815" i="2"/>
  <c r="S3816" i="2" l="1"/>
  <c r="T3816" i="2"/>
  <c r="U3816" i="2"/>
  <c r="S3817" i="2" l="1"/>
  <c r="U3817" i="2"/>
  <c r="T3817" i="2"/>
  <c r="S3818" i="2" l="1"/>
  <c r="T3818" i="2"/>
  <c r="U3818" i="2"/>
  <c r="S3819" i="2" l="1"/>
  <c r="T3819" i="2"/>
  <c r="U3819" i="2"/>
  <c r="S3820" i="2" l="1"/>
  <c r="U3820" i="2"/>
  <c r="T3820" i="2"/>
  <c r="S3821" i="2" l="1"/>
  <c r="U3821" i="2"/>
  <c r="T3821" i="2"/>
  <c r="S3822" i="2" l="1"/>
  <c r="T3822" i="2"/>
  <c r="U3822" i="2"/>
  <c r="S3823" i="2" l="1"/>
  <c r="U3823" i="2"/>
  <c r="T3823" i="2"/>
  <c r="S3824" i="2" l="1"/>
  <c r="U3824" i="2"/>
  <c r="T3824" i="2"/>
  <c r="S3825" i="2" l="1"/>
  <c r="U3825" i="2"/>
  <c r="T3825" i="2"/>
  <c r="S3826" i="2" l="1"/>
  <c r="T3826" i="2"/>
  <c r="U3826" i="2"/>
  <c r="S3827" i="2" l="1"/>
  <c r="T3827" i="2"/>
  <c r="U3827" i="2"/>
  <c r="S3828" i="2" l="1"/>
  <c r="U3828" i="2"/>
  <c r="T3828" i="2"/>
  <c r="S3829" i="2" l="1"/>
  <c r="T3829" i="2"/>
  <c r="U3829" i="2"/>
  <c r="S3830" i="2" l="1"/>
  <c r="T3830" i="2"/>
  <c r="U3830" i="2"/>
  <c r="S3831" i="2" l="1"/>
  <c r="U3831" i="2"/>
  <c r="T3831" i="2"/>
  <c r="S3832" i="2" l="1"/>
  <c r="T3832" i="2"/>
  <c r="U3832" i="2"/>
  <c r="S3833" i="2" l="1"/>
  <c r="T3833" i="2"/>
  <c r="U3833" i="2"/>
  <c r="S3834" i="2" l="1"/>
  <c r="T3834" i="2"/>
  <c r="U3834" i="2"/>
  <c r="S3835" i="2" l="1"/>
  <c r="T3835" i="2"/>
  <c r="U3835" i="2"/>
  <c r="S3836" i="2" l="1"/>
  <c r="U3836" i="2"/>
  <c r="T3836" i="2"/>
  <c r="S3837" i="2" l="1"/>
  <c r="U3837" i="2"/>
  <c r="T3837" i="2"/>
  <c r="S3838" i="2" l="1"/>
  <c r="T3838" i="2"/>
  <c r="U3838" i="2"/>
  <c r="S3839" i="2" l="1"/>
  <c r="U3839" i="2"/>
  <c r="T3839" i="2"/>
  <c r="S3840" i="2" l="1"/>
  <c r="U3840" i="2"/>
  <c r="T3840" i="2"/>
  <c r="S3841" i="2" l="1"/>
  <c r="U3841" i="2"/>
  <c r="T3841" i="2"/>
  <c r="S3842" i="2" l="1"/>
  <c r="T3842" i="2"/>
  <c r="U3842" i="2"/>
  <c r="S3843" i="2" l="1"/>
  <c r="T3843" i="2"/>
  <c r="U3843" i="2"/>
  <c r="S3844" i="2" l="1"/>
  <c r="U3844" i="2"/>
  <c r="T3844" i="2"/>
  <c r="S3845" i="2" l="1"/>
  <c r="T3845" i="2"/>
  <c r="U3845" i="2"/>
  <c r="S3846" i="2" l="1"/>
  <c r="T3846" i="2"/>
  <c r="U3846" i="2"/>
  <c r="S3847" i="2" l="1"/>
  <c r="U3847" i="2"/>
  <c r="T3847" i="2"/>
  <c r="S3848" i="2" l="1"/>
  <c r="T3848" i="2"/>
  <c r="U3848" i="2"/>
  <c r="S3849" i="2" l="1"/>
  <c r="U3849" i="2"/>
  <c r="T3849" i="2"/>
  <c r="S3850" i="2" l="1"/>
  <c r="T3850" i="2"/>
  <c r="U3850" i="2"/>
  <c r="S3851" i="2" l="1"/>
  <c r="T3851" i="2"/>
  <c r="U3851" i="2"/>
  <c r="S3852" i="2" l="1"/>
  <c r="U3852" i="2"/>
  <c r="T3852" i="2"/>
  <c r="S3853" i="2" l="1"/>
  <c r="U3853" i="2"/>
  <c r="T3853" i="2"/>
  <c r="S3854" i="2" l="1"/>
  <c r="T3854" i="2"/>
  <c r="U3854" i="2"/>
  <c r="S3855" i="2" l="1"/>
  <c r="U3855" i="2"/>
  <c r="T3855" i="2"/>
  <c r="S3856" i="2" l="1"/>
  <c r="U3856" i="2"/>
  <c r="T3856" i="2"/>
  <c r="S3857" i="2" l="1"/>
  <c r="U3857" i="2"/>
  <c r="T3857" i="2"/>
  <c r="S3858" i="2" l="1"/>
  <c r="T3858" i="2"/>
  <c r="U3858" i="2"/>
  <c r="S3859" i="2" l="1"/>
  <c r="T3859" i="2"/>
  <c r="U3859" i="2"/>
  <c r="S3860" i="2" l="1"/>
  <c r="U3860" i="2"/>
  <c r="T3860" i="2"/>
  <c r="S3861" i="2" l="1"/>
  <c r="T3861" i="2"/>
  <c r="U3861" i="2"/>
  <c r="S3862" i="2" l="1"/>
  <c r="T3862" i="2"/>
  <c r="U3862" i="2"/>
  <c r="S3863" i="2" l="1"/>
  <c r="U3863" i="2"/>
  <c r="T3863" i="2"/>
  <c r="S3864" i="2" l="1"/>
  <c r="T3864" i="2"/>
  <c r="U3864" i="2"/>
  <c r="S3865" i="2" l="1"/>
  <c r="U3865" i="2"/>
  <c r="T3865" i="2"/>
  <c r="S3866" i="2" l="1"/>
  <c r="T3866" i="2"/>
  <c r="U3866" i="2"/>
  <c r="S3867" i="2" l="1"/>
  <c r="T3867" i="2"/>
  <c r="U3867" i="2"/>
  <c r="S3868" i="2" l="1"/>
  <c r="T3868" i="2"/>
  <c r="U3868" i="2"/>
  <c r="S3869" i="2" l="1"/>
  <c r="U3869" i="2"/>
  <c r="T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T3874" i="2"/>
  <c r="U3874" i="2"/>
  <c r="S3875" i="2" l="1"/>
  <c r="T3875" i="2"/>
  <c r="U3875" i="2"/>
  <c r="S3876" i="2" l="1"/>
  <c r="U3876" i="2"/>
  <c r="T3876" i="2"/>
  <c r="S3877" i="2" l="1"/>
  <c r="T3877" i="2"/>
  <c r="U3877" i="2"/>
  <c r="S3878" i="2" l="1"/>
  <c r="U3878" i="2"/>
  <c r="T3878" i="2"/>
  <c r="S3879" i="2" l="1"/>
  <c r="U3879" i="2"/>
  <c r="T3879" i="2"/>
  <c r="S3880" i="2" l="1"/>
  <c r="T3880" i="2"/>
  <c r="U3880" i="2"/>
  <c r="S3881" i="2" l="1"/>
  <c r="U3881" i="2"/>
  <c r="T3881" i="2"/>
  <c r="S3882" i="2" l="1"/>
  <c r="T3882" i="2"/>
  <c r="U3882" i="2"/>
  <c r="S3883" i="2" l="1"/>
  <c r="U3883" i="2"/>
  <c r="T3883" i="2"/>
  <c r="S3884" i="2" l="1"/>
  <c r="U3884" i="2"/>
  <c r="T3884" i="2"/>
  <c r="S3885" i="2" l="1"/>
  <c r="T3885" i="2"/>
  <c r="U3885" i="2"/>
  <c r="S3886" i="2" l="1"/>
  <c r="T3886" i="2"/>
  <c r="U3886" i="2"/>
  <c r="S3887" i="2" l="1"/>
  <c r="U3887" i="2"/>
  <c r="T3887" i="2"/>
  <c r="S3888" i="2" l="1"/>
  <c r="U3888" i="2"/>
  <c r="T3888" i="2"/>
  <c r="S3889" i="2" l="1"/>
  <c r="U3889" i="2"/>
  <c r="T3889" i="2"/>
  <c r="S3890" i="2" l="1"/>
  <c r="T3890" i="2"/>
  <c r="U3890" i="2"/>
  <c r="S3891" i="2" l="1"/>
  <c r="T3891" i="2"/>
  <c r="U3891" i="2"/>
  <c r="S3892" i="2" l="1"/>
  <c r="U3892" i="2"/>
  <c r="T3892" i="2"/>
  <c r="S3893" i="2" l="1"/>
  <c r="U3893" i="2"/>
  <c r="T3893" i="2"/>
  <c r="S3894" i="2" l="1"/>
  <c r="U3894" i="2"/>
  <c r="T3894" i="2"/>
  <c r="S3895" i="2" l="1"/>
  <c r="U3895" i="2"/>
  <c r="T3895" i="2"/>
  <c r="S3896" i="2" l="1"/>
  <c r="U3896" i="2"/>
  <c r="T3896" i="2"/>
  <c r="S3897" i="2" l="1"/>
  <c r="T3897" i="2"/>
  <c r="U3897" i="2"/>
  <c r="S3898" i="2" l="1"/>
  <c r="U3898" i="2"/>
  <c r="T3898" i="2"/>
  <c r="S3899" i="2" l="1"/>
  <c r="T3899" i="2"/>
  <c r="U3899" i="2"/>
  <c r="S3900" i="2" l="1"/>
  <c r="T3900" i="2"/>
  <c r="U3900" i="2"/>
  <c r="S3901" i="2" l="1"/>
  <c r="U3901" i="2"/>
  <c r="T3901" i="2"/>
  <c r="S3902" i="2" l="1"/>
  <c r="U3902" i="2"/>
  <c r="T3902" i="2"/>
  <c r="S3903" i="2" l="1"/>
  <c r="U3903" i="2"/>
  <c r="T3903" i="2"/>
  <c r="S3904" i="2" l="1"/>
  <c r="U3904" i="2"/>
  <c r="T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U3910" i="2"/>
  <c r="T3910" i="2"/>
  <c r="S3911" i="2" l="1"/>
  <c r="U3911" i="2"/>
  <c r="T3911" i="2"/>
  <c r="S3912" i="2" l="1"/>
  <c r="T3912" i="2"/>
  <c r="U3912" i="2"/>
  <c r="S3913" i="2" l="1"/>
  <c r="U3913" i="2"/>
  <c r="T3913" i="2"/>
  <c r="S3914" i="2" l="1"/>
  <c r="T3914" i="2"/>
  <c r="U3914" i="2"/>
  <c r="S3915" i="2" l="1"/>
  <c r="T3915" i="2"/>
  <c r="U3915" i="2"/>
  <c r="S3916" i="2" l="1"/>
  <c r="U3916" i="2"/>
  <c r="T3916" i="2"/>
  <c r="S3917" i="2" l="1"/>
  <c r="U3917" i="2"/>
  <c r="T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T3922" i="2"/>
  <c r="U3922" i="2"/>
  <c r="S3923" i="2" l="1"/>
  <c r="T3923" i="2"/>
  <c r="U3923" i="2"/>
  <c r="S3924" i="2" l="1"/>
  <c r="U3924" i="2"/>
  <c r="T3924" i="2"/>
  <c r="S3925" i="2" l="1"/>
  <c r="T3925" i="2"/>
  <c r="U3925" i="2"/>
  <c r="S3926" i="2" l="1"/>
  <c r="T3926" i="2"/>
  <c r="U3926" i="2"/>
  <c r="S3927" i="2" l="1"/>
  <c r="U3927" i="2"/>
  <c r="T3927" i="2"/>
  <c r="S3928" i="2" l="1"/>
  <c r="U3928" i="2"/>
  <c r="T3928" i="2"/>
  <c r="S3929" i="2" l="1"/>
  <c r="U3929" i="2"/>
  <c r="T3929" i="2"/>
  <c r="S3930" i="2" l="1"/>
  <c r="T3930" i="2"/>
  <c r="U3930" i="2"/>
  <c r="S3931" i="2" l="1"/>
  <c r="T3931" i="2"/>
  <c r="U3931" i="2"/>
  <c r="S3932" i="2" l="1"/>
  <c r="T3932" i="2"/>
  <c r="U3932" i="2"/>
  <c r="S3933" i="2" l="1"/>
  <c r="U3933" i="2"/>
  <c r="T3933" i="2"/>
  <c r="S3934" i="2" l="1"/>
  <c r="T3934" i="2"/>
  <c r="U3934" i="2"/>
  <c r="S3935" i="2" l="1"/>
  <c r="U3935" i="2"/>
  <c r="T3935" i="2"/>
  <c r="S3936" i="2" l="1"/>
  <c r="U3936" i="2"/>
  <c r="T3936" i="2"/>
  <c r="S3937" i="2" l="1"/>
  <c r="U3937" i="2"/>
  <c r="T3937" i="2"/>
  <c r="S3938" i="2" l="1"/>
  <c r="T3938" i="2"/>
  <c r="U3938" i="2"/>
  <c r="S3939" i="2" l="1"/>
  <c r="T3939" i="2"/>
  <c r="U3939" i="2"/>
  <c r="S3940" i="2" l="1"/>
  <c r="U3940" i="2"/>
  <c r="T3940" i="2"/>
  <c r="S3941" i="2" l="1"/>
  <c r="T3941" i="2"/>
  <c r="U3941" i="2"/>
  <c r="S3942" i="2" l="1"/>
  <c r="T3942" i="2"/>
  <c r="U3942" i="2"/>
  <c r="S3943" i="2" l="1"/>
  <c r="T3943" i="2"/>
  <c r="U3943" i="2"/>
  <c r="S3944" i="2" l="1"/>
  <c r="T3944" i="2"/>
  <c r="U3944" i="2"/>
  <c r="S3945" i="2" l="1"/>
  <c r="U3945" i="2"/>
  <c r="T3945" i="2"/>
  <c r="S3946" i="2" l="1"/>
  <c r="T3946" i="2"/>
  <c r="U3946" i="2"/>
  <c r="S3947" i="2" l="1"/>
  <c r="T3947" i="2"/>
  <c r="U3947" i="2"/>
  <c r="S3948" i="2" l="1"/>
  <c r="U3948" i="2"/>
  <c r="T3948" i="2"/>
  <c r="S3949" i="2" l="1"/>
  <c r="U3949" i="2"/>
  <c r="T3949" i="2"/>
  <c r="S3950" i="2" l="1"/>
  <c r="T3950" i="2"/>
  <c r="U3950" i="2"/>
  <c r="S3951" i="2" l="1"/>
  <c r="U3951" i="2"/>
  <c r="T3951" i="2"/>
  <c r="S3952" i="2" l="1"/>
  <c r="U3952" i="2"/>
  <c r="T3952" i="2"/>
  <c r="S3953" i="2" l="1"/>
  <c r="U3953" i="2"/>
  <c r="T3953" i="2"/>
  <c r="S3954" i="2" l="1"/>
  <c r="T3954" i="2"/>
  <c r="U3954" i="2"/>
  <c r="S3955" i="2" l="1"/>
  <c r="T3955" i="2"/>
  <c r="U3955" i="2"/>
  <c r="S3956" i="2" l="1"/>
  <c r="U3956" i="2"/>
  <c r="T3956" i="2"/>
  <c r="S3957" i="2" l="1"/>
  <c r="T3957" i="2"/>
  <c r="U3957" i="2"/>
  <c r="S3958" i="2" l="1"/>
  <c r="T3958" i="2"/>
  <c r="U3958" i="2"/>
  <c r="S3959" i="2" l="1"/>
  <c r="U3959" i="2"/>
  <c r="T3959" i="2"/>
  <c r="S3960" i="2" l="1"/>
  <c r="T3960" i="2"/>
  <c r="U3960" i="2"/>
  <c r="S3961" i="2" l="1"/>
  <c r="T3961" i="2"/>
  <c r="U3961" i="2"/>
  <c r="S3962" i="2" l="1"/>
  <c r="T3962" i="2"/>
  <c r="U3962" i="2"/>
  <c r="S3963" i="2" l="1"/>
  <c r="T3963" i="2"/>
  <c r="U3963" i="2"/>
  <c r="S3964" i="2" l="1"/>
  <c r="U3964" i="2"/>
  <c r="T3964" i="2"/>
  <c r="S3965" i="2" l="1"/>
  <c r="U3965" i="2"/>
  <c r="T3965" i="2"/>
  <c r="S3966" i="2" l="1"/>
  <c r="T3966" i="2"/>
  <c r="U3966" i="2"/>
  <c r="S3967" i="2" l="1"/>
  <c r="U3967" i="2"/>
  <c r="T3967" i="2"/>
  <c r="S3968" i="2" l="1"/>
  <c r="U3968" i="2"/>
  <c r="T3968" i="2"/>
  <c r="S3969" i="2" l="1"/>
  <c r="U3969" i="2"/>
  <c r="T3969" i="2"/>
  <c r="S3970" i="2" l="1"/>
  <c r="U3970" i="2"/>
  <c r="T3970" i="2"/>
  <c r="S3971" i="2" l="1"/>
  <c r="T3971" i="2"/>
  <c r="U3971" i="2"/>
  <c r="S3972" i="2" l="1"/>
  <c r="U3972" i="2"/>
  <c r="T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T3978" i="2"/>
  <c r="U3978" i="2"/>
  <c r="S3979" i="2" l="1"/>
  <c r="T3979" i="2"/>
  <c r="U3979" i="2"/>
  <c r="S3980" i="2" l="1"/>
  <c r="T3980" i="2"/>
  <c r="U3980" i="2"/>
  <c r="S3981" i="2" l="1"/>
  <c r="U3981" i="2"/>
  <c r="T3981" i="2"/>
  <c r="S3982" i="2" l="1"/>
  <c r="U3982" i="2"/>
  <c r="T3982" i="2"/>
  <c r="S3983" i="2" l="1"/>
  <c r="T3983" i="2"/>
  <c r="U3983" i="2"/>
  <c r="S3984" i="2" l="1"/>
  <c r="U3984" i="2"/>
  <c r="T3984" i="2"/>
  <c r="S3985" i="2" l="1"/>
  <c r="U3985" i="2"/>
  <c r="T3985" i="2"/>
  <c r="S3986" i="2" l="1"/>
  <c r="T3986" i="2"/>
  <c r="U3986" i="2"/>
  <c r="S3987" i="2" l="1"/>
  <c r="T3987" i="2"/>
  <c r="U3987" i="2"/>
  <c r="S3988" i="2" l="1"/>
  <c r="U3988" i="2"/>
  <c r="T3988" i="2"/>
  <c r="S3989" i="2" l="1"/>
  <c r="U3989" i="2"/>
  <c r="T3989" i="2"/>
  <c r="S3990" i="2" l="1"/>
  <c r="U3990" i="2"/>
  <c r="T3990" i="2"/>
  <c r="S3991" i="2" l="1"/>
  <c r="U3991" i="2"/>
  <c r="T3991" i="2"/>
  <c r="S3992" i="2" l="1"/>
  <c r="U3992" i="2"/>
  <c r="T3992" i="2"/>
  <c r="S3993" i="2" l="1"/>
  <c r="U3993" i="2"/>
  <c r="T3993" i="2"/>
  <c r="S3994" i="2" l="1"/>
  <c r="T3994" i="2"/>
  <c r="U3994" i="2"/>
  <c r="S3995" i="2" l="1"/>
  <c r="U3995" i="2"/>
  <c r="T3995" i="2"/>
  <c r="S3996" i="2" l="1"/>
  <c r="U3996" i="2"/>
  <c r="T3996" i="2"/>
  <c r="S3997" i="2" l="1"/>
  <c r="U3997" i="2"/>
  <c r="T3997" i="2"/>
  <c r="S3998" i="2" l="1"/>
  <c r="U3998" i="2"/>
  <c r="T3998" i="2"/>
  <c r="S3999" i="2" l="1"/>
  <c r="T3999" i="2"/>
  <c r="U3999" i="2"/>
  <c r="S4000" i="2" l="1"/>
  <c r="U4000" i="2"/>
  <c r="T4000" i="2"/>
  <c r="S4001" i="2" l="1"/>
  <c r="U4001" i="2"/>
  <c r="T4001" i="2"/>
  <c r="S4002" i="2" l="1"/>
  <c r="T4002" i="2"/>
  <c r="U4002" i="2"/>
  <c r="S4003" i="2" l="1"/>
  <c r="T4003" i="2"/>
  <c r="U4003" i="2"/>
  <c r="S4004" i="2" l="1"/>
  <c r="T4004" i="2"/>
  <c r="U4004" i="2"/>
  <c r="S4005" i="2" l="1"/>
  <c r="U4005" i="2"/>
  <c r="T4005" i="2"/>
  <c r="S4006" i="2" l="1"/>
  <c r="T4006" i="2"/>
  <c r="U4006" i="2"/>
  <c r="S4007" i="2" l="1"/>
  <c r="U4007" i="2"/>
  <c r="T4007" i="2"/>
  <c r="S4008" i="2" l="1"/>
  <c r="U4008" i="2"/>
  <c r="T4008" i="2"/>
  <c r="S4009" i="2" l="1"/>
  <c r="U4009" i="2"/>
  <c r="T4009" i="2"/>
  <c r="S4010" i="2" l="1"/>
  <c r="T4010" i="2"/>
  <c r="U4010" i="2"/>
  <c r="S4011" i="2" l="1"/>
  <c r="T4011" i="2"/>
  <c r="U4011" i="2"/>
  <c r="S4012" i="2" l="1"/>
  <c r="U4012" i="2"/>
  <c r="T4012" i="2"/>
  <c r="S4013" i="2" l="1"/>
  <c r="U4013" i="2"/>
  <c r="T4013" i="2"/>
  <c r="S4014" i="2" l="1"/>
  <c r="T4014" i="2"/>
  <c r="U4014" i="2"/>
  <c r="S4015" i="2" l="1"/>
  <c r="U4015" i="2"/>
  <c r="T4015" i="2"/>
  <c r="S4016" i="2" l="1"/>
  <c r="U4016" i="2"/>
  <c r="T4016" i="2"/>
  <c r="S4017" i="2" l="1"/>
  <c r="U4017" i="2"/>
  <c r="T4017" i="2"/>
  <c r="S4018" i="2" l="1"/>
  <c r="T4018" i="2"/>
  <c r="U4018" i="2"/>
  <c r="S4019" i="2" l="1"/>
  <c r="T4019" i="2"/>
  <c r="U4019" i="2"/>
  <c r="S4020" i="2" l="1"/>
  <c r="U4020" i="2"/>
  <c r="T4020" i="2"/>
  <c r="S4021" i="2" l="1"/>
  <c r="U4021" i="2"/>
  <c r="T4021" i="2"/>
  <c r="S4022" i="2" l="1"/>
  <c r="T4022" i="2"/>
  <c r="U4022" i="2"/>
  <c r="S4023" i="2" l="1"/>
  <c r="U4023" i="2"/>
  <c r="T4023" i="2"/>
  <c r="S4024" i="2" l="1"/>
  <c r="U4024" i="2"/>
  <c r="T4024" i="2"/>
  <c r="S4025" i="2" l="1"/>
  <c r="T4025" i="2"/>
  <c r="U4025" i="2"/>
  <c r="S4026" i="2" l="1"/>
  <c r="T4026" i="2"/>
  <c r="U4026" i="2"/>
  <c r="S4027" i="2" l="1"/>
  <c r="T4027" i="2"/>
  <c r="U4027" i="2"/>
  <c r="S4028" i="2" l="1"/>
  <c r="U4028" i="2"/>
  <c r="T4028" i="2"/>
  <c r="S4029" i="2" l="1"/>
  <c r="U4029" i="2"/>
  <c r="T4029" i="2"/>
  <c r="S4030" i="2" l="1"/>
  <c r="U4030" i="2"/>
  <c r="T4030" i="2"/>
  <c r="S4031" i="2" l="1"/>
  <c r="T4031" i="2"/>
  <c r="U4031" i="2"/>
  <c r="S4032" i="2" l="1"/>
  <c r="U4032" i="2"/>
  <c r="T4032" i="2"/>
  <c r="S4033" i="2" l="1"/>
  <c r="U4033" i="2"/>
  <c r="T4033" i="2"/>
  <c r="S4034" i="2" l="1"/>
  <c r="T4034" i="2"/>
  <c r="U4034" i="2"/>
  <c r="S4035" i="2" l="1"/>
  <c r="T4035" i="2"/>
  <c r="U4035" i="2"/>
  <c r="S4036" i="2" l="1"/>
  <c r="U4036" i="2"/>
  <c r="T4036" i="2"/>
  <c r="S4037" i="2" l="1"/>
  <c r="U4037" i="2"/>
  <c r="T4037" i="2"/>
  <c r="S4038" i="2" l="1"/>
  <c r="T4038" i="2"/>
  <c r="U4038" i="2"/>
  <c r="S4039" i="2" l="1"/>
  <c r="U4039" i="2"/>
  <c r="T4039" i="2"/>
  <c r="S4040" i="2" l="1"/>
  <c r="U4040" i="2"/>
  <c r="T4040" i="2"/>
  <c r="S4041" i="2" l="1"/>
  <c r="U4041" i="2"/>
  <c r="T4041" i="2"/>
  <c r="S4042" i="2" l="1"/>
  <c r="T4042" i="2"/>
  <c r="U4042" i="2"/>
  <c r="S4043" i="2" l="1"/>
  <c r="T4043" i="2"/>
  <c r="U4043" i="2"/>
  <c r="S4044" i="2" l="1"/>
  <c r="T4044" i="2"/>
  <c r="U4044" i="2"/>
  <c r="S4045" i="2" l="1"/>
  <c r="U4045" i="2"/>
  <c r="T4045" i="2"/>
  <c r="S4046" i="2" l="1"/>
  <c r="T4046" i="2"/>
  <c r="U4046" i="2"/>
  <c r="S4047" i="2" l="1"/>
  <c r="U4047" i="2"/>
  <c r="T4047" i="2"/>
  <c r="S4048" i="2" l="1"/>
  <c r="T4048" i="2"/>
  <c r="U4048" i="2"/>
  <c r="S4049" i="2" l="1"/>
  <c r="U4049" i="2"/>
  <c r="T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T4054" i="2"/>
  <c r="U4054" i="2"/>
  <c r="S4055" i="2" l="1"/>
  <c r="U4055" i="2"/>
  <c r="T4055" i="2"/>
  <c r="S4056" i="2" l="1"/>
  <c r="U4056" i="2"/>
  <c r="T4056" i="2"/>
  <c r="S4057" i="2" l="1"/>
  <c r="T4057" i="2"/>
  <c r="U4057" i="2"/>
  <c r="S4058" i="2" l="1"/>
  <c r="T4058" i="2"/>
  <c r="U4058" i="2"/>
  <c r="S4059" i="2" l="1"/>
  <c r="T4059" i="2"/>
  <c r="U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T4067" i="2"/>
  <c r="U4067" i="2"/>
  <c r="S4068" i="2" l="1"/>
  <c r="U4068" i="2"/>
  <c r="T4068" i="2"/>
  <c r="S4069" i="2" l="1"/>
  <c r="U4069" i="2"/>
  <c r="T4069" i="2"/>
  <c r="S4070" i="2" l="1"/>
  <c r="T4070" i="2"/>
  <c r="U4070" i="2"/>
  <c r="S4071" i="2" l="1"/>
  <c r="U4071" i="2"/>
  <c r="T4071" i="2"/>
  <c r="S4072" i="2" l="1"/>
  <c r="U4072" i="2"/>
  <c r="T4072" i="2"/>
  <c r="S4073" i="2" l="1"/>
  <c r="T4073" i="2"/>
  <c r="U4073" i="2"/>
  <c r="S4074" i="2" l="1"/>
  <c r="T4074" i="2"/>
  <c r="U4074" i="2"/>
  <c r="S4075" i="2" l="1"/>
  <c r="T4075" i="2"/>
  <c r="U4075" i="2"/>
  <c r="S4076" i="2" l="1"/>
  <c r="U4076" i="2"/>
  <c r="T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U4084" i="2"/>
  <c r="T4084" i="2"/>
  <c r="S4085" i="2" l="1"/>
  <c r="U4085" i="2"/>
  <c r="T4085" i="2"/>
  <c r="S4086" i="2" l="1"/>
  <c r="T4086" i="2"/>
  <c r="U4086" i="2"/>
  <c r="S4087" i="2" l="1"/>
  <c r="U4087" i="2"/>
  <c r="T4087" i="2"/>
  <c r="S4088" i="2" l="1"/>
  <c r="U4088" i="2"/>
  <c r="T4088" i="2"/>
  <c r="S4089" i="2" l="1"/>
  <c r="T4089" i="2"/>
  <c r="U4089" i="2"/>
  <c r="S4090" i="2" l="1"/>
  <c r="T4090" i="2"/>
  <c r="U4090" i="2"/>
  <c r="S4091" i="2" l="1"/>
  <c r="U4091" i="2"/>
  <c r="T4091" i="2"/>
  <c r="S4092" i="2" l="1"/>
  <c r="U4092" i="2"/>
  <c r="T4092" i="2"/>
  <c r="S4093" i="2" l="1"/>
  <c r="U4093" i="2"/>
  <c r="T4093" i="2"/>
  <c r="S4094" i="2" l="1"/>
  <c r="T4094" i="2"/>
  <c r="U4094" i="2"/>
  <c r="S4095" i="2" l="1"/>
  <c r="U4095" i="2"/>
  <c r="T4095" i="2"/>
  <c r="S4096" i="2" l="1"/>
  <c r="G10" i="7" s="1"/>
  <c r="U4096" i="2"/>
  <c r="T4096" i="2"/>
  <c r="S4097" i="2" l="1"/>
  <c r="T4097" i="2"/>
  <c r="U4097" i="2"/>
  <c r="S4098" i="2" l="1"/>
  <c r="T4098" i="2"/>
  <c r="U4098" i="2"/>
  <c r="S4099" i="2" l="1"/>
  <c r="U4099" i="2"/>
  <c r="T4099" i="2"/>
  <c r="S4100" i="2" l="1"/>
  <c r="T4100" i="2"/>
  <c r="U4100" i="2"/>
  <c r="S4101" i="2" l="1"/>
  <c r="U4101" i="2"/>
  <c r="T4101" i="2"/>
  <c r="S4102" i="2" l="1"/>
  <c r="T4102" i="2"/>
  <c r="U4102" i="2"/>
  <c r="S4103" i="2" l="1"/>
  <c r="T4103" i="2"/>
  <c r="U4103" i="2"/>
  <c r="S4104" i="2" l="1"/>
  <c r="U4104" i="2"/>
  <c r="T4104" i="2"/>
  <c r="S4105" i="2" l="1"/>
  <c r="U4105" i="2"/>
  <c r="T4105" i="2"/>
  <c r="S4106" i="2" l="1"/>
  <c r="T4106" i="2"/>
  <c r="U4106" i="2"/>
  <c r="S4107" i="2" l="1"/>
  <c r="T4107" i="2"/>
  <c r="U4107" i="2"/>
  <c r="S4108" i="2" l="1"/>
  <c r="U4108" i="2"/>
  <c r="T4108" i="2"/>
  <c r="S4109" i="2" l="1"/>
  <c r="U4109" i="2"/>
  <c r="T4109" i="2"/>
  <c r="S4110" i="2" l="1"/>
  <c r="T4110" i="2"/>
  <c r="U4110" i="2"/>
  <c r="S4111" i="2" l="1"/>
  <c r="U4111" i="2"/>
  <c r="T4111" i="2"/>
  <c r="S4112" i="2" l="1"/>
  <c r="U4112" i="2"/>
  <c r="T4112" i="2"/>
  <c r="S4113" i="2" l="1"/>
  <c r="T4113" i="2"/>
  <c r="U4113" i="2"/>
  <c r="S4114" i="2" l="1"/>
  <c r="U4114" i="2"/>
  <c r="T4114" i="2"/>
  <c r="S4115" i="2" l="1"/>
  <c r="T4115" i="2"/>
  <c r="U4115" i="2"/>
  <c r="S4116" i="2" l="1"/>
  <c r="U4116" i="2"/>
  <c r="T4116" i="2"/>
  <c r="S4117" i="2" l="1"/>
  <c r="U4117" i="2"/>
  <c r="T4117" i="2"/>
  <c r="S4118" i="2" l="1"/>
  <c r="U4118" i="2"/>
  <c r="T4118" i="2"/>
  <c r="S4119" i="2" l="1"/>
  <c r="T4119" i="2"/>
  <c r="U4119" i="2"/>
  <c r="S4120" i="2" l="1"/>
  <c r="U4120" i="2"/>
  <c r="T4120" i="2"/>
  <c r="S4121" i="2" l="1"/>
  <c r="T4121" i="2"/>
  <c r="U4121" i="2"/>
  <c r="S4122" i="2" l="1"/>
  <c r="T4122" i="2"/>
  <c r="U4122" i="2"/>
  <c r="S4123" i="2" l="1"/>
  <c r="T4123" i="2"/>
  <c r="U4123" i="2"/>
  <c r="S4124" i="2" l="1"/>
  <c r="U4124" i="2"/>
  <c r="T4124" i="2"/>
  <c r="S4125" i="2" l="1"/>
  <c r="U4125" i="2"/>
  <c r="T4125" i="2"/>
  <c r="S4126" i="2" l="1"/>
  <c r="U4126" i="2"/>
  <c r="T4126" i="2"/>
  <c r="S4127" i="2" l="1"/>
  <c r="U4127" i="2"/>
  <c r="T4127" i="2"/>
  <c r="S4128" i="2" l="1"/>
  <c r="U4128" i="2"/>
  <c r="T4128" i="2"/>
  <c r="S4129" i="2" l="1"/>
  <c r="U4129" i="2"/>
  <c r="T4129" i="2"/>
  <c r="S4130" i="2" l="1"/>
  <c r="U4130" i="2"/>
  <c r="T4130" i="2"/>
  <c r="S4131" i="2" l="1"/>
  <c r="T4131" i="2"/>
  <c r="U4131" i="2"/>
  <c r="S4132" i="2" l="1"/>
  <c r="U4132" i="2"/>
  <c r="T4132" i="2"/>
  <c r="S4133" i="2" l="1"/>
  <c r="U4133" i="2"/>
  <c r="T4133" i="2"/>
  <c r="S4134" i="2" l="1"/>
  <c r="T4134" i="2"/>
  <c r="U4134" i="2"/>
  <c r="S4135" i="2" l="1"/>
  <c r="T4135" i="2"/>
  <c r="U4135" i="2"/>
  <c r="S4136" i="2" l="1"/>
  <c r="U4136" i="2"/>
  <c r="T4136" i="2"/>
  <c r="S4137" i="2" l="1"/>
  <c r="U4137" i="2"/>
  <c r="T4137" i="2"/>
  <c r="S4138" i="2" l="1"/>
  <c r="T4138" i="2"/>
  <c r="U4138" i="2"/>
  <c r="S4139" i="2" l="1"/>
  <c r="U4139" i="2"/>
  <c r="T4139" i="2"/>
  <c r="S4140" i="2" l="1"/>
  <c r="U4140" i="2"/>
  <c r="T4140" i="2"/>
  <c r="S4141" i="2" l="1"/>
  <c r="U4141" i="2"/>
  <c r="T4141" i="2"/>
  <c r="S4142" i="2" l="1"/>
  <c r="U4142" i="2"/>
  <c r="T4142" i="2"/>
  <c r="S4143" i="2" l="1"/>
  <c r="U4143" i="2"/>
  <c r="T4143" i="2"/>
  <c r="S4144" i="2" l="1"/>
  <c r="U4144" i="2"/>
  <c r="T4144" i="2"/>
  <c r="S4145" i="2" l="1"/>
  <c r="T4145" i="2"/>
  <c r="U4145" i="2"/>
  <c r="S4146" i="2" l="1"/>
  <c r="T4146" i="2"/>
  <c r="U4146" i="2"/>
  <c r="S4147" i="2" l="1"/>
  <c r="T4147" i="2"/>
  <c r="U4147" i="2"/>
  <c r="S4148" i="2" l="1"/>
  <c r="U4148" i="2"/>
  <c r="T4148" i="2"/>
  <c r="S4149" i="2" l="1"/>
  <c r="T4149" i="2"/>
  <c r="U4149" i="2"/>
  <c r="S4150" i="2" l="1"/>
  <c r="U4150" i="2"/>
  <c r="T4150" i="2"/>
  <c r="S4151" i="2" l="1"/>
  <c r="U4151" i="2"/>
  <c r="T4151" i="2"/>
  <c r="S4152" i="2" l="1"/>
  <c r="U4152" i="2"/>
  <c r="T4152" i="2"/>
  <c r="S4153" i="2" l="1"/>
  <c r="U4153" i="2"/>
  <c r="T4153" i="2"/>
  <c r="S4154" i="2" l="1"/>
  <c r="T4154" i="2"/>
  <c r="U4154" i="2"/>
  <c r="S4155" i="2" l="1"/>
  <c r="T4155" i="2"/>
  <c r="U4155" i="2"/>
  <c r="S4156" i="2" l="1"/>
  <c r="U4156" i="2"/>
  <c r="T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T4165" i="2"/>
  <c r="U4165" i="2"/>
  <c r="S4166" i="2" l="1"/>
  <c r="U4166" i="2"/>
  <c r="T4166" i="2"/>
  <c r="S4167" i="2" l="1"/>
  <c r="U4167" i="2"/>
  <c r="T4167" i="2"/>
  <c r="S4168" i="2" l="1"/>
  <c r="U4168" i="2"/>
  <c r="T4168" i="2"/>
  <c r="S4169" i="2" l="1"/>
  <c r="U4169" i="2"/>
  <c r="T4169" i="2"/>
  <c r="S4170" i="2" l="1"/>
  <c r="U4170" i="2"/>
  <c r="T4170" i="2"/>
  <c r="S4171" i="2" l="1"/>
  <c r="U4171" i="2"/>
  <c r="T4171" i="2"/>
  <c r="S4172" i="2" l="1"/>
  <c r="T4172" i="2"/>
  <c r="U4172" i="2"/>
  <c r="S4173" i="2" l="1"/>
  <c r="T4173" i="2"/>
  <c r="U4173" i="2"/>
  <c r="S4174" i="2" l="1"/>
  <c r="U4174" i="2"/>
  <c r="T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U4183" i="2"/>
  <c r="T4183" i="2"/>
  <c r="S4184" i="2" l="1"/>
  <c r="T4184" i="2"/>
  <c r="U4184" i="2"/>
  <c r="S4185" i="2" l="1"/>
  <c r="U4185" i="2"/>
  <c r="T4185" i="2"/>
  <c r="S4186" i="2" l="1"/>
  <c r="T4186" i="2"/>
  <c r="U4186" i="2"/>
  <c r="S4187" i="2" l="1"/>
  <c r="U4187" i="2"/>
  <c r="T4187" i="2"/>
  <c r="S4188" i="2" l="1"/>
  <c r="T4188" i="2"/>
  <c r="U4188" i="2"/>
  <c r="S4189" i="2" l="1"/>
  <c r="T4189" i="2"/>
  <c r="U4189" i="2"/>
  <c r="S4190" i="2" l="1"/>
  <c r="U4190" i="2"/>
  <c r="T4190" i="2"/>
  <c r="S4191" i="2" l="1"/>
  <c r="T4191" i="2"/>
  <c r="U4191" i="2"/>
  <c r="S4192" i="2" l="1"/>
  <c r="U4192" i="2"/>
  <c r="T4192" i="2"/>
  <c r="S4193" i="2" l="1"/>
  <c r="T4193" i="2"/>
  <c r="U4193" i="2"/>
  <c r="S4194" i="2" l="1"/>
  <c r="T4194" i="2"/>
  <c r="U4194" i="2"/>
  <c r="S4195" i="2" l="1"/>
  <c r="U4195" i="2"/>
  <c r="T4195" i="2"/>
  <c r="S4196" i="2" l="1"/>
  <c r="U4196" i="2"/>
  <c r="T4196" i="2"/>
  <c r="S4197" i="2" l="1"/>
  <c r="T4197" i="2"/>
  <c r="U4197" i="2"/>
  <c r="S4198" i="2" l="1"/>
  <c r="T4198" i="2"/>
  <c r="U4198" i="2"/>
  <c r="S4199" i="2" l="1"/>
  <c r="T4199" i="2"/>
  <c r="U4199" i="2"/>
  <c r="S4200" i="2" l="1"/>
  <c r="U4200" i="2"/>
  <c r="T4200" i="2"/>
  <c r="S4201" i="2" l="1"/>
  <c r="T4201" i="2"/>
  <c r="U4201" i="2"/>
  <c r="S4202" i="2" l="1"/>
  <c r="U4202" i="2"/>
  <c r="T4202" i="2"/>
  <c r="S4203" i="2" l="1"/>
  <c r="U4203" i="2"/>
  <c r="T4203" i="2"/>
  <c r="S4204" i="2" l="1"/>
  <c r="T4204" i="2"/>
  <c r="U4204" i="2"/>
  <c r="S4205" i="2" l="1"/>
  <c r="T4205" i="2"/>
  <c r="U4205" i="2"/>
  <c r="S4206" i="2" l="1"/>
  <c r="U4206" i="2"/>
  <c r="T4206" i="2"/>
  <c r="S4207" i="2" l="1"/>
  <c r="U4207" i="2"/>
  <c r="T4207" i="2"/>
  <c r="S4208" i="2" l="1"/>
  <c r="T4208" i="2"/>
  <c r="U4208" i="2"/>
  <c r="S4209" i="2" l="1"/>
  <c r="U4209" i="2"/>
  <c r="T4209" i="2"/>
  <c r="S4210" i="2" l="1"/>
  <c r="U4210" i="2"/>
  <c r="T4210" i="2"/>
  <c r="S4211" i="2" l="1"/>
  <c r="U4211" i="2"/>
  <c r="T4211" i="2"/>
  <c r="S4212" i="2" l="1"/>
  <c r="T4212" i="2"/>
  <c r="U4212" i="2"/>
  <c r="S4213" i="2" l="1"/>
  <c r="T4213" i="2"/>
  <c r="U4213" i="2"/>
  <c r="S4214" i="2" l="1"/>
  <c r="U4214" i="2"/>
  <c r="T4214" i="2"/>
  <c r="S4215" i="2" l="1"/>
  <c r="T4215" i="2"/>
  <c r="U4215" i="2"/>
  <c r="S4216" i="2" l="1"/>
  <c r="T4216" i="2"/>
  <c r="U4216" i="2"/>
  <c r="S4217" i="2" l="1"/>
  <c r="U4217" i="2"/>
  <c r="T4217" i="2"/>
  <c r="S4218" i="2" l="1"/>
  <c r="U4218" i="2"/>
  <c r="T4218" i="2"/>
  <c r="S4219" i="2" l="1"/>
  <c r="T4219" i="2"/>
  <c r="U4219" i="2"/>
  <c r="S4220" i="2" l="1"/>
  <c r="T4220" i="2"/>
  <c r="U4220" i="2"/>
  <c r="S4221" i="2" l="1"/>
  <c r="T4221" i="2"/>
  <c r="U4221" i="2"/>
  <c r="S4222" i="2" l="1"/>
  <c r="U4222" i="2"/>
  <c r="T4222" i="2"/>
  <c r="S4223" i="2" l="1"/>
  <c r="U4223" i="2"/>
  <c r="T4223" i="2"/>
  <c r="S4224" i="2" l="1"/>
  <c r="U4224" i="2"/>
  <c r="T4224" i="2"/>
  <c r="S4225" i="2" l="1"/>
  <c r="T4225" i="2"/>
  <c r="U4225" i="2"/>
  <c r="S4226" i="2" l="1"/>
  <c r="U4226" i="2"/>
  <c r="T4226" i="2"/>
  <c r="S4227" i="2" l="1"/>
  <c r="U4227" i="2"/>
  <c r="T4227" i="2"/>
  <c r="S4228" i="2" l="1"/>
  <c r="T4228" i="2"/>
  <c r="U4228" i="2"/>
  <c r="S4229" i="2" l="1"/>
  <c r="U4229" i="2"/>
  <c r="T4229" i="2"/>
  <c r="S4230" i="2" l="1"/>
  <c r="U4230" i="2"/>
  <c r="T4230" i="2"/>
  <c r="S4231" i="2" l="1"/>
  <c r="U4231" i="2"/>
  <c r="T4231" i="2"/>
  <c r="S4232" i="2" l="1"/>
  <c r="U4232" i="2"/>
  <c r="T4232" i="2"/>
  <c r="S4233" i="2" l="1"/>
  <c r="U4233" i="2"/>
  <c r="T4233" i="2"/>
  <c r="S4234" i="2" l="1"/>
  <c r="U4234" i="2"/>
  <c r="T4234" i="2"/>
  <c r="S4235" i="2" l="1"/>
  <c r="U4235" i="2"/>
  <c r="T4235" i="2"/>
  <c r="S4236" i="2" l="1"/>
  <c r="U4236" i="2"/>
  <c r="T4236" i="2"/>
  <c r="S4237" i="2" l="1"/>
  <c r="T4237" i="2"/>
  <c r="U4237" i="2"/>
  <c r="S4238" i="2" l="1"/>
  <c r="U4238" i="2"/>
  <c r="T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T4245" i="2"/>
  <c r="U4245" i="2"/>
  <c r="S4246" i="2" l="1"/>
  <c r="U4246" i="2"/>
  <c r="T4246" i="2"/>
  <c r="S4247" i="2" l="1"/>
  <c r="T4247" i="2"/>
  <c r="U4247" i="2"/>
  <c r="S4248" i="2" l="1"/>
  <c r="T4248" i="2"/>
  <c r="U4248" i="2"/>
  <c r="S4249" i="2" l="1"/>
  <c r="U4249" i="2"/>
  <c r="T4249" i="2"/>
  <c r="S4250" i="2" l="1"/>
  <c r="U4250" i="2"/>
  <c r="T4250" i="2"/>
  <c r="S4251" i="2" l="1"/>
  <c r="U4251" i="2"/>
  <c r="T4251" i="2"/>
  <c r="S4252" i="2" l="1"/>
  <c r="T4252" i="2"/>
  <c r="U4252" i="2"/>
  <c r="S4253" i="2" l="1"/>
  <c r="U4253" i="2"/>
  <c r="T4253" i="2"/>
  <c r="S4254" i="2" l="1"/>
  <c r="U4254" i="2"/>
  <c r="T4254" i="2"/>
  <c r="S4255" i="2" l="1"/>
  <c r="U4255" i="2"/>
  <c r="T4255" i="2"/>
  <c r="S4256" i="2" l="1"/>
  <c r="U4256" i="2"/>
  <c r="T4256" i="2"/>
  <c r="S4257" i="2" l="1"/>
  <c r="T4257" i="2"/>
  <c r="U4257" i="2"/>
  <c r="S4258" i="2" l="1"/>
  <c r="U4258" i="2"/>
  <c r="T4258" i="2"/>
  <c r="S4259" i="2" l="1"/>
  <c r="U4259" i="2"/>
  <c r="T4259" i="2"/>
  <c r="S4260" i="2" l="1"/>
  <c r="T4260" i="2"/>
  <c r="U4260" i="2"/>
  <c r="S4261" i="2" l="1"/>
  <c r="U4261" i="2"/>
  <c r="T4261" i="2"/>
  <c r="S4262" i="2" l="1"/>
  <c r="U4262" i="2"/>
  <c r="T4262" i="2"/>
  <c r="S4263" i="2" l="1"/>
  <c r="U4263" i="2"/>
  <c r="T4263" i="2"/>
  <c r="S4264" i="2" l="1"/>
  <c r="U4264" i="2"/>
  <c r="T4264" i="2"/>
  <c r="S4265" i="2" l="1"/>
  <c r="U4265" i="2"/>
  <c r="T4265" i="2"/>
  <c r="S4266" i="2" l="1"/>
  <c r="U4266" i="2"/>
  <c r="T4266" i="2"/>
  <c r="S4267" i="2" l="1"/>
  <c r="U4267" i="2"/>
  <c r="T4267" i="2"/>
  <c r="S4268" i="2" l="1"/>
  <c r="U4268" i="2"/>
  <c r="T4268" i="2"/>
  <c r="S4269" i="2" l="1"/>
  <c r="T4269" i="2"/>
  <c r="U4269" i="2"/>
  <c r="S4270" i="2" l="1"/>
  <c r="U4270" i="2"/>
  <c r="T4270" i="2"/>
  <c r="S4271" i="2" l="1"/>
  <c r="T4271" i="2"/>
  <c r="U4271" i="2"/>
  <c r="S4272" i="2" l="1"/>
  <c r="T4272" i="2"/>
  <c r="U4272" i="2"/>
  <c r="S4273" i="2" l="1"/>
  <c r="T4273" i="2"/>
  <c r="U4273" i="2"/>
  <c r="S4274" i="2" l="1"/>
  <c r="U4274" i="2"/>
  <c r="T4274" i="2"/>
  <c r="S4275" i="2" l="1"/>
  <c r="T4275" i="2"/>
  <c r="U4275" i="2"/>
  <c r="S4276" i="2" l="1"/>
  <c r="U4276" i="2"/>
  <c r="T4276" i="2"/>
  <c r="S4277" i="2" l="1"/>
  <c r="T4277" i="2"/>
  <c r="U4277" i="2"/>
  <c r="S4278" i="2" l="1"/>
  <c r="U4278" i="2"/>
  <c r="T4278" i="2"/>
  <c r="S4279" i="2" l="1"/>
  <c r="U4279" i="2"/>
  <c r="T4279" i="2"/>
  <c r="S4280" i="2" l="1"/>
  <c r="T4280" i="2"/>
  <c r="U4280" i="2"/>
  <c r="S4281" i="2" l="1"/>
  <c r="U4281" i="2"/>
  <c r="T4281" i="2"/>
  <c r="S4282" i="2" l="1"/>
  <c r="U4282" i="2"/>
  <c r="T4282" i="2"/>
  <c r="S4283" i="2" l="1"/>
  <c r="T4283" i="2"/>
  <c r="U4283" i="2"/>
  <c r="S4284" i="2" l="1"/>
  <c r="T4284" i="2"/>
  <c r="U4284" i="2"/>
  <c r="S4285" i="2" l="1"/>
  <c r="U4285" i="2"/>
  <c r="T4285" i="2"/>
  <c r="S4286" i="2" l="1"/>
  <c r="U4286" i="2"/>
  <c r="T4286" i="2"/>
  <c r="S4287" i="2" l="1"/>
  <c r="T4287" i="2"/>
  <c r="U4287" i="2"/>
  <c r="S4288" i="2" l="1"/>
  <c r="T4288" i="2"/>
  <c r="U4288" i="2"/>
  <c r="S4289" i="2" l="1"/>
  <c r="U4289" i="2"/>
  <c r="T4289" i="2"/>
  <c r="S4290" i="2" l="1"/>
  <c r="U4290" i="2"/>
  <c r="T4290" i="2"/>
  <c r="S4291" i="2" l="1"/>
  <c r="T4291" i="2"/>
  <c r="U4291" i="2"/>
  <c r="S4292" i="2" l="1"/>
  <c r="T4292" i="2"/>
  <c r="U4292" i="2"/>
  <c r="S4293" i="2" l="1"/>
  <c r="U4293" i="2"/>
  <c r="T4293" i="2"/>
  <c r="S4294" i="2" l="1"/>
  <c r="U4294" i="2"/>
  <c r="T4294" i="2"/>
  <c r="S4295" i="2" l="1"/>
  <c r="U4295" i="2"/>
  <c r="T4295" i="2"/>
  <c r="S4296" i="2" l="1"/>
  <c r="T4296" i="2"/>
  <c r="U4296" i="2"/>
  <c r="S4297" i="2" l="1"/>
  <c r="U4297" i="2"/>
  <c r="T4297" i="2"/>
  <c r="S4298" i="2" l="1"/>
  <c r="U4298" i="2"/>
  <c r="T4298" i="2"/>
  <c r="S4299" i="2" l="1"/>
  <c r="T4299" i="2"/>
  <c r="U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T4304" i="2"/>
  <c r="U4304" i="2"/>
  <c r="S4305" i="2" l="1"/>
  <c r="U4305" i="2"/>
  <c r="T4305" i="2"/>
  <c r="S4306" i="2" l="1"/>
  <c r="U4306" i="2"/>
  <c r="T4306" i="2"/>
  <c r="S4307" i="2" l="1"/>
  <c r="T4307" i="2"/>
  <c r="U4307" i="2"/>
  <c r="S4308" i="2" l="1"/>
  <c r="U4308" i="2"/>
  <c r="T4308" i="2"/>
  <c r="S4309" i="2" l="1"/>
  <c r="U4309" i="2"/>
  <c r="T4309" i="2"/>
  <c r="S4310" i="2" l="1"/>
  <c r="U4310" i="2"/>
  <c r="T4310" i="2"/>
  <c r="S4311" i="2" l="1"/>
  <c r="T4311" i="2"/>
  <c r="U4311" i="2"/>
  <c r="S4312" i="2" l="1"/>
  <c r="T4312" i="2"/>
  <c r="U4312" i="2"/>
  <c r="S4313" i="2" l="1"/>
  <c r="T4313" i="2"/>
  <c r="U4313" i="2"/>
  <c r="S4314" i="2" l="1"/>
  <c r="U4314" i="2"/>
  <c r="T4314" i="2"/>
  <c r="S4315" i="2" l="1"/>
  <c r="U4315" i="2"/>
  <c r="T4315" i="2"/>
  <c r="S4316" i="2" l="1"/>
  <c r="T4316" i="2"/>
  <c r="U4316" i="2"/>
  <c r="S4317" i="2" l="1"/>
  <c r="T4317" i="2"/>
  <c r="U4317" i="2"/>
  <c r="S4318" i="2" l="1"/>
  <c r="U4318" i="2"/>
  <c r="T4318" i="2"/>
  <c r="S4319" i="2" l="1"/>
  <c r="T4319" i="2"/>
  <c r="U4319" i="2"/>
  <c r="S4320" i="2" l="1"/>
  <c r="T4320" i="2"/>
  <c r="U4320" i="2"/>
  <c r="S4321" i="2" l="1"/>
  <c r="U4321" i="2"/>
  <c r="T4321" i="2"/>
  <c r="S4322" i="2" l="1"/>
  <c r="T4322" i="2"/>
  <c r="U4322" i="2"/>
  <c r="S4323" i="2" l="1"/>
  <c r="U4323" i="2"/>
  <c r="T4323" i="2"/>
  <c r="S4324" i="2" l="1"/>
  <c r="U4324" i="2"/>
  <c r="T4324" i="2"/>
  <c r="S4325" i="2" l="1"/>
  <c r="T4325" i="2"/>
  <c r="U4325" i="2"/>
  <c r="S4326" i="2" l="1"/>
  <c r="U4326" i="2"/>
  <c r="T4326" i="2"/>
  <c r="S4327" i="2" l="1"/>
  <c r="U4327" i="2"/>
  <c r="T4327" i="2"/>
  <c r="S4328" i="2" l="1"/>
  <c r="T4328" i="2"/>
  <c r="U4328" i="2"/>
  <c r="S4329" i="2" l="1"/>
  <c r="U4329" i="2"/>
  <c r="T4329" i="2"/>
  <c r="S4330" i="2" l="1"/>
  <c r="U4330" i="2"/>
  <c r="T4330" i="2"/>
  <c r="S4331" i="2" l="1"/>
  <c r="U4331" i="2"/>
  <c r="T4331" i="2"/>
  <c r="S4332" i="2" l="1"/>
  <c r="T4332" i="2"/>
  <c r="U4332" i="2"/>
  <c r="S4333" i="2" l="1"/>
  <c r="T4333" i="2"/>
  <c r="U4333" i="2"/>
  <c r="S4334" i="2" l="1"/>
  <c r="U4334" i="2"/>
  <c r="T4334" i="2"/>
  <c r="S4335" i="2" l="1"/>
  <c r="T4335" i="2"/>
  <c r="U4335" i="2"/>
  <c r="S4336" i="2" l="1"/>
  <c r="T4336" i="2"/>
  <c r="U4336" i="2"/>
  <c r="S4337" i="2" l="1"/>
  <c r="U4337" i="2"/>
  <c r="T4337" i="2"/>
  <c r="S4338" i="2" l="1"/>
  <c r="U4338" i="2"/>
  <c r="T4338" i="2"/>
  <c r="S4339" i="2" l="1"/>
  <c r="T4339" i="2"/>
  <c r="U4339" i="2"/>
  <c r="S4340" i="2" l="1"/>
  <c r="U4340" i="2"/>
  <c r="T4340" i="2"/>
  <c r="S4341" i="2" l="1"/>
  <c r="T4341" i="2"/>
  <c r="U4341" i="2"/>
  <c r="S4342" i="2" l="1"/>
  <c r="U4342" i="2"/>
  <c r="T4342" i="2"/>
  <c r="S4343" i="2" l="1"/>
  <c r="U4343" i="2"/>
  <c r="T4343" i="2"/>
  <c r="S4344" i="2" l="1"/>
  <c r="U4344" i="2"/>
  <c r="T4344" i="2"/>
  <c r="S4345" i="2" l="1"/>
  <c r="U4345" i="2"/>
  <c r="T4345" i="2"/>
  <c r="S4346" i="2" l="1"/>
  <c r="U4346" i="2"/>
  <c r="T4346" i="2"/>
  <c r="S4347" i="2" l="1"/>
  <c r="U4347" i="2"/>
  <c r="T4347" i="2"/>
  <c r="S4348" i="2" l="1"/>
  <c r="T4348" i="2"/>
  <c r="U4348" i="2"/>
  <c r="S4349" i="2" l="1"/>
  <c r="T4349" i="2"/>
  <c r="U4349" i="2"/>
  <c r="S4350" i="2" l="1"/>
  <c r="T4350" i="2"/>
  <c r="U4350" i="2"/>
  <c r="S4351" i="2" l="1"/>
  <c r="U4351" i="2"/>
  <c r="T4351" i="2"/>
  <c r="S4352" i="2" l="1"/>
  <c r="U4352" i="2"/>
  <c r="T4352" i="2"/>
  <c r="S4353" i="2" l="1"/>
  <c r="U4353" i="2"/>
  <c r="T4353" i="2"/>
  <c r="S4354" i="2" l="1"/>
  <c r="U4354" i="2"/>
  <c r="T4354" i="2"/>
  <c r="S4355" i="2" l="1"/>
  <c r="T4355" i="2"/>
  <c r="U4355" i="2"/>
  <c r="S4356" i="2" l="1"/>
  <c r="U4356" i="2"/>
  <c r="T4356" i="2"/>
  <c r="S4357" i="2" l="1"/>
  <c r="T4357" i="2"/>
  <c r="U4357" i="2"/>
  <c r="S4358" i="2" l="1"/>
  <c r="U4358" i="2"/>
  <c r="T4358" i="2"/>
  <c r="S4359" i="2" l="1"/>
  <c r="U4359" i="2"/>
  <c r="T4359" i="2"/>
  <c r="S4360" i="2" l="1"/>
  <c r="T4360" i="2"/>
  <c r="U4360" i="2"/>
  <c r="S4361" i="2" l="1"/>
  <c r="T4361" i="2"/>
  <c r="U4361" i="2"/>
  <c r="S4362" i="2" l="1"/>
  <c r="U4362" i="2"/>
  <c r="T4362" i="2"/>
  <c r="S4363" i="2" l="1"/>
  <c r="U4363" i="2"/>
  <c r="T4363" i="2"/>
  <c r="S4364" i="2" l="1"/>
  <c r="T4364" i="2"/>
  <c r="U4364" i="2"/>
  <c r="S4365" i="2" l="1"/>
  <c r="U4365" i="2"/>
  <c r="T4365" i="2"/>
  <c r="S4366" i="2" l="1"/>
  <c r="U4366" i="2"/>
  <c r="T4366" i="2"/>
  <c r="S4367" i="2" l="1"/>
  <c r="T4367" i="2"/>
  <c r="U4367" i="2"/>
  <c r="S4368" i="2" l="1"/>
  <c r="U4368" i="2"/>
  <c r="T4368" i="2"/>
  <c r="S4369" i="2" l="1"/>
  <c r="U4369" i="2"/>
  <c r="T4369" i="2"/>
  <c r="S4370" i="2" l="1"/>
  <c r="U4370" i="2"/>
  <c r="T4370" i="2"/>
  <c r="S4371" i="2" l="1"/>
  <c r="T4371" i="2"/>
  <c r="U4371" i="2"/>
  <c r="S4372" i="2" l="1"/>
  <c r="T4372" i="2"/>
  <c r="U4372" i="2"/>
  <c r="S4373" i="2" l="1"/>
  <c r="T4373" i="2"/>
  <c r="U4373" i="2"/>
  <c r="S4374" i="2" l="1"/>
  <c r="U4374" i="2"/>
  <c r="T4374" i="2"/>
  <c r="S4375" i="2" l="1"/>
  <c r="U4375" i="2"/>
  <c r="T4375" i="2"/>
  <c r="S4376" i="2" l="1"/>
  <c r="T4376" i="2"/>
  <c r="U4376" i="2"/>
  <c r="S4377" i="2" l="1"/>
  <c r="U4377" i="2"/>
  <c r="T4377" i="2"/>
  <c r="S4378" i="2" l="1"/>
  <c r="U4378" i="2"/>
  <c r="T4378" i="2"/>
  <c r="S4379" i="2" l="1"/>
  <c r="U4379" i="2"/>
  <c r="T4379" i="2"/>
  <c r="S4380" i="2" l="1"/>
  <c r="T4380" i="2"/>
  <c r="U4380" i="2"/>
  <c r="S4381" i="2" l="1"/>
  <c r="T4381" i="2"/>
  <c r="U4381" i="2"/>
  <c r="S4382" i="2" l="1"/>
  <c r="T4382" i="2"/>
  <c r="U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T4387" i="2"/>
  <c r="U4387" i="2"/>
  <c r="S4388" i="2" l="1"/>
  <c r="U4388" i="2"/>
  <c r="T4388" i="2"/>
  <c r="S4389" i="2" l="1"/>
  <c r="T4389" i="2"/>
  <c r="U4389" i="2"/>
  <c r="S4390" i="2" l="1"/>
  <c r="U4390" i="2"/>
  <c r="T4390" i="2"/>
  <c r="S4391" i="2" l="1"/>
  <c r="U4391" i="2"/>
  <c r="T4391" i="2"/>
  <c r="S4392" i="2" l="1"/>
  <c r="T4392" i="2"/>
  <c r="U4392" i="2"/>
  <c r="S4393" i="2" l="1"/>
  <c r="U4393" i="2"/>
  <c r="T4393" i="2"/>
  <c r="S4394" i="2" l="1"/>
  <c r="U4394" i="2"/>
  <c r="T4394" i="2"/>
  <c r="S4395" i="2" l="1"/>
  <c r="U4395" i="2"/>
  <c r="T4395" i="2"/>
  <c r="S4396" i="2" l="1"/>
  <c r="T4396" i="2"/>
  <c r="U4396" i="2"/>
  <c r="S4397" i="2" l="1"/>
  <c r="T4397" i="2"/>
  <c r="U4397" i="2"/>
  <c r="S4398" i="2" l="1"/>
  <c r="U4398" i="2"/>
  <c r="T4398" i="2"/>
  <c r="S4399" i="2" l="1"/>
  <c r="U4399" i="2"/>
  <c r="T4399" i="2"/>
  <c r="S4400" i="2" l="1"/>
  <c r="U4400" i="2"/>
  <c r="T4400" i="2"/>
  <c r="S4401" i="2" l="1"/>
  <c r="T4401" i="2"/>
  <c r="U4401" i="2"/>
  <c r="S4402" i="2" l="1"/>
  <c r="T4402" i="2"/>
  <c r="U4402" i="2"/>
  <c r="S4403" i="2" l="1"/>
  <c r="T4403" i="2"/>
  <c r="U4403" i="2"/>
  <c r="S4404" i="2" l="1"/>
  <c r="U4404" i="2"/>
  <c r="T4404" i="2"/>
  <c r="S4405" i="2" l="1"/>
  <c r="T4405" i="2"/>
  <c r="U4405" i="2"/>
  <c r="S4406" i="2" l="1"/>
  <c r="U4406" i="2"/>
  <c r="T4406" i="2"/>
  <c r="S4407" i="2" l="1"/>
  <c r="T4407" i="2"/>
  <c r="U4407" i="2"/>
  <c r="S4408" i="2" l="1"/>
  <c r="T4408" i="2"/>
  <c r="U4408" i="2"/>
  <c r="S4409" i="2" l="1"/>
  <c r="U4409" i="2"/>
  <c r="T4409" i="2"/>
  <c r="S4410" i="2" l="1"/>
  <c r="U4410" i="2"/>
  <c r="T4410" i="2"/>
  <c r="S4411" i="2" l="1"/>
  <c r="U4411" i="2"/>
  <c r="T4411" i="2"/>
  <c r="S4412" i="2" l="1"/>
  <c r="T4412" i="2"/>
  <c r="U4412" i="2"/>
  <c r="S4413" i="2" l="1"/>
  <c r="U4413" i="2"/>
  <c r="T4413" i="2"/>
  <c r="S4414" i="2" l="1"/>
  <c r="U4414" i="2"/>
  <c r="T4414" i="2"/>
  <c r="S4415" i="2" l="1"/>
  <c r="T4415" i="2"/>
  <c r="U4415" i="2"/>
  <c r="S4416" i="2" l="1"/>
  <c r="T4416" i="2"/>
  <c r="U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T4424" i="2"/>
  <c r="U4424" i="2"/>
  <c r="S4425" i="2" l="1"/>
  <c r="U4425" i="2"/>
  <c r="T4425" i="2"/>
  <c r="S4426" i="2" l="1"/>
  <c r="U4426" i="2"/>
  <c r="T4426" i="2"/>
  <c r="S4427" i="2" l="1"/>
  <c r="T4427" i="2"/>
  <c r="U4427" i="2"/>
  <c r="S4428" i="2" l="1"/>
  <c r="T4428" i="2"/>
  <c r="U4428" i="2"/>
  <c r="S4429" i="2" l="1"/>
  <c r="T4429" i="2"/>
  <c r="U4429" i="2"/>
  <c r="S4430" i="2" l="1"/>
  <c r="U4430" i="2"/>
  <c r="T4430" i="2"/>
  <c r="S4431" i="2" l="1"/>
  <c r="T4431" i="2"/>
  <c r="U4431" i="2"/>
  <c r="S4432" i="2" l="1"/>
  <c r="T4432" i="2"/>
  <c r="U4432" i="2"/>
  <c r="S4433" i="2" l="1"/>
  <c r="U4433" i="2"/>
  <c r="T4433" i="2"/>
  <c r="S4434" i="2" l="1"/>
  <c r="U4434" i="2"/>
  <c r="T4434" i="2"/>
  <c r="S4435" i="2" l="1"/>
  <c r="T4435" i="2"/>
  <c r="U4435" i="2"/>
  <c r="S4436" i="2" l="1"/>
  <c r="U4436" i="2"/>
  <c r="T4436" i="2"/>
  <c r="S4437" i="2" l="1"/>
  <c r="T4437" i="2"/>
  <c r="U4437" i="2"/>
  <c r="S4438" i="2" l="1"/>
  <c r="U4438" i="2"/>
  <c r="T4438" i="2"/>
  <c r="S4439" i="2" l="1"/>
  <c r="U4439" i="2"/>
  <c r="T4439" i="2"/>
  <c r="S4440" i="2" l="1"/>
  <c r="T4440" i="2"/>
  <c r="U4440" i="2"/>
  <c r="S4441" i="2" l="1"/>
  <c r="U4441" i="2"/>
  <c r="T4441" i="2"/>
  <c r="S4442" i="2" l="1"/>
  <c r="T4442" i="2"/>
  <c r="U4442" i="2"/>
  <c r="S4443" i="2" l="1"/>
  <c r="T4443" i="2"/>
  <c r="U4443" i="2"/>
  <c r="S4444" i="2" l="1"/>
  <c r="U4444" i="2"/>
  <c r="T4444" i="2"/>
  <c r="S4445" i="2" l="1"/>
  <c r="T4445" i="2"/>
  <c r="U4445" i="2"/>
  <c r="S4446" i="2" l="1"/>
  <c r="T4446" i="2"/>
  <c r="U4446" i="2"/>
  <c r="S4447" i="2" l="1"/>
  <c r="T4447" i="2"/>
  <c r="U4447" i="2"/>
  <c r="S4448" i="2" l="1"/>
  <c r="T4448" i="2"/>
  <c r="U4448" i="2"/>
  <c r="S4449" i="2" l="1"/>
  <c r="U4449" i="2"/>
  <c r="T4449" i="2"/>
  <c r="S4450" i="2" l="1"/>
  <c r="U4450" i="2"/>
  <c r="T4450" i="2"/>
  <c r="S4451" i="2" l="1"/>
  <c r="U4451" i="2"/>
  <c r="T4451" i="2"/>
  <c r="S4452" i="2" l="1"/>
  <c r="U4452" i="2"/>
  <c r="T4452" i="2"/>
  <c r="S4453" i="2" l="1"/>
  <c r="T4453" i="2"/>
  <c r="U4453" i="2"/>
  <c r="S4454" i="2" l="1"/>
  <c r="U4454" i="2"/>
  <c r="T4454" i="2"/>
  <c r="S4455" i="2" l="1"/>
  <c r="U4455" i="2"/>
  <c r="T4455" i="2"/>
  <c r="S4456" i="2" l="1"/>
  <c r="T4456" i="2"/>
  <c r="U4456" i="2"/>
  <c r="S4457" i="2" l="1"/>
  <c r="U4457" i="2"/>
  <c r="T4457" i="2"/>
  <c r="S4458" i="2" l="1"/>
  <c r="T4458" i="2"/>
  <c r="U4458" i="2"/>
  <c r="S4459" i="2" l="1"/>
  <c r="U4459" i="2"/>
  <c r="T4459" i="2"/>
  <c r="S4460" i="2" l="1"/>
  <c r="T4460" i="2"/>
  <c r="U4460" i="2"/>
  <c r="S4461" i="2" l="1"/>
  <c r="T4461" i="2"/>
  <c r="U4461" i="2"/>
  <c r="S4462" i="2" l="1"/>
  <c r="U4462" i="2"/>
  <c r="T4462" i="2"/>
  <c r="S4463" i="2" l="1"/>
  <c r="T4463" i="2"/>
  <c r="U4463" i="2"/>
  <c r="S4464" i="2" l="1"/>
  <c r="T4464" i="2"/>
  <c r="U4464" i="2"/>
  <c r="S4465" i="2" l="1"/>
  <c r="U4465" i="2"/>
  <c r="T4465" i="2"/>
  <c r="S4466" i="2" l="1"/>
  <c r="U4466" i="2"/>
  <c r="T4466" i="2"/>
  <c r="S4467" i="2" l="1"/>
  <c r="U4467" i="2"/>
  <c r="T4467" i="2"/>
  <c r="S4468" i="2" l="1"/>
  <c r="U4468" i="2"/>
  <c r="T4468" i="2"/>
  <c r="S4469" i="2" l="1"/>
  <c r="T4469" i="2"/>
  <c r="U4469" i="2"/>
  <c r="S4470" i="2" l="1"/>
  <c r="U4470" i="2"/>
  <c r="T4470" i="2"/>
  <c r="S4471" i="2" l="1"/>
  <c r="U4471" i="2"/>
  <c r="T4471" i="2"/>
  <c r="S4472" i="2" l="1"/>
  <c r="T4472" i="2"/>
  <c r="U4472" i="2"/>
  <c r="S4473" i="2" l="1"/>
  <c r="U4473" i="2"/>
  <c r="T4473" i="2"/>
  <c r="S4474" i="2" l="1"/>
  <c r="U4474" i="2"/>
  <c r="T4474" i="2"/>
  <c r="S4475" i="2" l="1"/>
  <c r="T4475" i="2"/>
  <c r="U4475" i="2"/>
  <c r="S4476" i="2" l="1"/>
  <c r="U4476" i="2"/>
  <c r="T4476" i="2"/>
  <c r="S4477" i="2" l="1"/>
  <c r="T4477" i="2"/>
  <c r="U4477" i="2"/>
  <c r="S4478" i="2" l="1"/>
  <c r="U4478" i="2"/>
  <c r="T4478" i="2"/>
  <c r="S4479" i="2" l="1"/>
  <c r="T4479" i="2"/>
  <c r="U4479" i="2"/>
  <c r="S4480" i="2" l="1"/>
  <c r="U4480" i="2"/>
  <c r="T4480" i="2"/>
  <c r="S4481" i="2" l="1"/>
  <c r="U4481" i="2"/>
  <c r="T4481" i="2"/>
  <c r="S4482" i="2" l="1"/>
  <c r="U4482" i="2"/>
  <c r="T4482" i="2"/>
  <c r="S4483" i="2" l="1"/>
  <c r="T4483" i="2"/>
  <c r="U4483" i="2"/>
  <c r="S4484" i="2" l="1"/>
  <c r="T4484" i="2"/>
  <c r="U4484" i="2"/>
  <c r="S4485" i="2" l="1"/>
  <c r="T4485" i="2"/>
  <c r="U4485" i="2"/>
  <c r="S4486" i="2" l="1"/>
  <c r="U4486" i="2"/>
  <c r="T4486" i="2"/>
  <c r="S4487" i="2" l="1"/>
  <c r="T4487" i="2"/>
  <c r="U4487" i="2"/>
  <c r="S4488" i="2" l="1"/>
  <c r="U4488" i="2"/>
  <c r="T4488" i="2"/>
  <c r="S4489" i="2" l="1"/>
  <c r="U4489" i="2"/>
  <c r="T4489" i="2"/>
  <c r="S4490" i="2" l="1"/>
  <c r="U4490" i="2"/>
  <c r="T4490" i="2"/>
  <c r="S4491" i="2" l="1"/>
  <c r="U4491" i="2"/>
  <c r="T4491" i="2"/>
  <c r="S4492" i="2" l="1"/>
  <c r="T4492" i="2"/>
  <c r="U4492" i="2"/>
  <c r="S4493" i="2" l="1"/>
  <c r="T4493" i="2"/>
  <c r="U4493" i="2"/>
  <c r="S4494" i="2" l="1"/>
  <c r="U4494" i="2"/>
  <c r="T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T4499" i="2"/>
  <c r="U4499" i="2"/>
  <c r="S4500" i="2" l="1"/>
  <c r="U4500" i="2"/>
  <c r="T4500" i="2"/>
  <c r="S4501" i="2" l="1"/>
  <c r="T4501" i="2"/>
  <c r="U4501" i="2"/>
  <c r="S4502" i="2" l="1"/>
  <c r="U4502" i="2"/>
  <c r="T4502" i="2"/>
  <c r="S4503" i="2" l="1"/>
  <c r="U4503" i="2"/>
  <c r="T4503" i="2"/>
  <c r="S4504" i="2" l="1"/>
  <c r="T4504" i="2"/>
  <c r="U4504" i="2"/>
  <c r="S4505" i="2" l="1"/>
  <c r="U4505" i="2"/>
  <c r="T4505" i="2"/>
  <c r="S4506" i="2" l="1"/>
  <c r="U4506" i="2"/>
  <c r="T4506" i="2"/>
  <c r="S4507" i="2" l="1"/>
  <c r="U4507" i="2"/>
  <c r="T4507" i="2"/>
  <c r="S4508" i="2" l="1"/>
  <c r="T4508" i="2"/>
  <c r="U4508" i="2"/>
  <c r="S4509" i="2" l="1"/>
  <c r="T4509" i="2"/>
  <c r="U4509" i="2"/>
  <c r="S4510" i="2" l="1"/>
  <c r="U4510" i="2"/>
  <c r="T4510" i="2"/>
  <c r="S4511" i="2" l="1"/>
  <c r="T4511" i="2"/>
  <c r="U4511" i="2"/>
  <c r="S4512" i="2" l="1"/>
  <c r="U4512" i="2"/>
  <c r="T4512" i="2"/>
  <c r="S4513" i="2" l="1"/>
  <c r="T4513" i="2"/>
  <c r="U4513" i="2"/>
  <c r="S4514" i="2" l="1"/>
  <c r="U4514" i="2"/>
  <c r="T4514" i="2"/>
  <c r="S4515" i="2" l="1"/>
  <c r="T4515" i="2"/>
  <c r="U4515" i="2"/>
  <c r="S4516" i="2" l="1"/>
  <c r="U4516" i="2"/>
  <c r="T4516" i="2"/>
  <c r="S4517" i="2" l="1"/>
  <c r="T4517" i="2"/>
  <c r="U4517" i="2"/>
  <c r="S4518" i="2" l="1"/>
  <c r="U4518" i="2"/>
  <c r="T4518" i="2"/>
  <c r="S4519" i="2" l="1"/>
  <c r="U4519" i="2"/>
  <c r="T4519" i="2"/>
  <c r="S4520" i="2" l="1"/>
  <c r="U4520" i="2"/>
  <c r="T4520" i="2"/>
  <c r="S4521" i="2" l="1"/>
  <c r="U4521" i="2"/>
  <c r="T4521" i="2"/>
  <c r="S4522" i="2" l="1"/>
  <c r="U4522" i="2"/>
  <c r="T4522" i="2"/>
  <c r="S4523" i="2" l="1"/>
  <c r="U4523" i="2"/>
  <c r="T4523" i="2"/>
  <c r="S4524" i="2" l="1"/>
  <c r="T4524" i="2"/>
  <c r="U4524" i="2"/>
  <c r="S4525" i="2" l="1"/>
  <c r="T4525" i="2"/>
  <c r="U4525" i="2"/>
  <c r="S4526" i="2" l="1"/>
  <c r="U4526" i="2"/>
  <c r="T4526" i="2"/>
  <c r="S4527" i="2" l="1"/>
  <c r="T4527" i="2"/>
  <c r="U4527" i="2"/>
  <c r="S4528" i="2" l="1"/>
  <c r="T4528" i="2"/>
  <c r="U4528" i="2"/>
  <c r="S4529" i="2" l="1"/>
  <c r="U4529" i="2"/>
  <c r="T4529" i="2"/>
  <c r="S4530" i="2" l="1"/>
  <c r="U4530" i="2"/>
  <c r="T4530" i="2"/>
  <c r="S4531" i="2" l="1"/>
  <c r="T4531" i="2"/>
  <c r="U4531" i="2"/>
  <c r="S4532" i="2" l="1"/>
  <c r="U4532" i="2"/>
  <c r="T4532" i="2"/>
  <c r="S4533" i="2" l="1"/>
  <c r="U4533" i="2"/>
  <c r="T4533" i="2"/>
  <c r="S4534" i="2" l="1"/>
  <c r="U4534" i="2"/>
  <c r="T4534" i="2"/>
  <c r="S4535" i="2" l="1"/>
  <c r="U4535" i="2"/>
  <c r="T4535" i="2"/>
  <c r="S4536" i="2" l="1"/>
  <c r="T4536" i="2"/>
  <c r="U4536" i="2"/>
  <c r="S4537" i="2" l="1"/>
  <c r="U4537" i="2"/>
  <c r="T4537" i="2"/>
  <c r="S4538" i="2" l="1"/>
  <c r="U4538" i="2"/>
  <c r="T4538" i="2"/>
  <c r="S4539" i="2" l="1"/>
  <c r="T4539" i="2"/>
  <c r="U4539" i="2"/>
  <c r="S4540" i="2" l="1"/>
  <c r="U4540" i="2"/>
  <c r="T4540" i="2"/>
  <c r="S4541" i="2" l="1"/>
  <c r="T4541" i="2"/>
  <c r="U4541" i="2"/>
  <c r="S4542" i="2" l="1"/>
  <c r="T4542" i="2"/>
  <c r="U4542" i="2"/>
  <c r="S4543" i="2" l="1"/>
  <c r="U4543" i="2"/>
  <c r="T4543" i="2"/>
  <c r="S4544" i="2" l="1"/>
  <c r="T4544" i="2"/>
  <c r="U4544" i="2"/>
  <c r="S4545" i="2" l="1"/>
  <c r="T4545" i="2"/>
  <c r="U4545" i="2"/>
  <c r="S4546" i="2" l="1"/>
  <c r="U4546" i="2"/>
  <c r="T4546" i="2"/>
  <c r="S4547" i="2" l="1"/>
  <c r="T4547" i="2"/>
  <c r="U4547" i="2"/>
  <c r="S4548" i="2" l="1"/>
  <c r="T4548" i="2"/>
  <c r="U4548" i="2"/>
  <c r="S4549" i="2" l="1"/>
  <c r="T4549" i="2"/>
  <c r="U4549" i="2"/>
  <c r="S4550" i="2" l="1"/>
  <c r="T4550" i="2"/>
  <c r="U4550" i="2"/>
  <c r="S4551" i="2" l="1"/>
  <c r="T4551" i="2"/>
  <c r="U4551" i="2"/>
  <c r="S4552" i="2" l="1"/>
  <c r="T4552" i="2"/>
  <c r="U4552" i="2"/>
  <c r="S4553" i="2" l="1"/>
  <c r="U4553" i="2"/>
  <c r="T4553" i="2"/>
  <c r="S4554" i="2" l="1"/>
  <c r="T4554" i="2"/>
  <c r="U4554" i="2"/>
  <c r="S4555" i="2" l="1"/>
  <c r="T4555" i="2"/>
  <c r="U4555" i="2"/>
  <c r="S4556" i="2" l="1"/>
  <c r="T4556" i="2"/>
  <c r="U4556" i="2"/>
  <c r="S4557" i="2" l="1"/>
  <c r="T4557" i="2"/>
  <c r="U4557" i="2"/>
  <c r="S4558" i="2" l="1"/>
  <c r="U4558" i="2"/>
  <c r="T4558" i="2"/>
  <c r="S4559" i="2" l="1"/>
  <c r="T4559" i="2"/>
  <c r="U4559" i="2"/>
  <c r="S4560" i="2" l="1"/>
  <c r="T4560" i="2"/>
  <c r="U4560" i="2"/>
  <c r="S4561" i="2" l="1"/>
  <c r="U4561" i="2"/>
  <c r="T4561" i="2"/>
  <c r="S4562" i="2" l="1"/>
  <c r="U4562" i="2"/>
  <c r="T4562" i="2"/>
  <c r="S4563" i="2" l="1"/>
  <c r="T4563" i="2"/>
  <c r="U4563" i="2"/>
  <c r="S4564" i="2" l="1"/>
  <c r="U4564" i="2"/>
  <c r="T4564" i="2"/>
  <c r="S4565" i="2" l="1"/>
  <c r="T4565" i="2"/>
  <c r="U4565" i="2"/>
  <c r="S4566" i="2" l="1"/>
  <c r="U4566" i="2"/>
  <c r="T4566" i="2"/>
  <c r="S4567" i="2" l="1"/>
  <c r="T4567" i="2"/>
  <c r="U4567" i="2"/>
  <c r="S4568" i="2" l="1"/>
  <c r="U4568" i="2"/>
  <c r="T4568" i="2"/>
  <c r="S4569" i="2" l="1"/>
  <c r="T4569" i="2"/>
  <c r="U4569" i="2"/>
  <c r="S4570" i="2" l="1"/>
  <c r="U4570" i="2"/>
  <c r="T4570" i="2"/>
  <c r="S4571" i="2" l="1"/>
  <c r="U4571" i="2"/>
  <c r="T4571" i="2"/>
  <c r="S4572" i="2" l="1"/>
  <c r="T4572" i="2"/>
  <c r="U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U4577" i="2"/>
  <c r="T4577" i="2"/>
  <c r="S4578" i="2" l="1"/>
  <c r="U4578" i="2"/>
  <c r="T4578" i="2"/>
  <c r="S4579" i="2" l="1"/>
  <c r="T4579" i="2"/>
  <c r="U4579" i="2"/>
  <c r="S4580" i="2" l="1"/>
  <c r="U4580" i="2"/>
  <c r="T4580" i="2"/>
  <c r="S4581" i="2" l="1"/>
  <c r="U4581" i="2"/>
  <c r="T4581" i="2"/>
  <c r="S4582" i="2" l="1"/>
  <c r="T4582" i="2"/>
  <c r="U4582" i="2"/>
  <c r="S4583" i="2" l="1"/>
  <c r="T4583" i="2"/>
  <c r="U4583" i="2"/>
  <c r="S4584" i="2" l="1"/>
  <c r="T4584" i="2"/>
  <c r="U4584" i="2"/>
  <c r="S4585" i="2" l="1"/>
  <c r="T4585" i="2"/>
  <c r="U4585" i="2"/>
  <c r="S4586" i="2" l="1"/>
  <c r="U4586" i="2"/>
  <c r="T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T4592" i="2"/>
  <c r="U4592" i="2"/>
  <c r="S4593" i="2" l="1"/>
  <c r="T4593" i="2"/>
  <c r="U4593" i="2"/>
  <c r="S4594" i="2" l="1"/>
  <c r="U4594" i="2"/>
  <c r="T4594" i="2"/>
  <c r="S4595" i="2" l="1"/>
  <c r="T4595" i="2"/>
  <c r="U4595" i="2"/>
  <c r="S4596" i="2" l="1"/>
  <c r="U4596" i="2"/>
  <c r="T4596" i="2"/>
  <c r="S4597" i="2" l="1"/>
  <c r="T4597" i="2"/>
  <c r="U4597" i="2"/>
  <c r="S4598" i="2" l="1"/>
  <c r="U4598" i="2"/>
  <c r="T4598" i="2"/>
  <c r="S4599" i="2" l="1"/>
  <c r="T4599" i="2"/>
  <c r="U4599" i="2"/>
  <c r="S4600" i="2" l="1"/>
  <c r="T4600" i="2"/>
  <c r="U4600" i="2"/>
  <c r="S4601" i="2" l="1"/>
  <c r="U4601" i="2"/>
  <c r="T4601" i="2"/>
  <c r="S4602" i="2" l="1"/>
  <c r="T4602" i="2"/>
  <c r="U4602" i="2"/>
  <c r="S4603" i="2" l="1"/>
  <c r="U4603" i="2"/>
  <c r="T4603" i="2"/>
  <c r="S4604" i="2" l="1"/>
  <c r="U4604" i="2"/>
  <c r="T4604" i="2"/>
  <c r="S4605" i="2" l="1"/>
  <c r="T4605" i="2"/>
  <c r="U4605" i="2"/>
  <c r="S4606" i="2" l="1"/>
  <c r="U4606" i="2"/>
  <c r="T4606" i="2"/>
  <c r="S4607" i="2" l="1"/>
  <c r="T4607" i="2"/>
  <c r="U4607" i="2"/>
  <c r="S4608" i="2" l="1"/>
  <c r="T4608" i="2"/>
  <c r="U4608" i="2"/>
  <c r="S4609" i="2" l="1"/>
  <c r="U4609" i="2"/>
  <c r="T4609" i="2"/>
  <c r="S4610" i="2" l="1"/>
  <c r="U4610" i="2"/>
  <c r="T4610" i="2"/>
  <c r="S4611" i="2" l="1"/>
  <c r="T4611" i="2"/>
  <c r="U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T4616" i="2"/>
  <c r="U4616" i="2"/>
  <c r="S4617" i="2" l="1"/>
  <c r="U4617" i="2"/>
  <c r="T4617" i="2"/>
  <c r="S4618" i="2" l="1"/>
  <c r="U4618" i="2"/>
  <c r="T4618" i="2"/>
  <c r="S4619" i="2" l="1"/>
  <c r="U4619" i="2"/>
  <c r="T4619" i="2"/>
  <c r="S4620" i="2" l="1"/>
  <c r="T4620" i="2"/>
  <c r="U4620" i="2"/>
  <c r="S4621" i="2" l="1"/>
  <c r="T4621" i="2"/>
  <c r="U4621" i="2"/>
  <c r="S4622" i="2" l="1"/>
  <c r="U4622" i="2"/>
  <c r="T4622" i="2"/>
  <c r="S4623" i="2" l="1"/>
  <c r="T4623" i="2"/>
  <c r="U4623" i="2"/>
  <c r="S4624" i="2" l="1"/>
  <c r="T4624" i="2"/>
  <c r="U4624" i="2"/>
  <c r="S4625" i="2" l="1"/>
  <c r="U4625" i="2"/>
  <c r="T4625" i="2"/>
  <c r="S4626" i="2" l="1"/>
  <c r="U4626" i="2"/>
  <c r="T4626" i="2"/>
  <c r="S4627" i="2" l="1"/>
  <c r="U4627" i="2"/>
  <c r="T4627" i="2"/>
  <c r="S4628" i="2" l="1"/>
  <c r="T4628" i="2"/>
  <c r="U4628" i="2"/>
  <c r="S4629" i="2" l="1"/>
  <c r="U4629" i="2"/>
  <c r="T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T4634" i="2"/>
  <c r="U4634" i="2"/>
  <c r="S4635" i="2" l="1"/>
  <c r="U4635" i="2"/>
  <c r="T4635" i="2"/>
  <c r="S4636" i="2" l="1"/>
  <c r="U4636" i="2"/>
  <c r="T4636" i="2"/>
  <c r="S4637" i="2" l="1"/>
  <c r="T4637" i="2"/>
  <c r="U4637" i="2"/>
  <c r="S4638" i="2" l="1"/>
  <c r="U4638" i="2"/>
  <c r="T4638" i="2"/>
  <c r="S4639" i="2" l="1"/>
  <c r="T4639" i="2"/>
  <c r="U4639" i="2"/>
  <c r="S4640" i="2" l="1"/>
  <c r="T4640" i="2"/>
  <c r="U4640" i="2"/>
  <c r="S4641" i="2" l="1"/>
  <c r="T4641" i="2"/>
  <c r="U4641" i="2"/>
  <c r="S4642" i="2" l="1"/>
  <c r="U4642" i="2"/>
  <c r="T4642" i="2"/>
  <c r="S4643" i="2" l="1"/>
  <c r="T4643" i="2"/>
  <c r="U4643" i="2"/>
  <c r="S4644" i="2" l="1"/>
  <c r="U4644" i="2"/>
  <c r="T4644" i="2"/>
  <c r="S4645" i="2" l="1"/>
  <c r="T4645" i="2"/>
  <c r="U4645" i="2"/>
  <c r="S4646" i="2" l="1"/>
  <c r="U4646" i="2"/>
  <c r="T4646" i="2"/>
  <c r="S4647" i="2" l="1"/>
  <c r="U4647" i="2"/>
  <c r="T4647" i="2"/>
  <c r="S4648" i="2" l="1"/>
  <c r="T4648" i="2"/>
  <c r="U4648" i="2"/>
  <c r="S4649" i="2" l="1"/>
  <c r="T4649" i="2"/>
  <c r="U4649" i="2"/>
  <c r="S4650" i="2" l="1"/>
  <c r="T4650" i="2"/>
  <c r="U4650" i="2"/>
  <c r="S4651" i="2" l="1"/>
  <c r="U4651" i="2"/>
  <c r="T4651" i="2"/>
  <c r="S4652" i="2" l="1"/>
  <c r="T4652" i="2"/>
  <c r="U4652" i="2"/>
  <c r="S4653" i="2" l="1"/>
  <c r="U4653" i="2"/>
  <c r="T4653" i="2"/>
  <c r="S4654" i="2" l="1"/>
  <c r="U4654" i="2"/>
  <c r="T4654" i="2"/>
  <c r="S4655" i="2" l="1"/>
  <c r="T4655" i="2"/>
  <c r="U4655" i="2"/>
  <c r="S4656" i="2" l="1"/>
  <c r="T4656" i="2"/>
  <c r="U4656" i="2"/>
  <c r="S4657" i="2" l="1"/>
  <c r="U4657" i="2"/>
  <c r="T4657" i="2"/>
  <c r="S4658" i="2" l="1"/>
  <c r="U4658" i="2"/>
  <c r="T4658" i="2"/>
  <c r="S4659" i="2" l="1"/>
  <c r="T4659" i="2"/>
  <c r="U4659" i="2"/>
  <c r="S4660" i="2" l="1"/>
  <c r="U4660" i="2"/>
  <c r="T4660" i="2"/>
  <c r="S4661" i="2" l="1"/>
  <c r="T4661" i="2"/>
  <c r="U4661" i="2"/>
  <c r="S4662" i="2" l="1"/>
  <c r="T4662" i="2"/>
  <c r="U4662" i="2"/>
  <c r="S4663" i="2" l="1"/>
  <c r="U4663" i="2"/>
  <c r="T4663" i="2"/>
  <c r="S4664" i="2" l="1"/>
  <c r="U4664" i="2"/>
  <c r="T4664" i="2"/>
  <c r="S4665" i="2" l="1"/>
  <c r="U4665" i="2"/>
  <c r="T4665" i="2"/>
  <c r="S4666" i="2" l="1"/>
  <c r="T4666" i="2"/>
  <c r="U4666" i="2"/>
  <c r="S4667" i="2" l="1"/>
  <c r="U4667" i="2"/>
  <c r="T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U4672" i="2"/>
  <c r="T4672" i="2"/>
  <c r="S4673" i="2" l="1"/>
  <c r="U4673" i="2"/>
  <c r="T4673" i="2"/>
  <c r="S4674" i="2" l="1"/>
  <c r="T4674" i="2"/>
  <c r="U4674" i="2"/>
  <c r="S4675" i="2" l="1"/>
  <c r="T4675" i="2"/>
  <c r="U4675" i="2"/>
  <c r="S4676" i="2" l="1"/>
  <c r="T4676" i="2"/>
  <c r="U4676" i="2"/>
  <c r="S4677" i="2" l="1"/>
  <c r="T4677" i="2"/>
  <c r="U4677" i="2"/>
  <c r="S4678" i="2" l="1"/>
  <c r="T4678" i="2"/>
  <c r="U4678" i="2"/>
  <c r="S4679" i="2" l="1"/>
  <c r="U4679" i="2"/>
  <c r="T4679" i="2"/>
  <c r="S4680" i="2" l="1"/>
  <c r="U4680" i="2"/>
  <c r="T4680" i="2"/>
  <c r="S4681" i="2" l="1"/>
  <c r="T4681" i="2"/>
  <c r="U4681" i="2"/>
  <c r="S4682" i="2" l="1"/>
  <c r="U4682" i="2"/>
  <c r="T4682" i="2"/>
  <c r="S4683" i="2" l="1"/>
  <c r="T4683" i="2"/>
  <c r="U4683" i="2"/>
  <c r="S4684" i="2" l="1"/>
  <c r="T4684" i="2"/>
  <c r="U4684" i="2"/>
  <c r="S4685" i="2" l="1"/>
  <c r="U4685" i="2"/>
  <c r="T4685" i="2"/>
  <c r="S4686" i="2" l="1"/>
  <c r="T4686" i="2"/>
  <c r="U4686" i="2"/>
  <c r="S4687" i="2" l="1"/>
  <c r="U4687" i="2"/>
  <c r="T4687" i="2"/>
  <c r="S4688" i="2" l="1"/>
  <c r="T4688" i="2"/>
  <c r="U4688" i="2"/>
  <c r="S4689" i="2" l="1"/>
  <c r="U4689" i="2"/>
  <c r="T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T4694" i="2"/>
  <c r="U4694" i="2"/>
  <c r="S4695" i="2" l="1"/>
  <c r="U4695" i="2"/>
  <c r="T4695" i="2"/>
  <c r="S4696" i="2" l="1"/>
  <c r="U4696" i="2"/>
  <c r="T4696" i="2"/>
  <c r="S4697" i="2" l="1"/>
  <c r="U4697" i="2"/>
  <c r="T4697" i="2"/>
  <c r="S4698" i="2" l="1"/>
  <c r="U4698" i="2"/>
  <c r="T4698" i="2"/>
  <c r="S4699" i="2" l="1"/>
  <c r="U4699" i="2"/>
  <c r="T4699" i="2"/>
  <c r="S4700" i="2" l="1"/>
  <c r="T4700" i="2"/>
  <c r="U4700" i="2"/>
  <c r="S4701" i="2" l="1"/>
  <c r="T4701" i="2"/>
  <c r="U4701" i="2"/>
  <c r="S4702" i="2" l="1"/>
  <c r="T4702" i="2"/>
  <c r="U4702" i="2"/>
  <c r="S4703" i="2" l="1"/>
  <c r="T4703" i="2"/>
  <c r="U4703" i="2"/>
  <c r="S4704" i="2" l="1"/>
  <c r="T4704" i="2"/>
  <c r="U4704" i="2"/>
  <c r="S4705" i="2" l="1"/>
  <c r="T4705" i="2"/>
  <c r="U4705" i="2"/>
  <c r="S4706" i="2" l="1"/>
  <c r="U4706" i="2"/>
  <c r="T4706" i="2"/>
  <c r="S4707" i="2" l="1"/>
  <c r="U4707" i="2"/>
  <c r="T4707" i="2"/>
  <c r="S4708" i="2" l="1"/>
  <c r="U4708" i="2"/>
  <c r="T4708" i="2"/>
  <c r="S4709" i="2" l="1"/>
  <c r="T4709" i="2"/>
  <c r="U4709" i="2"/>
  <c r="S4710" i="2" l="1"/>
  <c r="U4710" i="2"/>
  <c r="T4710" i="2"/>
  <c r="S4711" i="2" l="1"/>
  <c r="T4711" i="2"/>
  <c r="U4711" i="2"/>
  <c r="S4712" i="2" l="1"/>
  <c r="T4712" i="2"/>
  <c r="U4712" i="2"/>
  <c r="S4713" i="2" l="1"/>
  <c r="T4713" i="2"/>
  <c r="U4713" i="2"/>
  <c r="S4714" i="2" l="1"/>
  <c r="T4714" i="2"/>
  <c r="U4714" i="2"/>
  <c r="S4715" i="2" l="1"/>
  <c r="U4715" i="2"/>
  <c r="T4715" i="2"/>
  <c r="S4716" i="2" l="1"/>
  <c r="T4716" i="2"/>
  <c r="U4716" i="2"/>
  <c r="S4717" i="2" l="1"/>
  <c r="T4717" i="2"/>
  <c r="U4717" i="2"/>
  <c r="S4718" i="2" l="1"/>
  <c r="T4718" i="2"/>
  <c r="U4718" i="2"/>
  <c r="S4719" i="2" l="1"/>
  <c r="T4719" i="2"/>
  <c r="U4719" i="2"/>
  <c r="S4720" i="2" l="1"/>
  <c r="T4720" i="2"/>
  <c r="U4720" i="2"/>
  <c r="S4721" i="2" l="1"/>
  <c r="U4721" i="2"/>
  <c r="T4721" i="2"/>
  <c r="S4722" i="2" l="1"/>
  <c r="U4722" i="2"/>
  <c r="T4722" i="2"/>
  <c r="S4723" i="2" l="1"/>
  <c r="T4723" i="2"/>
  <c r="U4723" i="2"/>
  <c r="S4724" i="2" l="1"/>
  <c r="U4724" i="2"/>
  <c r="T4724" i="2"/>
  <c r="S4725" i="2" l="1"/>
  <c r="T4725" i="2"/>
  <c r="U4725" i="2"/>
  <c r="S4726" i="2" l="1"/>
  <c r="T4726" i="2"/>
  <c r="U4726" i="2"/>
  <c r="S4727" i="2" l="1"/>
  <c r="U4727" i="2"/>
  <c r="T4727" i="2"/>
  <c r="S4728" i="2" l="1"/>
  <c r="T4728" i="2"/>
  <c r="U4728" i="2"/>
  <c r="S4729" i="2" l="1"/>
  <c r="U4729" i="2"/>
  <c r="T4729" i="2"/>
  <c r="S4730" i="2" l="1"/>
  <c r="T4730" i="2"/>
  <c r="U4730" i="2"/>
  <c r="S4731" i="2" l="1"/>
  <c r="U4731" i="2"/>
  <c r="T4731" i="2"/>
  <c r="S4732" i="2" l="1"/>
  <c r="U4732" i="2"/>
  <c r="T4732" i="2"/>
  <c r="S4733" i="2" l="1"/>
  <c r="T4733" i="2"/>
  <c r="U4733" i="2"/>
  <c r="S4734" i="2" l="1"/>
  <c r="T4734" i="2"/>
  <c r="U4734" i="2"/>
  <c r="S4735" i="2" l="1"/>
  <c r="U4735" i="2"/>
  <c r="T4735" i="2"/>
  <c r="S4736" i="2" l="1"/>
  <c r="T4736" i="2"/>
  <c r="U4736" i="2"/>
  <c r="S4737" i="2" l="1"/>
  <c r="T4737" i="2"/>
  <c r="U4737" i="2"/>
  <c r="S4738" i="2" l="1"/>
  <c r="U4738" i="2"/>
  <c r="T4738" i="2"/>
  <c r="S4739" i="2" l="1"/>
  <c r="U4739" i="2"/>
  <c r="T4739" i="2"/>
  <c r="S4740" i="2" l="1"/>
  <c r="U4740" i="2"/>
  <c r="T4740" i="2"/>
  <c r="S4741" i="2" l="1"/>
  <c r="T4741" i="2"/>
  <c r="U4741" i="2"/>
  <c r="S4742" i="2" l="1"/>
  <c r="T4742" i="2"/>
  <c r="U4742" i="2"/>
  <c r="S4743" i="2" l="1"/>
  <c r="T4743" i="2"/>
  <c r="U4743" i="2"/>
  <c r="S4744" i="2" l="1"/>
  <c r="T4744" i="2"/>
  <c r="U4744" i="2"/>
  <c r="S4745" i="2" l="1"/>
  <c r="T4745" i="2"/>
  <c r="U4745" i="2"/>
  <c r="S4746" i="2" l="1"/>
  <c r="U4746" i="2"/>
  <c r="T4746" i="2"/>
  <c r="S4747" i="2" l="1"/>
  <c r="U4747" i="2"/>
  <c r="T4747" i="2"/>
  <c r="S4748" i="2" l="1"/>
  <c r="T4748" i="2"/>
  <c r="U4748" i="2"/>
  <c r="S4749" i="2" l="1"/>
  <c r="T4749" i="2"/>
  <c r="U4749" i="2"/>
  <c r="S4750" i="2" l="1"/>
  <c r="T4750" i="2"/>
  <c r="U4750" i="2"/>
  <c r="S4751" i="2" l="1"/>
  <c r="U4751" i="2"/>
  <c r="T4751" i="2"/>
  <c r="S4752" i="2" l="1"/>
  <c r="U4752" i="2"/>
  <c r="T4752" i="2"/>
  <c r="S4753" i="2" l="1"/>
  <c r="U4753" i="2"/>
  <c r="T4753" i="2"/>
  <c r="S4754" i="2" l="1"/>
  <c r="U4754" i="2"/>
  <c r="T4754" i="2"/>
  <c r="S4755" i="2" l="1"/>
  <c r="U4755" i="2"/>
  <c r="T4755" i="2"/>
  <c r="S4756" i="2" l="1"/>
  <c r="U4756" i="2"/>
  <c r="T4756" i="2"/>
  <c r="S4757" i="2" l="1"/>
  <c r="T4757" i="2"/>
  <c r="U4757" i="2"/>
  <c r="S4758" i="2" l="1"/>
  <c r="T4758" i="2"/>
  <c r="U4758" i="2"/>
  <c r="S4759" i="2" l="1"/>
  <c r="T4759" i="2"/>
  <c r="U4759" i="2"/>
  <c r="S4760" i="2" l="1"/>
  <c r="U4760" i="2"/>
  <c r="T4760" i="2"/>
  <c r="S4761" i="2" l="1"/>
  <c r="U4761" i="2"/>
  <c r="T4761" i="2"/>
  <c r="S4762" i="2" l="1"/>
  <c r="U4762" i="2"/>
  <c r="T4762" i="2"/>
  <c r="S4763" i="2" l="1"/>
  <c r="U4763" i="2"/>
  <c r="T4763" i="2"/>
  <c r="S4764" i="2" l="1"/>
  <c r="T4764" i="2"/>
  <c r="U4764" i="2"/>
  <c r="S4765" i="2" l="1"/>
  <c r="T4765" i="2"/>
  <c r="U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U4770" i="2"/>
  <c r="T4770" i="2"/>
  <c r="S4771" i="2" l="1"/>
  <c r="T4771" i="2"/>
  <c r="U4771" i="2"/>
  <c r="S4772" i="2" l="1"/>
  <c r="U4772" i="2"/>
  <c r="T4772" i="2"/>
  <c r="S4773" i="2" l="1"/>
  <c r="T4773" i="2"/>
  <c r="U4773" i="2"/>
  <c r="S4774" i="2" l="1"/>
  <c r="T4774" i="2"/>
  <c r="U4774" i="2"/>
  <c r="S4775" i="2" l="1"/>
  <c r="U4775" i="2"/>
  <c r="T4775" i="2"/>
  <c r="S4776" i="2" l="1"/>
  <c r="T4776" i="2"/>
  <c r="U4776" i="2"/>
  <c r="S4777" i="2" l="1"/>
  <c r="T4777" i="2"/>
  <c r="U4777" i="2"/>
  <c r="S4778" i="2" l="1"/>
  <c r="U4778" i="2"/>
  <c r="T4778" i="2"/>
  <c r="S4779" i="2" l="1"/>
  <c r="U4779" i="2"/>
  <c r="T4779" i="2"/>
  <c r="S4780" i="2" l="1"/>
  <c r="T4780" i="2"/>
  <c r="U4780" i="2"/>
  <c r="S4781" i="2" l="1"/>
  <c r="U4781" i="2"/>
  <c r="T4781" i="2"/>
  <c r="S4782" i="2" l="1"/>
  <c r="T4782" i="2"/>
  <c r="U4782" i="2"/>
  <c r="S4783" i="2" l="1"/>
  <c r="U4783" i="2"/>
  <c r="T4783" i="2"/>
  <c r="S4784" i="2" l="1"/>
  <c r="U4784" i="2"/>
  <c r="T4784" i="2"/>
  <c r="S4785" i="2" l="1"/>
  <c r="T4785" i="2"/>
  <c r="U4785" i="2"/>
  <c r="S4786" i="2" l="1"/>
  <c r="U4786" i="2"/>
  <c r="T4786" i="2"/>
  <c r="S4787" i="2" l="1"/>
  <c r="T4787" i="2"/>
  <c r="U4787" i="2"/>
  <c r="S4788" i="2" l="1"/>
  <c r="U4788" i="2"/>
  <c r="T4788" i="2"/>
  <c r="S4789" i="2" l="1"/>
  <c r="T4789" i="2"/>
  <c r="U4789" i="2"/>
  <c r="S4790" i="2" l="1"/>
  <c r="T4790" i="2"/>
  <c r="U4790" i="2"/>
  <c r="S4791" i="2" l="1"/>
  <c r="U4791" i="2"/>
  <c r="T4791" i="2"/>
  <c r="S4792" i="2" l="1"/>
  <c r="T4792" i="2"/>
  <c r="U4792" i="2"/>
  <c r="S4793" i="2" l="1"/>
  <c r="T4793" i="2"/>
  <c r="U4793" i="2"/>
  <c r="S4794" i="2" l="1"/>
  <c r="U4794" i="2"/>
  <c r="T4794" i="2"/>
  <c r="S4795" i="2" l="1"/>
  <c r="U4795" i="2"/>
  <c r="T4795" i="2"/>
  <c r="S4796" i="2" l="1"/>
  <c r="T4796" i="2"/>
  <c r="U4796" i="2"/>
  <c r="S4797" i="2" l="1"/>
  <c r="T4797" i="2"/>
  <c r="U4797" i="2"/>
  <c r="S4798" i="2" l="1"/>
  <c r="T4798" i="2"/>
  <c r="U4798" i="2"/>
  <c r="S4799" i="2" l="1"/>
  <c r="U4799" i="2"/>
  <c r="T4799" i="2"/>
  <c r="S4800" i="2" l="1"/>
  <c r="T4800" i="2"/>
  <c r="U4800" i="2"/>
  <c r="S4801" i="2" l="1"/>
  <c r="T4801" i="2"/>
  <c r="U4801" i="2"/>
  <c r="S4802" i="2" l="1"/>
  <c r="U4802" i="2"/>
  <c r="T4802" i="2"/>
  <c r="S4803" i="2" l="1"/>
  <c r="U4803" i="2"/>
  <c r="T4803" i="2"/>
  <c r="S4804" i="2" l="1"/>
  <c r="U4804" i="2"/>
  <c r="T4804" i="2"/>
  <c r="S4805" i="2" l="1"/>
  <c r="T4805" i="2"/>
  <c r="U4805" i="2"/>
  <c r="S4806" i="2" l="1"/>
  <c r="T4806" i="2"/>
  <c r="U4806" i="2"/>
  <c r="S4807" i="2" l="1"/>
  <c r="U4807" i="2"/>
  <c r="T4807" i="2"/>
  <c r="S4808" i="2" l="1"/>
  <c r="T4808" i="2"/>
  <c r="U4808" i="2"/>
  <c r="S4809" i="2" l="1"/>
  <c r="U4809" i="2"/>
  <c r="T4809" i="2"/>
  <c r="S4810" i="2" l="1"/>
  <c r="T4810" i="2"/>
  <c r="U4810" i="2"/>
  <c r="S4811" i="2" l="1"/>
  <c r="U4811" i="2"/>
  <c r="T4811" i="2"/>
  <c r="S4812" i="2" l="1"/>
  <c r="T4812" i="2"/>
  <c r="U4812" i="2"/>
  <c r="S4813" i="2" l="1"/>
  <c r="T4813" i="2"/>
  <c r="U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U4819" i="2"/>
  <c r="T4819" i="2"/>
  <c r="S4820" i="2" l="1"/>
  <c r="U4820" i="2"/>
  <c r="T4820" i="2"/>
  <c r="S4821" i="2" l="1"/>
  <c r="U4821" i="2"/>
  <c r="T4821" i="2"/>
  <c r="S4822" i="2" l="1"/>
  <c r="T4822" i="2"/>
  <c r="U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T4827" i="2"/>
  <c r="U4827" i="2"/>
  <c r="S4828" i="2" l="1"/>
  <c r="U4828" i="2"/>
  <c r="T4828" i="2"/>
  <c r="S4829" i="2" l="1"/>
  <c r="U4829" i="2"/>
  <c r="T4829" i="2"/>
  <c r="S4830" i="2" l="1"/>
  <c r="U4830" i="2"/>
  <c r="T4830" i="2"/>
  <c r="S4831" i="2" l="1"/>
  <c r="T4831" i="2"/>
  <c r="U4831" i="2"/>
  <c r="S4832" i="2" l="1"/>
  <c r="T4832" i="2"/>
  <c r="U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T4837" i="2"/>
  <c r="U4837" i="2"/>
  <c r="S4838" i="2" l="1"/>
  <c r="T4838" i="2"/>
  <c r="U4838" i="2"/>
  <c r="S4839" i="2" l="1"/>
  <c r="U4839" i="2"/>
  <c r="T4839" i="2"/>
  <c r="S4840" i="2" l="1"/>
  <c r="T4840" i="2"/>
  <c r="U4840" i="2"/>
  <c r="S4841" i="2" l="1"/>
  <c r="T4841" i="2"/>
  <c r="U4841" i="2"/>
  <c r="S4842" i="2" l="1"/>
  <c r="U4842" i="2"/>
  <c r="T4842" i="2"/>
  <c r="S4843" i="2" l="1"/>
  <c r="U4843" i="2"/>
  <c r="T4843" i="2"/>
  <c r="S4844" i="2" l="1"/>
  <c r="U4844" i="2"/>
  <c r="T4844" i="2"/>
  <c r="S4845" i="2" l="1"/>
  <c r="U4845" i="2"/>
  <c r="T4845" i="2"/>
  <c r="S4846" i="2" l="1"/>
  <c r="T4846" i="2"/>
  <c r="U4846" i="2"/>
  <c r="S4847" i="2" l="1"/>
  <c r="U4847" i="2"/>
  <c r="T4847" i="2"/>
  <c r="S4848" i="2" l="1"/>
  <c r="T4848" i="2"/>
  <c r="U4848" i="2"/>
  <c r="S4849" i="2" l="1"/>
  <c r="U4849" i="2"/>
  <c r="T4849" i="2"/>
  <c r="S4850" i="2" l="1"/>
  <c r="T4850" i="2"/>
  <c r="U4850" i="2"/>
  <c r="S4851" i="2" l="1"/>
  <c r="T4851" i="2"/>
  <c r="U4851" i="2"/>
  <c r="S4852" i="2" l="1"/>
  <c r="U4852" i="2"/>
  <c r="T4852" i="2"/>
  <c r="S4853" i="2" l="1"/>
  <c r="T4853" i="2"/>
  <c r="U4853" i="2"/>
  <c r="S4854" i="2" l="1"/>
  <c r="T4854" i="2"/>
  <c r="U4854" i="2"/>
  <c r="S4855" i="2" l="1"/>
  <c r="T4855" i="2"/>
  <c r="U4855" i="2"/>
  <c r="S4856" i="2" l="1"/>
  <c r="U4856" i="2"/>
  <c r="T4856" i="2"/>
  <c r="S4857" i="2" l="1"/>
  <c r="T4857" i="2"/>
  <c r="U4857" i="2"/>
  <c r="S4858" i="2" l="1"/>
  <c r="U4858" i="2"/>
  <c r="T4858" i="2"/>
  <c r="S4859" i="2" l="1"/>
  <c r="T4859" i="2"/>
  <c r="U4859" i="2"/>
  <c r="S4860" i="2" l="1"/>
  <c r="T4860" i="2"/>
  <c r="U4860" i="2"/>
  <c r="S4861" i="2" l="1"/>
  <c r="T4861" i="2"/>
  <c r="U4861" i="2"/>
  <c r="S4862" i="2" l="1"/>
  <c r="U4862" i="2"/>
  <c r="T4862" i="2"/>
  <c r="S4863" i="2" l="1"/>
  <c r="U4863" i="2"/>
  <c r="T4863" i="2"/>
  <c r="S4864" i="2" l="1"/>
  <c r="U4864" i="2"/>
  <c r="T4864" i="2"/>
  <c r="S4865" i="2" l="1"/>
  <c r="T4865" i="2"/>
  <c r="U4865" i="2"/>
  <c r="S4866" i="2" l="1"/>
  <c r="T4866" i="2"/>
  <c r="U4866" i="2"/>
  <c r="S4867" i="2" l="1"/>
  <c r="T4867" i="2"/>
  <c r="U4867" i="2"/>
  <c r="S4868" i="2" l="1"/>
  <c r="U4868" i="2"/>
  <c r="T4868" i="2"/>
  <c r="S4869" i="2" l="1"/>
  <c r="U4869" i="2"/>
  <c r="T4869" i="2"/>
  <c r="S4870" i="2" l="1"/>
  <c r="U4870" i="2"/>
  <c r="T4870" i="2"/>
  <c r="S4871" i="2" l="1"/>
  <c r="U4871" i="2"/>
  <c r="T4871" i="2"/>
  <c r="S4872" i="2" l="1"/>
  <c r="U4872" i="2"/>
  <c r="T4872" i="2"/>
  <c r="S4873" i="2" l="1"/>
  <c r="T4873" i="2"/>
  <c r="U4873" i="2"/>
  <c r="S4874" i="2" l="1"/>
  <c r="U4874" i="2"/>
  <c r="T4874" i="2"/>
  <c r="S4875" i="2" l="1"/>
  <c r="T4875" i="2"/>
  <c r="U4875" i="2"/>
  <c r="S4876" i="2" l="1"/>
  <c r="T4876" i="2"/>
  <c r="U4876" i="2"/>
  <c r="S4877" i="2" l="1"/>
  <c r="T4877" i="2"/>
  <c r="U4877" i="2"/>
  <c r="S4878" i="2" l="1"/>
  <c r="T4878" i="2"/>
  <c r="U4878" i="2"/>
  <c r="S4879" i="2" l="1"/>
  <c r="U4879" i="2"/>
  <c r="T4879" i="2"/>
  <c r="S4880" i="2" l="1"/>
  <c r="U4880" i="2"/>
  <c r="T4880" i="2"/>
  <c r="S4881" i="2" l="1"/>
  <c r="U4881" i="2"/>
  <c r="T4881" i="2"/>
  <c r="S4882" i="2" l="1"/>
  <c r="U4882" i="2"/>
  <c r="T4882" i="2"/>
  <c r="S4883" i="2" l="1"/>
  <c r="U4883" i="2"/>
  <c r="T4883" i="2"/>
  <c r="S4884" i="2" l="1"/>
  <c r="T4884" i="2"/>
  <c r="U4884" i="2"/>
  <c r="S4885" i="2" l="1"/>
  <c r="U4885" i="2"/>
  <c r="T4885" i="2"/>
  <c r="S4886" i="2" l="1"/>
  <c r="T4886" i="2"/>
  <c r="U4886" i="2"/>
  <c r="S4887" i="2" l="1"/>
  <c r="U4887" i="2"/>
  <c r="T4887" i="2"/>
  <c r="S4888" i="2" l="1"/>
  <c r="T4888" i="2"/>
  <c r="U4888" i="2"/>
  <c r="S4889" i="2" l="1"/>
  <c r="U4889" i="2"/>
  <c r="T4889" i="2"/>
  <c r="S4890" i="2" l="1"/>
  <c r="T4890" i="2"/>
  <c r="U4890" i="2"/>
  <c r="S4891" i="2" l="1"/>
  <c r="U4891" i="2"/>
  <c r="T4891" i="2"/>
  <c r="S4892" i="2" l="1"/>
  <c r="T4892" i="2"/>
  <c r="U4892" i="2"/>
  <c r="S4893" i="2" l="1"/>
  <c r="T4893" i="2"/>
  <c r="U4893" i="2"/>
  <c r="S4894" i="2" l="1"/>
  <c r="T4894" i="2"/>
  <c r="U4894" i="2"/>
  <c r="S4895" i="2" l="1"/>
  <c r="U4895" i="2"/>
  <c r="T4895" i="2"/>
  <c r="S4896" i="2" l="1"/>
  <c r="T4896" i="2"/>
  <c r="U4896" i="2"/>
  <c r="S4897" i="2" l="1"/>
  <c r="U4897" i="2"/>
  <c r="T4897" i="2"/>
  <c r="S4898" i="2" l="1"/>
  <c r="U4898" i="2"/>
  <c r="T4898" i="2"/>
  <c r="S4899" i="2" l="1"/>
  <c r="U4899" i="2"/>
  <c r="T4899" i="2"/>
  <c r="S4900" i="2" l="1"/>
  <c r="U4900" i="2"/>
  <c r="T4900" i="2"/>
  <c r="S4901" i="2" l="1"/>
  <c r="U4901" i="2"/>
  <c r="T4901" i="2"/>
  <c r="S4902" i="2" l="1"/>
  <c r="T4902" i="2"/>
  <c r="U4902" i="2"/>
  <c r="S4903" i="2" l="1"/>
  <c r="T4903" i="2"/>
  <c r="U4903" i="2"/>
  <c r="S4904" i="2" l="1"/>
  <c r="T4904" i="2"/>
  <c r="U4904" i="2"/>
  <c r="S4905" i="2" l="1"/>
  <c r="U4905" i="2"/>
  <c r="T4905" i="2"/>
  <c r="S4906" i="2" l="1"/>
  <c r="T4906" i="2"/>
  <c r="U4906" i="2"/>
  <c r="S4907" i="2" l="1"/>
  <c r="U4907" i="2"/>
  <c r="T4907" i="2"/>
  <c r="S4908" i="2" l="1"/>
  <c r="T4908" i="2"/>
  <c r="U4908" i="2"/>
  <c r="S4909" i="2" l="1"/>
  <c r="T4909" i="2"/>
  <c r="U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T4914" i="2"/>
  <c r="U4914" i="2"/>
  <c r="S4915" i="2" l="1"/>
  <c r="T4915" i="2"/>
  <c r="U4915" i="2"/>
  <c r="S4916" i="2" l="1"/>
  <c r="U4916" i="2"/>
  <c r="T4916" i="2"/>
  <c r="S4917" i="2" l="1"/>
  <c r="T4917" i="2"/>
  <c r="U4917" i="2"/>
  <c r="S4918" i="2" l="1"/>
  <c r="T4918" i="2"/>
  <c r="U4918" i="2"/>
  <c r="S4919" i="2" l="1"/>
  <c r="T4919" i="2"/>
  <c r="U4919" i="2"/>
  <c r="S4920" i="2" l="1"/>
  <c r="T4920" i="2"/>
  <c r="U4920" i="2"/>
  <c r="S4921" i="2" l="1"/>
  <c r="U4921" i="2"/>
  <c r="T4921" i="2"/>
  <c r="S4922" i="2" l="1"/>
  <c r="U4922" i="2"/>
  <c r="T4922" i="2"/>
  <c r="S4923" i="2" l="1"/>
  <c r="U4923" i="2"/>
  <c r="T4923" i="2"/>
  <c r="S4924" i="2" l="1"/>
  <c r="T4924" i="2"/>
  <c r="U4924" i="2"/>
  <c r="S4925" i="2" l="1"/>
  <c r="T4925" i="2"/>
  <c r="U4925" i="2"/>
  <c r="S4926" i="2" l="1"/>
  <c r="U4926" i="2"/>
  <c r="T4926" i="2"/>
  <c r="S4927" i="2" l="1"/>
  <c r="U4927" i="2"/>
  <c r="T4927" i="2"/>
  <c r="S4928" i="2" l="1"/>
  <c r="U4928" i="2"/>
  <c r="T4928" i="2"/>
  <c r="S4929" i="2" l="1"/>
  <c r="T4929" i="2"/>
  <c r="U4929" i="2"/>
  <c r="S4930" i="2" l="1"/>
  <c r="U4930" i="2"/>
  <c r="T4930" i="2"/>
  <c r="S4931" i="2" l="1"/>
  <c r="T4931" i="2"/>
  <c r="U4931" i="2"/>
  <c r="S4932" i="2" l="1"/>
  <c r="T4932" i="2"/>
  <c r="U4932" i="2"/>
  <c r="S4933" i="2" l="1"/>
  <c r="U4933" i="2"/>
  <c r="T4933" i="2"/>
  <c r="S4934" i="2" l="1"/>
  <c r="U4934" i="2"/>
  <c r="T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T4943" i="2"/>
  <c r="U4943" i="2"/>
  <c r="S4944" i="2" l="1"/>
  <c r="T4944" i="2"/>
  <c r="U4944" i="2"/>
  <c r="S4945" i="2" l="1"/>
  <c r="T4945" i="2"/>
  <c r="U4945" i="2"/>
  <c r="S4946" i="2" l="1"/>
  <c r="U4946" i="2"/>
  <c r="T4946" i="2"/>
  <c r="S4947" i="2" l="1"/>
  <c r="U4947" i="2"/>
  <c r="T4947" i="2"/>
  <c r="S4948" i="2" l="1"/>
  <c r="T4948" i="2"/>
  <c r="U4948" i="2"/>
  <c r="S4949" i="2" l="1"/>
  <c r="T4949" i="2"/>
  <c r="U4949" i="2"/>
  <c r="S4950" i="2" l="1"/>
  <c r="U4950" i="2"/>
  <c r="T4950" i="2"/>
  <c r="S4951" i="2" l="1"/>
  <c r="T4951" i="2"/>
  <c r="U4951" i="2"/>
  <c r="S4952" i="2" l="1"/>
  <c r="U4952" i="2"/>
  <c r="T4952" i="2"/>
  <c r="S4953" i="2" l="1"/>
  <c r="U4953" i="2"/>
  <c r="T4953" i="2"/>
  <c r="S4954" i="2" l="1"/>
  <c r="U4954" i="2"/>
  <c r="T4954" i="2"/>
  <c r="S4955" i="2" l="1"/>
  <c r="U4955" i="2"/>
  <c r="T4955" i="2"/>
  <c r="S4956" i="2" l="1"/>
  <c r="T4956" i="2"/>
  <c r="U4956" i="2"/>
  <c r="S4957" i="2" l="1"/>
  <c r="T4957" i="2"/>
  <c r="U4957" i="2"/>
  <c r="S4958" i="2" l="1"/>
  <c r="U4958" i="2"/>
  <c r="T4958" i="2"/>
  <c r="S4959" i="2" l="1"/>
  <c r="T4959" i="2"/>
  <c r="U4959" i="2"/>
  <c r="S4960" i="2" l="1"/>
  <c r="U4960" i="2"/>
  <c r="T4960" i="2"/>
  <c r="S4961" i="2" l="1"/>
  <c r="U4961" i="2"/>
  <c r="T4961" i="2"/>
  <c r="S4962" i="2" l="1"/>
  <c r="U4962" i="2"/>
  <c r="T4962" i="2"/>
  <c r="S4963" i="2" l="1"/>
  <c r="U4963" i="2"/>
  <c r="T4963" i="2"/>
  <c r="S4964" i="2" l="1"/>
  <c r="T4964" i="2"/>
  <c r="U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U4971" i="2"/>
  <c r="T4971" i="2"/>
  <c r="S4972" i="2" l="1"/>
  <c r="T4972" i="2"/>
  <c r="U4972" i="2"/>
  <c r="S4973" i="2" l="1"/>
  <c r="T4973" i="2"/>
  <c r="U4973" i="2"/>
  <c r="S4974" i="2" l="1"/>
  <c r="T4974" i="2"/>
  <c r="U4974" i="2"/>
  <c r="S4975" i="2" l="1"/>
  <c r="T4975" i="2"/>
  <c r="U4975" i="2"/>
  <c r="S4976" i="2" l="1"/>
  <c r="T4976" i="2"/>
  <c r="U4976" i="2"/>
  <c r="S4977" i="2" l="1"/>
  <c r="T4977" i="2"/>
  <c r="U4977" i="2"/>
  <c r="S4978" i="2" l="1"/>
  <c r="U4978" i="2"/>
  <c r="T4978" i="2"/>
  <c r="S4979" i="2" l="1"/>
  <c r="T4979" i="2"/>
  <c r="U4979" i="2"/>
  <c r="S4980" i="2" l="1"/>
  <c r="T4980" i="2"/>
  <c r="U4980" i="2"/>
  <c r="S4981" i="2" l="1"/>
  <c r="T4981" i="2"/>
  <c r="U4981" i="2"/>
  <c r="S4982" i="2" l="1"/>
  <c r="T4982" i="2"/>
  <c r="U4982" i="2"/>
  <c r="S4983" i="2" l="1"/>
  <c r="U4983" i="2"/>
  <c r="T4983" i="2"/>
  <c r="S4984" i="2" l="1"/>
  <c r="U4984" i="2"/>
  <c r="T4984" i="2"/>
  <c r="S4985" i="2" l="1"/>
  <c r="U4985" i="2"/>
  <c r="T4985" i="2"/>
  <c r="S4986" i="2" l="1"/>
  <c r="U4986" i="2"/>
  <c r="T4986" i="2"/>
  <c r="S4987" i="2" l="1"/>
  <c r="U4987" i="2"/>
  <c r="T4987" i="2"/>
  <c r="S4988" i="2" l="1"/>
  <c r="T4988" i="2"/>
  <c r="U4988" i="2"/>
  <c r="S4989" i="2" l="1"/>
  <c r="U4989" i="2"/>
  <c r="T4989" i="2"/>
  <c r="S4990" i="2" l="1"/>
  <c r="T4990" i="2"/>
  <c r="U4990" i="2"/>
  <c r="S4991" i="2" l="1"/>
  <c r="T4991" i="2"/>
  <c r="U4991" i="2"/>
  <c r="S4992" i="2" l="1"/>
  <c r="T4992" i="2"/>
  <c r="U4992" i="2"/>
  <c r="S4993" i="2" l="1"/>
  <c r="T4993" i="2"/>
  <c r="U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U4999" i="2"/>
  <c r="T4999" i="2"/>
  <c r="S5000" i="2" l="1"/>
  <c r="T5000" i="2"/>
  <c r="U5000" i="2"/>
  <c r="S5001" i="2" l="1"/>
  <c r="U5001" i="2"/>
  <c r="T5001" i="2"/>
  <c r="S5002" i="2" l="1"/>
  <c r="U5002" i="2"/>
  <c r="T5002" i="2"/>
  <c r="S5003" i="2" l="1"/>
  <c r="T5003" i="2"/>
  <c r="U5003" i="2"/>
  <c r="S5004" i="2" l="1"/>
  <c r="T5004" i="2"/>
  <c r="U5004" i="2"/>
  <c r="S5005" i="2" l="1"/>
  <c r="T5005" i="2"/>
  <c r="U5005" i="2"/>
  <c r="S5006" i="2" l="1"/>
  <c r="T5006" i="2"/>
  <c r="U5006" i="2"/>
  <c r="S5007" i="2" l="1"/>
  <c r="T5007" i="2"/>
  <c r="U5007" i="2"/>
  <c r="S5008" i="2" l="1"/>
  <c r="T5008" i="2"/>
  <c r="U5008" i="2"/>
  <c r="S5009" i="2" l="1"/>
  <c r="U5009" i="2"/>
  <c r="T5009" i="2"/>
  <c r="S5010" i="2" l="1"/>
  <c r="T5010" i="2"/>
  <c r="U5010" i="2"/>
  <c r="S5011" i="2" l="1"/>
  <c r="T5011" i="2"/>
  <c r="U5011" i="2"/>
  <c r="S5012" i="2" l="1"/>
  <c r="T5012" i="2"/>
  <c r="U5012" i="2"/>
  <c r="S5013" i="2" l="1"/>
  <c r="U5013" i="2"/>
  <c r="T5013" i="2"/>
  <c r="S5014" i="2" l="1"/>
  <c r="U5014" i="2"/>
  <c r="T5014" i="2"/>
  <c r="S5015" i="2" l="1"/>
  <c r="T5015" i="2"/>
  <c r="U5015" i="2"/>
  <c r="S5016" i="2" l="1"/>
  <c r="U5016" i="2"/>
  <c r="T5016" i="2"/>
  <c r="S5017" i="2" l="1"/>
  <c r="U5017" i="2"/>
  <c r="T5017" i="2"/>
  <c r="S5018" i="2" l="1"/>
  <c r="T5018" i="2"/>
  <c r="U5018" i="2"/>
  <c r="S5019" i="2" l="1"/>
  <c r="U5019" i="2"/>
  <c r="T5019" i="2"/>
  <c r="S5020" i="2" l="1"/>
  <c r="T5020" i="2"/>
  <c r="U5020" i="2"/>
  <c r="S5021" i="2" l="1"/>
  <c r="T5021" i="2"/>
  <c r="U5021" i="2"/>
  <c r="S5022" i="2" l="1"/>
  <c r="T5022" i="2"/>
  <c r="U5022" i="2"/>
  <c r="S5023" i="2" l="1"/>
  <c r="T5023" i="2"/>
  <c r="U5023" i="2"/>
  <c r="S5024" i="2" l="1"/>
  <c r="T5024" i="2"/>
  <c r="U5024" i="2"/>
  <c r="S5025" i="2" l="1"/>
  <c r="U5025" i="2"/>
  <c r="T5025" i="2"/>
  <c r="S5026" i="2" l="1"/>
  <c r="U5026" i="2"/>
  <c r="T5026" i="2"/>
  <c r="S5027" i="2" l="1"/>
  <c r="T5027" i="2"/>
  <c r="U5027" i="2"/>
  <c r="S5028" i="2" l="1"/>
  <c r="T5028" i="2"/>
  <c r="U5028" i="2"/>
  <c r="S5029" i="2" l="1"/>
  <c r="T5029" i="2"/>
  <c r="U5029" i="2"/>
  <c r="S5030" i="2" l="1"/>
  <c r="T5030" i="2"/>
  <c r="U5030" i="2"/>
  <c r="S5031" i="2" l="1"/>
  <c r="U5031" i="2"/>
  <c r="T5031" i="2"/>
  <c r="S5032" i="2" l="1"/>
  <c r="U5032" i="2"/>
  <c r="T5032" i="2"/>
  <c r="S5033" i="2" l="1"/>
  <c r="U5033" i="2"/>
  <c r="T5033" i="2"/>
  <c r="S5034" i="2" l="1"/>
  <c r="U5034" i="2"/>
  <c r="T5034" i="2"/>
  <c r="S5035" i="2" l="1"/>
  <c r="U5035" i="2"/>
  <c r="T5035" i="2"/>
  <c r="S5036" i="2" l="1"/>
  <c r="U5036" i="2"/>
  <c r="T5036" i="2"/>
  <c r="S5037" i="2" l="1"/>
  <c r="T5037" i="2"/>
  <c r="U5037" i="2"/>
  <c r="S5038" i="2" l="1"/>
  <c r="T5038" i="2"/>
  <c r="U5038" i="2"/>
  <c r="S5039" i="2" l="1"/>
  <c r="T5039" i="2"/>
  <c r="U5039" i="2"/>
  <c r="S5040" i="2" l="1"/>
  <c r="U5040" i="2"/>
  <c r="T5040" i="2"/>
  <c r="S5041" i="2" l="1"/>
  <c r="U5041" i="2"/>
  <c r="T5041" i="2"/>
  <c r="S5042" i="2" l="1"/>
  <c r="U5042" i="2"/>
  <c r="T5042" i="2"/>
  <c r="S5043" i="2" l="1"/>
  <c r="U5043" i="2"/>
  <c r="T5043" i="2"/>
  <c r="S5044" i="2" l="1"/>
  <c r="U5044" i="2"/>
  <c r="T5044" i="2"/>
  <c r="S5045" i="2" l="1"/>
  <c r="T5045" i="2"/>
  <c r="U5045" i="2"/>
  <c r="S5046" i="2" l="1"/>
  <c r="T5046" i="2"/>
  <c r="U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T5055" i="2"/>
  <c r="U5055" i="2"/>
  <c r="S5056" i="2" l="1"/>
  <c r="U5056" i="2"/>
  <c r="T5056" i="2"/>
  <c r="S5057" i="2" l="1"/>
  <c r="U5057" i="2"/>
  <c r="T5057" i="2"/>
  <c r="S5058" i="2" l="1"/>
  <c r="U5058" i="2"/>
  <c r="T5058" i="2"/>
  <c r="S5059" i="2" l="1"/>
  <c r="T5059" i="2"/>
  <c r="U5059" i="2"/>
  <c r="S5060" i="2" l="1"/>
  <c r="U5060" i="2"/>
  <c r="T5060" i="2"/>
  <c r="S5061" i="2" l="1"/>
  <c r="T5061" i="2"/>
  <c r="U5061" i="2"/>
  <c r="S5062" i="2" l="1"/>
  <c r="T5062" i="2"/>
  <c r="U5062" i="2"/>
  <c r="S5063" i="2" l="1"/>
  <c r="U5063" i="2"/>
  <c r="T5063" i="2"/>
  <c r="S5064" i="2" l="1"/>
  <c r="T5064" i="2"/>
  <c r="U5064" i="2"/>
  <c r="S5065" i="2" l="1"/>
  <c r="U5065" i="2"/>
  <c r="T5065" i="2"/>
  <c r="S5066" i="2" l="1"/>
  <c r="U5066" i="2"/>
  <c r="T5066" i="2"/>
  <c r="S5067" i="2" l="1"/>
  <c r="U5067" i="2"/>
  <c r="T5067" i="2"/>
  <c r="S5068" i="2" l="1"/>
  <c r="U5068" i="2"/>
  <c r="T5068" i="2"/>
  <c r="S5069" i="2" l="1"/>
  <c r="T5069" i="2"/>
  <c r="U5069" i="2"/>
  <c r="S5070" i="2" l="1"/>
  <c r="T5070" i="2"/>
  <c r="U5070" i="2"/>
  <c r="S5071" i="2" l="1"/>
  <c r="T5071" i="2"/>
  <c r="U5071" i="2"/>
  <c r="S5072" i="2" l="1"/>
  <c r="T5072" i="2"/>
  <c r="U5072" i="2"/>
  <c r="S5073" i="2" l="1"/>
  <c r="U5073" i="2"/>
  <c r="T5073" i="2"/>
  <c r="S5074" i="2" l="1"/>
  <c r="U5074" i="2"/>
  <c r="T5074" i="2"/>
  <c r="S5075" i="2" l="1"/>
  <c r="U5075" i="2"/>
  <c r="T5075" i="2"/>
  <c r="S5076" i="2" l="1"/>
  <c r="T5076" i="2"/>
  <c r="U5076" i="2"/>
  <c r="S5077" i="2" l="1"/>
  <c r="T5077" i="2"/>
  <c r="U5077" i="2"/>
  <c r="S5078" i="2" l="1"/>
  <c r="T5078" i="2"/>
  <c r="U5078" i="2"/>
  <c r="S5079" i="2" l="1"/>
  <c r="T5079" i="2"/>
  <c r="U5079" i="2"/>
  <c r="S5080" i="2" l="1"/>
  <c r="U5080" i="2"/>
  <c r="T5080" i="2"/>
  <c r="S5081" i="2" l="1"/>
  <c r="U5081" i="2"/>
  <c r="T5081" i="2"/>
  <c r="S5082" i="2" l="1"/>
  <c r="T5082" i="2"/>
  <c r="U5082" i="2"/>
  <c r="S5083" i="2" l="1"/>
  <c r="U5083" i="2"/>
  <c r="T5083" i="2"/>
  <c r="S5084" i="2" l="1"/>
  <c r="T5084" i="2"/>
  <c r="U5084" i="2"/>
  <c r="S5085" i="2" l="1"/>
  <c r="U5085" i="2"/>
  <c r="T5085" i="2"/>
  <c r="S5086" i="2" l="1"/>
  <c r="T5086" i="2"/>
  <c r="U5086" i="2"/>
  <c r="S5087" i="2" l="1"/>
  <c r="T5087" i="2"/>
  <c r="U5087" i="2"/>
  <c r="S5088" i="2" l="1"/>
  <c r="U5088" i="2"/>
  <c r="T5088" i="2"/>
  <c r="S5089" i="2" l="1"/>
  <c r="U5089" i="2"/>
  <c r="T5089" i="2"/>
  <c r="S5090" i="2" l="1"/>
  <c r="T5090" i="2"/>
  <c r="U5090" i="2"/>
  <c r="S5091" i="2" l="1"/>
  <c r="T5091" i="2"/>
  <c r="U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U5097" i="2"/>
  <c r="T5097" i="2"/>
  <c r="S5098" i="2" l="1"/>
  <c r="U5098" i="2"/>
  <c r="T5098" i="2"/>
  <c r="S5099" i="2" l="1"/>
  <c r="U5099" i="2"/>
  <c r="T5099" i="2"/>
  <c r="S5100" i="2" l="1"/>
  <c r="U5100" i="2"/>
  <c r="T5100" i="2"/>
  <c r="S5101" i="2" l="1"/>
  <c r="U5101" i="2"/>
  <c r="T5101" i="2"/>
  <c r="S5102" i="2" l="1"/>
  <c r="T5102" i="2"/>
  <c r="U5102" i="2"/>
  <c r="S5103" i="2" l="1"/>
  <c r="U5103" i="2"/>
  <c r="T5103" i="2"/>
  <c r="S5104" i="2" l="1"/>
  <c r="U5104" i="2"/>
  <c r="T5104" i="2"/>
  <c r="S5105" i="2" l="1"/>
  <c r="T5105" i="2"/>
  <c r="U5105" i="2"/>
  <c r="S5106" i="2" l="1"/>
  <c r="U5106" i="2"/>
  <c r="T5106" i="2"/>
  <c r="S5107" i="2" l="1"/>
  <c r="U5107" i="2"/>
  <c r="T5107" i="2"/>
  <c r="S5108" i="2" l="1"/>
  <c r="T5108" i="2"/>
  <c r="U5108" i="2"/>
  <c r="S5109" i="2" l="1"/>
  <c r="U5109" i="2"/>
  <c r="T5109" i="2"/>
  <c r="S5110" i="2" l="1"/>
  <c r="T5110" i="2"/>
  <c r="U5110" i="2"/>
  <c r="S5111" i="2" l="1"/>
  <c r="U5111" i="2"/>
  <c r="T5111" i="2"/>
  <c r="S5112" i="2" l="1"/>
  <c r="U5112" i="2"/>
  <c r="T5112" i="2"/>
  <c r="S5113" i="2" l="1"/>
  <c r="U5113" i="2"/>
  <c r="T5113" i="2"/>
  <c r="S5114" i="2" l="1"/>
  <c r="U5114" i="2"/>
  <c r="T5114" i="2"/>
  <c r="S5115" i="2" l="1"/>
  <c r="U5115" i="2"/>
  <c r="T5115" i="2"/>
  <c r="S5116" i="2" l="1"/>
  <c r="T5116" i="2"/>
  <c r="U5116" i="2"/>
  <c r="S5117" i="2" l="1"/>
  <c r="U5117" i="2"/>
  <c r="T5117" i="2"/>
  <c r="S5118" i="2" l="1"/>
  <c r="U5118" i="2"/>
  <c r="T5118" i="2"/>
  <c r="S5119" i="2" l="1"/>
  <c r="T5119" i="2"/>
  <c r="U5119" i="2"/>
  <c r="S5120" i="2" l="1"/>
  <c r="T5120" i="2"/>
  <c r="U5120" i="2"/>
  <c r="S5121" i="2" l="1"/>
  <c r="U5121" i="2"/>
  <c r="T5121" i="2"/>
  <c r="S5122" i="2" l="1"/>
  <c r="T5122" i="2"/>
  <c r="U5122" i="2"/>
  <c r="S5123" i="2" l="1"/>
  <c r="U5123" i="2"/>
  <c r="T5123" i="2"/>
  <c r="S5124" i="2" l="1"/>
  <c r="U5124" i="2"/>
  <c r="T5124" i="2"/>
  <c r="S5125" i="2" l="1"/>
  <c r="U5125" i="2"/>
  <c r="T5125" i="2"/>
  <c r="S5126" i="2" l="1"/>
  <c r="U5126" i="2"/>
  <c r="T5126" i="2"/>
  <c r="S5127" i="2" l="1"/>
  <c r="T5127" i="2"/>
  <c r="U5127" i="2"/>
  <c r="S5128" i="2" l="1"/>
  <c r="U5128" i="2"/>
  <c r="T5128" i="2"/>
  <c r="S5129" i="2" l="1"/>
  <c r="U5129" i="2"/>
  <c r="T5129" i="2"/>
  <c r="S5130" i="2" l="1"/>
  <c r="U5130" i="2"/>
  <c r="T5130" i="2"/>
  <c r="S5131" i="2" l="1"/>
  <c r="U5131" i="2"/>
  <c r="T5131" i="2"/>
  <c r="S5132" i="2" l="1"/>
  <c r="U5132" i="2"/>
  <c r="T5132" i="2"/>
  <c r="S5133" i="2" l="1"/>
  <c r="T5133" i="2"/>
  <c r="U5133" i="2"/>
  <c r="S5134" i="2" l="1"/>
  <c r="T5134" i="2"/>
  <c r="U5134" i="2"/>
  <c r="S5135" i="2" l="1"/>
  <c r="T5135" i="2"/>
  <c r="U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U5142" i="2"/>
  <c r="T5142" i="2"/>
  <c r="S5143" i="2" l="1"/>
  <c r="U5143" i="2"/>
  <c r="T5143" i="2"/>
  <c r="S5144" i="2" l="1"/>
  <c r="U5144" i="2"/>
  <c r="T5144" i="2"/>
  <c r="S5145" i="2" l="1"/>
  <c r="T5145" i="2"/>
  <c r="U5145" i="2"/>
  <c r="S5146" i="2" l="1"/>
  <c r="T5146" i="2"/>
  <c r="U5146" i="2"/>
  <c r="S5147" i="2" l="1"/>
  <c r="U5147" i="2"/>
  <c r="T5147" i="2"/>
  <c r="S5148" i="2" l="1"/>
  <c r="U5148" i="2"/>
  <c r="T5148" i="2"/>
  <c r="S5149" i="2" l="1"/>
  <c r="T5149" i="2"/>
  <c r="U5149" i="2"/>
  <c r="S5150" i="2" l="1"/>
  <c r="T5150" i="2"/>
  <c r="U5150" i="2"/>
  <c r="S5151" i="2" l="1"/>
  <c r="T5151" i="2"/>
  <c r="U5151" i="2"/>
  <c r="S5152" i="2" l="1"/>
  <c r="T5152" i="2"/>
  <c r="U5152" i="2"/>
  <c r="S5153" i="2" l="1"/>
  <c r="U5153" i="2"/>
  <c r="T5153" i="2"/>
  <c r="S5154" i="2" l="1"/>
  <c r="U5154" i="2"/>
  <c r="T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U5159" i="2"/>
  <c r="T5159" i="2"/>
  <c r="S5160" i="2" l="1"/>
  <c r="T5160" i="2"/>
  <c r="U5160" i="2"/>
  <c r="S5161" i="2" l="1"/>
  <c r="U5161" i="2"/>
  <c r="T5161" i="2"/>
  <c r="S5162" i="2" l="1"/>
  <c r="T5162" i="2"/>
  <c r="U5162" i="2"/>
  <c r="S5163" i="2" l="1"/>
  <c r="U5163" i="2"/>
  <c r="T5163" i="2"/>
  <c r="S5164" i="2" l="1"/>
  <c r="T5164" i="2"/>
  <c r="U5164" i="2"/>
  <c r="S5165" i="2" l="1"/>
  <c r="T5165" i="2"/>
  <c r="U5165" i="2"/>
  <c r="S5166" i="2" l="1"/>
  <c r="U5166" i="2"/>
  <c r="T5166" i="2"/>
  <c r="S5167" i="2" l="1"/>
  <c r="T5167" i="2"/>
  <c r="U5167" i="2"/>
  <c r="S5168" i="2" l="1"/>
  <c r="U5168" i="2"/>
  <c r="T5168" i="2"/>
  <c r="S5169" i="2" l="1"/>
  <c r="U5169" i="2"/>
  <c r="T5169" i="2"/>
  <c r="S5170" i="2" l="1"/>
  <c r="U5170" i="2"/>
  <c r="T5170" i="2"/>
  <c r="S5171" i="2" l="1"/>
  <c r="T5171" i="2"/>
  <c r="U5171" i="2"/>
  <c r="S5172" i="2" l="1"/>
  <c r="U5172" i="2"/>
  <c r="T5172" i="2"/>
  <c r="S5173" i="2" l="1"/>
  <c r="T5173" i="2"/>
  <c r="U5173" i="2"/>
  <c r="S5174" i="2" l="1"/>
  <c r="U5174" i="2"/>
  <c r="T5174" i="2"/>
  <c r="S5175" i="2" l="1"/>
  <c r="U5175" i="2"/>
  <c r="T5175" i="2"/>
  <c r="S5176" i="2" l="1"/>
  <c r="T5176" i="2"/>
  <c r="U5176" i="2"/>
  <c r="S5177" i="2" l="1"/>
  <c r="U5177" i="2"/>
  <c r="T5177" i="2"/>
  <c r="S5178" i="2" l="1"/>
  <c r="U5178" i="2"/>
  <c r="T5178" i="2"/>
  <c r="S5179" i="2" l="1"/>
  <c r="T5179" i="2"/>
  <c r="U5179" i="2"/>
  <c r="S5180" i="2" l="1"/>
  <c r="T5180" i="2"/>
  <c r="U5180" i="2"/>
  <c r="S5181" i="2" l="1"/>
  <c r="T5181" i="2"/>
  <c r="U5181" i="2"/>
  <c r="S5182" i="2" l="1"/>
  <c r="U5182" i="2"/>
  <c r="T5182" i="2"/>
  <c r="S5183" i="2" l="1"/>
  <c r="U5183" i="2"/>
  <c r="T5183" i="2"/>
  <c r="S5184" i="2" l="1"/>
  <c r="T5184" i="2"/>
  <c r="U5184" i="2"/>
  <c r="S5185" i="2" l="1"/>
  <c r="U5185" i="2"/>
  <c r="T5185" i="2"/>
  <c r="S5186" i="2" l="1"/>
  <c r="T5186" i="2"/>
  <c r="U5186" i="2"/>
  <c r="S5187" i="2" l="1"/>
  <c r="U5187" i="2"/>
  <c r="T5187" i="2"/>
  <c r="S5188" i="2" l="1"/>
  <c r="U5188" i="2"/>
  <c r="T5188" i="2"/>
  <c r="S5189" i="2" l="1"/>
  <c r="T5189" i="2"/>
  <c r="U5189" i="2"/>
  <c r="S5190" i="2" l="1"/>
  <c r="T5190" i="2"/>
  <c r="U5190" i="2"/>
  <c r="S5191" i="2" l="1"/>
  <c r="U5191" i="2"/>
  <c r="T5191" i="2"/>
  <c r="S5192" i="2" l="1"/>
  <c r="U5192" i="2"/>
  <c r="T5192" i="2"/>
  <c r="S5193" i="2" l="1"/>
  <c r="T5193" i="2"/>
  <c r="U5193" i="2"/>
  <c r="S5194" i="2" l="1"/>
  <c r="T5194" i="2"/>
  <c r="U5194" i="2"/>
  <c r="S5195" i="2" l="1"/>
  <c r="T5195" i="2"/>
  <c r="U5195" i="2"/>
  <c r="S5196" i="2" l="1"/>
  <c r="T5196" i="2"/>
  <c r="U5196" i="2"/>
  <c r="S5197" i="2" l="1"/>
  <c r="U5197" i="2"/>
  <c r="T5197" i="2"/>
  <c r="S5198" i="2" l="1"/>
  <c r="T5198" i="2"/>
  <c r="U5198" i="2"/>
  <c r="S5199" i="2" l="1"/>
  <c r="T5199" i="2"/>
  <c r="U5199" i="2"/>
  <c r="S5200" i="2" l="1"/>
  <c r="U5200" i="2"/>
  <c r="T5200" i="2"/>
  <c r="S5201" i="2" l="1"/>
  <c r="T5201" i="2"/>
  <c r="U5201" i="2"/>
  <c r="S5202" i="2" l="1"/>
  <c r="U5202" i="2"/>
  <c r="T5202" i="2"/>
  <c r="S5203" i="2" l="1"/>
  <c r="T5203" i="2"/>
  <c r="U5203" i="2"/>
  <c r="S5204" i="2" l="1"/>
  <c r="U5204" i="2"/>
  <c r="T5204" i="2"/>
  <c r="S5205" i="2" l="1"/>
  <c r="T5205" i="2"/>
  <c r="U5205" i="2"/>
  <c r="S5206" i="2" l="1"/>
  <c r="U5206" i="2"/>
  <c r="T5206" i="2"/>
  <c r="S5207" i="2" l="1"/>
  <c r="U5207" i="2"/>
  <c r="T5207" i="2"/>
  <c r="S5208" i="2" l="1"/>
  <c r="U5208" i="2"/>
  <c r="T5208" i="2"/>
  <c r="S5209" i="2" l="1"/>
  <c r="U5209" i="2"/>
  <c r="T5209" i="2"/>
  <c r="S5210" i="2" l="1"/>
  <c r="U5210" i="2"/>
  <c r="T5210" i="2"/>
  <c r="S5211" i="2" l="1"/>
  <c r="U5211" i="2"/>
  <c r="T5211" i="2"/>
  <c r="S5212" i="2" l="1"/>
  <c r="U5212" i="2"/>
  <c r="T5212" i="2"/>
  <c r="S5213" i="2" l="1"/>
  <c r="T5213" i="2"/>
  <c r="U5213" i="2"/>
  <c r="S5214" i="2" l="1"/>
  <c r="U5214" i="2"/>
  <c r="T5214" i="2"/>
  <c r="S5215" i="2" l="1"/>
  <c r="T5215" i="2"/>
  <c r="U5215" i="2"/>
  <c r="S5216" i="2" l="1"/>
  <c r="T5216" i="2"/>
  <c r="U5216" i="2"/>
  <c r="S5217" i="2" l="1"/>
  <c r="T5217" i="2"/>
  <c r="U5217" i="2"/>
  <c r="S5218" i="2" l="1"/>
  <c r="U5218" i="2"/>
  <c r="T5218" i="2"/>
  <c r="S5219" i="2" l="1"/>
  <c r="U5219" i="2"/>
  <c r="T5219" i="2"/>
  <c r="S5220" i="2" l="1"/>
  <c r="U5220" i="2"/>
  <c r="T5220" i="2"/>
  <c r="S5221" i="2" l="1"/>
  <c r="T5221" i="2"/>
  <c r="U5221" i="2"/>
  <c r="S5222" i="2" l="1"/>
  <c r="U5222" i="2"/>
  <c r="T5222" i="2"/>
  <c r="S5223" i="2" l="1"/>
  <c r="U5223" i="2"/>
  <c r="T5223" i="2"/>
  <c r="S5224" i="2" l="1"/>
  <c r="T5224" i="2"/>
  <c r="U5224" i="2"/>
  <c r="S5225" i="2" l="1"/>
  <c r="U5225" i="2"/>
  <c r="T5225" i="2"/>
  <c r="S5226" i="2" l="1"/>
  <c r="U5226" i="2"/>
  <c r="T5226" i="2"/>
  <c r="S5227" i="2" l="1"/>
  <c r="U5227" i="2"/>
  <c r="T5227" i="2"/>
  <c r="S5228" i="2" l="1"/>
  <c r="U5228" i="2"/>
  <c r="T5228" i="2"/>
  <c r="S5229" i="2" l="1"/>
  <c r="U5229" i="2"/>
  <c r="T5229" i="2"/>
  <c r="S5230" i="2" l="1"/>
  <c r="U5230" i="2"/>
  <c r="T5230" i="2"/>
  <c r="S5231" i="2" l="1"/>
  <c r="T5231" i="2"/>
  <c r="U5231" i="2"/>
  <c r="S5232" i="2" l="1"/>
  <c r="T5232" i="2"/>
  <c r="U5232" i="2"/>
  <c r="S5233" i="2" l="1"/>
  <c r="U5233" i="2"/>
  <c r="T5233" i="2"/>
  <c r="S5234" i="2" l="1"/>
  <c r="U5234" i="2"/>
  <c r="T5234" i="2"/>
  <c r="S5235" i="2" l="1"/>
  <c r="T5235" i="2"/>
  <c r="U5235" i="2"/>
  <c r="S5236" i="2" l="1"/>
  <c r="U5236" i="2"/>
  <c r="T5236" i="2"/>
  <c r="S5237" i="2" l="1"/>
  <c r="T5237" i="2"/>
  <c r="U5237" i="2"/>
  <c r="S5238" i="2" l="1"/>
  <c r="U5238" i="2"/>
  <c r="T5238" i="2"/>
  <c r="S5239" i="2" l="1"/>
  <c r="U5239" i="2"/>
  <c r="T5239" i="2"/>
  <c r="S5240" i="2" l="1"/>
  <c r="U5240" i="2"/>
  <c r="T5240" i="2"/>
  <c r="S5241" i="2" l="1"/>
  <c r="U5241" i="2"/>
  <c r="T5241" i="2"/>
  <c r="S5242" i="2" l="1"/>
  <c r="U5242" i="2"/>
  <c r="T5242" i="2"/>
  <c r="S5243" i="2" l="1"/>
  <c r="T5243" i="2"/>
  <c r="U5243" i="2"/>
  <c r="S5244" i="2" l="1"/>
  <c r="U5244" i="2"/>
  <c r="T5244" i="2"/>
  <c r="S5245" i="2" l="1"/>
  <c r="U5245" i="2"/>
  <c r="T5245" i="2"/>
  <c r="S5246" i="2" l="1"/>
  <c r="U5246" i="2"/>
  <c r="T5246" i="2"/>
  <c r="S5247" i="2" l="1"/>
  <c r="U5247" i="2"/>
  <c r="T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U5253" i="2"/>
  <c r="T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U5258" i="2"/>
  <c r="T5258" i="2"/>
  <c r="S5259" i="2" l="1"/>
  <c r="U5259" i="2"/>
  <c r="T5259" i="2"/>
  <c r="S5260" i="2" l="1"/>
  <c r="U5260" i="2"/>
  <c r="T5260" i="2"/>
  <c r="S5261" i="2" l="1"/>
  <c r="U5261" i="2"/>
  <c r="T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U5274" i="2"/>
  <c r="T5274" i="2"/>
  <c r="S5275" i="2" l="1"/>
  <c r="T5275" i="2"/>
  <c r="U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T5281" i="2"/>
  <c r="U5281" i="2"/>
  <c r="S5282" i="2" l="1"/>
  <c r="U5282" i="2"/>
  <c r="T5282" i="2"/>
  <c r="S5283" i="2" l="1"/>
  <c r="U5283" i="2"/>
  <c r="T5283" i="2"/>
  <c r="S5284" i="2" l="1"/>
  <c r="U5284" i="2"/>
  <c r="T5284" i="2"/>
  <c r="S5285" i="2" l="1"/>
  <c r="U5285" i="2"/>
  <c r="T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U5295" i="2"/>
  <c r="T5295" i="2"/>
  <c r="S5296" i="2" l="1"/>
  <c r="T5296" i="2"/>
  <c r="U5296" i="2"/>
  <c r="S5297" i="2" l="1"/>
  <c r="T5297" i="2"/>
  <c r="U5297" i="2"/>
  <c r="S5298" i="2" l="1"/>
  <c r="U5298" i="2"/>
  <c r="T5298" i="2"/>
  <c r="S5299" i="2" l="1"/>
  <c r="U5299" i="2"/>
  <c r="T5299" i="2"/>
  <c r="S5300" i="2" l="1"/>
  <c r="T5300" i="2"/>
  <c r="U5300" i="2"/>
  <c r="S5301" i="2" l="1"/>
  <c r="T5301" i="2"/>
  <c r="U5301" i="2"/>
  <c r="S5302" i="2" l="1"/>
  <c r="U5302" i="2"/>
  <c r="T5302" i="2"/>
  <c r="S5303" i="2" l="1"/>
  <c r="U5303" i="2"/>
  <c r="T5303" i="2"/>
  <c r="S5304" i="2" l="1"/>
  <c r="U5304" i="2"/>
  <c r="T5304" i="2"/>
  <c r="S5305" i="2" l="1"/>
  <c r="T5305" i="2"/>
  <c r="U5305" i="2"/>
  <c r="S5306" i="2" l="1"/>
  <c r="U5306" i="2"/>
  <c r="T5306" i="2"/>
  <c r="S5307" i="2" l="1"/>
  <c r="T5307" i="2"/>
  <c r="U5307" i="2"/>
  <c r="S5308" i="2" l="1"/>
  <c r="T5308" i="2"/>
  <c r="U5308" i="2"/>
  <c r="S5309" i="2" l="1"/>
  <c r="U5309" i="2"/>
  <c r="T5309" i="2"/>
  <c r="S5310" i="2" l="1"/>
  <c r="U5310" i="2"/>
  <c r="T5310" i="2"/>
  <c r="S5311" i="2" l="1"/>
  <c r="U5311" i="2"/>
  <c r="T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T5316" i="2"/>
  <c r="U5316" i="2"/>
  <c r="S5317" i="2" l="1"/>
  <c r="U5317" i="2"/>
  <c r="T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U5322" i="2"/>
  <c r="T5322" i="2"/>
  <c r="S5323" i="2" l="1"/>
  <c r="U5323" i="2"/>
  <c r="T5323" i="2"/>
  <c r="S5324" i="2" l="1"/>
  <c r="U5324" i="2"/>
  <c r="T5324" i="2"/>
  <c r="S5325" i="2" l="1"/>
  <c r="U5325" i="2"/>
  <c r="T5325" i="2"/>
  <c r="S5326" i="2" l="1"/>
  <c r="U5326" i="2"/>
  <c r="T5326" i="2"/>
  <c r="S5327" i="2" l="1"/>
  <c r="U5327" i="2"/>
  <c r="T5327" i="2"/>
  <c r="S5328" i="2" l="1"/>
  <c r="T5328" i="2"/>
  <c r="U5328" i="2"/>
  <c r="S5329" i="2" l="1"/>
  <c r="T5329" i="2"/>
  <c r="U5329" i="2"/>
  <c r="S5330" i="2" l="1"/>
  <c r="U5330" i="2"/>
  <c r="T5330" i="2"/>
  <c r="S5331" i="2" l="1"/>
  <c r="T5331" i="2"/>
  <c r="U5331" i="2"/>
  <c r="S5332" i="2" l="1"/>
  <c r="T5332" i="2"/>
  <c r="U5332" i="2"/>
  <c r="S5333" i="2" l="1"/>
  <c r="U5333" i="2"/>
  <c r="T5333" i="2"/>
  <c r="S5334" i="2" l="1"/>
  <c r="U5334" i="2"/>
  <c r="T5334" i="2"/>
  <c r="S5335" i="2" l="1"/>
  <c r="U5335" i="2"/>
  <c r="T5335" i="2"/>
  <c r="S5336" i="2" l="1"/>
  <c r="T5336" i="2"/>
  <c r="U5336" i="2"/>
  <c r="S5337" i="2" l="1"/>
  <c r="T5337" i="2"/>
  <c r="U5337" i="2"/>
  <c r="S5338" i="2" l="1"/>
  <c r="U5338" i="2"/>
  <c r="T5338" i="2"/>
  <c r="S5339" i="2" l="1"/>
  <c r="T5339" i="2"/>
  <c r="U5339" i="2"/>
  <c r="S5340" i="2" l="1"/>
  <c r="T5340" i="2"/>
  <c r="U5340" i="2"/>
  <c r="S5341" i="2" l="1"/>
  <c r="U5341" i="2"/>
  <c r="T5341" i="2"/>
  <c r="S5342" i="2" l="1"/>
  <c r="U5342" i="2"/>
  <c r="T5342" i="2"/>
  <c r="S5343" i="2" l="1"/>
  <c r="U5343" i="2"/>
  <c r="T5343" i="2"/>
  <c r="S5344" i="2" l="1"/>
  <c r="U5344" i="2"/>
  <c r="T5344" i="2"/>
  <c r="S5345" i="2" l="1"/>
  <c r="U5345" i="2"/>
  <c r="T5345" i="2"/>
  <c r="S5346" i="2" l="1"/>
  <c r="T5346" i="2"/>
  <c r="U5346" i="2"/>
  <c r="S5347" i="2" l="1"/>
  <c r="T5347" i="2"/>
  <c r="U5347" i="2"/>
  <c r="S5348" i="2" l="1"/>
  <c r="U5348" i="2"/>
  <c r="T5348" i="2"/>
  <c r="S5349" i="2" l="1"/>
  <c r="U5349" i="2"/>
  <c r="T5349" i="2"/>
  <c r="S5350" i="2" l="1"/>
  <c r="U5350" i="2"/>
  <c r="T5350" i="2"/>
  <c r="S5351" i="2" l="1"/>
  <c r="U5351" i="2"/>
  <c r="T5351" i="2"/>
  <c r="S5352" i="2" l="1"/>
  <c r="T5352" i="2"/>
  <c r="U5352" i="2"/>
  <c r="S5353" i="2" l="1"/>
  <c r="T5353" i="2"/>
  <c r="U5353" i="2"/>
  <c r="S5354" i="2" l="1"/>
  <c r="U5354" i="2"/>
  <c r="T5354" i="2"/>
  <c r="S5355" i="2" l="1"/>
  <c r="U5355" i="2"/>
  <c r="T5355" i="2"/>
  <c r="S5356" i="2" l="1"/>
  <c r="U5356" i="2"/>
  <c r="T5356" i="2"/>
  <c r="S5357" i="2" l="1"/>
  <c r="U5357" i="2"/>
  <c r="T5357" i="2"/>
  <c r="S5358" i="2" l="1"/>
  <c r="U5358" i="2"/>
  <c r="T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T5363" i="2"/>
  <c r="U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T5369" i="2"/>
  <c r="U5369" i="2"/>
  <c r="S5370" i="2" l="1"/>
  <c r="U5370" i="2"/>
  <c r="T5370" i="2"/>
  <c r="S5371" i="2" l="1"/>
  <c r="T5371" i="2"/>
  <c r="U5371" i="2"/>
  <c r="S5372" i="2" l="1"/>
  <c r="T5372" i="2"/>
  <c r="U5372" i="2"/>
  <c r="S5373" i="2" l="1"/>
  <c r="U5373" i="2"/>
  <c r="T5373" i="2"/>
  <c r="S5374" i="2" l="1"/>
  <c r="U5374" i="2"/>
  <c r="T5374" i="2"/>
  <c r="S5375" i="2" l="1"/>
  <c r="U5375" i="2"/>
  <c r="T5375" i="2"/>
  <c r="S5376" i="2" l="1"/>
  <c r="T5376" i="2"/>
  <c r="U5376" i="2"/>
  <c r="S5377" i="2" l="1"/>
  <c r="T5377" i="2"/>
  <c r="U5377" i="2"/>
  <c r="S5378" i="2" l="1"/>
  <c r="U5378" i="2"/>
  <c r="T5378" i="2"/>
  <c r="S5379" i="2" l="1"/>
  <c r="T5379" i="2"/>
  <c r="U5379" i="2"/>
  <c r="S5380" i="2" l="1"/>
  <c r="U5380" i="2"/>
  <c r="T5380" i="2"/>
  <c r="S5381" i="2" l="1"/>
  <c r="U5381" i="2"/>
  <c r="T5381" i="2"/>
  <c r="S5382" i="2" l="1"/>
  <c r="U5382" i="2"/>
  <c r="T5382" i="2"/>
  <c r="S5383" i="2" l="1"/>
  <c r="U5383" i="2"/>
  <c r="T5383" i="2"/>
  <c r="S5384" i="2" l="1"/>
  <c r="T5384" i="2"/>
  <c r="U5384" i="2"/>
  <c r="S5385" i="2" l="1"/>
  <c r="T5385" i="2"/>
  <c r="U5385" i="2"/>
  <c r="S5386" i="2" l="1"/>
  <c r="U5386" i="2"/>
  <c r="T5386" i="2"/>
  <c r="S5387" i="2" l="1"/>
  <c r="U5387" i="2"/>
  <c r="T5387" i="2"/>
  <c r="S5388" i="2" l="1"/>
  <c r="T5388" i="2"/>
  <c r="U5388" i="2"/>
  <c r="S5389" i="2" l="1"/>
  <c r="U5389" i="2"/>
  <c r="T5389" i="2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J7217" i="11"/>
  <c r="AI7214" i="11"/>
  <c r="AI7212" i="11"/>
  <c r="AJ7210" i="11"/>
  <c r="AI7205" i="11"/>
  <c r="AJ7203" i="11"/>
  <c r="AJ7201" i="11"/>
  <c r="AI7198" i="11"/>
  <c r="AI7196" i="11"/>
  <c r="AJ7194" i="11"/>
  <c r="AI7189" i="11"/>
  <c r="AJ7187" i="11"/>
  <c r="AJ7185" i="11"/>
  <c r="AI7182" i="11"/>
  <c r="AI7180" i="11"/>
  <c r="AJ7178" i="11"/>
  <c r="AI7173" i="11"/>
  <c r="AJ7171" i="11"/>
  <c r="AJ7169" i="11"/>
  <c r="AI7166" i="11"/>
  <c r="AI7164" i="11"/>
  <c r="AJ7162" i="11"/>
  <c r="AI7157" i="11"/>
  <c r="AJ7155" i="11"/>
  <c r="AJ7153" i="11"/>
  <c r="AI7150" i="11"/>
  <c r="AI7148" i="11"/>
  <c r="AJ7146" i="11"/>
  <c r="AI7141" i="11"/>
  <c r="AJ7139" i="11"/>
  <c r="AJ7137" i="11"/>
  <c r="AI7134" i="11"/>
  <c r="AI7132" i="11"/>
  <c r="AJ7130" i="11"/>
  <c r="AI7125" i="11"/>
  <c r="AJ7123" i="11"/>
  <c r="AJ7121" i="11"/>
  <c r="AI7118" i="11"/>
  <c r="AI7116" i="11"/>
  <c r="AJ7114" i="11"/>
  <c r="AI7109" i="11"/>
  <c r="AJ7107" i="11"/>
  <c r="AJ7105" i="11"/>
  <c r="AI7102" i="11"/>
  <c r="AI7100" i="11"/>
  <c r="AJ7098" i="11"/>
  <c r="AI7093" i="11"/>
  <c r="AJ7091" i="11"/>
  <c r="AJ7089" i="11"/>
  <c r="AI7086" i="11"/>
  <c r="AI7084" i="11"/>
  <c r="AJ7082" i="11"/>
  <c r="AI7077" i="11"/>
  <c r="AJ7075" i="11"/>
  <c r="AJ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217" i="11"/>
  <c r="AJ7215" i="11"/>
  <c r="AJ7213" i="11"/>
  <c r="AI7210" i="11"/>
  <c r="AI7208" i="11"/>
  <c r="AJ7206" i="11"/>
  <c r="AI7201" i="11"/>
  <c r="AJ7199" i="11"/>
  <c r="AJ7197" i="11"/>
  <c r="AI7194" i="11"/>
  <c r="AI7192" i="11"/>
  <c r="AJ7190" i="11"/>
  <c r="AI7185" i="11"/>
  <c r="AJ7183" i="11"/>
  <c r="AJ7181" i="11"/>
  <c r="AI7178" i="11"/>
  <c r="AI7176" i="11"/>
  <c r="AJ7174" i="11"/>
  <c r="AI7169" i="11"/>
  <c r="AJ7167" i="11"/>
  <c r="AJ7165" i="11"/>
  <c r="AI7162" i="11"/>
  <c r="AI7160" i="11"/>
  <c r="AJ7158" i="11"/>
  <c r="AI7153" i="11"/>
  <c r="AJ7151" i="11"/>
  <c r="AJ7149" i="11"/>
  <c r="AI7146" i="11"/>
  <c r="AI7144" i="11"/>
  <c r="AJ7142" i="11"/>
  <c r="AI7137" i="11"/>
  <c r="AJ7135" i="11"/>
  <c r="AJ7133" i="11"/>
  <c r="AI7130" i="11"/>
  <c r="AI7128" i="11"/>
  <c r="AJ7126" i="11"/>
  <c r="AI7121" i="11"/>
  <c r="AJ7119" i="11"/>
  <c r="AJ7117" i="11"/>
  <c r="AI7114" i="11"/>
  <c r="AI7112" i="11"/>
  <c r="AJ7110" i="11"/>
  <c r="AI7105" i="11"/>
  <c r="AJ7103" i="11"/>
  <c r="AJ7101" i="11"/>
  <c r="AI7098" i="11"/>
  <c r="AI7096" i="11"/>
  <c r="AJ7094" i="11"/>
  <c r="AI7089" i="11"/>
  <c r="AJ7087" i="11"/>
  <c r="AJ7085" i="11"/>
  <c r="AI7082" i="11"/>
  <c r="AI7080" i="11"/>
  <c r="AJ7078" i="11"/>
  <c r="AI7073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I7213" i="11"/>
  <c r="AJ7211" i="11"/>
  <c r="AJ7209" i="11"/>
  <c r="AI7206" i="11"/>
  <c r="AI7204" i="11"/>
  <c r="AJ7202" i="11"/>
  <c r="AI7197" i="11"/>
  <c r="AJ7195" i="11"/>
  <c r="AJ7193" i="11"/>
  <c r="AI7190" i="11"/>
  <c r="AI7188" i="11"/>
  <c r="AJ7186" i="11"/>
  <c r="AI7181" i="11"/>
  <c r="AJ7179" i="11"/>
  <c r="AJ7177" i="11"/>
  <c r="AI7174" i="11"/>
  <c r="AI7172" i="11"/>
  <c r="AJ7170" i="11"/>
  <c r="AI7165" i="11"/>
  <c r="AJ7163" i="11"/>
  <c r="AJ7161" i="11"/>
  <c r="AI7158" i="11"/>
  <c r="AI7156" i="11"/>
  <c r="AJ7154" i="11"/>
  <c r="AI7149" i="11"/>
  <c r="AJ7147" i="11"/>
  <c r="AJ7145" i="11"/>
  <c r="AI7142" i="11"/>
  <c r="AI7140" i="11"/>
  <c r="AJ7138" i="11"/>
  <c r="AI7133" i="11"/>
  <c r="AJ7131" i="11"/>
  <c r="AJ7129" i="11"/>
  <c r="AI7126" i="11"/>
  <c r="AI7124" i="11"/>
  <c r="AJ7122" i="11"/>
  <c r="AI7117" i="11"/>
  <c r="AJ7115" i="11"/>
  <c r="AJ7113" i="11"/>
  <c r="AI7110" i="11"/>
  <c r="AI7108" i="11"/>
  <c r="AJ7106" i="11"/>
  <c r="AI7101" i="11"/>
  <c r="AJ7099" i="11"/>
  <c r="AJ7097" i="11"/>
  <c r="AI7094" i="11"/>
  <c r="AI7092" i="11"/>
  <c r="AJ7090" i="11"/>
  <c r="AI7085" i="11"/>
  <c r="AJ7083" i="11"/>
  <c r="AJ7081" i="11"/>
  <c r="AI7078" i="11"/>
  <c r="AI7076" i="11"/>
  <c r="AJ7074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216" i="11"/>
  <c r="AI7209" i="11"/>
  <c r="AI7202" i="11"/>
  <c r="AJ7173" i="11"/>
  <c r="AJ7166" i="11"/>
  <c r="AJ7159" i="11"/>
  <c r="AI7152" i="11"/>
  <c r="AI7145" i="11"/>
  <c r="AI7138" i="11"/>
  <c r="AJ7109" i="11"/>
  <c r="AJ7102" i="11"/>
  <c r="AJ7095" i="11"/>
  <c r="AI7088" i="11"/>
  <c r="AI7081" i="11"/>
  <c r="AI7074" i="11"/>
  <c r="AI7068" i="11"/>
  <c r="AJ7057" i="11"/>
  <c r="AI7052" i="11"/>
  <c r="AJ7041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7214" i="11"/>
  <c r="AJ7207" i="11"/>
  <c r="AI7200" i="11"/>
  <c r="AI7193" i="11"/>
  <c r="AI7186" i="11"/>
  <c r="AJ7157" i="11"/>
  <c r="AJ7150" i="11"/>
  <c r="AJ7143" i="11"/>
  <c r="AI7136" i="11"/>
  <c r="AI7129" i="11"/>
  <c r="AI7122" i="11"/>
  <c r="AJ7093" i="11"/>
  <c r="AJ7086" i="11"/>
  <c r="AJ7079" i="11"/>
  <c r="AI7072" i="11"/>
  <c r="AJ7061" i="11"/>
  <c r="AI7056" i="11"/>
  <c r="AJ7045" i="11"/>
  <c r="AI7041" i="11"/>
  <c r="AJ7038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7205" i="11"/>
  <c r="AJ7198" i="11"/>
  <c r="AJ7191" i="11"/>
  <c r="AI7184" i="11"/>
  <c r="AI7177" i="11"/>
  <c r="AI7170" i="11"/>
  <c r="AJ7141" i="11"/>
  <c r="AJ7134" i="11"/>
  <c r="AJ7127" i="11"/>
  <c r="AI7120" i="11"/>
  <c r="AI7113" i="11"/>
  <c r="AI7106" i="11"/>
  <c r="AJ7077" i="11"/>
  <c r="AJ7065" i="11"/>
  <c r="AI7060" i="11"/>
  <c r="AJ7049" i="11"/>
  <c r="AI7044" i="11"/>
  <c r="AI7040" i="11"/>
  <c r="AJ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7182" i="11"/>
  <c r="AI7154" i="11"/>
  <c r="AJ7125" i="11"/>
  <c r="AI7097" i="11"/>
  <c r="AJ7069" i="11"/>
  <c r="AI7048" i="11"/>
  <c r="AJ7035" i="11"/>
  <c r="AI7030" i="11"/>
  <c r="AJ7019" i="11"/>
  <c r="AI7014" i="11"/>
  <c r="AJ7003" i="11"/>
  <c r="AI6998" i="11"/>
  <c r="AJ6987" i="11"/>
  <c r="AI6982" i="11"/>
  <c r="AJ6971" i="11"/>
  <c r="AI6966" i="11"/>
  <c r="AJ6955" i="11"/>
  <c r="AI6950" i="11"/>
  <c r="AI6946" i="11"/>
  <c r="AJ6943" i="11"/>
  <c r="AI6938" i="11"/>
  <c r="AJ6935" i="11"/>
  <c r="AI6930" i="11"/>
  <c r="AI6928" i="11"/>
  <c r="AI6926" i="11"/>
  <c r="AJ6924" i="11"/>
  <c r="AI6919" i="11"/>
  <c r="AJ6917" i="11"/>
  <c r="AJ6915" i="11"/>
  <c r="AI6912" i="11"/>
  <c r="AI6910" i="11"/>
  <c r="AJ6908" i="11"/>
  <c r="AI6903" i="11"/>
  <c r="AJ6901" i="11"/>
  <c r="AJ6899" i="11"/>
  <c r="AI6896" i="11"/>
  <c r="AI6894" i="11"/>
  <c r="AJ6892" i="11"/>
  <c r="AI6887" i="11"/>
  <c r="AJ6885" i="11"/>
  <c r="AJ6883" i="11"/>
  <c r="AI6880" i="11"/>
  <c r="AI6878" i="11"/>
  <c r="AJ6876" i="11"/>
  <c r="AI6871" i="11"/>
  <c r="AJ6869" i="11"/>
  <c r="AJ6867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J7175" i="11"/>
  <c r="AJ7118" i="11"/>
  <c r="AI7090" i="11"/>
  <c r="AI7064" i="11"/>
  <c r="AI7034" i="11"/>
  <c r="AJ7023" i="11"/>
  <c r="AI7018" i="11"/>
  <c r="AJ7007" i="11"/>
  <c r="AI7002" i="11"/>
  <c r="AJ6991" i="11"/>
  <c r="AI6986" i="11"/>
  <c r="AJ6975" i="11"/>
  <c r="AI6970" i="11"/>
  <c r="AJ6959" i="11"/>
  <c r="AI6954" i="11"/>
  <c r="AJ6945" i="11"/>
  <c r="AI6940" i="11"/>
  <c r="AJ6937" i="11"/>
  <c r="AI6932" i="11"/>
  <c r="AJ6929" i="11"/>
  <c r="AJ6927" i="11"/>
  <c r="AI6924" i="11"/>
  <c r="AI6922" i="11"/>
  <c r="AJ6920" i="11"/>
  <c r="AI6915" i="11"/>
  <c r="AJ6913" i="11"/>
  <c r="AJ6911" i="11"/>
  <c r="AI6908" i="11"/>
  <c r="AI6906" i="11"/>
  <c r="AJ6904" i="11"/>
  <c r="AI6899" i="11"/>
  <c r="AJ6897" i="11"/>
  <c r="AJ6895" i="11"/>
  <c r="AI6892" i="11"/>
  <c r="AI6890" i="11"/>
  <c r="AJ6888" i="11"/>
  <c r="AI6883" i="11"/>
  <c r="AJ6881" i="11"/>
  <c r="AJ6879" i="11"/>
  <c r="AI6876" i="11"/>
  <c r="AI6874" i="11"/>
  <c r="AJ6872" i="11"/>
  <c r="AI6867" i="11"/>
  <c r="AJ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I7168" i="11"/>
  <c r="AJ7111" i="11"/>
  <c r="AJ7027" i="11"/>
  <c r="AI7022" i="11"/>
  <c r="AJ7011" i="11"/>
  <c r="AI7006" i="11"/>
  <c r="AJ6995" i="11"/>
  <c r="AI6990" i="11"/>
  <c r="AJ6979" i="11"/>
  <c r="AI6974" i="11"/>
  <c r="AJ6963" i="11"/>
  <c r="AI6958" i="11"/>
  <c r="AJ6947" i="11"/>
  <c r="AI6942" i="11"/>
  <c r="AJ6939" i="11"/>
  <c r="AI6934" i="11"/>
  <c r="AJ6931" i="11"/>
  <c r="AI6927" i="11"/>
  <c r="AJ6925" i="11"/>
  <c r="AJ6923" i="11"/>
  <c r="AI6920" i="11"/>
  <c r="AI6918" i="11"/>
  <c r="AJ6916" i="11"/>
  <c r="AI6911" i="11"/>
  <c r="AJ6909" i="11"/>
  <c r="AJ6907" i="11"/>
  <c r="AI6904" i="11"/>
  <c r="AI6902" i="11"/>
  <c r="AJ6900" i="11"/>
  <c r="AI6895" i="11"/>
  <c r="AJ6893" i="11"/>
  <c r="AJ6891" i="11"/>
  <c r="AI6888" i="11"/>
  <c r="AI6886" i="11"/>
  <c r="AJ6884" i="11"/>
  <c r="AI6879" i="11"/>
  <c r="AJ6877" i="11"/>
  <c r="AJ6875" i="11"/>
  <c r="AI6872" i="11"/>
  <c r="AI6870" i="11"/>
  <c r="AJ6868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7189" i="11"/>
  <c r="AI7026" i="11"/>
  <c r="AJ6983" i="11"/>
  <c r="AI6962" i="11"/>
  <c r="AI6944" i="11"/>
  <c r="AJ6933" i="11"/>
  <c r="AJ6903" i="11"/>
  <c r="AJ6896" i="11"/>
  <c r="AJ6889" i="11"/>
  <c r="AI6882" i="11"/>
  <c r="AI6875" i="11"/>
  <c r="AI6868" i="11"/>
  <c r="AJ6856" i="11"/>
  <c r="AI6851" i="11"/>
  <c r="AJ6840" i="11"/>
  <c r="AI6835" i="11"/>
  <c r="AJ6824" i="11"/>
  <c r="AI6819" i="11"/>
  <c r="AJ6808" i="11"/>
  <c r="AI6803" i="11"/>
  <c r="AJ6800" i="11"/>
  <c r="AI6795" i="11"/>
  <c r="AJ6792" i="11"/>
  <c r="AI6789" i="11"/>
  <c r="AI6787" i="11"/>
  <c r="AJ6785" i="11"/>
  <c r="AI6780" i="11"/>
  <c r="AJ6778" i="11"/>
  <c r="AJ6776" i="11"/>
  <c r="AI6773" i="11"/>
  <c r="AI6771" i="11"/>
  <c r="AJ6769" i="11"/>
  <c r="AI6764" i="11"/>
  <c r="AJ6762" i="11"/>
  <c r="AJ6760" i="11"/>
  <c r="AI6757" i="11"/>
  <c r="AI6755" i="11"/>
  <c r="AJ6753" i="11"/>
  <c r="AI6748" i="11"/>
  <c r="AJ6746" i="11"/>
  <c r="AJ6744" i="11"/>
  <c r="AI6741" i="11"/>
  <c r="AI6739" i="11"/>
  <c r="AJ6737" i="11"/>
  <c r="AI6732" i="11"/>
  <c r="AJ6730" i="11"/>
  <c r="AJ6728" i="11"/>
  <c r="AI6725" i="11"/>
  <c r="AI6723" i="11"/>
  <c r="AJ6721" i="11"/>
  <c r="AI6716" i="11"/>
  <c r="AJ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7161" i="11"/>
  <c r="AJ7053" i="11"/>
  <c r="AJ6999" i="11"/>
  <c r="AI6978" i="11"/>
  <c r="AJ6941" i="11"/>
  <c r="AI6923" i="11"/>
  <c r="AI6916" i="11"/>
  <c r="AJ6887" i="11"/>
  <c r="AJ6880" i="11"/>
  <c r="AJ6873" i="11"/>
  <c r="AI6866" i="11"/>
  <c r="AJ6860" i="11"/>
  <c r="AI6855" i="11"/>
  <c r="AJ6844" i="11"/>
  <c r="AI6839" i="11"/>
  <c r="AJ6828" i="11"/>
  <c r="AI6823" i="11"/>
  <c r="AJ6812" i="11"/>
  <c r="AI6805" i="11"/>
  <c r="AJ6802" i="11"/>
  <c r="AI6797" i="11"/>
  <c r="AJ6794" i="11"/>
  <c r="AI6792" i="11"/>
  <c r="AJ6790" i="11"/>
  <c r="AJ6788" i="11"/>
  <c r="AI6785" i="11"/>
  <c r="AI6783" i="11"/>
  <c r="AJ6781" i="11"/>
  <c r="AI6776" i="11"/>
  <c r="AJ6774" i="11"/>
  <c r="AJ6772" i="11"/>
  <c r="AI6769" i="11"/>
  <c r="AI6767" i="11"/>
  <c r="AJ6765" i="11"/>
  <c r="AI6760" i="11"/>
  <c r="AJ6758" i="11"/>
  <c r="AJ6756" i="11"/>
  <c r="AI6753" i="11"/>
  <c r="AI6751" i="11"/>
  <c r="AJ6749" i="11"/>
  <c r="AI6744" i="11"/>
  <c r="AJ6742" i="11"/>
  <c r="AJ6740" i="11"/>
  <c r="AI6737" i="11"/>
  <c r="AI6735" i="11"/>
  <c r="AJ6733" i="11"/>
  <c r="AI6728" i="11"/>
  <c r="AJ6726" i="11"/>
  <c r="AJ6724" i="11"/>
  <c r="AI6721" i="11"/>
  <c r="AI6719" i="11"/>
  <c r="AJ6717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7037" i="11"/>
  <c r="AJ7015" i="11"/>
  <c r="AI6994" i="11"/>
  <c r="AJ6951" i="11"/>
  <c r="AJ6928" i="11"/>
  <c r="AJ6921" i="11"/>
  <c r="AI6914" i="11"/>
  <c r="AI6907" i="11"/>
  <c r="AI6900" i="11"/>
  <c r="AJ6871" i="11"/>
  <c r="AJ6864" i="11"/>
  <c r="AI6859" i="11"/>
  <c r="AJ6848" i="11"/>
  <c r="AI6843" i="11"/>
  <c r="AJ6832" i="11"/>
  <c r="AI6827" i="11"/>
  <c r="AJ6816" i="11"/>
  <c r="AI6811" i="11"/>
  <c r="AI6807" i="11"/>
  <c r="AJ6804" i="11"/>
  <c r="AI6799" i="11"/>
  <c r="AJ6796" i="11"/>
  <c r="AI6788" i="11"/>
  <c r="AJ6786" i="11"/>
  <c r="AJ6784" i="11"/>
  <c r="AI6781" i="11"/>
  <c r="AI6779" i="11"/>
  <c r="AJ6777" i="11"/>
  <c r="AI6772" i="11"/>
  <c r="AJ6770" i="11"/>
  <c r="AJ6768" i="11"/>
  <c r="AI6765" i="11"/>
  <c r="AI6763" i="11"/>
  <c r="AJ6761" i="11"/>
  <c r="AI6756" i="11"/>
  <c r="AJ6754" i="11"/>
  <c r="AJ6752" i="11"/>
  <c r="AI6749" i="11"/>
  <c r="AI6747" i="11"/>
  <c r="AJ6745" i="11"/>
  <c r="AI6740" i="11"/>
  <c r="AJ6738" i="11"/>
  <c r="AJ6736" i="11"/>
  <c r="AI6733" i="11"/>
  <c r="AI6731" i="11"/>
  <c r="AJ6729" i="11"/>
  <c r="AI6724" i="11"/>
  <c r="AJ6722" i="11"/>
  <c r="AJ6720" i="11"/>
  <c r="AI6717" i="11"/>
  <c r="AI6715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7104" i="11"/>
  <c r="AJ6967" i="11"/>
  <c r="AJ6919" i="11"/>
  <c r="AI6891" i="11"/>
  <c r="AI6863" i="11"/>
  <c r="AJ6820" i="11"/>
  <c r="AI6793" i="11"/>
  <c r="AJ6764" i="11"/>
  <c r="AJ6757" i="11"/>
  <c r="AJ6750" i="11"/>
  <c r="AI6743" i="11"/>
  <c r="AI6736" i="11"/>
  <c r="AI6729" i="11"/>
  <c r="AI6709" i="11"/>
  <c r="AJ6698" i="11"/>
  <c r="AI6693" i="11"/>
  <c r="AJ6682" i="11"/>
  <c r="AI6677" i="11"/>
  <c r="AJ6666" i="11"/>
  <c r="AI6661" i="11"/>
  <c r="AJ6650" i="11"/>
  <c r="AI6645" i="11"/>
  <c r="AJ6634" i="11"/>
  <c r="AI6629" i="11"/>
  <c r="AJ6618" i="11"/>
  <c r="AI6613" i="11"/>
  <c r="AJ6602" i="11"/>
  <c r="AJ6598" i="11"/>
  <c r="AI6593" i="11"/>
  <c r="AJ6590" i="11"/>
  <c r="AI6585" i="11"/>
  <c r="AJ6582" i="11"/>
  <c r="AI6579" i="11"/>
  <c r="AI6577" i="11"/>
  <c r="AJ6575" i="11"/>
  <c r="AI6570" i="11"/>
  <c r="AJ6568" i="11"/>
  <c r="AJ6566" i="11"/>
  <c r="AI6563" i="11"/>
  <c r="AI6561" i="11"/>
  <c r="AJ6559" i="11"/>
  <c r="AI6554" i="11"/>
  <c r="AJ6552" i="11"/>
  <c r="AJ6550" i="11"/>
  <c r="AI6547" i="11"/>
  <c r="AI6545" i="11"/>
  <c r="AJ6543" i="11"/>
  <c r="AI6538" i="11"/>
  <c r="AJ6536" i="11"/>
  <c r="AJ6534" i="11"/>
  <c r="AI6531" i="11"/>
  <c r="AI6529" i="11"/>
  <c r="AJ6527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7031" i="11"/>
  <c r="AJ6912" i="11"/>
  <c r="AI6884" i="11"/>
  <c r="AJ6836" i="11"/>
  <c r="AI6815" i="11"/>
  <c r="AI6801" i="11"/>
  <c r="AI6791" i="11"/>
  <c r="AI6784" i="11"/>
  <c r="AI6777" i="11"/>
  <c r="AJ6748" i="11"/>
  <c r="AJ6741" i="11"/>
  <c r="AJ6734" i="11"/>
  <c r="AI6727" i="11"/>
  <c r="AI6720" i="11"/>
  <c r="AI6713" i="11"/>
  <c r="AJ6702" i="11"/>
  <c r="AI6697" i="11"/>
  <c r="AJ6686" i="11"/>
  <c r="AI6681" i="11"/>
  <c r="AJ6670" i="11"/>
  <c r="AI6665" i="11"/>
  <c r="AJ6654" i="11"/>
  <c r="AI6649" i="11"/>
  <c r="AJ6638" i="11"/>
  <c r="AI6633" i="11"/>
  <c r="AJ6622" i="11"/>
  <c r="AI6617" i="11"/>
  <c r="AJ6606" i="11"/>
  <c r="AI6601" i="11"/>
  <c r="AI6595" i="11"/>
  <c r="AJ6592" i="11"/>
  <c r="AI6587" i="11"/>
  <c r="AJ6584" i="11"/>
  <c r="AI6582" i="11"/>
  <c r="AJ6580" i="11"/>
  <c r="AJ6578" i="11"/>
  <c r="AI6575" i="11"/>
  <c r="AI6573" i="11"/>
  <c r="AJ6571" i="11"/>
  <c r="AI6566" i="11"/>
  <c r="AJ6564" i="11"/>
  <c r="AJ6562" i="11"/>
  <c r="AI6559" i="11"/>
  <c r="AI6557" i="11"/>
  <c r="AJ6555" i="11"/>
  <c r="AI6550" i="11"/>
  <c r="AJ6548" i="11"/>
  <c r="AJ6546" i="11"/>
  <c r="AI6543" i="11"/>
  <c r="AI6541" i="11"/>
  <c r="AJ6539" i="11"/>
  <c r="AI6534" i="11"/>
  <c r="AJ6532" i="11"/>
  <c r="AJ6530" i="11"/>
  <c r="AI6527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473" i="11"/>
  <c r="AJ6470" i="11"/>
  <c r="AI6469" i="11"/>
  <c r="AJ6466" i="11"/>
  <c r="AI6465" i="11"/>
  <c r="AJ6462" i="11"/>
  <c r="AI6461" i="11"/>
  <c r="AJ6458" i="11"/>
  <c r="AI6457" i="11"/>
  <c r="AJ6454" i="11"/>
  <c r="AI6453" i="11"/>
  <c r="AJ6450" i="11"/>
  <c r="AI6449" i="11"/>
  <c r="AJ6446" i="11"/>
  <c r="AI6445" i="11"/>
  <c r="AJ6442" i="11"/>
  <c r="AI6441" i="11"/>
  <c r="AJ6438" i="11"/>
  <c r="AI6437" i="11"/>
  <c r="AJ6434" i="11"/>
  <c r="AI6433" i="11"/>
  <c r="AJ6430" i="11"/>
  <c r="AI6429" i="11"/>
  <c r="AJ6426" i="11"/>
  <c r="AI6425" i="11"/>
  <c r="AJ6422" i="11"/>
  <c r="AI6421" i="11"/>
  <c r="AJ6418" i="11"/>
  <c r="AI6417" i="11"/>
  <c r="AJ6414" i="11"/>
  <c r="AI6413" i="11"/>
  <c r="AJ6410" i="11"/>
  <c r="AI6409" i="11"/>
  <c r="AJ6406" i="11"/>
  <c r="AI6405" i="11"/>
  <c r="AJ6402" i="11"/>
  <c r="AI6401" i="11"/>
  <c r="AJ6398" i="11"/>
  <c r="AI6397" i="11"/>
  <c r="AJ6394" i="11"/>
  <c r="AI6393" i="11"/>
  <c r="AJ6390" i="11"/>
  <c r="AI6389" i="11"/>
  <c r="AJ6386" i="11"/>
  <c r="AI6385" i="11"/>
  <c r="AJ6382" i="11"/>
  <c r="AI6381" i="11"/>
  <c r="AJ6378" i="11"/>
  <c r="AI6377" i="11"/>
  <c r="AJ6374" i="11"/>
  <c r="AI6373" i="11"/>
  <c r="AJ6370" i="11"/>
  <c r="AI6369" i="11"/>
  <c r="AJ6366" i="11"/>
  <c r="AI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7010" i="11"/>
  <c r="AI6936" i="11"/>
  <c r="AJ6905" i="11"/>
  <c r="AJ6852" i="11"/>
  <c r="AI6831" i="11"/>
  <c r="AJ6798" i="11"/>
  <c r="AJ6789" i="11"/>
  <c r="AJ6782" i="11"/>
  <c r="AI6775" i="11"/>
  <c r="AI6768" i="11"/>
  <c r="AI6761" i="11"/>
  <c r="AJ6732" i="11"/>
  <c r="AJ6725" i="11"/>
  <c r="AJ6718" i="11"/>
  <c r="AJ6706" i="11"/>
  <c r="AI6701" i="11"/>
  <c r="AJ6690" i="11"/>
  <c r="AI6685" i="11"/>
  <c r="AJ6674" i="11"/>
  <c r="AI6669" i="11"/>
  <c r="AJ6658" i="11"/>
  <c r="AI6653" i="11"/>
  <c r="AJ6642" i="11"/>
  <c r="AI6637" i="11"/>
  <c r="AJ6626" i="11"/>
  <c r="AI6621" i="11"/>
  <c r="AJ6610" i="11"/>
  <c r="AI6605" i="11"/>
  <c r="AI6597" i="11"/>
  <c r="AJ6594" i="11"/>
  <c r="AI6589" i="11"/>
  <c r="AJ6586" i="11"/>
  <c r="AI6578" i="11"/>
  <c r="AJ6576" i="11"/>
  <c r="AJ6574" i="11"/>
  <c r="AI6571" i="11"/>
  <c r="AI6569" i="11"/>
  <c r="AJ6567" i="11"/>
  <c r="AI6562" i="11"/>
  <c r="AJ6560" i="11"/>
  <c r="AJ6558" i="11"/>
  <c r="AI6555" i="11"/>
  <c r="AI6553" i="11"/>
  <c r="AJ6551" i="11"/>
  <c r="AI6546" i="11"/>
  <c r="AJ6544" i="11"/>
  <c r="AJ6542" i="11"/>
  <c r="AI6539" i="11"/>
  <c r="AI6537" i="11"/>
  <c r="AJ6535" i="11"/>
  <c r="AI6530" i="11"/>
  <c r="AJ6528" i="11"/>
  <c r="AJ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I6847" i="11"/>
  <c r="AI6759" i="11"/>
  <c r="AI6705" i="11"/>
  <c r="AJ6662" i="11"/>
  <c r="AI6641" i="11"/>
  <c r="AI6599" i="11"/>
  <c r="AJ6588" i="11"/>
  <c r="AJ6579" i="11"/>
  <c r="AJ6572" i="11"/>
  <c r="AI6565" i="11"/>
  <c r="AI6558" i="11"/>
  <c r="AI6551" i="11"/>
  <c r="AI6523" i="11"/>
  <c r="AJ6512" i="11"/>
  <c r="AI6507" i="11"/>
  <c r="AJ6496" i="11"/>
  <c r="AI6491" i="11"/>
  <c r="AJ6480" i="11"/>
  <c r="AI6475" i="11"/>
  <c r="AJ6464" i="11"/>
  <c r="AI6459" i="11"/>
  <c r="AJ6448" i="11"/>
  <c r="AI6443" i="11"/>
  <c r="AJ6432" i="11"/>
  <c r="AI6427" i="11"/>
  <c r="AJ6416" i="11"/>
  <c r="AI6411" i="11"/>
  <c r="AJ6400" i="11"/>
  <c r="AI6395" i="11"/>
  <c r="AJ6384" i="11"/>
  <c r="AI6379" i="11"/>
  <c r="AJ6368" i="11"/>
  <c r="AI6363" i="11"/>
  <c r="AJ6352" i="11"/>
  <c r="AI6347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6780" i="11"/>
  <c r="AI6752" i="11"/>
  <c r="AJ6678" i="11"/>
  <c r="AI6657" i="11"/>
  <c r="AJ6614" i="11"/>
  <c r="AJ6596" i="11"/>
  <c r="AJ6570" i="11"/>
  <c r="AJ6563" i="11"/>
  <c r="AJ6556" i="11"/>
  <c r="AI6549" i="11"/>
  <c r="AI6542" i="11"/>
  <c r="AI6535" i="11"/>
  <c r="AJ6516" i="11"/>
  <c r="AI6511" i="11"/>
  <c r="AJ6500" i="11"/>
  <c r="AI6495" i="11"/>
  <c r="AJ6484" i="11"/>
  <c r="AI6479" i="11"/>
  <c r="AJ6468" i="11"/>
  <c r="AI6463" i="11"/>
  <c r="AJ6452" i="11"/>
  <c r="AI6447" i="11"/>
  <c r="AJ6436" i="11"/>
  <c r="AI6431" i="11"/>
  <c r="AJ6420" i="11"/>
  <c r="AI6415" i="11"/>
  <c r="AJ6404" i="11"/>
  <c r="AI6399" i="11"/>
  <c r="AJ6388" i="11"/>
  <c r="AI6383" i="11"/>
  <c r="AJ6372" i="11"/>
  <c r="AI6367" i="11"/>
  <c r="AJ6356" i="11"/>
  <c r="AI6351" i="11"/>
  <c r="AJ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I6898" i="11"/>
  <c r="AJ6806" i="11"/>
  <c r="AJ6773" i="11"/>
  <c r="AI6745" i="11"/>
  <c r="AJ6716" i="11"/>
  <c r="AJ6694" i="11"/>
  <c r="AI6673" i="11"/>
  <c r="AJ6630" i="11"/>
  <c r="AI6609" i="11"/>
  <c r="AI6583" i="11"/>
  <c r="AJ6554" i="11"/>
  <c r="AJ6547" i="11"/>
  <c r="AJ6540" i="11"/>
  <c r="AI6533" i="11"/>
  <c r="AI6526" i="11"/>
  <c r="AJ6520" i="11"/>
  <c r="AI6515" i="11"/>
  <c r="AJ6504" i="11"/>
  <c r="AI6499" i="11"/>
  <c r="AJ6488" i="11"/>
  <c r="AI6483" i="11"/>
  <c r="AJ6472" i="11"/>
  <c r="AI6467" i="11"/>
  <c r="AJ6456" i="11"/>
  <c r="AI6451" i="11"/>
  <c r="AJ6440" i="11"/>
  <c r="AI6435" i="11"/>
  <c r="AJ6424" i="11"/>
  <c r="AI6419" i="11"/>
  <c r="AJ6408" i="11"/>
  <c r="AI6403" i="11"/>
  <c r="AJ6392" i="11"/>
  <c r="AI6387" i="11"/>
  <c r="AJ6376" i="11"/>
  <c r="AI6371" i="11"/>
  <c r="AJ6360" i="11"/>
  <c r="AI6355" i="11"/>
  <c r="AJ6344" i="11"/>
  <c r="AI6339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J6710" i="11"/>
  <c r="AI6625" i="11"/>
  <c r="AI6574" i="11"/>
  <c r="AI6519" i="11"/>
  <c r="AJ6476" i="11"/>
  <c r="AI6455" i="11"/>
  <c r="AJ6412" i="11"/>
  <c r="AI6391" i="11"/>
  <c r="AJ6348" i="11"/>
  <c r="AJ6335" i="11"/>
  <c r="AI6330" i="11"/>
  <c r="AJ6319" i="11"/>
  <c r="AI6314" i="11"/>
  <c r="AJ6303" i="11"/>
  <c r="AI6298" i="11"/>
  <c r="AJ6287" i="11"/>
  <c r="AI6282" i="11"/>
  <c r="AJ6271" i="11"/>
  <c r="AI6266" i="11"/>
  <c r="AJ6255" i="11"/>
  <c r="AI6250" i="11"/>
  <c r="AJ6239" i="11"/>
  <c r="AI6234" i="11"/>
  <c r="AJ6223" i="11"/>
  <c r="AI6218" i="11"/>
  <c r="AJ6207" i="11"/>
  <c r="AI6202" i="11"/>
  <c r="AJ6191" i="11"/>
  <c r="AI6186" i="11"/>
  <c r="AJ6175" i="11"/>
  <c r="AI6170" i="11"/>
  <c r="AJ6159" i="11"/>
  <c r="AI6154" i="11"/>
  <c r="AJ6143" i="11"/>
  <c r="AI6138" i="11"/>
  <c r="AJ6127" i="11"/>
  <c r="AI6122" i="11"/>
  <c r="AJ6111" i="11"/>
  <c r="AI6106" i="11"/>
  <c r="AJ6095" i="11"/>
  <c r="AI6090" i="11"/>
  <c r="AJ6079" i="11"/>
  <c r="AI6074" i="11"/>
  <c r="AJ6063" i="11"/>
  <c r="AI6058" i="11"/>
  <c r="AJ6047" i="11"/>
  <c r="AI6042" i="11"/>
  <c r="AJ6031" i="11"/>
  <c r="AI6026" i="11"/>
  <c r="AJ6015" i="11"/>
  <c r="AI6010" i="11"/>
  <c r="AJ5999" i="11"/>
  <c r="AI5994" i="11"/>
  <c r="AJ5983" i="11"/>
  <c r="AI5978" i="11"/>
  <c r="AJ5967" i="11"/>
  <c r="AI5962" i="11"/>
  <c r="AJ5951" i="11"/>
  <c r="AI5946" i="11"/>
  <c r="AJ5935" i="11"/>
  <c r="AI5930" i="11"/>
  <c r="AJ5919" i="11"/>
  <c r="AI5914" i="11"/>
  <c r="AJ5903" i="11"/>
  <c r="AI5898" i="11"/>
  <c r="AJ5887" i="11"/>
  <c r="AI5882" i="11"/>
  <c r="AJ5871" i="11"/>
  <c r="AI5866" i="11"/>
  <c r="AJ5855" i="11"/>
  <c r="AI5850" i="11"/>
  <c r="AJ5839" i="11"/>
  <c r="AI5834" i="11"/>
  <c r="AI5830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I6689" i="11"/>
  <c r="AI6567" i="11"/>
  <c r="AJ6538" i="11"/>
  <c r="AJ6492" i="11"/>
  <c r="AI6471" i="11"/>
  <c r="AJ6428" i="11"/>
  <c r="AI6407" i="11"/>
  <c r="AJ6364" i="11"/>
  <c r="AI6343" i="11"/>
  <c r="AI6334" i="11"/>
  <c r="AJ6323" i="11"/>
  <c r="AI6318" i="11"/>
  <c r="AJ6307" i="11"/>
  <c r="AI6302" i="11"/>
  <c r="AJ6291" i="11"/>
  <c r="AI6286" i="11"/>
  <c r="AJ6275" i="11"/>
  <c r="AI6270" i="11"/>
  <c r="AJ6259" i="11"/>
  <c r="AI6254" i="11"/>
  <c r="AJ6243" i="11"/>
  <c r="AI6238" i="11"/>
  <c r="AJ6227" i="11"/>
  <c r="AI6222" i="11"/>
  <c r="AJ6211" i="11"/>
  <c r="AI6206" i="11"/>
  <c r="AJ6195" i="11"/>
  <c r="AI6190" i="11"/>
  <c r="AJ6179" i="11"/>
  <c r="AI6174" i="11"/>
  <c r="AJ6163" i="11"/>
  <c r="AI6158" i="11"/>
  <c r="AJ6147" i="11"/>
  <c r="AI6142" i="11"/>
  <c r="AJ6131" i="11"/>
  <c r="AI6126" i="11"/>
  <c r="AJ6115" i="11"/>
  <c r="AI6110" i="11"/>
  <c r="AJ6099" i="11"/>
  <c r="AI6094" i="11"/>
  <c r="AJ6083" i="11"/>
  <c r="AI6078" i="11"/>
  <c r="AJ6067" i="11"/>
  <c r="AI6062" i="11"/>
  <c r="AJ6051" i="11"/>
  <c r="AI6046" i="11"/>
  <c r="AJ6035" i="11"/>
  <c r="AI6030" i="11"/>
  <c r="AJ6019" i="11"/>
  <c r="AI6014" i="11"/>
  <c r="AJ6003" i="11"/>
  <c r="AI5998" i="11"/>
  <c r="AJ5987" i="11"/>
  <c r="AI5982" i="11"/>
  <c r="AJ5971" i="11"/>
  <c r="AI5966" i="11"/>
  <c r="AJ5955" i="11"/>
  <c r="AI5950" i="11"/>
  <c r="AJ5939" i="11"/>
  <c r="AI5934" i="11"/>
  <c r="AJ5923" i="11"/>
  <c r="AI5918" i="11"/>
  <c r="AJ5907" i="11"/>
  <c r="AI5902" i="11"/>
  <c r="AJ5891" i="11"/>
  <c r="AI5886" i="11"/>
  <c r="AJ5875" i="11"/>
  <c r="AI5870" i="11"/>
  <c r="AJ5859" i="11"/>
  <c r="AI5854" i="11"/>
  <c r="AJ5843" i="11"/>
  <c r="AI5838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6766" i="11"/>
  <c r="AI6591" i="11"/>
  <c r="AJ6531" i="11"/>
  <c r="AJ6508" i="11"/>
  <c r="AI6487" i="11"/>
  <c r="AJ6444" i="11"/>
  <c r="AI6423" i="11"/>
  <c r="AJ6380" i="11"/>
  <c r="AI6359" i="11"/>
  <c r="AJ6327" i="11"/>
  <c r="AI6322" i="11"/>
  <c r="AJ6311" i="11"/>
  <c r="AI6306" i="11"/>
  <c r="AJ6295" i="11"/>
  <c r="AI6290" i="11"/>
  <c r="AJ6279" i="11"/>
  <c r="AI6274" i="11"/>
  <c r="AJ6263" i="11"/>
  <c r="AI6258" i="11"/>
  <c r="AJ6247" i="11"/>
  <c r="AI6242" i="11"/>
  <c r="AJ6231" i="11"/>
  <c r="AI6226" i="11"/>
  <c r="AJ6215" i="11"/>
  <c r="AI6210" i="11"/>
  <c r="AJ6199" i="11"/>
  <c r="AI6194" i="11"/>
  <c r="AJ6183" i="11"/>
  <c r="AI6178" i="11"/>
  <c r="AJ6167" i="11"/>
  <c r="AI6162" i="11"/>
  <c r="AJ6151" i="11"/>
  <c r="AI6146" i="11"/>
  <c r="AJ6135" i="11"/>
  <c r="AI6130" i="11"/>
  <c r="AJ6119" i="11"/>
  <c r="AI6114" i="11"/>
  <c r="AJ6103" i="11"/>
  <c r="AI6098" i="11"/>
  <c r="AJ6087" i="11"/>
  <c r="AI6082" i="11"/>
  <c r="AJ6071" i="11"/>
  <c r="AI6066" i="11"/>
  <c r="AJ6055" i="11"/>
  <c r="AI6050" i="11"/>
  <c r="AJ6039" i="11"/>
  <c r="AI6034" i="11"/>
  <c r="AJ6023" i="11"/>
  <c r="AI6018" i="11"/>
  <c r="AJ6007" i="11"/>
  <c r="AI6002" i="11"/>
  <c r="AJ5991" i="11"/>
  <c r="AI5986" i="11"/>
  <c r="AJ5975" i="11"/>
  <c r="AI5970" i="11"/>
  <c r="AJ5959" i="11"/>
  <c r="AI5954" i="11"/>
  <c r="AJ5943" i="11"/>
  <c r="AI5938" i="11"/>
  <c r="AJ5927" i="11"/>
  <c r="AI5922" i="11"/>
  <c r="AJ5911" i="11"/>
  <c r="AI5906" i="11"/>
  <c r="AJ5895" i="11"/>
  <c r="AI5890" i="11"/>
  <c r="AJ5879" i="11"/>
  <c r="AI5874" i="11"/>
  <c r="AJ5863" i="11"/>
  <c r="AI5858" i="11"/>
  <c r="AJ5847" i="11"/>
  <c r="AI5842" i="11"/>
  <c r="AJ5831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6524" i="11"/>
  <c r="AI6439" i="11"/>
  <c r="AJ6299" i="11"/>
  <c r="AI6278" i="11"/>
  <c r="AJ6235" i="11"/>
  <c r="AI6214" i="11"/>
  <c r="AJ6171" i="11"/>
  <c r="AI6150" i="11"/>
  <c r="AJ6107" i="11"/>
  <c r="AI6086" i="11"/>
  <c r="AJ6043" i="11"/>
  <c r="AI6022" i="11"/>
  <c r="AJ5979" i="11"/>
  <c r="AI5958" i="11"/>
  <c r="AJ5915" i="11"/>
  <c r="AI5894" i="11"/>
  <c r="AJ5851" i="11"/>
  <c r="AJ5819" i="11"/>
  <c r="AI5814" i="11"/>
  <c r="AJ5803" i="11"/>
  <c r="AI5798" i="11"/>
  <c r="AJ5787" i="11"/>
  <c r="AI5782" i="11"/>
  <c r="AJ5771" i="11"/>
  <c r="AI5766" i="11"/>
  <c r="AJ5755" i="11"/>
  <c r="AI5750" i="11"/>
  <c r="AJ5739" i="11"/>
  <c r="AI5734" i="11"/>
  <c r="AJ5723" i="11"/>
  <c r="AI5718" i="11"/>
  <c r="AJ5707" i="11"/>
  <c r="AI5702" i="11"/>
  <c r="AJ5691" i="11"/>
  <c r="AI5686" i="11"/>
  <c r="AJ5675" i="11"/>
  <c r="AI5670" i="11"/>
  <c r="AJ5659" i="11"/>
  <c r="AI5654" i="11"/>
  <c r="AJ5643" i="11"/>
  <c r="AI5638" i="11"/>
  <c r="AJ5627" i="11"/>
  <c r="AI5622" i="11"/>
  <c r="AJ5611" i="11"/>
  <c r="AI5606" i="11"/>
  <c r="AJ5595" i="11"/>
  <c r="AI5590" i="11"/>
  <c r="AJ5579" i="11"/>
  <c r="AI5574" i="11"/>
  <c r="AJ5563" i="11"/>
  <c r="AI5558" i="11"/>
  <c r="AJ5547" i="11"/>
  <c r="AI5542" i="11"/>
  <c r="AJ5531" i="11"/>
  <c r="AI5526" i="11"/>
  <c r="AJ5515" i="11"/>
  <c r="AI5510" i="11"/>
  <c r="AJ5499" i="11"/>
  <c r="AI5494" i="11"/>
  <c r="AJ5483" i="11"/>
  <c r="AI5478" i="11"/>
  <c r="AJ5467" i="11"/>
  <c r="AI5462" i="11"/>
  <c r="AJ5451" i="11"/>
  <c r="AI5446" i="11"/>
  <c r="AJ5435" i="11"/>
  <c r="AI5430" i="11"/>
  <c r="AJ5428" i="11"/>
  <c r="AI5423" i="11"/>
  <c r="AJ5421" i="11"/>
  <c r="AJ5419" i="11"/>
  <c r="AI5416" i="11"/>
  <c r="AI5414" i="11"/>
  <c r="AJ5412" i="11"/>
  <c r="AI5407" i="11"/>
  <c r="AJ5405" i="11"/>
  <c r="AJ5403" i="11"/>
  <c r="AI5400" i="11"/>
  <c r="AI5398" i="11"/>
  <c r="AJ5396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J6646" i="11"/>
  <c r="AI6503" i="11"/>
  <c r="AJ6315" i="11"/>
  <c r="AI6294" i="11"/>
  <c r="AJ6251" i="11"/>
  <c r="AI6230" i="11"/>
  <c r="AJ6187" i="11"/>
  <c r="AI6166" i="11"/>
  <c r="AJ6123" i="11"/>
  <c r="AI6102" i="11"/>
  <c r="AJ6059" i="11"/>
  <c r="AI6038" i="11"/>
  <c r="AJ5995" i="11"/>
  <c r="AI5974" i="11"/>
  <c r="AJ5931" i="11"/>
  <c r="AI5910" i="11"/>
  <c r="AJ5867" i="11"/>
  <c r="AI5846" i="11"/>
  <c r="AJ5823" i="11"/>
  <c r="AI5818" i="11"/>
  <c r="AJ5807" i="11"/>
  <c r="AI5802" i="11"/>
  <c r="AJ5791" i="11"/>
  <c r="AI5786" i="11"/>
  <c r="AJ5775" i="11"/>
  <c r="AI5770" i="11"/>
  <c r="AJ5759" i="11"/>
  <c r="AI5754" i="11"/>
  <c r="AJ5743" i="11"/>
  <c r="AI5738" i="11"/>
  <c r="AJ5727" i="11"/>
  <c r="AI5722" i="11"/>
  <c r="AJ5711" i="11"/>
  <c r="AI5706" i="11"/>
  <c r="AJ5695" i="11"/>
  <c r="AI5690" i="11"/>
  <c r="AJ5679" i="11"/>
  <c r="AI5674" i="11"/>
  <c r="AJ5663" i="11"/>
  <c r="AI5658" i="11"/>
  <c r="AJ5647" i="11"/>
  <c r="AI5642" i="11"/>
  <c r="AJ5631" i="11"/>
  <c r="AI5626" i="11"/>
  <c r="AJ5615" i="11"/>
  <c r="AI5610" i="11"/>
  <c r="AJ5599" i="11"/>
  <c r="AI5594" i="11"/>
  <c r="AJ5583" i="11"/>
  <c r="AI5578" i="11"/>
  <c r="AJ5567" i="11"/>
  <c r="AI5562" i="11"/>
  <c r="AJ5551" i="11"/>
  <c r="AI5546" i="11"/>
  <c r="AJ5535" i="11"/>
  <c r="AI5530" i="11"/>
  <c r="AJ5519" i="11"/>
  <c r="AI5514" i="11"/>
  <c r="AJ5503" i="11"/>
  <c r="AI5498" i="11"/>
  <c r="AJ5487" i="11"/>
  <c r="AI5482" i="11"/>
  <c r="AJ5471" i="11"/>
  <c r="AI5466" i="11"/>
  <c r="AJ5455" i="11"/>
  <c r="AI5450" i="11"/>
  <c r="AJ5439" i="11"/>
  <c r="AI5432" i="11"/>
  <c r="AI5428" i="11"/>
  <c r="AI5426" i="11"/>
  <c r="AJ5424" i="11"/>
  <c r="AI5419" i="11"/>
  <c r="AJ5417" i="11"/>
  <c r="AJ5415" i="11"/>
  <c r="AI5412" i="11"/>
  <c r="AI5410" i="11"/>
  <c r="AJ5408" i="11"/>
  <c r="AI5403" i="11"/>
  <c r="AJ5401" i="11"/>
  <c r="AJ5399" i="11"/>
  <c r="AI5396" i="11"/>
  <c r="AI5394" i="11"/>
  <c r="AJ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6581" i="11"/>
  <c r="AJ6396" i="11"/>
  <c r="AJ6331" i="11"/>
  <c r="AI6310" i="11"/>
  <c r="AJ6267" i="11"/>
  <c r="AI6246" i="11"/>
  <c r="AJ6203" i="11"/>
  <c r="AI6182" i="11"/>
  <c r="AJ6139" i="11"/>
  <c r="AI6118" i="11"/>
  <c r="AJ6075" i="11"/>
  <c r="AI6054" i="11"/>
  <c r="AJ6011" i="11"/>
  <c r="AI5990" i="11"/>
  <c r="AJ5947" i="11"/>
  <c r="AI5926" i="11"/>
  <c r="AJ5883" i="11"/>
  <c r="AI5862" i="11"/>
  <c r="AJ5827" i="11"/>
  <c r="AI5822" i="11"/>
  <c r="AJ5811" i="11"/>
  <c r="AI5806" i="11"/>
  <c r="AJ5795" i="11"/>
  <c r="AI5790" i="11"/>
  <c r="AJ5779" i="11"/>
  <c r="AI5774" i="11"/>
  <c r="AJ5763" i="11"/>
  <c r="AI5758" i="11"/>
  <c r="AJ5747" i="11"/>
  <c r="AI5742" i="11"/>
  <c r="AJ5731" i="11"/>
  <c r="AI5726" i="11"/>
  <c r="AJ5715" i="11"/>
  <c r="AI5710" i="11"/>
  <c r="AJ5699" i="11"/>
  <c r="AI5694" i="11"/>
  <c r="AJ5683" i="11"/>
  <c r="AI5678" i="11"/>
  <c r="AJ5667" i="11"/>
  <c r="AI5662" i="11"/>
  <c r="AJ5651" i="11"/>
  <c r="AI5646" i="11"/>
  <c r="AJ5635" i="11"/>
  <c r="AI5630" i="11"/>
  <c r="AJ5619" i="11"/>
  <c r="AI5614" i="11"/>
  <c r="AJ5603" i="11"/>
  <c r="AI5598" i="11"/>
  <c r="AJ5587" i="11"/>
  <c r="AI5582" i="11"/>
  <c r="AJ5571" i="11"/>
  <c r="AI5566" i="11"/>
  <c r="AJ5555" i="11"/>
  <c r="AI5550" i="11"/>
  <c r="AJ5539" i="11"/>
  <c r="AI5534" i="11"/>
  <c r="AJ5523" i="11"/>
  <c r="AI5518" i="11"/>
  <c r="AJ5507" i="11"/>
  <c r="AI5502" i="11"/>
  <c r="AJ5491" i="11"/>
  <c r="AI5486" i="11"/>
  <c r="AJ5475" i="11"/>
  <c r="AI5470" i="11"/>
  <c r="AJ5459" i="11"/>
  <c r="AI5454" i="11"/>
  <c r="AJ5443" i="11"/>
  <c r="AI5438" i="11"/>
  <c r="AI5434" i="11"/>
  <c r="AJ5431" i="11"/>
  <c r="AJ5429" i="11"/>
  <c r="AJ5427" i="11"/>
  <c r="AI5424" i="11"/>
  <c r="AI5422" i="11"/>
  <c r="AJ5420" i="11"/>
  <c r="AI5415" i="11"/>
  <c r="AJ5413" i="11"/>
  <c r="AJ5411" i="11"/>
  <c r="AI5408" i="11"/>
  <c r="AI5406" i="11"/>
  <c r="AJ5404" i="11"/>
  <c r="AI5399" i="11"/>
  <c r="AJ5397" i="11"/>
  <c r="AJ5395" i="11"/>
  <c r="AI5392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6219" i="11"/>
  <c r="AI6134" i="11"/>
  <c r="AJ5963" i="11"/>
  <c r="AI5878" i="11"/>
  <c r="AJ5799" i="11"/>
  <c r="AI5778" i="11"/>
  <c r="AJ5735" i="11"/>
  <c r="AI5714" i="11"/>
  <c r="AJ5671" i="11"/>
  <c r="AI5650" i="11"/>
  <c r="AJ5607" i="11"/>
  <c r="AI5586" i="11"/>
  <c r="AJ5543" i="11"/>
  <c r="AI5522" i="11"/>
  <c r="AJ5479" i="11"/>
  <c r="AI5458" i="11"/>
  <c r="AI5427" i="11"/>
  <c r="AI5420" i="11"/>
  <c r="AJ5391" i="11"/>
  <c r="AI5386" i="11"/>
  <c r="AJ5375" i="11"/>
  <c r="AI5370" i="11"/>
  <c r="AJ5359" i="11"/>
  <c r="AI5354" i="11"/>
  <c r="AJ5343" i="11"/>
  <c r="AI5338" i="11"/>
  <c r="AJ5327" i="11"/>
  <c r="AI5322" i="11"/>
  <c r="AJ5311" i="11"/>
  <c r="AI5306" i="11"/>
  <c r="AJ5295" i="11"/>
  <c r="AJ5291" i="11"/>
  <c r="AI5286" i="11"/>
  <c r="AJ5283" i="11"/>
  <c r="AI5278" i="11"/>
  <c r="AJ5275" i="11"/>
  <c r="AI5270" i="11"/>
  <c r="AJ5267" i="11"/>
  <c r="AI5262" i="11"/>
  <c r="AJ5259" i="11"/>
  <c r="AI5254" i="11"/>
  <c r="AJ5251" i="11"/>
  <c r="AI5246" i="11"/>
  <c r="AJ5243" i="11"/>
  <c r="AI5238" i="11"/>
  <c r="AJ5235" i="11"/>
  <c r="AI5230" i="11"/>
  <c r="AJ5227" i="11"/>
  <c r="AI5222" i="11"/>
  <c r="AJ5219" i="11"/>
  <c r="AI5214" i="11"/>
  <c r="AJ5211" i="11"/>
  <c r="AI5206" i="11"/>
  <c r="AJ5203" i="11"/>
  <c r="AI5198" i="11"/>
  <c r="AJ5195" i="11"/>
  <c r="AI5190" i="11"/>
  <c r="AJ5187" i="11"/>
  <c r="AI5182" i="11"/>
  <c r="AJ5179" i="11"/>
  <c r="AI5174" i="11"/>
  <c r="AJ5171" i="11"/>
  <c r="AI5166" i="11"/>
  <c r="AJ5163" i="11"/>
  <c r="AI5158" i="11"/>
  <c r="AJ5155" i="11"/>
  <c r="AI5150" i="11"/>
  <c r="AJ5147" i="11"/>
  <c r="AI5142" i="11"/>
  <c r="AJ5139" i="11"/>
  <c r="AI5134" i="11"/>
  <c r="AJ5131" i="11"/>
  <c r="AI5126" i="11"/>
  <c r="AJ5123" i="11"/>
  <c r="AI5118" i="11"/>
  <c r="AJ5115" i="11"/>
  <c r="AI5110" i="11"/>
  <c r="AJ5107" i="11"/>
  <c r="AI5102" i="11"/>
  <c r="AJ5099" i="11"/>
  <c r="AI5094" i="11"/>
  <c r="AJ5091" i="11"/>
  <c r="AI5086" i="11"/>
  <c r="AJ5083" i="11"/>
  <c r="AI5078" i="11"/>
  <c r="AJ5075" i="11"/>
  <c r="AI5070" i="11"/>
  <c r="AJ5067" i="11"/>
  <c r="AI5062" i="11"/>
  <c r="AJ5059" i="11"/>
  <c r="AI5054" i="11"/>
  <c r="AJ5051" i="11"/>
  <c r="AI5046" i="11"/>
  <c r="AJ5043" i="11"/>
  <c r="AI5038" i="11"/>
  <c r="AJ5035" i="11"/>
  <c r="AI5030" i="11"/>
  <c r="AJ5027" i="11"/>
  <c r="AI5022" i="11"/>
  <c r="AJ5019" i="11"/>
  <c r="AI5014" i="11"/>
  <c r="AJ5011" i="11"/>
  <c r="AI5006" i="11"/>
  <c r="AJ5003" i="11"/>
  <c r="AI4998" i="11"/>
  <c r="AJ4995" i="11"/>
  <c r="AI4990" i="11"/>
  <c r="AJ4987" i="11"/>
  <c r="AI4982" i="11"/>
  <c r="AJ4979" i="11"/>
  <c r="AI4974" i="11"/>
  <c r="AJ4971" i="11"/>
  <c r="AI4966" i="11"/>
  <c r="AJ4963" i="11"/>
  <c r="AI4958" i="11"/>
  <c r="AJ4955" i="11"/>
  <c r="AI4950" i="11"/>
  <c r="AJ4947" i="11"/>
  <c r="AI4942" i="11"/>
  <c r="AJ4939" i="11"/>
  <c r="AI4934" i="11"/>
  <c r="AJ4931" i="11"/>
  <c r="AI4926" i="11"/>
  <c r="AJ4923" i="11"/>
  <c r="AI4918" i="11"/>
  <c r="AJ4915" i="11"/>
  <c r="AI4910" i="11"/>
  <c r="AJ4907" i="11"/>
  <c r="AI4902" i="11"/>
  <c r="AJ4899" i="11"/>
  <c r="AI4894" i="11"/>
  <c r="AJ4891" i="11"/>
  <c r="AI4886" i="11"/>
  <c r="AJ4883" i="11"/>
  <c r="AI4878" i="11"/>
  <c r="AJ4875" i="11"/>
  <c r="AI4870" i="11"/>
  <c r="AJ4867" i="11"/>
  <c r="AI4862" i="11"/>
  <c r="AJ4859" i="11"/>
  <c r="AI4854" i="11"/>
  <c r="AJ4851" i="11"/>
  <c r="AI4846" i="11"/>
  <c r="AJ4843" i="11"/>
  <c r="AI4838" i="11"/>
  <c r="AJ4835" i="11"/>
  <c r="AI4830" i="11"/>
  <c r="AJ4827" i="11"/>
  <c r="AI4822" i="11"/>
  <c r="AJ4819" i="11"/>
  <c r="AI4814" i="11"/>
  <c r="AJ4811" i="11"/>
  <c r="AI4806" i="11"/>
  <c r="AJ4803" i="11"/>
  <c r="AI4798" i="11"/>
  <c r="AJ4795" i="11"/>
  <c r="AI4790" i="11"/>
  <c r="AJ4787" i="11"/>
  <c r="AI4782" i="11"/>
  <c r="AJ4779" i="11"/>
  <c r="AI4774" i="11"/>
  <c r="AJ4771" i="11"/>
  <c r="AI4766" i="11"/>
  <c r="AJ4763" i="11"/>
  <c r="AI4758" i="11"/>
  <c r="AJ4755" i="11"/>
  <c r="AI4750" i="11"/>
  <c r="AJ4747" i="11"/>
  <c r="AI4742" i="11"/>
  <c r="AJ4739" i="11"/>
  <c r="AI4734" i="11"/>
  <c r="AJ4731" i="11"/>
  <c r="AI4726" i="11"/>
  <c r="AJ4723" i="11"/>
  <c r="AI4718" i="11"/>
  <c r="AJ4715" i="11"/>
  <c r="AI4710" i="11"/>
  <c r="AJ4707" i="11"/>
  <c r="AI4702" i="11"/>
  <c r="AJ4699" i="11"/>
  <c r="AI4694" i="11"/>
  <c r="AJ4691" i="11"/>
  <c r="AI4686" i="11"/>
  <c r="AJ4683" i="11"/>
  <c r="AI4678" i="11"/>
  <c r="AJ4675" i="11"/>
  <c r="AI4670" i="11"/>
  <c r="AJ4667" i="11"/>
  <c r="AI4662" i="11"/>
  <c r="AJ4659" i="11"/>
  <c r="AI4654" i="11"/>
  <c r="AJ4651" i="11"/>
  <c r="AI4646" i="11"/>
  <c r="AJ4643" i="11"/>
  <c r="AI4638" i="11"/>
  <c r="AJ4635" i="11"/>
  <c r="AI4630" i="11"/>
  <c r="AJ4627" i="11"/>
  <c r="AI4622" i="11"/>
  <c r="AJ4619" i="11"/>
  <c r="AI4614" i="11"/>
  <c r="AJ4611" i="11"/>
  <c r="AI4606" i="11"/>
  <c r="AJ4603" i="11"/>
  <c r="AI4598" i="11"/>
  <c r="AJ4595" i="11"/>
  <c r="AI4590" i="11"/>
  <c r="AJ4587" i="11"/>
  <c r="AI4582" i="11"/>
  <c r="AJ4579" i="11"/>
  <c r="AI4574" i="11"/>
  <c r="AJ4571" i="11"/>
  <c r="AI4566" i="11"/>
  <c r="AJ4563" i="11"/>
  <c r="AI4558" i="11"/>
  <c r="AJ4555" i="11"/>
  <c r="AI4550" i="11"/>
  <c r="AJ4547" i="11"/>
  <c r="AI4542" i="11"/>
  <c r="AJ4539" i="11"/>
  <c r="AI4534" i="11"/>
  <c r="AJ4531" i="11"/>
  <c r="AI4526" i="11"/>
  <c r="AJ4523" i="11"/>
  <c r="AI4518" i="11"/>
  <c r="AJ4515" i="11"/>
  <c r="AI4510" i="11"/>
  <c r="AJ4507" i="11"/>
  <c r="AI4502" i="11"/>
  <c r="AJ4499" i="11"/>
  <c r="AI4494" i="11"/>
  <c r="AJ4491" i="11"/>
  <c r="AI4486" i="11"/>
  <c r="AJ4483" i="11"/>
  <c r="AI4478" i="11"/>
  <c r="AJ4475" i="11"/>
  <c r="AI4470" i="11"/>
  <c r="AJ4467" i="11"/>
  <c r="AI4462" i="11"/>
  <c r="AJ4459" i="11"/>
  <c r="AI4454" i="11"/>
  <c r="AJ4451" i="11"/>
  <c r="AI4446" i="11"/>
  <c r="AJ4443" i="11"/>
  <c r="AI4438" i="11"/>
  <c r="AJ4435" i="11"/>
  <c r="AI4430" i="11"/>
  <c r="AJ4427" i="11"/>
  <c r="AI4422" i="11"/>
  <c r="AJ4419" i="11"/>
  <c r="AI4411" i="11"/>
  <c r="AJ4409" i="11"/>
  <c r="AJ4407" i="11"/>
  <c r="AI4404" i="11"/>
  <c r="AI4402" i="11"/>
  <c r="AJ4400" i="11"/>
  <c r="AI4395" i="11"/>
  <c r="AJ4393" i="11"/>
  <c r="AJ4391" i="11"/>
  <c r="AI4388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6460" i="11"/>
  <c r="AJ6283" i="11"/>
  <c r="AI6198" i="11"/>
  <c r="AJ6027" i="11"/>
  <c r="AI5942" i="11"/>
  <c r="AJ5815" i="11"/>
  <c r="AI5794" i="11"/>
  <c r="AJ5751" i="11"/>
  <c r="AI5730" i="11"/>
  <c r="AJ5687" i="11"/>
  <c r="AI5666" i="11"/>
  <c r="AJ5623" i="11"/>
  <c r="AI5602" i="11"/>
  <c r="AJ5559" i="11"/>
  <c r="AI5538" i="11"/>
  <c r="AJ5495" i="11"/>
  <c r="AI5474" i="11"/>
  <c r="AJ5433" i="11"/>
  <c r="AJ5425" i="11"/>
  <c r="AI5418" i="11"/>
  <c r="AI5411" i="11"/>
  <c r="AI5404" i="11"/>
  <c r="AI5390" i="11"/>
  <c r="AJ5379" i="11"/>
  <c r="AI5374" i="11"/>
  <c r="AJ5363" i="11"/>
  <c r="AI5358" i="11"/>
  <c r="AJ5347" i="11"/>
  <c r="AI5342" i="11"/>
  <c r="AJ5331" i="11"/>
  <c r="AI5326" i="11"/>
  <c r="AJ5315" i="11"/>
  <c r="AI5310" i="11"/>
  <c r="AJ5299" i="11"/>
  <c r="AI5294" i="11"/>
  <c r="AI5288" i="11"/>
  <c r="AJ5285" i="11"/>
  <c r="AI5280" i="11"/>
  <c r="AJ5277" i="11"/>
  <c r="AI5272" i="11"/>
  <c r="AJ5269" i="11"/>
  <c r="AI5264" i="11"/>
  <c r="AJ5261" i="11"/>
  <c r="AI5256" i="11"/>
  <c r="AJ5253" i="11"/>
  <c r="AI5248" i="11"/>
  <c r="AJ5245" i="11"/>
  <c r="AI5240" i="11"/>
  <c r="AJ5237" i="11"/>
  <c r="AI5232" i="11"/>
  <c r="AJ5229" i="11"/>
  <c r="AI5224" i="11"/>
  <c r="AJ5221" i="11"/>
  <c r="AI5216" i="11"/>
  <c r="AJ5213" i="11"/>
  <c r="AI5208" i="11"/>
  <c r="AJ5205" i="11"/>
  <c r="AI5200" i="11"/>
  <c r="AJ5197" i="11"/>
  <c r="AI5192" i="11"/>
  <c r="AJ5189" i="11"/>
  <c r="AI5184" i="11"/>
  <c r="AJ5181" i="11"/>
  <c r="AI5176" i="11"/>
  <c r="AJ5173" i="11"/>
  <c r="AI5168" i="11"/>
  <c r="AJ5165" i="11"/>
  <c r="AI5160" i="11"/>
  <c r="AJ5157" i="11"/>
  <c r="AI5152" i="11"/>
  <c r="AJ5149" i="11"/>
  <c r="AI5144" i="11"/>
  <c r="AJ5141" i="11"/>
  <c r="AI5136" i="11"/>
  <c r="AJ5133" i="11"/>
  <c r="AI5128" i="11"/>
  <c r="AJ5125" i="11"/>
  <c r="AI5120" i="11"/>
  <c r="AJ5117" i="11"/>
  <c r="AI5112" i="11"/>
  <c r="AJ5109" i="11"/>
  <c r="AI5104" i="11"/>
  <c r="AJ5101" i="11"/>
  <c r="AI5096" i="11"/>
  <c r="AJ5093" i="11"/>
  <c r="AI5088" i="11"/>
  <c r="AJ5085" i="11"/>
  <c r="AI5080" i="11"/>
  <c r="AJ5077" i="11"/>
  <c r="AI5072" i="11"/>
  <c r="AJ5069" i="11"/>
  <c r="AI5064" i="11"/>
  <c r="AJ5061" i="11"/>
  <c r="AI5056" i="11"/>
  <c r="AJ5053" i="11"/>
  <c r="AI5048" i="11"/>
  <c r="AJ5045" i="11"/>
  <c r="AI5040" i="11"/>
  <c r="AJ5037" i="11"/>
  <c r="AI5032" i="11"/>
  <c r="AJ5029" i="11"/>
  <c r="AI5024" i="11"/>
  <c r="AJ5021" i="11"/>
  <c r="AI5016" i="11"/>
  <c r="AJ5013" i="11"/>
  <c r="AI5008" i="11"/>
  <c r="AJ5005" i="11"/>
  <c r="AI5000" i="11"/>
  <c r="AJ4997" i="11"/>
  <c r="AI4992" i="11"/>
  <c r="AJ4989" i="11"/>
  <c r="AI4984" i="11"/>
  <c r="AJ4981" i="11"/>
  <c r="AI4976" i="11"/>
  <c r="AJ4973" i="11"/>
  <c r="AI4968" i="11"/>
  <c r="AJ4965" i="11"/>
  <c r="AI4960" i="11"/>
  <c r="AJ4957" i="11"/>
  <c r="AI4952" i="11"/>
  <c r="AJ4949" i="11"/>
  <c r="AI4944" i="11"/>
  <c r="AJ4941" i="11"/>
  <c r="AI4936" i="11"/>
  <c r="AJ4933" i="11"/>
  <c r="AI4928" i="11"/>
  <c r="AJ4925" i="11"/>
  <c r="AI4920" i="11"/>
  <c r="AJ4917" i="11"/>
  <c r="AI4912" i="11"/>
  <c r="AJ4909" i="11"/>
  <c r="AI4904" i="11"/>
  <c r="AJ4901" i="11"/>
  <c r="AI4896" i="11"/>
  <c r="AJ4893" i="11"/>
  <c r="AI4888" i="11"/>
  <c r="AJ4885" i="11"/>
  <c r="AI4880" i="11"/>
  <c r="AJ4877" i="11"/>
  <c r="AI4872" i="11"/>
  <c r="AJ4869" i="11"/>
  <c r="AI4864" i="11"/>
  <c r="AJ4861" i="11"/>
  <c r="AI4856" i="11"/>
  <c r="AJ4853" i="11"/>
  <c r="AI4848" i="11"/>
  <c r="AJ4845" i="11"/>
  <c r="AI4840" i="11"/>
  <c r="AJ4837" i="11"/>
  <c r="AI4832" i="11"/>
  <c r="AJ4829" i="11"/>
  <c r="AI4824" i="11"/>
  <c r="AJ4821" i="11"/>
  <c r="AI4816" i="11"/>
  <c r="AJ4813" i="11"/>
  <c r="AI4808" i="11"/>
  <c r="AJ4805" i="11"/>
  <c r="AI4800" i="11"/>
  <c r="AJ4797" i="11"/>
  <c r="AI4792" i="11"/>
  <c r="AJ4789" i="11"/>
  <c r="AI4784" i="11"/>
  <c r="AJ4781" i="11"/>
  <c r="AI4776" i="11"/>
  <c r="AJ4773" i="11"/>
  <c r="AI4768" i="11"/>
  <c r="AJ4765" i="11"/>
  <c r="AI4760" i="11"/>
  <c r="AJ4757" i="11"/>
  <c r="AI4752" i="11"/>
  <c r="AJ4749" i="11"/>
  <c r="AI4744" i="11"/>
  <c r="AJ4741" i="11"/>
  <c r="AI4736" i="11"/>
  <c r="AJ4733" i="11"/>
  <c r="AI4728" i="11"/>
  <c r="AJ4725" i="11"/>
  <c r="AI4720" i="11"/>
  <c r="AJ4717" i="11"/>
  <c r="AI4712" i="11"/>
  <c r="AJ4709" i="11"/>
  <c r="AI4704" i="11"/>
  <c r="AJ4701" i="11"/>
  <c r="AI4696" i="11"/>
  <c r="AJ4693" i="11"/>
  <c r="AI4688" i="11"/>
  <c r="AJ4685" i="11"/>
  <c r="AI4680" i="11"/>
  <c r="AJ4677" i="11"/>
  <c r="AI4672" i="11"/>
  <c r="AJ4669" i="11"/>
  <c r="AI4664" i="11"/>
  <c r="AJ4661" i="11"/>
  <c r="AI4656" i="11"/>
  <c r="AJ4653" i="11"/>
  <c r="AI4648" i="11"/>
  <c r="AJ4645" i="11"/>
  <c r="AI4640" i="11"/>
  <c r="AJ4637" i="11"/>
  <c r="AI4632" i="11"/>
  <c r="AJ4629" i="11"/>
  <c r="AI4624" i="11"/>
  <c r="AJ4621" i="11"/>
  <c r="AI4616" i="11"/>
  <c r="AJ4613" i="11"/>
  <c r="AI4608" i="11"/>
  <c r="AJ4605" i="11"/>
  <c r="AI4600" i="11"/>
  <c r="AJ4597" i="11"/>
  <c r="AI4592" i="11"/>
  <c r="AJ4589" i="11"/>
  <c r="AI4584" i="11"/>
  <c r="AJ4581" i="11"/>
  <c r="AI4576" i="11"/>
  <c r="AJ4573" i="11"/>
  <c r="AI4568" i="11"/>
  <c r="AJ4565" i="11"/>
  <c r="AI4560" i="11"/>
  <c r="AJ4557" i="11"/>
  <c r="AI4552" i="11"/>
  <c r="AJ4549" i="11"/>
  <c r="AI4544" i="11"/>
  <c r="AJ4541" i="11"/>
  <c r="AI4536" i="11"/>
  <c r="AJ4533" i="11"/>
  <c r="AI4528" i="11"/>
  <c r="AJ4525" i="11"/>
  <c r="AI4520" i="11"/>
  <c r="AJ4517" i="11"/>
  <c r="AI4512" i="11"/>
  <c r="AJ4509" i="11"/>
  <c r="AI4504" i="11"/>
  <c r="AJ4501" i="11"/>
  <c r="AI4496" i="11"/>
  <c r="AJ4493" i="11"/>
  <c r="AI4488" i="11"/>
  <c r="AJ4485" i="11"/>
  <c r="AI4480" i="11"/>
  <c r="AJ4477" i="11"/>
  <c r="AI4472" i="11"/>
  <c r="AJ4469" i="11"/>
  <c r="AI4464" i="11"/>
  <c r="AJ4461" i="11"/>
  <c r="AI4456" i="11"/>
  <c r="AJ4453" i="11"/>
  <c r="AI4448" i="11"/>
  <c r="AJ4445" i="11"/>
  <c r="AI4440" i="11"/>
  <c r="AJ4437" i="11"/>
  <c r="AI4432" i="11"/>
  <c r="AJ4429" i="11"/>
  <c r="AI4424" i="11"/>
  <c r="AJ4421" i="11"/>
  <c r="AI4416" i="11"/>
  <c r="AI4414" i="11"/>
  <c r="AJ4412" i="11"/>
  <c r="AI4407" i="11"/>
  <c r="AJ4405" i="11"/>
  <c r="AJ4403" i="11"/>
  <c r="AI4400" i="11"/>
  <c r="AI4398" i="11"/>
  <c r="AJ4396" i="11"/>
  <c r="AI4391" i="11"/>
  <c r="AJ4389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I6375" i="11"/>
  <c r="AI6262" i="11"/>
  <c r="AJ6091" i="11"/>
  <c r="AI6006" i="11"/>
  <c r="AJ5835" i="11"/>
  <c r="AI5810" i="11"/>
  <c r="AJ5767" i="11"/>
  <c r="AI5746" i="11"/>
  <c r="AJ5703" i="11"/>
  <c r="AI5682" i="11"/>
  <c r="AJ5639" i="11"/>
  <c r="AI5618" i="11"/>
  <c r="AJ5575" i="11"/>
  <c r="AI5554" i="11"/>
  <c r="AJ5511" i="11"/>
  <c r="AI5490" i="11"/>
  <c r="AJ5447" i="11"/>
  <c r="AJ5423" i="11"/>
  <c r="AJ5416" i="11"/>
  <c r="AJ5409" i="11"/>
  <c r="AI5402" i="11"/>
  <c r="AI5395" i="11"/>
  <c r="AJ5383" i="11"/>
  <c r="AI5378" i="11"/>
  <c r="AJ5367" i="11"/>
  <c r="AI5362" i="11"/>
  <c r="AJ5351" i="11"/>
  <c r="AI5346" i="11"/>
  <c r="AJ5335" i="11"/>
  <c r="AI5330" i="11"/>
  <c r="AJ5319" i="11"/>
  <c r="AI5314" i="11"/>
  <c r="AJ5303" i="11"/>
  <c r="AI5298" i="11"/>
  <c r="AI5290" i="11"/>
  <c r="AJ5287" i="11"/>
  <c r="AI5282" i="11"/>
  <c r="AJ5279" i="11"/>
  <c r="AI5274" i="11"/>
  <c r="AJ5271" i="11"/>
  <c r="AI5266" i="11"/>
  <c r="AJ5263" i="11"/>
  <c r="AI5258" i="11"/>
  <c r="AJ5255" i="11"/>
  <c r="AI5250" i="11"/>
  <c r="AJ5247" i="11"/>
  <c r="AI5242" i="11"/>
  <c r="AJ5239" i="11"/>
  <c r="AI5234" i="11"/>
  <c r="AJ5231" i="11"/>
  <c r="AI5226" i="11"/>
  <c r="AJ5223" i="11"/>
  <c r="AI5218" i="11"/>
  <c r="AJ5215" i="11"/>
  <c r="AI5210" i="11"/>
  <c r="AJ5207" i="11"/>
  <c r="AI5202" i="11"/>
  <c r="AJ5199" i="11"/>
  <c r="AI5194" i="11"/>
  <c r="AJ5191" i="11"/>
  <c r="AI5186" i="11"/>
  <c r="AJ5183" i="11"/>
  <c r="AI5178" i="11"/>
  <c r="AJ5175" i="11"/>
  <c r="AI5170" i="11"/>
  <c r="AJ5167" i="11"/>
  <c r="AI5162" i="11"/>
  <c r="AJ5159" i="11"/>
  <c r="AI5154" i="11"/>
  <c r="AJ5151" i="11"/>
  <c r="AI5146" i="11"/>
  <c r="AJ5143" i="11"/>
  <c r="AI5138" i="11"/>
  <c r="AJ5135" i="11"/>
  <c r="AI5130" i="11"/>
  <c r="AJ5127" i="11"/>
  <c r="AI5122" i="11"/>
  <c r="AJ5119" i="11"/>
  <c r="AI5114" i="11"/>
  <c r="AJ5111" i="11"/>
  <c r="AI5106" i="11"/>
  <c r="AJ5103" i="11"/>
  <c r="AI5098" i="11"/>
  <c r="AJ5095" i="11"/>
  <c r="AI5090" i="11"/>
  <c r="AJ5087" i="11"/>
  <c r="AI5082" i="11"/>
  <c r="AJ5079" i="11"/>
  <c r="AI5074" i="11"/>
  <c r="AJ5071" i="11"/>
  <c r="AI5066" i="11"/>
  <c r="AJ5063" i="11"/>
  <c r="AI5058" i="11"/>
  <c r="AJ5055" i="11"/>
  <c r="AI5050" i="11"/>
  <c r="AJ5047" i="11"/>
  <c r="AI5042" i="11"/>
  <c r="AJ5039" i="11"/>
  <c r="AI5034" i="11"/>
  <c r="AJ5031" i="11"/>
  <c r="AI5026" i="11"/>
  <c r="AJ5023" i="11"/>
  <c r="AI5018" i="11"/>
  <c r="AJ5015" i="11"/>
  <c r="AI5010" i="11"/>
  <c r="AJ5007" i="11"/>
  <c r="AI5002" i="11"/>
  <c r="AJ4999" i="11"/>
  <c r="AI4994" i="11"/>
  <c r="AJ4991" i="11"/>
  <c r="AI4986" i="11"/>
  <c r="AJ4983" i="11"/>
  <c r="AI4978" i="11"/>
  <c r="AJ4975" i="11"/>
  <c r="AI4970" i="11"/>
  <c r="AJ4967" i="11"/>
  <c r="AI4962" i="11"/>
  <c r="AJ4959" i="11"/>
  <c r="AI4954" i="11"/>
  <c r="AJ4951" i="11"/>
  <c r="AI4946" i="11"/>
  <c r="AJ4943" i="11"/>
  <c r="AI4938" i="11"/>
  <c r="AJ4935" i="11"/>
  <c r="AI4930" i="11"/>
  <c r="AJ4927" i="11"/>
  <c r="AI4922" i="11"/>
  <c r="AJ4919" i="11"/>
  <c r="AI4914" i="11"/>
  <c r="AJ4911" i="11"/>
  <c r="AI4906" i="11"/>
  <c r="AJ4903" i="11"/>
  <c r="AI4898" i="11"/>
  <c r="AJ4895" i="11"/>
  <c r="AI4890" i="11"/>
  <c r="AJ4887" i="11"/>
  <c r="AI4882" i="11"/>
  <c r="AJ4879" i="11"/>
  <c r="AI4874" i="11"/>
  <c r="AJ4871" i="11"/>
  <c r="AI4866" i="11"/>
  <c r="AJ4863" i="11"/>
  <c r="AI4858" i="11"/>
  <c r="AJ4855" i="11"/>
  <c r="AI4850" i="11"/>
  <c r="AJ4847" i="11"/>
  <c r="AI4842" i="11"/>
  <c r="AJ4839" i="11"/>
  <c r="AI4834" i="11"/>
  <c r="AJ4831" i="11"/>
  <c r="AI4826" i="11"/>
  <c r="AJ4823" i="11"/>
  <c r="AI6326" i="11"/>
  <c r="AJ5783" i="11"/>
  <c r="AI5698" i="11"/>
  <c r="AJ5527" i="11"/>
  <c r="AI5442" i="11"/>
  <c r="AJ5407" i="11"/>
  <c r="AI5382" i="11"/>
  <c r="AJ5339" i="11"/>
  <c r="AI5318" i="11"/>
  <c r="AI5284" i="11"/>
  <c r="AJ5273" i="11"/>
  <c r="AI5252" i="11"/>
  <c r="AJ5241" i="11"/>
  <c r="AI5220" i="11"/>
  <c r="AJ5209" i="11"/>
  <c r="AI5188" i="11"/>
  <c r="AJ5177" i="11"/>
  <c r="AI5156" i="11"/>
  <c r="AJ5145" i="11"/>
  <c r="AI5124" i="11"/>
  <c r="AJ5113" i="11"/>
  <c r="AI5092" i="11"/>
  <c r="AJ5081" i="11"/>
  <c r="AI5060" i="11"/>
  <c r="AJ5049" i="11"/>
  <c r="AI5028" i="11"/>
  <c r="AJ5017" i="11"/>
  <c r="AI4996" i="11"/>
  <c r="AJ4985" i="11"/>
  <c r="AI4964" i="11"/>
  <c r="AJ4953" i="11"/>
  <c r="AI4932" i="11"/>
  <c r="AJ4921" i="11"/>
  <c r="AI4900" i="11"/>
  <c r="AJ4889" i="11"/>
  <c r="AI4868" i="11"/>
  <c r="AJ4857" i="11"/>
  <c r="AI4836" i="11"/>
  <c r="AJ4825" i="11"/>
  <c r="AI4818" i="11"/>
  <c r="AJ4807" i="11"/>
  <c r="AI4802" i="11"/>
  <c r="AJ4791" i="11"/>
  <c r="AI4786" i="11"/>
  <c r="AJ4775" i="11"/>
  <c r="AI4770" i="11"/>
  <c r="AJ4759" i="11"/>
  <c r="AI4754" i="11"/>
  <c r="AJ4743" i="11"/>
  <c r="AI4738" i="11"/>
  <c r="AJ4727" i="11"/>
  <c r="AI4722" i="11"/>
  <c r="AJ4711" i="11"/>
  <c r="AI4706" i="11"/>
  <c r="AJ4695" i="11"/>
  <c r="AI4690" i="11"/>
  <c r="AJ4679" i="11"/>
  <c r="AI4674" i="11"/>
  <c r="AJ4663" i="11"/>
  <c r="AI4658" i="11"/>
  <c r="AJ4647" i="11"/>
  <c r="AI4642" i="11"/>
  <c r="AJ4631" i="11"/>
  <c r="AI4626" i="11"/>
  <c r="AJ4615" i="11"/>
  <c r="AI4610" i="11"/>
  <c r="AJ4599" i="11"/>
  <c r="AI4594" i="11"/>
  <c r="AJ4583" i="11"/>
  <c r="AI4578" i="11"/>
  <c r="AJ4567" i="11"/>
  <c r="AI4562" i="11"/>
  <c r="AJ4551" i="11"/>
  <c r="AI4546" i="11"/>
  <c r="AJ4535" i="11"/>
  <c r="AI4530" i="11"/>
  <c r="AJ4519" i="11"/>
  <c r="AI4514" i="11"/>
  <c r="AJ4503" i="11"/>
  <c r="AI4498" i="11"/>
  <c r="AJ4487" i="11"/>
  <c r="AI4482" i="11"/>
  <c r="AJ4471" i="11"/>
  <c r="AI4466" i="11"/>
  <c r="AJ4455" i="11"/>
  <c r="AI4450" i="11"/>
  <c r="AJ4439" i="11"/>
  <c r="AI4434" i="11"/>
  <c r="AJ4423" i="11"/>
  <c r="AI4418" i="11"/>
  <c r="AI4410" i="11"/>
  <c r="AI4403" i="11"/>
  <c r="AJ4399" i="11"/>
  <c r="AI4396" i="11"/>
  <c r="AJ4392" i="11"/>
  <c r="AI4383" i="11"/>
  <c r="AJ4380" i="11"/>
  <c r="AI4375" i="11"/>
  <c r="AJ4372" i="11"/>
  <c r="AI4367" i="11"/>
  <c r="AJ4364" i="11"/>
  <c r="AI4359" i="11"/>
  <c r="AJ4356" i="11"/>
  <c r="AI4351" i="11"/>
  <c r="AJ4348" i="11"/>
  <c r="AI4343" i="11"/>
  <c r="AJ4340" i="11"/>
  <c r="AI4335" i="11"/>
  <c r="AJ4332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5899" i="11"/>
  <c r="AI5762" i="11"/>
  <c r="AJ5591" i="11"/>
  <c r="AI5506" i="11"/>
  <c r="AJ5400" i="11"/>
  <c r="AJ5355" i="11"/>
  <c r="AI5334" i="11"/>
  <c r="AI5292" i="11"/>
  <c r="AJ5281" i="11"/>
  <c r="AI5260" i="11"/>
  <c r="AJ5249" i="11"/>
  <c r="AI5228" i="11"/>
  <c r="AJ5217" i="11"/>
  <c r="AI5196" i="11"/>
  <c r="AJ5185" i="11"/>
  <c r="AI5164" i="11"/>
  <c r="AJ5153" i="11"/>
  <c r="AI5132" i="11"/>
  <c r="AJ5121" i="11"/>
  <c r="AI5100" i="11"/>
  <c r="AJ5089" i="11"/>
  <c r="AI5068" i="11"/>
  <c r="AJ5057" i="11"/>
  <c r="AI5036" i="11"/>
  <c r="AJ5025" i="11"/>
  <c r="AI5004" i="11"/>
  <c r="AJ4993" i="11"/>
  <c r="AI4972" i="11"/>
  <c r="AJ4961" i="11"/>
  <c r="AI4940" i="11"/>
  <c r="AJ4929" i="11"/>
  <c r="AI4908" i="11"/>
  <c r="AJ4897" i="11"/>
  <c r="AI4876" i="11"/>
  <c r="AJ4865" i="11"/>
  <c r="AI4844" i="11"/>
  <c r="AJ4833" i="11"/>
  <c r="AJ4817" i="11"/>
  <c r="AI4812" i="11"/>
  <c r="AJ4801" i="11"/>
  <c r="AI4796" i="11"/>
  <c r="AJ4785" i="11"/>
  <c r="AI4780" i="11"/>
  <c r="AJ4769" i="11"/>
  <c r="AI4764" i="11"/>
  <c r="AJ4753" i="11"/>
  <c r="AI4748" i="11"/>
  <c r="AJ4737" i="11"/>
  <c r="AI4732" i="11"/>
  <c r="AJ4721" i="11"/>
  <c r="AI4716" i="11"/>
  <c r="AJ4705" i="11"/>
  <c r="AI4700" i="11"/>
  <c r="AJ4689" i="11"/>
  <c r="AI4684" i="11"/>
  <c r="AJ4673" i="11"/>
  <c r="AI4668" i="11"/>
  <c r="AJ4657" i="11"/>
  <c r="AI4652" i="11"/>
  <c r="AJ4641" i="11"/>
  <c r="AI4636" i="11"/>
  <c r="AJ4625" i="11"/>
  <c r="AI4620" i="11"/>
  <c r="AJ4609" i="11"/>
  <c r="AI4604" i="11"/>
  <c r="AJ4593" i="11"/>
  <c r="AI4588" i="11"/>
  <c r="AJ4577" i="11"/>
  <c r="AI4572" i="11"/>
  <c r="AJ4561" i="11"/>
  <c r="AI4556" i="11"/>
  <c r="AJ4545" i="11"/>
  <c r="AI4540" i="11"/>
  <c r="AJ4529" i="11"/>
  <c r="AI4524" i="11"/>
  <c r="AJ4513" i="11"/>
  <c r="AI4508" i="11"/>
  <c r="AJ4497" i="11"/>
  <c r="AI4492" i="11"/>
  <c r="AJ4481" i="11"/>
  <c r="AI4476" i="11"/>
  <c r="AJ4465" i="11"/>
  <c r="AI4460" i="11"/>
  <c r="AJ4449" i="11"/>
  <c r="AI4444" i="11"/>
  <c r="AJ4433" i="11"/>
  <c r="AI4428" i="11"/>
  <c r="AJ4417" i="11"/>
  <c r="AJ4413" i="11"/>
  <c r="AI4406" i="11"/>
  <c r="AI4399" i="11"/>
  <c r="AJ4395" i="11"/>
  <c r="AI4392" i="11"/>
  <c r="AJ4388" i="11"/>
  <c r="AJ4385" i="11"/>
  <c r="AI4380" i="11"/>
  <c r="AJ4377" i="11"/>
  <c r="AI4372" i="11"/>
  <c r="AJ4369" i="11"/>
  <c r="AI4364" i="11"/>
  <c r="AJ4361" i="11"/>
  <c r="AI4356" i="11"/>
  <c r="AJ4353" i="11"/>
  <c r="AI4348" i="11"/>
  <c r="AJ4345" i="11"/>
  <c r="AI4340" i="11"/>
  <c r="AJ4337" i="11"/>
  <c r="AI4332" i="11"/>
  <c r="AJ4329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6155" i="11"/>
  <c r="AI5826" i="11"/>
  <c r="AJ5655" i="11"/>
  <c r="AI5570" i="11"/>
  <c r="AJ5393" i="11"/>
  <c r="AJ5371" i="11"/>
  <c r="AI5350" i="11"/>
  <c r="AJ5307" i="11"/>
  <c r="AJ5289" i="11"/>
  <c r="AI5268" i="11"/>
  <c r="AJ5257" i="11"/>
  <c r="AI5236" i="11"/>
  <c r="AJ5225" i="11"/>
  <c r="AI5204" i="11"/>
  <c r="AJ5193" i="11"/>
  <c r="AI5172" i="11"/>
  <c r="AJ5161" i="11"/>
  <c r="AI5140" i="11"/>
  <c r="AJ5129" i="11"/>
  <c r="AI5108" i="11"/>
  <c r="AJ5097" i="11"/>
  <c r="AI5076" i="11"/>
  <c r="AJ5065" i="11"/>
  <c r="AI5044" i="11"/>
  <c r="AJ5033" i="11"/>
  <c r="AI5012" i="11"/>
  <c r="AJ5001" i="11"/>
  <c r="AI4980" i="11"/>
  <c r="AJ4969" i="11"/>
  <c r="AI4948" i="11"/>
  <c r="AJ4937" i="11"/>
  <c r="AI4916" i="11"/>
  <c r="AJ4905" i="11"/>
  <c r="AI4884" i="11"/>
  <c r="AJ4873" i="11"/>
  <c r="AI4852" i="11"/>
  <c r="AJ4841" i="11"/>
  <c r="AJ4815" i="11"/>
  <c r="AI4810" i="11"/>
  <c r="AJ4799" i="11"/>
  <c r="AI4794" i="11"/>
  <c r="AJ4783" i="11"/>
  <c r="AI4778" i="11"/>
  <c r="AJ4767" i="11"/>
  <c r="AI4762" i="11"/>
  <c r="AJ4751" i="11"/>
  <c r="AI4746" i="11"/>
  <c r="AJ4735" i="11"/>
  <c r="AI4730" i="11"/>
  <c r="AJ4719" i="11"/>
  <c r="AI4714" i="11"/>
  <c r="AJ4703" i="11"/>
  <c r="AI4698" i="11"/>
  <c r="AJ4687" i="11"/>
  <c r="AI4682" i="11"/>
  <c r="AJ4671" i="11"/>
  <c r="AI4666" i="11"/>
  <c r="AJ4655" i="11"/>
  <c r="AI4650" i="11"/>
  <c r="AJ4639" i="11"/>
  <c r="AI4634" i="11"/>
  <c r="AJ4623" i="11"/>
  <c r="AI4618" i="11"/>
  <c r="AJ4607" i="11"/>
  <c r="AI4602" i="11"/>
  <c r="AJ4591" i="11"/>
  <c r="AI4586" i="11"/>
  <c r="AJ4575" i="11"/>
  <c r="AI4570" i="11"/>
  <c r="AJ4559" i="11"/>
  <c r="AI4554" i="11"/>
  <c r="AJ4543" i="11"/>
  <c r="AI4538" i="11"/>
  <c r="AJ4527" i="11"/>
  <c r="AI4522" i="11"/>
  <c r="AJ4511" i="11"/>
  <c r="AI4506" i="11"/>
  <c r="AJ4495" i="11"/>
  <c r="AI4490" i="11"/>
  <c r="AJ4479" i="11"/>
  <c r="AI4474" i="11"/>
  <c r="AJ4463" i="11"/>
  <c r="AI4458" i="11"/>
  <c r="AJ4447" i="11"/>
  <c r="AI4442" i="11"/>
  <c r="AJ4431" i="11"/>
  <c r="AI4426" i="11"/>
  <c r="AJ4415" i="11"/>
  <c r="AI4412" i="11"/>
  <c r="AJ4408" i="11"/>
  <c r="AJ4401" i="11"/>
  <c r="AI4394" i="11"/>
  <c r="AI4387" i="11"/>
  <c r="AJ4384" i="11"/>
  <c r="AI4379" i="11"/>
  <c r="AJ4376" i="11"/>
  <c r="AI4371" i="11"/>
  <c r="AJ4368" i="11"/>
  <c r="AI4363" i="11"/>
  <c r="AJ4360" i="11"/>
  <c r="AI4355" i="11"/>
  <c r="AJ4352" i="11"/>
  <c r="AI4347" i="11"/>
  <c r="AJ4344" i="11"/>
  <c r="AI4339" i="11"/>
  <c r="AJ4336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6070" i="11"/>
  <c r="AI5366" i="11"/>
  <c r="AI5244" i="11"/>
  <c r="AJ5201" i="11"/>
  <c r="AI5116" i="11"/>
  <c r="AJ5073" i="11"/>
  <c r="AI4988" i="11"/>
  <c r="AJ4945" i="11"/>
  <c r="AI4860" i="11"/>
  <c r="AI4820" i="11"/>
  <c r="AJ4777" i="11"/>
  <c r="AI4756" i="11"/>
  <c r="AJ4713" i="11"/>
  <c r="AI4692" i="11"/>
  <c r="AJ4649" i="11"/>
  <c r="AI4628" i="11"/>
  <c r="AJ4585" i="11"/>
  <c r="AI4564" i="11"/>
  <c r="AJ4521" i="11"/>
  <c r="AI4500" i="11"/>
  <c r="AJ4457" i="11"/>
  <c r="AI4436" i="11"/>
  <c r="AI4415" i="11"/>
  <c r="AI4376" i="11"/>
  <c r="AJ4365" i="11"/>
  <c r="AI4344" i="11"/>
  <c r="AJ4333" i="11"/>
  <c r="AJ4325" i="11"/>
  <c r="AI4320" i="11"/>
  <c r="AJ4309" i="11"/>
  <c r="AI4304" i="11"/>
  <c r="AJ4293" i="11"/>
  <c r="AI4288" i="11"/>
  <c r="AJ4277" i="11"/>
  <c r="AI4272" i="11"/>
  <c r="AJ4261" i="11"/>
  <c r="AI4256" i="11"/>
  <c r="AJ4245" i="11"/>
  <c r="AI4240" i="11"/>
  <c r="AJ4229" i="11"/>
  <c r="AI4224" i="11"/>
  <c r="AJ4213" i="11"/>
  <c r="AI4208" i="11"/>
  <c r="AJ4197" i="11"/>
  <c r="AI4192" i="11"/>
  <c r="AJ4181" i="11"/>
  <c r="AI4176" i="11"/>
  <c r="AJ4165" i="11"/>
  <c r="AI4160" i="11"/>
  <c r="AJ4149" i="11"/>
  <c r="AI4144" i="11"/>
  <c r="AJ4133" i="11"/>
  <c r="AI4128" i="11"/>
  <c r="AJ4117" i="11"/>
  <c r="AI4112" i="11"/>
  <c r="AJ4101" i="11"/>
  <c r="AI4096" i="11"/>
  <c r="AJ4085" i="11"/>
  <c r="AI4080" i="11"/>
  <c r="AJ4069" i="11"/>
  <c r="AI4064" i="11"/>
  <c r="AJ4053" i="11"/>
  <c r="AI4048" i="11"/>
  <c r="AJ4037" i="11"/>
  <c r="AI4032" i="11"/>
  <c r="AJ4021" i="11"/>
  <c r="AI4016" i="11"/>
  <c r="AJ4005" i="11"/>
  <c r="AI4000" i="11"/>
  <c r="AJ3989" i="11"/>
  <c r="AI3984" i="11"/>
  <c r="AJ3973" i="11"/>
  <c r="AI3968" i="11"/>
  <c r="AJ3957" i="11"/>
  <c r="AI3952" i="11"/>
  <c r="AJ3941" i="11"/>
  <c r="AI3936" i="11"/>
  <c r="AJ3925" i="11"/>
  <c r="AI3920" i="11"/>
  <c r="AJ3909" i="11"/>
  <c r="AI3904" i="11"/>
  <c r="AJ3893" i="11"/>
  <c r="AI3888" i="11"/>
  <c r="AJ3877" i="11"/>
  <c r="AI3872" i="11"/>
  <c r="AJ3861" i="11"/>
  <c r="AI3856" i="11"/>
  <c r="AJ3845" i="11"/>
  <c r="AI3840" i="11"/>
  <c r="AJ3829" i="11"/>
  <c r="AI3824" i="11"/>
  <c r="AJ3813" i="11"/>
  <c r="AI3808" i="11"/>
  <c r="AJ3797" i="11"/>
  <c r="AI3792" i="11"/>
  <c r="AJ3781" i="11"/>
  <c r="AI3776" i="11"/>
  <c r="AJ3765" i="11"/>
  <c r="AI3760" i="11"/>
  <c r="AJ3749" i="11"/>
  <c r="AI3744" i="11"/>
  <c r="AJ3733" i="11"/>
  <c r="AI3728" i="11"/>
  <c r="AJ3717" i="11"/>
  <c r="AI3712" i="11"/>
  <c r="AJ3701" i="11"/>
  <c r="AI3696" i="11"/>
  <c r="AJ3685" i="11"/>
  <c r="AI3680" i="11"/>
  <c r="AJ3669" i="11"/>
  <c r="AI3664" i="11"/>
  <c r="AJ3653" i="11"/>
  <c r="AI3648" i="11"/>
  <c r="AJ3637" i="11"/>
  <c r="AI3632" i="11"/>
  <c r="AJ3621" i="11"/>
  <c r="AI3616" i="11"/>
  <c r="AJ3605" i="11"/>
  <c r="AI3600" i="11"/>
  <c r="AJ3589" i="11"/>
  <c r="AI3584" i="11"/>
  <c r="AJ3573" i="11"/>
  <c r="AI3568" i="11"/>
  <c r="AJ3557" i="11"/>
  <c r="AI3552" i="11"/>
  <c r="AJ3541" i="11"/>
  <c r="AI3536" i="11"/>
  <c r="AJ3525" i="11"/>
  <c r="AI3520" i="11"/>
  <c r="AJ3509" i="11"/>
  <c r="AI3504" i="11"/>
  <c r="AJ3493" i="11"/>
  <c r="AI3488" i="11"/>
  <c r="AJ3477" i="11"/>
  <c r="AI3472" i="11"/>
  <c r="AJ3461" i="11"/>
  <c r="AI3456" i="11"/>
  <c r="AJ3445" i="11"/>
  <c r="AI3440" i="11"/>
  <c r="AJ3429" i="11"/>
  <c r="AI3424" i="11"/>
  <c r="AJ3421" i="11"/>
  <c r="AI3416" i="11"/>
  <c r="AJ3413" i="11"/>
  <c r="AI3408" i="11"/>
  <c r="AJ3405" i="11"/>
  <c r="AI3400" i="11"/>
  <c r="AJ3397" i="11"/>
  <c r="AI3392" i="11"/>
  <c r="AJ3389" i="11"/>
  <c r="AI3384" i="11"/>
  <c r="AJ3381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J5463" i="11"/>
  <c r="AI5276" i="11"/>
  <c r="AJ5233" i="11"/>
  <c r="AI5148" i="11"/>
  <c r="AJ5105" i="11"/>
  <c r="AI5020" i="11"/>
  <c r="AJ4977" i="11"/>
  <c r="AI4892" i="11"/>
  <c r="AJ4849" i="11"/>
  <c r="AJ4793" i="11"/>
  <c r="AI4772" i="11"/>
  <c r="AJ4729" i="11"/>
  <c r="AI4708" i="11"/>
  <c r="AJ4665" i="11"/>
  <c r="AI4644" i="11"/>
  <c r="AJ4601" i="11"/>
  <c r="AI4580" i="11"/>
  <c r="AJ4537" i="11"/>
  <c r="AI4516" i="11"/>
  <c r="AJ4473" i="11"/>
  <c r="AI4452" i="11"/>
  <c r="AJ4411" i="11"/>
  <c r="AJ4397" i="11"/>
  <c r="AI4384" i="11"/>
  <c r="AJ4373" i="11"/>
  <c r="AI4352" i="11"/>
  <c r="AJ4341" i="11"/>
  <c r="AI4324" i="11"/>
  <c r="AJ4313" i="11"/>
  <c r="AI4308" i="11"/>
  <c r="AJ4297" i="11"/>
  <c r="AI4292" i="11"/>
  <c r="AJ4281" i="11"/>
  <c r="AI4276" i="11"/>
  <c r="AJ4265" i="11"/>
  <c r="AI4260" i="11"/>
  <c r="AJ4249" i="11"/>
  <c r="AI4244" i="11"/>
  <c r="AJ4233" i="11"/>
  <c r="AI4228" i="11"/>
  <c r="AJ4217" i="11"/>
  <c r="AI4212" i="11"/>
  <c r="AJ4201" i="11"/>
  <c r="AI4196" i="11"/>
  <c r="AJ4185" i="11"/>
  <c r="AI4180" i="11"/>
  <c r="AJ4169" i="11"/>
  <c r="AI4164" i="11"/>
  <c r="AJ4153" i="11"/>
  <c r="AI4148" i="11"/>
  <c r="AJ4137" i="11"/>
  <c r="AI4132" i="11"/>
  <c r="AJ4121" i="11"/>
  <c r="AI4116" i="11"/>
  <c r="AJ4105" i="11"/>
  <c r="AI4100" i="11"/>
  <c r="AJ4089" i="11"/>
  <c r="AI4084" i="11"/>
  <c r="AJ4073" i="11"/>
  <c r="AI4068" i="11"/>
  <c r="AJ4057" i="11"/>
  <c r="AI4052" i="11"/>
  <c r="AJ4041" i="11"/>
  <c r="AI4036" i="11"/>
  <c r="AJ4025" i="11"/>
  <c r="AI4020" i="11"/>
  <c r="AJ4009" i="11"/>
  <c r="AI4004" i="11"/>
  <c r="AJ3993" i="11"/>
  <c r="AI3988" i="11"/>
  <c r="AJ3977" i="11"/>
  <c r="AI3972" i="11"/>
  <c r="AJ3961" i="11"/>
  <c r="AI3956" i="11"/>
  <c r="AJ3945" i="11"/>
  <c r="AI3940" i="11"/>
  <c r="AJ3929" i="11"/>
  <c r="AI3924" i="11"/>
  <c r="AJ3913" i="11"/>
  <c r="AI3908" i="11"/>
  <c r="AJ3897" i="11"/>
  <c r="AI3892" i="11"/>
  <c r="AJ3881" i="11"/>
  <c r="AI3876" i="11"/>
  <c r="AJ3865" i="11"/>
  <c r="AI3860" i="11"/>
  <c r="AJ3849" i="11"/>
  <c r="AI3844" i="11"/>
  <c r="AJ3833" i="11"/>
  <c r="AI3828" i="11"/>
  <c r="AJ3817" i="11"/>
  <c r="AI3812" i="11"/>
  <c r="AJ3801" i="11"/>
  <c r="AI3796" i="11"/>
  <c r="AJ3785" i="11"/>
  <c r="AI3780" i="11"/>
  <c r="AJ3769" i="11"/>
  <c r="AI3764" i="11"/>
  <c r="AJ3753" i="11"/>
  <c r="AI3748" i="11"/>
  <c r="AJ3737" i="11"/>
  <c r="AI3732" i="11"/>
  <c r="AJ3721" i="11"/>
  <c r="AI3716" i="11"/>
  <c r="AJ3705" i="11"/>
  <c r="AI3700" i="11"/>
  <c r="AJ3689" i="11"/>
  <c r="AI3684" i="11"/>
  <c r="AJ3673" i="11"/>
  <c r="AI3668" i="11"/>
  <c r="AJ3657" i="11"/>
  <c r="AI3652" i="11"/>
  <c r="AJ3641" i="11"/>
  <c r="AI3636" i="11"/>
  <c r="AJ3625" i="11"/>
  <c r="AI3620" i="11"/>
  <c r="AJ3609" i="11"/>
  <c r="AI3604" i="11"/>
  <c r="AJ3593" i="11"/>
  <c r="AI3588" i="11"/>
  <c r="AJ3577" i="11"/>
  <c r="AI3572" i="11"/>
  <c r="AJ3561" i="11"/>
  <c r="AI3556" i="11"/>
  <c r="AJ3545" i="11"/>
  <c r="AI3540" i="11"/>
  <c r="AJ3529" i="11"/>
  <c r="AI3524" i="11"/>
  <c r="AJ3513" i="11"/>
  <c r="AI3508" i="11"/>
  <c r="AJ3497" i="11"/>
  <c r="AI3492" i="11"/>
  <c r="AJ3481" i="11"/>
  <c r="AI3476" i="11"/>
  <c r="AJ3465" i="11"/>
  <c r="AI3460" i="11"/>
  <c r="AJ3449" i="11"/>
  <c r="AI3444" i="11"/>
  <c r="AJ3433" i="11"/>
  <c r="AI3428" i="11"/>
  <c r="AI3423" i="11"/>
  <c r="AJ3420" i="11"/>
  <c r="AI3415" i="11"/>
  <c r="AJ3412" i="11"/>
  <c r="AI3407" i="11"/>
  <c r="AJ3404" i="11"/>
  <c r="AI3399" i="11"/>
  <c r="AJ3396" i="11"/>
  <c r="AI3391" i="11"/>
  <c r="AJ3388" i="11"/>
  <c r="AI3383" i="11"/>
  <c r="AJ3380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5719" i="11"/>
  <c r="AJ5323" i="11"/>
  <c r="AJ5265" i="11"/>
  <c r="AI5180" i="11"/>
  <c r="AJ5137" i="11"/>
  <c r="AI5052" i="11"/>
  <c r="AJ5009" i="11"/>
  <c r="AI4924" i="11"/>
  <c r="AJ4881" i="11"/>
  <c r="AJ4809" i="11"/>
  <c r="AI4788" i="11"/>
  <c r="AJ4745" i="11"/>
  <c r="AI4724" i="11"/>
  <c r="AJ4681" i="11"/>
  <c r="AI4660" i="11"/>
  <c r="AJ4617" i="11"/>
  <c r="AI4596" i="11"/>
  <c r="AJ4553" i="11"/>
  <c r="AI4532" i="11"/>
  <c r="AJ4489" i="11"/>
  <c r="AI4468" i="11"/>
  <c r="AJ4425" i="11"/>
  <c r="AI4408" i="11"/>
  <c r="AJ4381" i="11"/>
  <c r="AI4360" i="11"/>
  <c r="AJ4349" i="11"/>
  <c r="AI4328" i="11"/>
  <c r="AJ4317" i="11"/>
  <c r="AI4312" i="11"/>
  <c r="AJ4301" i="11"/>
  <c r="AI4296" i="11"/>
  <c r="AJ4285" i="11"/>
  <c r="AI4280" i="11"/>
  <c r="AJ4269" i="11"/>
  <c r="AI4264" i="11"/>
  <c r="AJ4253" i="11"/>
  <c r="AI4248" i="11"/>
  <c r="AJ4237" i="11"/>
  <c r="AI4232" i="11"/>
  <c r="AJ4221" i="11"/>
  <c r="AI4216" i="11"/>
  <c r="AJ4205" i="11"/>
  <c r="AI4200" i="11"/>
  <c r="AJ4189" i="11"/>
  <c r="AI4184" i="11"/>
  <c r="AJ4173" i="11"/>
  <c r="AI4168" i="11"/>
  <c r="AJ4157" i="11"/>
  <c r="AI4152" i="11"/>
  <c r="AJ4141" i="11"/>
  <c r="AI4136" i="11"/>
  <c r="AJ4125" i="11"/>
  <c r="AI4120" i="11"/>
  <c r="AJ4109" i="11"/>
  <c r="AI4104" i="11"/>
  <c r="AJ4093" i="11"/>
  <c r="AI4088" i="11"/>
  <c r="AJ4077" i="11"/>
  <c r="AI4072" i="11"/>
  <c r="AJ4061" i="11"/>
  <c r="AI4056" i="11"/>
  <c r="AJ4045" i="11"/>
  <c r="AI4040" i="11"/>
  <c r="AJ4029" i="11"/>
  <c r="AI4024" i="11"/>
  <c r="AJ4013" i="11"/>
  <c r="AI4008" i="11"/>
  <c r="AJ3997" i="11"/>
  <c r="AI3992" i="11"/>
  <c r="AJ3981" i="11"/>
  <c r="AI3976" i="11"/>
  <c r="AJ3965" i="11"/>
  <c r="AI3960" i="11"/>
  <c r="AJ3949" i="11"/>
  <c r="AI3944" i="11"/>
  <c r="AJ3933" i="11"/>
  <c r="AI3928" i="11"/>
  <c r="AJ3917" i="11"/>
  <c r="AI3912" i="11"/>
  <c r="AJ3901" i="11"/>
  <c r="AI3896" i="11"/>
  <c r="AJ3885" i="11"/>
  <c r="AI3880" i="11"/>
  <c r="AJ3869" i="11"/>
  <c r="AI3864" i="11"/>
  <c r="AJ3853" i="11"/>
  <c r="AI3848" i="11"/>
  <c r="AJ3837" i="11"/>
  <c r="AI3832" i="11"/>
  <c r="AJ3821" i="11"/>
  <c r="AI3816" i="11"/>
  <c r="AJ3805" i="11"/>
  <c r="AI3800" i="11"/>
  <c r="AJ3789" i="11"/>
  <c r="AI3784" i="11"/>
  <c r="AJ3773" i="11"/>
  <c r="AI3768" i="11"/>
  <c r="AJ3757" i="11"/>
  <c r="AI3752" i="11"/>
  <c r="AJ3741" i="11"/>
  <c r="AI3736" i="11"/>
  <c r="AJ3725" i="11"/>
  <c r="AI3720" i="11"/>
  <c r="AJ3709" i="11"/>
  <c r="AI3704" i="11"/>
  <c r="AJ3693" i="11"/>
  <c r="AI3688" i="11"/>
  <c r="AJ3677" i="11"/>
  <c r="AI3672" i="11"/>
  <c r="AJ3661" i="11"/>
  <c r="AI3656" i="11"/>
  <c r="AJ3645" i="11"/>
  <c r="AI3640" i="11"/>
  <c r="AJ3629" i="11"/>
  <c r="AI3624" i="11"/>
  <c r="AJ3613" i="11"/>
  <c r="AI3608" i="11"/>
  <c r="AJ3597" i="11"/>
  <c r="AI3592" i="11"/>
  <c r="AJ3581" i="11"/>
  <c r="AI3576" i="11"/>
  <c r="AJ3565" i="11"/>
  <c r="AI3560" i="11"/>
  <c r="AJ3549" i="11"/>
  <c r="AI3544" i="11"/>
  <c r="AJ3533" i="11"/>
  <c r="AI3528" i="11"/>
  <c r="AJ3517" i="11"/>
  <c r="AI3512" i="11"/>
  <c r="AJ3501" i="11"/>
  <c r="AI3496" i="11"/>
  <c r="AJ3485" i="11"/>
  <c r="AI3480" i="11"/>
  <c r="AJ3469" i="11"/>
  <c r="AI3464" i="11"/>
  <c r="AJ3453" i="11"/>
  <c r="AI3448" i="11"/>
  <c r="AJ3437" i="11"/>
  <c r="AI3432" i="11"/>
  <c r="AI3420" i="11"/>
  <c r="AJ3417" i="11"/>
  <c r="AI3412" i="11"/>
  <c r="AJ3409" i="11"/>
  <c r="AI3404" i="11"/>
  <c r="AJ3401" i="11"/>
  <c r="AI3396" i="11"/>
  <c r="AJ3393" i="11"/>
  <c r="AI3388" i="11"/>
  <c r="AJ3385" i="11"/>
  <c r="AI3380" i="11"/>
  <c r="AJ3377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I5634" i="11"/>
  <c r="AI5212" i="11"/>
  <c r="AJ5041" i="11"/>
  <c r="AJ4761" i="11"/>
  <c r="AI4676" i="11"/>
  <c r="AJ4505" i="11"/>
  <c r="AI4420" i="11"/>
  <c r="AI4368" i="11"/>
  <c r="AJ4305" i="11"/>
  <c r="AI4284" i="11"/>
  <c r="AJ4241" i="11"/>
  <c r="AI4220" i="11"/>
  <c r="AJ4177" i="11"/>
  <c r="AI4156" i="11"/>
  <c r="AJ4113" i="11"/>
  <c r="AI4092" i="11"/>
  <c r="AJ4049" i="11"/>
  <c r="AI4028" i="11"/>
  <c r="AJ3985" i="11"/>
  <c r="AI3964" i="11"/>
  <c r="AJ3921" i="11"/>
  <c r="AI3900" i="11"/>
  <c r="AJ3857" i="11"/>
  <c r="AI3836" i="11"/>
  <c r="AJ3793" i="11"/>
  <c r="AI3772" i="11"/>
  <c r="AJ3729" i="11"/>
  <c r="AI3708" i="11"/>
  <c r="AJ3665" i="11"/>
  <c r="AI3644" i="11"/>
  <c r="AJ3601" i="11"/>
  <c r="AI3580" i="11"/>
  <c r="AJ3537" i="11"/>
  <c r="AI3516" i="11"/>
  <c r="AJ3473" i="11"/>
  <c r="AI3452" i="11"/>
  <c r="AJ3416" i="11"/>
  <c r="AI3395" i="11"/>
  <c r="AJ3384" i="11"/>
  <c r="AI3375" i="11"/>
  <c r="AJ3364" i="11"/>
  <c r="AI3359" i="11"/>
  <c r="AJ3348" i="11"/>
  <c r="AI3343" i="11"/>
  <c r="AJ3332" i="11"/>
  <c r="AI3327" i="11"/>
  <c r="AJ3316" i="11"/>
  <c r="AI3311" i="11"/>
  <c r="AJ3300" i="11"/>
  <c r="AI3295" i="11"/>
  <c r="AJ3284" i="11"/>
  <c r="AI3279" i="11"/>
  <c r="AJ3268" i="11"/>
  <c r="AI3263" i="11"/>
  <c r="AJ3252" i="11"/>
  <c r="AI3247" i="11"/>
  <c r="AJ3236" i="11"/>
  <c r="AI3231" i="11"/>
  <c r="AJ3220" i="11"/>
  <c r="AI3215" i="11"/>
  <c r="AJ3204" i="11"/>
  <c r="AI3199" i="11"/>
  <c r="AJ3188" i="11"/>
  <c r="AI3183" i="11"/>
  <c r="AJ3172" i="11"/>
  <c r="AI3167" i="11"/>
  <c r="AJ3156" i="11"/>
  <c r="AI3151" i="11"/>
  <c r="AJ3140" i="11"/>
  <c r="AI3135" i="11"/>
  <c r="AJ3124" i="11"/>
  <c r="AI3119" i="11"/>
  <c r="AJ3108" i="11"/>
  <c r="AI3103" i="11"/>
  <c r="AJ3092" i="11"/>
  <c r="AI3087" i="11"/>
  <c r="AJ3076" i="11"/>
  <c r="AI3071" i="11"/>
  <c r="AJ3060" i="11"/>
  <c r="AI3055" i="11"/>
  <c r="AJ3044" i="11"/>
  <c r="AI3039" i="11"/>
  <c r="AJ3028" i="11"/>
  <c r="AI3023" i="11"/>
  <c r="AJ3012" i="11"/>
  <c r="AI3007" i="11"/>
  <c r="AJ2996" i="11"/>
  <c r="AI2991" i="11"/>
  <c r="AJ2980" i="11"/>
  <c r="AI2975" i="11"/>
  <c r="AJ2964" i="11"/>
  <c r="AI2959" i="11"/>
  <c r="AJ2948" i="11"/>
  <c r="AI2943" i="11"/>
  <c r="AJ2932" i="11"/>
  <c r="AI2927" i="11"/>
  <c r="AJ2916" i="11"/>
  <c r="AI2911" i="11"/>
  <c r="AJ2900" i="11"/>
  <c r="AI2895" i="11"/>
  <c r="AJ2884" i="11"/>
  <c r="AI2879" i="11"/>
  <c r="AJ2868" i="11"/>
  <c r="AI2863" i="11"/>
  <c r="AJ2852" i="11"/>
  <c r="AI2847" i="11"/>
  <c r="AJ2836" i="11"/>
  <c r="AI2831" i="11"/>
  <c r="AJ2820" i="11"/>
  <c r="AI2815" i="11"/>
  <c r="AJ2804" i="11"/>
  <c r="AI2799" i="11"/>
  <c r="AJ2788" i="11"/>
  <c r="AI2783" i="11"/>
  <c r="AJ2772" i="11"/>
  <c r="AI2767" i="11"/>
  <c r="AJ2756" i="11"/>
  <c r="AI2751" i="11"/>
  <c r="AJ2740" i="11"/>
  <c r="AI2735" i="11"/>
  <c r="AJ2724" i="11"/>
  <c r="AI2719" i="11"/>
  <c r="AJ2708" i="11"/>
  <c r="AI2703" i="11"/>
  <c r="AJ2692" i="11"/>
  <c r="AI2687" i="11"/>
  <c r="AJ2676" i="11"/>
  <c r="AI2671" i="11"/>
  <c r="AJ2660" i="11"/>
  <c r="AI2655" i="11"/>
  <c r="AJ2644" i="11"/>
  <c r="AI2639" i="11"/>
  <c r="AJ2628" i="11"/>
  <c r="AI2623" i="11"/>
  <c r="AJ2612" i="11"/>
  <c r="AI2607" i="11"/>
  <c r="AJ2596" i="11"/>
  <c r="AI2591" i="11"/>
  <c r="AJ2580" i="11"/>
  <c r="AI2575" i="11"/>
  <c r="AJ2564" i="11"/>
  <c r="AI2559" i="11"/>
  <c r="AJ2548" i="11"/>
  <c r="AI2543" i="11"/>
  <c r="AJ2532" i="11"/>
  <c r="AI2527" i="11"/>
  <c r="AJ2516" i="11"/>
  <c r="AI2511" i="11"/>
  <c r="AJ2500" i="11"/>
  <c r="AI2495" i="11"/>
  <c r="AJ2484" i="11"/>
  <c r="AI2479" i="11"/>
  <c r="AJ2468" i="11"/>
  <c r="AI2463" i="11"/>
  <c r="AJ2452" i="11"/>
  <c r="AI2447" i="11"/>
  <c r="AJ2436" i="11"/>
  <c r="AI2431" i="11"/>
  <c r="AJ2420" i="11"/>
  <c r="AI2415" i="11"/>
  <c r="AJ2404" i="11"/>
  <c r="AI2399" i="11"/>
  <c r="AJ2388" i="11"/>
  <c r="AI2383" i="11"/>
  <c r="AJ2372" i="11"/>
  <c r="AI2367" i="11"/>
  <c r="AJ2356" i="11"/>
  <c r="AI2351" i="11"/>
  <c r="AJ2340" i="11"/>
  <c r="AI2335" i="11"/>
  <c r="AJ2324" i="11"/>
  <c r="AI2319" i="11"/>
  <c r="AJ2308" i="11"/>
  <c r="AI2303" i="11"/>
  <c r="AJ2292" i="11"/>
  <c r="AI2287" i="11"/>
  <c r="AJ2276" i="11"/>
  <c r="AI2271" i="11"/>
  <c r="AJ2260" i="11"/>
  <c r="AI2255" i="11"/>
  <c r="AJ2244" i="11"/>
  <c r="AI2239" i="11"/>
  <c r="AJ2228" i="11"/>
  <c r="AI2223" i="11"/>
  <c r="AJ2212" i="11"/>
  <c r="AI2207" i="11"/>
  <c r="AJ2196" i="11"/>
  <c r="AI2191" i="11"/>
  <c r="AJ2180" i="11"/>
  <c r="AI2175" i="11"/>
  <c r="AJ2164" i="11"/>
  <c r="AI2159" i="11"/>
  <c r="AJ2148" i="11"/>
  <c r="AI2143" i="11"/>
  <c r="AJ2132" i="11"/>
  <c r="AI2127" i="11"/>
  <c r="AJ2116" i="11"/>
  <c r="AI2111" i="11"/>
  <c r="AJ2108" i="11"/>
  <c r="AI2103" i="11"/>
  <c r="AJ2100" i="11"/>
  <c r="AI2095" i="11"/>
  <c r="AJ2092" i="11"/>
  <c r="AI2087" i="11"/>
  <c r="AJ2084" i="11"/>
  <c r="AI2079" i="11"/>
  <c r="AJ2076" i="11"/>
  <c r="AI2071" i="11"/>
  <c r="AJ2068" i="11"/>
  <c r="AI2063" i="11"/>
  <c r="AJ2060" i="11"/>
  <c r="AI2055" i="11"/>
  <c r="AJ2052" i="11"/>
  <c r="AI2047" i="11"/>
  <c r="AJ2044" i="11"/>
  <c r="AI2039" i="11"/>
  <c r="AJ2036" i="11"/>
  <c r="AI2031" i="11"/>
  <c r="AJ2028" i="11"/>
  <c r="AI2023" i="11"/>
  <c r="AJ2020" i="11"/>
  <c r="AI2015" i="11"/>
  <c r="AJ2012" i="11"/>
  <c r="AI2007" i="11"/>
  <c r="AJ2004" i="11"/>
  <c r="AI1999" i="11"/>
  <c r="AJ1996" i="11"/>
  <c r="AI1991" i="11"/>
  <c r="AJ1988" i="11"/>
  <c r="AI1983" i="11"/>
  <c r="AJ1980" i="11"/>
  <c r="AI1975" i="11"/>
  <c r="AJ1972" i="11"/>
  <c r="AI1967" i="11"/>
  <c r="AJ1964" i="11"/>
  <c r="AI1959" i="11"/>
  <c r="AJ1956" i="11"/>
  <c r="AI1951" i="11"/>
  <c r="AJ1948" i="11"/>
  <c r="AI1943" i="11"/>
  <c r="AJ1940" i="11"/>
  <c r="AI1935" i="11"/>
  <c r="AJ1932" i="11"/>
  <c r="AI1927" i="11"/>
  <c r="AJ1924" i="11"/>
  <c r="AI1919" i="11"/>
  <c r="AJ1916" i="11"/>
  <c r="AI1911" i="11"/>
  <c r="AJ1908" i="11"/>
  <c r="AI1903" i="11"/>
  <c r="AJ1900" i="11"/>
  <c r="AI1895" i="11"/>
  <c r="AJ1892" i="11"/>
  <c r="AI1887" i="11"/>
  <c r="AJ1884" i="11"/>
  <c r="AI1879" i="11"/>
  <c r="AJ1876" i="11"/>
  <c r="AI1871" i="11"/>
  <c r="AJ1868" i="11"/>
  <c r="AI1863" i="11"/>
  <c r="AJ1860" i="11"/>
  <c r="AI1855" i="11"/>
  <c r="AJ1852" i="11"/>
  <c r="AI1847" i="11"/>
  <c r="AJ1844" i="11"/>
  <c r="AI1839" i="11"/>
  <c r="AJ1836" i="11"/>
  <c r="AI1831" i="11"/>
  <c r="AJ1828" i="11"/>
  <c r="AI1823" i="11"/>
  <c r="AI1819" i="11"/>
  <c r="AI1817" i="11"/>
  <c r="AJ1815" i="11"/>
  <c r="AI1810" i="11"/>
  <c r="AJ1808" i="11"/>
  <c r="AJ1806" i="11"/>
  <c r="AI1803" i="11"/>
  <c r="AI1801" i="11"/>
  <c r="AJ1799" i="11"/>
  <c r="AI1794" i="11"/>
  <c r="AJ1792" i="11"/>
  <c r="AJ1790" i="11"/>
  <c r="AI1787" i="11"/>
  <c r="AI1785" i="11"/>
  <c r="AJ1783" i="11"/>
  <c r="AI1778" i="11"/>
  <c r="AJ1776" i="11"/>
  <c r="AJ1774" i="11"/>
  <c r="AI1771" i="11"/>
  <c r="AI1769" i="11"/>
  <c r="AJ1767" i="11"/>
  <c r="AI1762" i="11"/>
  <c r="AJ1760" i="11"/>
  <c r="AJ1758" i="11"/>
  <c r="AI1755" i="11"/>
  <c r="AI1753" i="11"/>
  <c r="AJ1751" i="11"/>
  <c r="AI1746" i="11"/>
  <c r="AJ1744" i="11"/>
  <c r="AJ1742" i="11"/>
  <c r="AI1739" i="11"/>
  <c r="AI1737" i="11"/>
  <c r="AJ1735" i="11"/>
  <c r="AI1730" i="11"/>
  <c r="AJ1728" i="11"/>
  <c r="AJ1726" i="11"/>
  <c r="AI1723" i="11"/>
  <c r="AI1721" i="11"/>
  <c r="AJ1719" i="11"/>
  <c r="AI1714" i="11"/>
  <c r="AJ1712" i="11"/>
  <c r="AJ1710" i="11"/>
  <c r="AI1707" i="11"/>
  <c r="AI1705" i="11"/>
  <c r="AJ1703" i="11"/>
  <c r="AI1698" i="11"/>
  <c r="AJ1696" i="11"/>
  <c r="AJ1694" i="11"/>
  <c r="AI1691" i="11"/>
  <c r="AI1689" i="11"/>
  <c r="AJ1687" i="11"/>
  <c r="AI1682" i="11"/>
  <c r="AJ1680" i="11"/>
  <c r="AJ1678" i="11"/>
  <c r="AI1675" i="11"/>
  <c r="AI1673" i="11"/>
  <c r="AJ1671" i="11"/>
  <c r="AI1666" i="11"/>
  <c r="AJ1664" i="11"/>
  <c r="AJ1662" i="11"/>
  <c r="AI1659" i="11"/>
  <c r="AI1657" i="11"/>
  <c r="AJ1655" i="11"/>
  <c r="AI1650" i="11"/>
  <c r="AJ1648" i="11"/>
  <c r="AJ1646" i="11"/>
  <c r="AI1643" i="11"/>
  <c r="AI1641" i="11"/>
  <c r="AJ1639" i="11"/>
  <c r="AI1634" i="11"/>
  <c r="AJ1632" i="11"/>
  <c r="AJ1630" i="11"/>
  <c r="AI1627" i="11"/>
  <c r="AI1625" i="11"/>
  <c r="AJ1623" i="11"/>
  <c r="AI1618" i="11"/>
  <c r="AJ1616" i="11"/>
  <c r="AJ1614" i="11"/>
  <c r="AI1611" i="11"/>
  <c r="AI1609" i="11"/>
  <c r="AJ1607" i="11"/>
  <c r="AI1602" i="11"/>
  <c r="AJ1600" i="11"/>
  <c r="AJ1598" i="11"/>
  <c r="AI1595" i="11"/>
  <c r="AI1593" i="11"/>
  <c r="AJ1591" i="11"/>
  <c r="AI1586" i="11"/>
  <c r="AJ1584" i="11"/>
  <c r="AJ1582" i="11"/>
  <c r="AI1579" i="11"/>
  <c r="AI1577" i="11"/>
  <c r="AJ1575" i="11"/>
  <c r="AI1570" i="11"/>
  <c r="AJ1568" i="11"/>
  <c r="AJ1566" i="11"/>
  <c r="AI1563" i="11"/>
  <c r="AI1561" i="11"/>
  <c r="AJ1559" i="11"/>
  <c r="AI1554" i="11"/>
  <c r="AJ1552" i="11"/>
  <c r="AJ1550" i="11"/>
  <c r="AI1547" i="11"/>
  <c r="AI1545" i="11"/>
  <c r="AJ1543" i="11"/>
  <c r="AI1538" i="11"/>
  <c r="AJ1536" i="11"/>
  <c r="AJ1534" i="11"/>
  <c r="AI1531" i="11"/>
  <c r="AI1529" i="11"/>
  <c r="AJ1527" i="11"/>
  <c r="AI1522" i="11"/>
  <c r="AJ1520" i="11"/>
  <c r="AJ1518" i="11"/>
  <c r="AI1515" i="11"/>
  <c r="AI1513" i="11"/>
  <c r="AJ1511" i="11"/>
  <c r="AI1506" i="11"/>
  <c r="AJ1504" i="11"/>
  <c r="AJ1502" i="11"/>
  <c r="AI1499" i="11"/>
  <c r="AI1497" i="11"/>
  <c r="AJ1495" i="11"/>
  <c r="AI1490" i="11"/>
  <c r="AJ1488" i="11"/>
  <c r="AJ1486" i="11"/>
  <c r="AI1483" i="11"/>
  <c r="AI1481" i="11"/>
  <c r="AJ1479" i="11"/>
  <c r="AI1474" i="11"/>
  <c r="AJ1472" i="11"/>
  <c r="AJ1470" i="11"/>
  <c r="AI1467" i="11"/>
  <c r="AI1465" i="11"/>
  <c r="AJ1463" i="11"/>
  <c r="AI1458" i="11"/>
  <c r="AJ1456" i="11"/>
  <c r="AJ1454" i="11"/>
  <c r="AI1451" i="11"/>
  <c r="AI1449" i="11"/>
  <c r="AJ1447" i="11"/>
  <c r="AI1442" i="11"/>
  <c r="AJ1440" i="11"/>
  <c r="AJ1438" i="11"/>
  <c r="AI1435" i="11"/>
  <c r="AI1433" i="11"/>
  <c r="AJ1431" i="11"/>
  <c r="AI1426" i="11"/>
  <c r="AJ1424" i="11"/>
  <c r="AJ1422" i="11"/>
  <c r="AI1419" i="11"/>
  <c r="AI1417" i="11"/>
  <c r="AJ1415" i="11"/>
  <c r="AI1410" i="11"/>
  <c r="AJ1408" i="11"/>
  <c r="AJ1406" i="11"/>
  <c r="AI1403" i="11"/>
  <c r="AI1401" i="11"/>
  <c r="AJ1399" i="11"/>
  <c r="AI1394" i="11"/>
  <c r="AJ1392" i="11"/>
  <c r="AJ1390" i="11"/>
  <c r="AI1387" i="11"/>
  <c r="AI1385" i="11"/>
  <c r="AJ1383" i="11"/>
  <c r="AI1378" i="11"/>
  <c r="AJ1376" i="11"/>
  <c r="AJ1374" i="11"/>
  <c r="AI1371" i="11"/>
  <c r="AI1369" i="11"/>
  <c r="AJ1367" i="11"/>
  <c r="AI1362" i="11"/>
  <c r="AJ1360" i="11"/>
  <c r="AJ1358" i="11"/>
  <c r="AI1355" i="11"/>
  <c r="AI1353" i="11"/>
  <c r="AJ1351" i="11"/>
  <c r="AI1346" i="11"/>
  <c r="AJ1344" i="11"/>
  <c r="AJ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J179" i="11"/>
  <c r="AI178" i="11"/>
  <c r="AJ175" i="11"/>
  <c r="AI174" i="11"/>
  <c r="AJ171" i="11"/>
  <c r="AI170" i="11"/>
  <c r="AJ167" i="11"/>
  <c r="AI166" i="11"/>
  <c r="AJ163" i="11"/>
  <c r="AI162" i="11"/>
  <c r="AJ159" i="11"/>
  <c r="AI158" i="11"/>
  <c r="AI155" i="11"/>
  <c r="AJ154" i="11"/>
  <c r="AI151" i="11"/>
  <c r="AJ150" i="11"/>
  <c r="AI147" i="11"/>
  <c r="AJ144" i="11"/>
  <c r="AI143" i="11"/>
  <c r="AI140" i="11"/>
  <c r="AJ139" i="11"/>
  <c r="AI136" i="11"/>
  <c r="AJ135" i="11"/>
  <c r="AI132" i="11"/>
  <c r="AJ129" i="11"/>
  <c r="AJ128" i="11"/>
  <c r="AI125" i="11"/>
  <c r="AJ124" i="11"/>
  <c r="AI121" i="11"/>
  <c r="AJ120" i="11"/>
  <c r="AJ117" i="11"/>
  <c r="AI116" i="11"/>
  <c r="AI115" i="11"/>
  <c r="AJ5387" i="11"/>
  <c r="AJ5169" i="11"/>
  <c r="AI4828" i="11"/>
  <c r="AI4740" i="11"/>
  <c r="AJ4569" i="11"/>
  <c r="AI4484" i="11"/>
  <c r="AJ4404" i="11"/>
  <c r="AJ4357" i="11"/>
  <c r="AJ4321" i="11"/>
  <c r="AI4300" i="11"/>
  <c r="AJ4257" i="11"/>
  <c r="AI4236" i="11"/>
  <c r="AJ4193" i="11"/>
  <c r="AI4172" i="11"/>
  <c r="AJ4129" i="11"/>
  <c r="AI4108" i="11"/>
  <c r="AJ4065" i="11"/>
  <c r="AI4044" i="11"/>
  <c r="AJ4001" i="11"/>
  <c r="AI3980" i="11"/>
  <c r="AJ3937" i="11"/>
  <c r="AI3916" i="11"/>
  <c r="AJ3873" i="11"/>
  <c r="AI3852" i="11"/>
  <c r="AJ3809" i="11"/>
  <c r="AI3788" i="11"/>
  <c r="AJ3745" i="11"/>
  <c r="AI3724" i="11"/>
  <c r="AJ3681" i="11"/>
  <c r="AI3660" i="11"/>
  <c r="AJ3617" i="11"/>
  <c r="AI3596" i="11"/>
  <c r="AJ3553" i="11"/>
  <c r="AI3532" i="11"/>
  <c r="AJ3489" i="11"/>
  <c r="AI3468" i="11"/>
  <c r="AJ3425" i="11"/>
  <c r="AI3403" i="11"/>
  <c r="AJ3392" i="11"/>
  <c r="AJ3368" i="11"/>
  <c r="AI3363" i="11"/>
  <c r="AJ3352" i="11"/>
  <c r="AI3347" i="11"/>
  <c r="AJ3336" i="11"/>
  <c r="AI3331" i="11"/>
  <c r="AJ3320" i="11"/>
  <c r="AI3315" i="11"/>
  <c r="AJ3304" i="11"/>
  <c r="AI3299" i="11"/>
  <c r="AJ3288" i="11"/>
  <c r="AI3283" i="11"/>
  <c r="AJ3272" i="11"/>
  <c r="AI3267" i="11"/>
  <c r="AJ3256" i="11"/>
  <c r="AI3251" i="11"/>
  <c r="AJ3240" i="11"/>
  <c r="AI3235" i="11"/>
  <c r="AJ3224" i="11"/>
  <c r="AI3219" i="11"/>
  <c r="AJ3208" i="11"/>
  <c r="AI3203" i="11"/>
  <c r="AJ3192" i="11"/>
  <c r="AI3187" i="11"/>
  <c r="AJ3176" i="11"/>
  <c r="AI3171" i="11"/>
  <c r="AJ3160" i="11"/>
  <c r="AI3155" i="11"/>
  <c r="AJ3144" i="11"/>
  <c r="AI3139" i="11"/>
  <c r="AJ3128" i="11"/>
  <c r="AI3123" i="11"/>
  <c r="AJ3112" i="11"/>
  <c r="AI3107" i="11"/>
  <c r="AJ3096" i="11"/>
  <c r="AI3091" i="11"/>
  <c r="AJ3080" i="11"/>
  <c r="AI3075" i="11"/>
  <c r="AJ3064" i="11"/>
  <c r="AI3059" i="11"/>
  <c r="AJ3048" i="11"/>
  <c r="AI3043" i="11"/>
  <c r="AJ3032" i="11"/>
  <c r="AI3027" i="11"/>
  <c r="AJ3016" i="11"/>
  <c r="AI3011" i="11"/>
  <c r="AJ3000" i="11"/>
  <c r="AI2995" i="11"/>
  <c r="AJ2984" i="11"/>
  <c r="AI2979" i="11"/>
  <c r="AJ2968" i="11"/>
  <c r="AI2963" i="11"/>
  <c r="AJ2952" i="11"/>
  <c r="AI2947" i="11"/>
  <c r="AJ2936" i="11"/>
  <c r="AI2931" i="11"/>
  <c r="AJ2920" i="11"/>
  <c r="AI2915" i="11"/>
  <c r="AJ2904" i="11"/>
  <c r="AI2899" i="11"/>
  <c r="AJ2888" i="11"/>
  <c r="AI2883" i="11"/>
  <c r="AJ2872" i="11"/>
  <c r="AI2867" i="11"/>
  <c r="AJ2856" i="11"/>
  <c r="AI2851" i="11"/>
  <c r="AJ2840" i="11"/>
  <c r="AI2835" i="11"/>
  <c r="AJ2824" i="11"/>
  <c r="AI2819" i="11"/>
  <c r="AJ2808" i="11"/>
  <c r="AI2803" i="11"/>
  <c r="AJ2792" i="11"/>
  <c r="AI2787" i="11"/>
  <c r="AJ2776" i="11"/>
  <c r="AI2771" i="11"/>
  <c r="AJ2760" i="11"/>
  <c r="AI2755" i="11"/>
  <c r="AJ2744" i="11"/>
  <c r="AI2739" i="11"/>
  <c r="AJ2728" i="11"/>
  <c r="AI2723" i="11"/>
  <c r="AJ2712" i="11"/>
  <c r="AI2707" i="11"/>
  <c r="AJ2696" i="11"/>
  <c r="AI2691" i="11"/>
  <c r="AJ2680" i="11"/>
  <c r="AI2675" i="11"/>
  <c r="AJ2664" i="11"/>
  <c r="AI2659" i="11"/>
  <c r="AJ2648" i="11"/>
  <c r="AI2643" i="11"/>
  <c r="AJ2632" i="11"/>
  <c r="AI2627" i="11"/>
  <c r="AJ2616" i="11"/>
  <c r="AI2611" i="11"/>
  <c r="AJ2600" i="11"/>
  <c r="AI2595" i="11"/>
  <c r="AJ2584" i="11"/>
  <c r="AI2579" i="11"/>
  <c r="AJ2568" i="11"/>
  <c r="AI2563" i="11"/>
  <c r="AJ2552" i="11"/>
  <c r="AI2547" i="11"/>
  <c r="AJ2536" i="11"/>
  <c r="AI2531" i="11"/>
  <c r="AJ2520" i="11"/>
  <c r="AI2515" i="11"/>
  <c r="AJ2504" i="11"/>
  <c r="AI2499" i="11"/>
  <c r="AJ2488" i="11"/>
  <c r="AI2483" i="11"/>
  <c r="AJ2472" i="11"/>
  <c r="AI2467" i="11"/>
  <c r="AJ2456" i="11"/>
  <c r="AI2451" i="11"/>
  <c r="AJ2440" i="11"/>
  <c r="AI2435" i="11"/>
  <c r="AJ2424" i="11"/>
  <c r="AI2419" i="11"/>
  <c r="AJ2408" i="11"/>
  <c r="AI2403" i="11"/>
  <c r="AJ2392" i="11"/>
  <c r="AI2387" i="11"/>
  <c r="AJ2376" i="11"/>
  <c r="AI2371" i="11"/>
  <c r="AJ2360" i="11"/>
  <c r="AI2355" i="11"/>
  <c r="AJ2344" i="11"/>
  <c r="AI2339" i="11"/>
  <c r="AJ2328" i="11"/>
  <c r="AI2323" i="11"/>
  <c r="AJ2312" i="11"/>
  <c r="AI2307" i="11"/>
  <c r="AJ2296" i="11"/>
  <c r="AI2291" i="11"/>
  <c r="AJ2280" i="11"/>
  <c r="AI2275" i="11"/>
  <c r="AJ2264" i="11"/>
  <c r="AI2259" i="11"/>
  <c r="AJ2248" i="11"/>
  <c r="AI2243" i="11"/>
  <c r="AJ2232" i="11"/>
  <c r="AI2227" i="11"/>
  <c r="AJ2216" i="11"/>
  <c r="AI2211" i="11"/>
  <c r="AJ2200" i="11"/>
  <c r="AI2195" i="11"/>
  <c r="AJ2184" i="11"/>
  <c r="AI2179" i="11"/>
  <c r="AJ2168" i="11"/>
  <c r="AI2163" i="11"/>
  <c r="AJ2152" i="11"/>
  <c r="AI2147" i="11"/>
  <c r="AJ2136" i="11"/>
  <c r="AI2131" i="11"/>
  <c r="AJ2120" i="11"/>
  <c r="AI2113" i="11"/>
  <c r="AJ2110" i="11"/>
  <c r="AI2105" i="11"/>
  <c r="AJ2102" i="11"/>
  <c r="AI2097" i="11"/>
  <c r="AJ2094" i="11"/>
  <c r="AI2089" i="11"/>
  <c r="AJ2086" i="11"/>
  <c r="AI2081" i="11"/>
  <c r="AJ2078" i="11"/>
  <c r="AI2073" i="11"/>
  <c r="AJ2070" i="11"/>
  <c r="AI2065" i="11"/>
  <c r="AJ2062" i="11"/>
  <c r="AI2057" i="11"/>
  <c r="AJ2054" i="11"/>
  <c r="AI2049" i="11"/>
  <c r="AJ2046" i="11"/>
  <c r="AI2041" i="11"/>
  <c r="AJ2038" i="11"/>
  <c r="AI2033" i="11"/>
  <c r="AJ2030" i="11"/>
  <c r="AI2025" i="11"/>
  <c r="AJ2022" i="11"/>
  <c r="AI2017" i="11"/>
  <c r="AJ2014" i="11"/>
  <c r="AI2009" i="11"/>
  <c r="AJ2006" i="11"/>
  <c r="AI2001" i="11"/>
  <c r="AJ1998" i="11"/>
  <c r="AI1993" i="11"/>
  <c r="AJ1990" i="11"/>
  <c r="AI1985" i="11"/>
  <c r="AJ1982" i="11"/>
  <c r="AI1977" i="11"/>
  <c r="AJ1974" i="11"/>
  <c r="AI1969" i="11"/>
  <c r="AJ1966" i="11"/>
  <c r="AI1961" i="11"/>
  <c r="AJ1958" i="11"/>
  <c r="AI1953" i="11"/>
  <c r="AJ1950" i="11"/>
  <c r="AI1945" i="11"/>
  <c r="AJ1942" i="11"/>
  <c r="AI1937" i="11"/>
  <c r="AJ1934" i="11"/>
  <c r="AI1929" i="11"/>
  <c r="AJ1926" i="11"/>
  <c r="AI1921" i="11"/>
  <c r="AJ1918" i="11"/>
  <c r="AI1913" i="11"/>
  <c r="AJ1910" i="11"/>
  <c r="AI1905" i="11"/>
  <c r="AJ1902" i="11"/>
  <c r="AI1897" i="11"/>
  <c r="AJ1894" i="11"/>
  <c r="AI1889" i="11"/>
  <c r="AJ1886" i="11"/>
  <c r="AI1881" i="11"/>
  <c r="AJ1878" i="11"/>
  <c r="AI1873" i="11"/>
  <c r="AJ1870" i="11"/>
  <c r="AI1865" i="11"/>
  <c r="AJ1862" i="11"/>
  <c r="AI1857" i="11"/>
  <c r="AJ1854" i="11"/>
  <c r="AI1849" i="11"/>
  <c r="AJ1846" i="11"/>
  <c r="AI1841" i="11"/>
  <c r="AJ1838" i="11"/>
  <c r="AI1833" i="11"/>
  <c r="AJ1830" i="11"/>
  <c r="AI1825" i="11"/>
  <c r="AJ1822" i="11"/>
  <c r="AJ1820" i="11"/>
  <c r="AJ1818" i="11"/>
  <c r="AI1815" i="11"/>
  <c r="AI1813" i="11"/>
  <c r="AJ1811" i="11"/>
  <c r="AI1806" i="11"/>
  <c r="AJ1804" i="11"/>
  <c r="AJ1802" i="11"/>
  <c r="AI1799" i="11"/>
  <c r="AI1797" i="11"/>
  <c r="AJ1795" i="11"/>
  <c r="AI1790" i="11"/>
  <c r="AJ1788" i="11"/>
  <c r="AJ1786" i="11"/>
  <c r="AI1783" i="11"/>
  <c r="AI1781" i="11"/>
  <c r="AJ1779" i="11"/>
  <c r="AI1774" i="11"/>
  <c r="AJ1772" i="11"/>
  <c r="AJ1770" i="11"/>
  <c r="AI1767" i="11"/>
  <c r="AI1765" i="11"/>
  <c r="AJ1763" i="11"/>
  <c r="AI1758" i="11"/>
  <c r="AJ1756" i="11"/>
  <c r="AJ1754" i="11"/>
  <c r="AI1751" i="11"/>
  <c r="AI1749" i="11"/>
  <c r="AJ1747" i="11"/>
  <c r="AI1742" i="11"/>
  <c r="AJ1740" i="11"/>
  <c r="AJ1738" i="11"/>
  <c r="AI1735" i="11"/>
  <c r="AI1733" i="11"/>
  <c r="AJ1731" i="11"/>
  <c r="AI1726" i="11"/>
  <c r="AJ1724" i="11"/>
  <c r="AJ1722" i="11"/>
  <c r="AI1719" i="11"/>
  <c r="AI1717" i="11"/>
  <c r="AJ1715" i="11"/>
  <c r="AI1710" i="11"/>
  <c r="AJ1708" i="11"/>
  <c r="AJ1706" i="11"/>
  <c r="AI1703" i="11"/>
  <c r="AI1701" i="11"/>
  <c r="AJ1699" i="11"/>
  <c r="AI1694" i="11"/>
  <c r="AJ1692" i="11"/>
  <c r="AJ1690" i="11"/>
  <c r="AI1687" i="11"/>
  <c r="AI1685" i="11"/>
  <c r="AJ1683" i="11"/>
  <c r="AI1678" i="11"/>
  <c r="AJ1676" i="11"/>
  <c r="AJ1674" i="11"/>
  <c r="AI1671" i="11"/>
  <c r="AI1669" i="11"/>
  <c r="AJ1667" i="11"/>
  <c r="AI1662" i="11"/>
  <c r="AJ1660" i="11"/>
  <c r="AJ1658" i="11"/>
  <c r="AI1655" i="11"/>
  <c r="AI1653" i="11"/>
  <c r="AJ1651" i="11"/>
  <c r="AI1646" i="11"/>
  <c r="AJ1644" i="11"/>
  <c r="AJ1642" i="11"/>
  <c r="AI1639" i="11"/>
  <c r="AI1637" i="11"/>
  <c r="AJ1635" i="11"/>
  <c r="AI1630" i="11"/>
  <c r="AJ1628" i="11"/>
  <c r="AJ1626" i="11"/>
  <c r="AI1623" i="11"/>
  <c r="AI1621" i="11"/>
  <c r="AJ1619" i="11"/>
  <c r="AI1614" i="11"/>
  <c r="AJ1612" i="11"/>
  <c r="AJ1610" i="11"/>
  <c r="AI1607" i="11"/>
  <c r="AI1605" i="11"/>
  <c r="AJ1603" i="11"/>
  <c r="AI1598" i="11"/>
  <c r="AJ1596" i="11"/>
  <c r="AJ1594" i="11"/>
  <c r="AI1591" i="11"/>
  <c r="AI1589" i="11"/>
  <c r="AJ1587" i="11"/>
  <c r="AI1582" i="11"/>
  <c r="AJ1580" i="11"/>
  <c r="AJ1578" i="11"/>
  <c r="AI1575" i="11"/>
  <c r="AI1573" i="11"/>
  <c r="AJ1571" i="11"/>
  <c r="AI1566" i="11"/>
  <c r="AJ1564" i="11"/>
  <c r="AJ1562" i="11"/>
  <c r="AI1559" i="11"/>
  <c r="AI1557" i="11"/>
  <c r="AJ1555" i="11"/>
  <c r="AI1550" i="11"/>
  <c r="AJ1548" i="11"/>
  <c r="AJ1546" i="11"/>
  <c r="AI1543" i="11"/>
  <c r="AI1541" i="11"/>
  <c r="AJ1539" i="11"/>
  <c r="AI1534" i="11"/>
  <c r="AJ1532" i="11"/>
  <c r="AJ1530" i="11"/>
  <c r="AI1527" i="11"/>
  <c r="AI1525" i="11"/>
  <c r="AJ1523" i="11"/>
  <c r="AI1518" i="11"/>
  <c r="AJ1516" i="11"/>
  <c r="AJ1514" i="11"/>
  <c r="AI1511" i="11"/>
  <c r="AI1509" i="11"/>
  <c r="AJ1507" i="11"/>
  <c r="AI1502" i="11"/>
  <c r="AJ1500" i="11"/>
  <c r="AJ1498" i="11"/>
  <c r="AI1495" i="11"/>
  <c r="AI1493" i="11"/>
  <c r="AJ1491" i="11"/>
  <c r="AI1486" i="11"/>
  <c r="AJ1484" i="11"/>
  <c r="AJ1482" i="11"/>
  <c r="AI1479" i="11"/>
  <c r="AI1477" i="11"/>
  <c r="AJ1475" i="11"/>
  <c r="AI1470" i="11"/>
  <c r="AJ1468" i="11"/>
  <c r="AJ1466" i="11"/>
  <c r="AI1463" i="11"/>
  <c r="AI1461" i="11"/>
  <c r="AJ1459" i="11"/>
  <c r="AI1454" i="11"/>
  <c r="AJ1452" i="11"/>
  <c r="AJ1450" i="11"/>
  <c r="AI1447" i="11"/>
  <c r="AI1445" i="11"/>
  <c r="AJ1443" i="11"/>
  <c r="AI1438" i="11"/>
  <c r="AJ1436" i="11"/>
  <c r="AJ1434" i="11"/>
  <c r="AI1431" i="11"/>
  <c r="AI1429" i="11"/>
  <c r="AJ1427" i="11"/>
  <c r="AI1422" i="11"/>
  <c r="AJ1420" i="11"/>
  <c r="AJ1418" i="11"/>
  <c r="AI1415" i="11"/>
  <c r="AI1413" i="11"/>
  <c r="AJ1411" i="11"/>
  <c r="AI1406" i="11"/>
  <c r="AJ1404" i="11"/>
  <c r="AJ1402" i="11"/>
  <c r="AI1399" i="11"/>
  <c r="AI1397" i="11"/>
  <c r="AJ1395" i="11"/>
  <c r="AI1390" i="11"/>
  <c r="AJ1388" i="11"/>
  <c r="AJ1386" i="11"/>
  <c r="AI1383" i="11"/>
  <c r="AI1381" i="11"/>
  <c r="AJ1379" i="11"/>
  <c r="AI1374" i="11"/>
  <c r="AJ1372" i="11"/>
  <c r="AJ1370" i="11"/>
  <c r="AI1367" i="11"/>
  <c r="AI1365" i="11"/>
  <c r="AJ1363" i="11"/>
  <c r="AI1358" i="11"/>
  <c r="AJ1356" i="11"/>
  <c r="AJ1354" i="11"/>
  <c r="AI1351" i="11"/>
  <c r="AI1349" i="11"/>
  <c r="AJ1347" i="11"/>
  <c r="AI1342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J180" i="11"/>
  <c r="AI179" i="11"/>
  <c r="AJ176" i="11"/>
  <c r="AI175" i="11"/>
  <c r="AJ172" i="11"/>
  <c r="AI171" i="11"/>
  <c r="AJ168" i="11"/>
  <c r="AI167" i="11"/>
  <c r="AJ164" i="11"/>
  <c r="AI163" i="11"/>
  <c r="AJ160" i="11"/>
  <c r="AI159" i="11"/>
  <c r="AI154" i="11"/>
  <c r="AJ153" i="11"/>
  <c r="AI150" i="11"/>
  <c r="AJ149" i="11"/>
  <c r="AJ145" i="11"/>
  <c r="AI144" i="11"/>
  <c r="AI139" i="11"/>
  <c r="AJ138" i="11"/>
  <c r="AI135" i="11"/>
  <c r="AJ134" i="11"/>
  <c r="AJ130" i="11"/>
  <c r="AI129" i="11"/>
  <c r="AI128" i="11"/>
  <c r="AI5302" i="11"/>
  <c r="AI4956" i="11"/>
  <c r="AI4804" i="11"/>
  <c r="AJ4633" i="11"/>
  <c r="AI4548" i="11"/>
  <c r="AI4390" i="11"/>
  <c r="AI4316" i="11"/>
  <c r="AJ4273" i="11"/>
  <c r="AI4252" i="11"/>
  <c r="AJ4209" i="11"/>
  <c r="AI4188" i="11"/>
  <c r="AJ4145" i="11"/>
  <c r="AI4124" i="11"/>
  <c r="AJ4081" i="11"/>
  <c r="AI4060" i="11"/>
  <c r="AJ4017" i="11"/>
  <c r="AI3996" i="11"/>
  <c r="AJ3953" i="11"/>
  <c r="AI3932" i="11"/>
  <c r="AJ3889" i="11"/>
  <c r="AI3868" i="11"/>
  <c r="AJ3825" i="11"/>
  <c r="AI3804" i="11"/>
  <c r="AJ3761" i="11"/>
  <c r="AI3740" i="11"/>
  <c r="AJ3697" i="11"/>
  <c r="AI3676" i="11"/>
  <c r="AJ3633" i="11"/>
  <c r="AI3612" i="11"/>
  <c r="AJ3569" i="11"/>
  <c r="AI3548" i="11"/>
  <c r="AJ3505" i="11"/>
  <c r="AI3484" i="11"/>
  <c r="AJ3441" i="11"/>
  <c r="AI3411" i="11"/>
  <c r="AJ3400" i="11"/>
  <c r="AI3379" i="11"/>
  <c r="AJ3372" i="11"/>
  <c r="AI3367" i="11"/>
  <c r="AJ3356" i="11"/>
  <c r="AI3351" i="11"/>
  <c r="AJ3340" i="11"/>
  <c r="AI3335" i="11"/>
  <c r="AJ3324" i="11"/>
  <c r="AI3319" i="11"/>
  <c r="AJ3308" i="11"/>
  <c r="AI3303" i="11"/>
  <c r="AJ3292" i="11"/>
  <c r="AI3287" i="11"/>
  <c r="AJ3276" i="11"/>
  <c r="AI3271" i="11"/>
  <c r="AJ3260" i="11"/>
  <c r="AI3255" i="11"/>
  <c r="AJ3244" i="11"/>
  <c r="AI3239" i="11"/>
  <c r="AJ3228" i="11"/>
  <c r="AI3223" i="11"/>
  <c r="AJ3212" i="11"/>
  <c r="AI3207" i="11"/>
  <c r="AJ3196" i="11"/>
  <c r="AI3191" i="11"/>
  <c r="AJ3180" i="11"/>
  <c r="AI3175" i="11"/>
  <c r="AJ3164" i="11"/>
  <c r="AI3159" i="11"/>
  <c r="AJ3148" i="11"/>
  <c r="AI3143" i="11"/>
  <c r="AJ3132" i="11"/>
  <c r="AI3127" i="11"/>
  <c r="AJ3116" i="11"/>
  <c r="AI3111" i="11"/>
  <c r="AJ3100" i="11"/>
  <c r="AI3095" i="11"/>
  <c r="AJ3084" i="11"/>
  <c r="AI3079" i="11"/>
  <c r="AJ3068" i="11"/>
  <c r="AI3063" i="11"/>
  <c r="AJ3052" i="11"/>
  <c r="AI3047" i="11"/>
  <c r="AJ3036" i="11"/>
  <c r="AI3031" i="11"/>
  <c r="AJ3020" i="11"/>
  <c r="AI3015" i="11"/>
  <c r="AJ3004" i="11"/>
  <c r="AI2999" i="11"/>
  <c r="AJ2988" i="11"/>
  <c r="AI2983" i="11"/>
  <c r="AJ2972" i="11"/>
  <c r="AI2967" i="11"/>
  <c r="AJ2956" i="11"/>
  <c r="AI2951" i="11"/>
  <c r="AJ2940" i="11"/>
  <c r="AI2935" i="11"/>
  <c r="AJ2924" i="11"/>
  <c r="AI2919" i="11"/>
  <c r="AJ2908" i="11"/>
  <c r="AI2903" i="11"/>
  <c r="AJ2892" i="11"/>
  <c r="AI2887" i="11"/>
  <c r="AJ2876" i="11"/>
  <c r="AI2871" i="11"/>
  <c r="AJ2860" i="11"/>
  <c r="AI2855" i="11"/>
  <c r="AJ2844" i="11"/>
  <c r="AI2839" i="11"/>
  <c r="AJ2828" i="11"/>
  <c r="AI2823" i="11"/>
  <c r="AJ2812" i="11"/>
  <c r="AI2807" i="11"/>
  <c r="AJ2796" i="11"/>
  <c r="AI2791" i="11"/>
  <c r="AJ2780" i="11"/>
  <c r="AI2775" i="11"/>
  <c r="AJ2764" i="11"/>
  <c r="AI2759" i="11"/>
  <c r="AJ2748" i="11"/>
  <c r="AI2743" i="11"/>
  <c r="AJ2732" i="11"/>
  <c r="AI2727" i="11"/>
  <c r="AJ2716" i="11"/>
  <c r="AI2711" i="11"/>
  <c r="AJ2700" i="11"/>
  <c r="AI2695" i="11"/>
  <c r="AJ2684" i="11"/>
  <c r="AI2679" i="11"/>
  <c r="AJ2668" i="11"/>
  <c r="AI2663" i="11"/>
  <c r="AJ2652" i="11"/>
  <c r="AI2647" i="11"/>
  <c r="AJ2636" i="11"/>
  <c r="AI2631" i="11"/>
  <c r="AJ2620" i="11"/>
  <c r="AI2615" i="11"/>
  <c r="AJ2604" i="11"/>
  <c r="AI2599" i="11"/>
  <c r="AJ2588" i="11"/>
  <c r="AI2583" i="11"/>
  <c r="AJ2572" i="11"/>
  <c r="AI2567" i="11"/>
  <c r="AJ2556" i="11"/>
  <c r="AI2551" i="11"/>
  <c r="AJ2540" i="11"/>
  <c r="AI2535" i="11"/>
  <c r="AJ2524" i="11"/>
  <c r="AI2519" i="11"/>
  <c r="AJ2508" i="11"/>
  <c r="AI2503" i="11"/>
  <c r="AJ2492" i="11"/>
  <c r="AI2487" i="11"/>
  <c r="AJ2476" i="11"/>
  <c r="AI2471" i="11"/>
  <c r="AJ2460" i="11"/>
  <c r="AI2455" i="11"/>
  <c r="AJ2444" i="11"/>
  <c r="AI2439" i="11"/>
  <c r="AJ2428" i="11"/>
  <c r="AI2423" i="11"/>
  <c r="AJ2412" i="11"/>
  <c r="AI2407" i="11"/>
  <c r="AJ2396" i="11"/>
  <c r="AI2391" i="11"/>
  <c r="AJ2380" i="11"/>
  <c r="AI2375" i="11"/>
  <c r="AJ2364" i="11"/>
  <c r="AI2359" i="11"/>
  <c r="AJ2348" i="11"/>
  <c r="AI2343" i="11"/>
  <c r="AJ2332" i="11"/>
  <c r="AI2327" i="11"/>
  <c r="AJ2316" i="11"/>
  <c r="AI2311" i="11"/>
  <c r="AJ2300" i="11"/>
  <c r="AI2295" i="11"/>
  <c r="AJ2284" i="11"/>
  <c r="AI2279" i="11"/>
  <c r="AJ2268" i="11"/>
  <c r="AI2263" i="11"/>
  <c r="AJ2252" i="11"/>
  <c r="AI2247" i="11"/>
  <c r="AJ2236" i="11"/>
  <c r="AI2231" i="11"/>
  <c r="AJ2220" i="11"/>
  <c r="AI2215" i="11"/>
  <c r="AJ2204" i="11"/>
  <c r="AI2199" i="11"/>
  <c r="AJ2188" i="11"/>
  <c r="AI2183" i="11"/>
  <c r="AJ2172" i="11"/>
  <c r="AI2167" i="11"/>
  <c r="AJ2156" i="11"/>
  <c r="AI2151" i="11"/>
  <c r="AJ2140" i="11"/>
  <c r="AI2135" i="11"/>
  <c r="AJ2124" i="11"/>
  <c r="AI2119" i="11"/>
  <c r="AI2115" i="11"/>
  <c r="AJ2112" i="11"/>
  <c r="AI2107" i="11"/>
  <c r="AJ2104" i="11"/>
  <c r="AI2099" i="11"/>
  <c r="AJ2096" i="11"/>
  <c r="AI2091" i="11"/>
  <c r="AJ2088" i="11"/>
  <c r="AI2083" i="11"/>
  <c r="AJ2080" i="11"/>
  <c r="AI2075" i="11"/>
  <c r="AJ2072" i="11"/>
  <c r="AI2067" i="11"/>
  <c r="AJ2064" i="11"/>
  <c r="AI2059" i="11"/>
  <c r="AJ2056" i="11"/>
  <c r="AI2051" i="11"/>
  <c r="AJ2048" i="11"/>
  <c r="AI2043" i="11"/>
  <c r="AJ2040" i="11"/>
  <c r="AI2035" i="11"/>
  <c r="AJ2032" i="11"/>
  <c r="AI2027" i="11"/>
  <c r="AJ2024" i="11"/>
  <c r="AI2019" i="11"/>
  <c r="AJ2016" i="11"/>
  <c r="AI2011" i="11"/>
  <c r="AJ2008" i="11"/>
  <c r="AI2003" i="11"/>
  <c r="AJ2000" i="11"/>
  <c r="AI1995" i="11"/>
  <c r="AJ1992" i="11"/>
  <c r="AI1987" i="11"/>
  <c r="AJ1984" i="11"/>
  <c r="AI1979" i="11"/>
  <c r="AJ1976" i="11"/>
  <c r="AI1971" i="11"/>
  <c r="AJ1968" i="11"/>
  <c r="AI1963" i="11"/>
  <c r="AJ1960" i="11"/>
  <c r="AI1955" i="11"/>
  <c r="AJ1952" i="11"/>
  <c r="AI1947" i="11"/>
  <c r="AJ1944" i="11"/>
  <c r="AI1939" i="11"/>
  <c r="AJ1936" i="11"/>
  <c r="AI1931" i="11"/>
  <c r="AJ1928" i="11"/>
  <c r="AI1923" i="11"/>
  <c r="AJ1920" i="11"/>
  <c r="AI1915" i="11"/>
  <c r="AJ1912" i="11"/>
  <c r="AI1907" i="11"/>
  <c r="AJ1904" i="11"/>
  <c r="AI1899" i="11"/>
  <c r="AJ1896" i="11"/>
  <c r="AI1891" i="11"/>
  <c r="AJ1888" i="11"/>
  <c r="AI1883" i="11"/>
  <c r="AJ1880" i="11"/>
  <c r="AI1875" i="11"/>
  <c r="AJ1872" i="11"/>
  <c r="AI1867" i="11"/>
  <c r="AJ1864" i="11"/>
  <c r="AI1859" i="11"/>
  <c r="AJ1856" i="11"/>
  <c r="AI1851" i="11"/>
  <c r="AJ1848" i="11"/>
  <c r="AI1843" i="11"/>
  <c r="AJ1840" i="11"/>
  <c r="AI1835" i="11"/>
  <c r="AJ1832" i="11"/>
  <c r="AI1827" i="11"/>
  <c r="AJ1824" i="11"/>
  <c r="AI1818" i="11"/>
  <c r="AJ1816" i="11"/>
  <c r="AJ1814" i="11"/>
  <c r="AI1811" i="11"/>
  <c r="AI1809" i="11"/>
  <c r="AJ1807" i="11"/>
  <c r="AI1802" i="11"/>
  <c r="AJ1800" i="11"/>
  <c r="AJ1798" i="11"/>
  <c r="AI1795" i="11"/>
  <c r="AI1793" i="11"/>
  <c r="AJ1791" i="11"/>
  <c r="AI1786" i="11"/>
  <c r="AJ1784" i="11"/>
  <c r="AJ1782" i="11"/>
  <c r="AI1779" i="11"/>
  <c r="AI1777" i="11"/>
  <c r="AJ1775" i="11"/>
  <c r="AI1770" i="11"/>
  <c r="AJ1768" i="11"/>
  <c r="AJ1766" i="11"/>
  <c r="AI1763" i="11"/>
  <c r="AI1761" i="11"/>
  <c r="AJ1759" i="11"/>
  <c r="AI1754" i="11"/>
  <c r="AJ1752" i="11"/>
  <c r="AJ1750" i="11"/>
  <c r="AI1747" i="11"/>
  <c r="AI1745" i="11"/>
  <c r="AJ1743" i="11"/>
  <c r="AI1738" i="11"/>
  <c r="AJ1736" i="11"/>
  <c r="AJ1734" i="11"/>
  <c r="AI1731" i="11"/>
  <c r="AI1729" i="11"/>
  <c r="AJ1727" i="11"/>
  <c r="AI1722" i="11"/>
  <c r="AJ1720" i="11"/>
  <c r="AJ1718" i="11"/>
  <c r="AI1715" i="11"/>
  <c r="AI1713" i="11"/>
  <c r="AJ1711" i="11"/>
  <c r="AI1706" i="11"/>
  <c r="AJ1704" i="11"/>
  <c r="AJ1702" i="11"/>
  <c r="AI1699" i="11"/>
  <c r="AI1697" i="11"/>
  <c r="AJ1695" i="11"/>
  <c r="AI1690" i="11"/>
  <c r="AJ1688" i="11"/>
  <c r="AJ1686" i="11"/>
  <c r="AI1683" i="11"/>
  <c r="AI1681" i="11"/>
  <c r="AJ1679" i="11"/>
  <c r="AI1674" i="11"/>
  <c r="AJ1672" i="11"/>
  <c r="AJ1670" i="11"/>
  <c r="AI1667" i="11"/>
  <c r="AI1665" i="11"/>
  <c r="AJ1663" i="11"/>
  <c r="AI1658" i="11"/>
  <c r="AJ1656" i="11"/>
  <c r="AJ1654" i="11"/>
  <c r="AI1651" i="11"/>
  <c r="AI1649" i="11"/>
  <c r="AJ1647" i="11"/>
  <c r="AI1642" i="11"/>
  <c r="AJ1640" i="11"/>
  <c r="AJ1638" i="11"/>
  <c r="AI1635" i="11"/>
  <c r="AI1633" i="11"/>
  <c r="AJ1631" i="11"/>
  <c r="AI1626" i="11"/>
  <c r="AJ1624" i="11"/>
  <c r="AJ1622" i="11"/>
  <c r="AI1619" i="11"/>
  <c r="AI1617" i="11"/>
  <c r="AJ1615" i="11"/>
  <c r="AI1610" i="11"/>
  <c r="AJ1608" i="11"/>
  <c r="AJ1606" i="11"/>
  <c r="AI1603" i="11"/>
  <c r="AI1601" i="11"/>
  <c r="AJ1599" i="11"/>
  <c r="AI1594" i="11"/>
  <c r="AJ1592" i="11"/>
  <c r="AJ1590" i="11"/>
  <c r="AI1587" i="11"/>
  <c r="AI1585" i="11"/>
  <c r="AJ1583" i="11"/>
  <c r="AI1578" i="11"/>
  <c r="AJ1576" i="11"/>
  <c r="AJ1574" i="11"/>
  <c r="AI1571" i="11"/>
  <c r="AI1569" i="11"/>
  <c r="AJ1567" i="11"/>
  <c r="AI1562" i="11"/>
  <c r="AJ1560" i="11"/>
  <c r="AJ1558" i="11"/>
  <c r="AI1555" i="11"/>
  <c r="AI1553" i="11"/>
  <c r="AJ1551" i="11"/>
  <c r="AI1546" i="11"/>
  <c r="AJ1544" i="11"/>
  <c r="AJ1542" i="11"/>
  <c r="AI1539" i="11"/>
  <c r="AI1537" i="11"/>
  <c r="AJ1535" i="11"/>
  <c r="AI1530" i="11"/>
  <c r="AJ1528" i="11"/>
  <c r="AJ1526" i="11"/>
  <c r="AI1523" i="11"/>
  <c r="AI1521" i="11"/>
  <c r="AJ1519" i="11"/>
  <c r="AI1514" i="11"/>
  <c r="AJ1512" i="11"/>
  <c r="AJ1510" i="11"/>
  <c r="AI1507" i="11"/>
  <c r="AI1505" i="11"/>
  <c r="AJ1503" i="11"/>
  <c r="AI1498" i="11"/>
  <c r="AJ1496" i="11"/>
  <c r="AJ1494" i="11"/>
  <c r="AI1491" i="11"/>
  <c r="AI1489" i="11"/>
  <c r="AJ1487" i="11"/>
  <c r="AI1482" i="11"/>
  <c r="AJ1480" i="11"/>
  <c r="AJ1478" i="11"/>
  <c r="AI1475" i="11"/>
  <c r="AI1473" i="11"/>
  <c r="AJ1471" i="11"/>
  <c r="AI1466" i="11"/>
  <c r="AJ1464" i="11"/>
  <c r="AJ1462" i="11"/>
  <c r="AI1459" i="11"/>
  <c r="AI1457" i="11"/>
  <c r="AJ1455" i="11"/>
  <c r="AI1450" i="11"/>
  <c r="AJ1448" i="11"/>
  <c r="AJ1446" i="11"/>
  <c r="AI1443" i="11"/>
  <c r="AI1441" i="11"/>
  <c r="AJ1439" i="11"/>
  <c r="AI1434" i="11"/>
  <c r="AJ1432" i="11"/>
  <c r="AJ1430" i="11"/>
  <c r="AI1427" i="11"/>
  <c r="AI1425" i="11"/>
  <c r="AJ1423" i="11"/>
  <c r="AI1418" i="11"/>
  <c r="AJ1416" i="11"/>
  <c r="AJ1414" i="11"/>
  <c r="AI1411" i="11"/>
  <c r="AI1409" i="11"/>
  <c r="AJ1407" i="11"/>
  <c r="AI1402" i="11"/>
  <c r="AJ1400" i="11"/>
  <c r="AJ1398" i="11"/>
  <c r="AI1395" i="11"/>
  <c r="AI1393" i="11"/>
  <c r="AJ1391" i="11"/>
  <c r="AI1386" i="11"/>
  <c r="AJ1384" i="11"/>
  <c r="AJ1382" i="11"/>
  <c r="AI1379" i="11"/>
  <c r="AI1377" i="11"/>
  <c r="AJ1375" i="11"/>
  <c r="AI1370" i="11"/>
  <c r="AJ1368" i="11"/>
  <c r="AJ1366" i="11"/>
  <c r="AI1363" i="11"/>
  <c r="AI1361" i="11"/>
  <c r="AJ1359" i="11"/>
  <c r="AI1354" i="11"/>
  <c r="AJ1352" i="11"/>
  <c r="AJ1350" i="11"/>
  <c r="AI1347" i="11"/>
  <c r="AI1345" i="11"/>
  <c r="AJ1343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I180" i="11"/>
  <c r="AJ177" i="11"/>
  <c r="AI176" i="11"/>
  <c r="AJ173" i="11"/>
  <c r="AI172" i="11"/>
  <c r="AJ169" i="11"/>
  <c r="AI168" i="11"/>
  <c r="AJ165" i="11"/>
  <c r="AI164" i="11"/>
  <c r="AJ161" i="11"/>
  <c r="AI160" i="11"/>
  <c r="AJ157" i="11"/>
  <c r="AJ156" i="11"/>
  <c r="AI153" i="11"/>
  <c r="AJ152" i="11"/>
  <c r="AI149" i="11"/>
  <c r="AJ148" i="11"/>
  <c r="AJ146" i="11"/>
  <c r="AI145" i="11"/>
  <c r="AJ142" i="11"/>
  <c r="AJ141" i="11"/>
  <c r="AI138" i="11"/>
  <c r="AJ137" i="11"/>
  <c r="AI134" i="11"/>
  <c r="AJ133" i="11"/>
  <c r="AJ131" i="11"/>
  <c r="AI130" i="11"/>
  <c r="AI5084" i="11"/>
  <c r="AJ4913" i="11"/>
  <c r="AJ4697" i="11"/>
  <c r="AI4612" i="11"/>
  <c r="AJ4441" i="11"/>
  <c r="AI4336" i="11"/>
  <c r="AJ4289" i="11"/>
  <c r="AI4268" i="11"/>
  <c r="AJ4225" i="11"/>
  <c r="AI4204" i="11"/>
  <c r="AJ4161" i="11"/>
  <c r="AI4140" i="11"/>
  <c r="AJ4097" i="11"/>
  <c r="AI4076" i="11"/>
  <c r="AJ4033" i="11"/>
  <c r="AI4012" i="11"/>
  <c r="AJ3969" i="11"/>
  <c r="AI3948" i="11"/>
  <c r="AJ3905" i="11"/>
  <c r="AI3884" i="11"/>
  <c r="AJ3841" i="11"/>
  <c r="AI3820" i="11"/>
  <c r="AJ3777" i="11"/>
  <c r="AI3756" i="11"/>
  <c r="AJ3713" i="11"/>
  <c r="AI3692" i="11"/>
  <c r="AJ3649" i="11"/>
  <c r="AI3628" i="11"/>
  <c r="AJ3585" i="11"/>
  <c r="AI3564" i="11"/>
  <c r="AJ3521" i="11"/>
  <c r="AI3500" i="11"/>
  <c r="AJ3457" i="11"/>
  <c r="AI3436" i="11"/>
  <c r="AI3419" i="11"/>
  <c r="AJ3408" i="11"/>
  <c r="AI3387" i="11"/>
  <c r="AJ3376" i="11"/>
  <c r="AI3371" i="11"/>
  <c r="AJ3360" i="11"/>
  <c r="AI3355" i="11"/>
  <c r="AJ3344" i="11"/>
  <c r="AI3339" i="11"/>
  <c r="AJ3328" i="11"/>
  <c r="AI3323" i="11"/>
  <c r="AJ3312" i="11"/>
  <c r="AI3307" i="11"/>
  <c r="AJ3296" i="11"/>
  <c r="AI3291" i="11"/>
  <c r="AJ3280" i="11"/>
  <c r="AI3275" i="11"/>
  <c r="AJ3264" i="11"/>
  <c r="AI3259" i="11"/>
  <c r="AJ3248" i="11"/>
  <c r="AI3243" i="11"/>
  <c r="AJ3232" i="11"/>
  <c r="AI3227" i="11"/>
  <c r="AJ3216" i="11"/>
  <c r="AI3211" i="11"/>
  <c r="AJ3200" i="11"/>
  <c r="AI3195" i="11"/>
  <c r="AJ3184" i="11"/>
  <c r="AI3179" i="11"/>
  <c r="AJ3168" i="11"/>
  <c r="AI3163" i="11"/>
  <c r="AJ3152" i="11"/>
  <c r="AI3147" i="11"/>
  <c r="AJ3136" i="11"/>
  <c r="AI3131" i="11"/>
  <c r="AJ3120" i="11"/>
  <c r="AI3115" i="11"/>
  <c r="AJ3104" i="11"/>
  <c r="AI3099" i="11"/>
  <c r="AJ3088" i="11"/>
  <c r="AI3083" i="11"/>
  <c r="AJ3072" i="11"/>
  <c r="AI3067" i="11"/>
  <c r="AJ3056" i="11"/>
  <c r="AI3051" i="11"/>
  <c r="AJ3040" i="11"/>
  <c r="AI3035" i="11"/>
  <c r="AJ3024" i="11"/>
  <c r="AI3019" i="11"/>
  <c r="AJ3008" i="11"/>
  <c r="AI3003" i="11"/>
  <c r="AJ2992" i="11"/>
  <c r="AI2987" i="11"/>
  <c r="AJ2976" i="11"/>
  <c r="AI2971" i="11"/>
  <c r="AJ2960" i="11"/>
  <c r="AI2955" i="11"/>
  <c r="AJ2944" i="11"/>
  <c r="AI2939" i="11"/>
  <c r="AJ2928" i="11"/>
  <c r="AI2923" i="11"/>
  <c r="AJ2912" i="11"/>
  <c r="AI2907" i="11"/>
  <c r="AJ2896" i="11"/>
  <c r="AI2891" i="11"/>
  <c r="AJ2880" i="11"/>
  <c r="AI2875" i="11"/>
  <c r="AJ2864" i="11"/>
  <c r="AI2859" i="11"/>
  <c r="AJ2848" i="11"/>
  <c r="AI2843" i="11"/>
  <c r="AJ2832" i="11"/>
  <c r="AI2827" i="11"/>
  <c r="AJ2816" i="11"/>
  <c r="AI2811" i="11"/>
  <c r="AJ2800" i="11"/>
  <c r="AI2795" i="11"/>
  <c r="AJ2784" i="11"/>
  <c r="AI2779" i="11"/>
  <c r="AJ2768" i="11"/>
  <c r="AI2763" i="11"/>
  <c r="AJ2752" i="11"/>
  <c r="AI2747" i="11"/>
  <c r="AJ2736" i="11"/>
  <c r="AI2731" i="11"/>
  <c r="AJ2720" i="11"/>
  <c r="AI2715" i="11"/>
  <c r="AJ2704" i="11"/>
  <c r="AI2699" i="11"/>
  <c r="AJ2688" i="11"/>
  <c r="AI2683" i="11"/>
  <c r="AJ2672" i="11"/>
  <c r="AI2667" i="11"/>
  <c r="AJ2656" i="11"/>
  <c r="AI2651" i="11"/>
  <c r="AJ2640" i="11"/>
  <c r="AI2635" i="11"/>
  <c r="AJ2624" i="11"/>
  <c r="AI2619" i="11"/>
  <c r="AJ2608" i="11"/>
  <c r="AI2603" i="11"/>
  <c r="AJ2592" i="11"/>
  <c r="AI2587" i="11"/>
  <c r="AJ2576" i="11"/>
  <c r="AI2571" i="11"/>
  <c r="AJ2560" i="11"/>
  <c r="AI2555" i="11"/>
  <c r="AJ2544" i="11"/>
  <c r="AI2539" i="11"/>
  <c r="AJ2528" i="11"/>
  <c r="AI2523" i="11"/>
  <c r="AJ2512" i="11"/>
  <c r="AI2507" i="11"/>
  <c r="AJ2464" i="11"/>
  <c r="AI2443" i="11"/>
  <c r="AJ2400" i="11"/>
  <c r="AI2379" i="11"/>
  <c r="AJ2336" i="11"/>
  <c r="AI2315" i="11"/>
  <c r="AJ2272" i="11"/>
  <c r="AI2251" i="11"/>
  <c r="AJ2208" i="11"/>
  <c r="AI2187" i="11"/>
  <c r="AJ2144" i="11"/>
  <c r="AI2123" i="11"/>
  <c r="AI2109" i="11"/>
  <c r="AJ2098" i="11"/>
  <c r="AI2077" i="11"/>
  <c r="AJ2066" i="11"/>
  <c r="AI2045" i="11"/>
  <c r="AJ2034" i="11"/>
  <c r="AI2013" i="11"/>
  <c r="AJ2002" i="11"/>
  <c r="AI1981" i="11"/>
  <c r="AJ1970" i="11"/>
  <c r="AI1949" i="11"/>
  <c r="AJ1938" i="11"/>
  <c r="AI1917" i="11"/>
  <c r="AJ1906" i="11"/>
  <c r="AI1885" i="11"/>
  <c r="AJ1874" i="11"/>
  <c r="AI1853" i="11"/>
  <c r="AJ1842" i="11"/>
  <c r="AI1821" i="11"/>
  <c r="AI1814" i="11"/>
  <c r="AI1807" i="11"/>
  <c r="AJ1778" i="11"/>
  <c r="AJ1771" i="11"/>
  <c r="AJ1764" i="11"/>
  <c r="AI1757" i="11"/>
  <c r="AI1750" i="11"/>
  <c r="AI1743" i="11"/>
  <c r="AJ1714" i="11"/>
  <c r="AJ1707" i="11"/>
  <c r="AJ1700" i="11"/>
  <c r="AI1693" i="11"/>
  <c r="AI1686" i="11"/>
  <c r="AI1679" i="11"/>
  <c r="AJ1650" i="11"/>
  <c r="AJ1643" i="11"/>
  <c r="AJ1636" i="11"/>
  <c r="AI1629" i="11"/>
  <c r="AI1622" i="11"/>
  <c r="AI1615" i="11"/>
  <c r="AJ1586" i="11"/>
  <c r="AJ1579" i="11"/>
  <c r="AJ1572" i="11"/>
  <c r="AI1565" i="11"/>
  <c r="AI1558" i="11"/>
  <c r="AI1551" i="11"/>
  <c r="AJ1522" i="11"/>
  <c r="AJ1515" i="11"/>
  <c r="AJ1508" i="11"/>
  <c r="AI1501" i="11"/>
  <c r="AI1494" i="11"/>
  <c r="AI1487" i="11"/>
  <c r="AJ1458" i="11"/>
  <c r="AJ1451" i="11"/>
  <c r="AJ1444" i="11"/>
  <c r="AI1437" i="11"/>
  <c r="AI1430" i="11"/>
  <c r="AI1423" i="11"/>
  <c r="AJ1394" i="11"/>
  <c r="AJ1387" i="11"/>
  <c r="AJ1380" i="11"/>
  <c r="AI1373" i="11"/>
  <c r="AI1366" i="11"/>
  <c r="AI1359" i="11"/>
  <c r="AJ1338" i="11"/>
  <c r="AI1333" i="11"/>
  <c r="AJ1322" i="11"/>
  <c r="AI1317" i="11"/>
  <c r="AJ1306" i="11"/>
  <c r="AI1301" i="11"/>
  <c r="AJ1290" i="11"/>
  <c r="AI1285" i="11"/>
  <c r="AJ1274" i="11"/>
  <c r="AI1269" i="11"/>
  <c r="AJ1258" i="11"/>
  <c r="AI1253" i="11"/>
  <c r="AJ1242" i="11"/>
  <c r="AI1237" i="11"/>
  <c r="AJ1226" i="11"/>
  <c r="AI1221" i="11"/>
  <c r="AJ1210" i="11"/>
  <c r="AI1205" i="11"/>
  <c r="AJ1194" i="11"/>
  <c r="AI1189" i="11"/>
  <c r="AJ1178" i="11"/>
  <c r="AI1173" i="11"/>
  <c r="AJ1162" i="11"/>
  <c r="AI1157" i="11"/>
  <c r="AJ1146" i="11"/>
  <c r="AI1141" i="11"/>
  <c r="AJ1130" i="11"/>
  <c r="AI1125" i="11"/>
  <c r="AJ1114" i="11"/>
  <c r="AI1109" i="11"/>
  <c r="AJ1098" i="11"/>
  <c r="AI1093" i="11"/>
  <c r="AJ1082" i="11"/>
  <c r="AI1077" i="11"/>
  <c r="AJ1066" i="11"/>
  <c r="AI1061" i="11"/>
  <c r="AJ1050" i="11"/>
  <c r="AI1045" i="11"/>
  <c r="AJ1034" i="11"/>
  <c r="AI1029" i="11"/>
  <c r="AJ1018" i="11"/>
  <c r="AI1013" i="11"/>
  <c r="AJ1002" i="11"/>
  <c r="AI997" i="11"/>
  <c r="AJ986" i="11"/>
  <c r="AI981" i="11"/>
  <c r="AJ970" i="11"/>
  <c r="AI965" i="11"/>
  <c r="AJ954" i="11"/>
  <c r="AI949" i="11"/>
  <c r="AJ938" i="11"/>
  <c r="AI933" i="11"/>
  <c r="AJ922" i="11"/>
  <c r="AI917" i="11"/>
  <c r="AJ906" i="11"/>
  <c r="AI901" i="11"/>
  <c r="AJ890" i="11"/>
  <c r="AI885" i="11"/>
  <c r="AJ874" i="11"/>
  <c r="AI869" i="11"/>
  <c r="AJ858" i="11"/>
  <c r="AI853" i="11"/>
  <c r="AJ842" i="11"/>
  <c r="AI837" i="11"/>
  <c r="AJ826" i="11"/>
  <c r="AI821" i="11"/>
  <c r="AJ810" i="11"/>
  <c r="AI805" i="11"/>
  <c r="AJ794" i="11"/>
  <c r="AI789" i="11"/>
  <c r="AJ778" i="11"/>
  <c r="AI773" i="11"/>
  <c r="AJ762" i="11"/>
  <c r="AI757" i="11"/>
  <c r="AJ746" i="11"/>
  <c r="AI741" i="11"/>
  <c r="AJ730" i="11"/>
  <c r="AI725" i="11"/>
  <c r="AJ714" i="11"/>
  <c r="AI709" i="11"/>
  <c r="AJ698" i="11"/>
  <c r="AI693" i="11"/>
  <c r="AJ682" i="11"/>
  <c r="AI677" i="11"/>
  <c r="AJ666" i="11"/>
  <c r="AI661" i="11"/>
  <c r="AJ650" i="11"/>
  <c r="AI645" i="11"/>
  <c r="AJ634" i="11"/>
  <c r="AI629" i="11"/>
  <c r="AJ618" i="11"/>
  <c r="AI613" i="11"/>
  <c r="AJ602" i="11"/>
  <c r="AI597" i="11"/>
  <c r="AJ586" i="11"/>
  <c r="AI581" i="11"/>
  <c r="AJ570" i="11"/>
  <c r="AI565" i="11"/>
  <c r="AJ554" i="11"/>
  <c r="AI549" i="11"/>
  <c r="AJ538" i="11"/>
  <c r="AI533" i="11"/>
  <c r="AJ522" i="11"/>
  <c r="AI517" i="11"/>
  <c r="AJ506" i="11"/>
  <c r="AI501" i="11"/>
  <c r="AJ490" i="11"/>
  <c r="AI485" i="11"/>
  <c r="AJ474" i="11"/>
  <c r="AI469" i="11"/>
  <c r="AJ458" i="11"/>
  <c r="AI453" i="11"/>
  <c r="AJ442" i="11"/>
  <c r="AI437" i="11"/>
  <c r="AJ426" i="11"/>
  <c r="AI421" i="11"/>
  <c r="AJ410" i="11"/>
  <c r="AI405" i="11"/>
  <c r="AJ394" i="11"/>
  <c r="AI389" i="11"/>
  <c r="AJ378" i="11"/>
  <c r="AI373" i="11"/>
  <c r="AJ362" i="11"/>
  <c r="AI357" i="11"/>
  <c r="AJ346" i="11"/>
  <c r="AI341" i="11"/>
  <c r="AJ330" i="11"/>
  <c r="AI325" i="11"/>
  <c r="AJ314" i="11"/>
  <c r="AI309" i="11"/>
  <c r="AJ298" i="11"/>
  <c r="AI293" i="11"/>
  <c r="AJ282" i="11"/>
  <c r="AI277" i="11"/>
  <c r="AJ266" i="11"/>
  <c r="AI261" i="11"/>
  <c r="AJ250" i="11"/>
  <c r="AI245" i="11"/>
  <c r="AJ234" i="11"/>
  <c r="AI229" i="11"/>
  <c r="AJ218" i="11"/>
  <c r="AI213" i="11"/>
  <c r="AJ202" i="11"/>
  <c r="AI197" i="11"/>
  <c r="AJ186" i="11"/>
  <c r="AI181" i="11"/>
  <c r="AJ170" i="11"/>
  <c r="AI165" i="11"/>
  <c r="AI148" i="11"/>
  <c r="AJ147" i="11"/>
  <c r="AI146" i="11"/>
  <c r="AI124" i="11"/>
  <c r="AI120" i="11"/>
  <c r="AJ105" i="11"/>
  <c r="AI104" i="11"/>
  <c r="AJ101" i="11"/>
  <c r="AI100" i="11"/>
  <c r="AJ96" i="11"/>
  <c r="AI95" i="11"/>
  <c r="AI94" i="11"/>
  <c r="AJ81" i="11"/>
  <c r="AJ80" i="11"/>
  <c r="AI79" i="11"/>
  <c r="AI76" i="11"/>
  <c r="AI74" i="11"/>
  <c r="AJ72" i="11"/>
  <c r="AJ70" i="11"/>
  <c r="AJ68" i="11"/>
  <c r="AJ66" i="11"/>
  <c r="AJ64" i="11"/>
  <c r="AJ62" i="11"/>
  <c r="AJ60" i="11"/>
  <c r="AJ58" i="11"/>
  <c r="AJ56" i="11"/>
  <c r="AJ54" i="11"/>
  <c r="AJ52" i="11"/>
  <c r="AJ50" i="11"/>
  <c r="AJ48" i="11"/>
  <c r="AJ46" i="11"/>
  <c r="AJ44" i="11"/>
  <c r="AJ42" i="11"/>
  <c r="AI41" i="11"/>
  <c r="AJ2480" i="11"/>
  <c r="AI2459" i="11"/>
  <c r="AJ2416" i="11"/>
  <c r="AI2395" i="11"/>
  <c r="AJ2352" i="11"/>
  <c r="AI2331" i="11"/>
  <c r="AJ2288" i="11"/>
  <c r="AI2267" i="11"/>
  <c r="AJ2224" i="11"/>
  <c r="AI2203" i="11"/>
  <c r="AJ2160" i="11"/>
  <c r="AI2139" i="11"/>
  <c r="AJ2106" i="11"/>
  <c r="AI2085" i="11"/>
  <c r="AJ2074" i="11"/>
  <c r="AI2053" i="11"/>
  <c r="AJ2042" i="11"/>
  <c r="AI2021" i="11"/>
  <c r="AJ2010" i="11"/>
  <c r="AI1989" i="11"/>
  <c r="AJ1978" i="11"/>
  <c r="AI1957" i="11"/>
  <c r="AJ1946" i="11"/>
  <c r="AI1925" i="11"/>
  <c r="AJ1914" i="11"/>
  <c r="AI1893" i="11"/>
  <c r="AJ1882" i="11"/>
  <c r="AI1861" i="11"/>
  <c r="AJ1850" i="11"/>
  <c r="AI1829" i="11"/>
  <c r="AJ1819" i="11"/>
  <c r="AJ1812" i="11"/>
  <c r="AI1805" i="11"/>
  <c r="AI1798" i="11"/>
  <c r="AI1791" i="11"/>
  <c r="AJ1762" i="11"/>
  <c r="AJ1755" i="11"/>
  <c r="AJ1748" i="11"/>
  <c r="AI1741" i="11"/>
  <c r="AI1734" i="11"/>
  <c r="AI1727" i="11"/>
  <c r="AJ1698" i="11"/>
  <c r="AJ1691" i="11"/>
  <c r="AJ1684" i="11"/>
  <c r="AI1677" i="11"/>
  <c r="AI1670" i="11"/>
  <c r="AI1663" i="11"/>
  <c r="AJ1634" i="11"/>
  <c r="AJ1627" i="11"/>
  <c r="AJ1620" i="11"/>
  <c r="AI1613" i="11"/>
  <c r="AI1606" i="11"/>
  <c r="AI1599" i="11"/>
  <c r="AJ1570" i="11"/>
  <c r="AJ1563" i="11"/>
  <c r="AJ1556" i="11"/>
  <c r="AI1549" i="11"/>
  <c r="AI1542" i="11"/>
  <c r="AI1535" i="11"/>
  <c r="AJ1506" i="11"/>
  <c r="AJ1499" i="11"/>
  <c r="AJ1492" i="11"/>
  <c r="AI1485" i="11"/>
  <c r="AI1478" i="11"/>
  <c r="AI1471" i="11"/>
  <c r="AJ1442" i="11"/>
  <c r="AJ1435" i="11"/>
  <c r="AJ1428" i="11"/>
  <c r="AI1421" i="11"/>
  <c r="AI1414" i="11"/>
  <c r="AI1407" i="11"/>
  <c r="AJ1378" i="11"/>
  <c r="AJ1371" i="11"/>
  <c r="AJ1364" i="11"/>
  <c r="AI1357" i="11"/>
  <c r="AI1350" i="11"/>
  <c r="AI1343" i="11"/>
  <c r="AI1337" i="11"/>
  <c r="AJ1326" i="11"/>
  <c r="AI1321" i="11"/>
  <c r="AJ1310" i="11"/>
  <c r="AI1305" i="11"/>
  <c r="AJ1294" i="11"/>
  <c r="AI1289" i="11"/>
  <c r="AJ1278" i="11"/>
  <c r="AI1273" i="11"/>
  <c r="AJ1262" i="11"/>
  <c r="AI1257" i="11"/>
  <c r="AJ1246" i="11"/>
  <c r="AI1241" i="11"/>
  <c r="AJ1230" i="11"/>
  <c r="AI1225" i="11"/>
  <c r="AJ1214" i="11"/>
  <c r="AI1209" i="11"/>
  <c r="AJ1198" i="11"/>
  <c r="AI1193" i="11"/>
  <c r="AJ1182" i="11"/>
  <c r="AI1177" i="11"/>
  <c r="AJ1166" i="11"/>
  <c r="AI1161" i="11"/>
  <c r="AJ1150" i="11"/>
  <c r="AI1145" i="11"/>
  <c r="AJ1134" i="11"/>
  <c r="AI1129" i="11"/>
  <c r="AJ1118" i="11"/>
  <c r="AI1113" i="11"/>
  <c r="AJ1102" i="11"/>
  <c r="AI1097" i="11"/>
  <c r="AJ1086" i="11"/>
  <c r="AI1081" i="11"/>
  <c r="AJ1070" i="11"/>
  <c r="AI1065" i="11"/>
  <c r="AJ1054" i="11"/>
  <c r="AI1049" i="11"/>
  <c r="AJ1038" i="11"/>
  <c r="AI1033" i="11"/>
  <c r="AJ1022" i="11"/>
  <c r="AI1017" i="11"/>
  <c r="AJ1006" i="11"/>
  <c r="AI1001" i="11"/>
  <c r="AJ990" i="11"/>
  <c r="AI985" i="11"/>
  <c r="AJ974" i="11"/>
  <c r="AI969" i="11"/>
  <c r="AJ958" i="11"/>
  <c r="AI953" i="11"/>
  <c r="AJ942" i="11"/>
  <c r="AI937" i="11"/>
  <c r="AJ926" i="11"/>
  <c r="AI921" i="11"/>
  <c r="AJ910" i="11"/>
  <c r="AI905" i="11"/>
  <c r="AJ894" i="11"/>
  <c r="AI889" i="11"/>
  <c r="AJ878" i="11"/>
  <c r="AI873" i="11"/>
  <c r="AJ862" i="11"/>
  <c r="AI857" i="11"/>
  <c r="AJ846" i="11"/>
  <c r="AI841" i="11"/>
  <c r="AJ830" i="11"/>
  <c r="AI825" i="11"/>
  <c r="AJ814" i="11"/>
  <c r="AI809" i="11"/>
  <c r="AJ798" i="11"/>
  <c r="AI793" i="11"/>
  <c r="AJ782" i="11"/>
  <c r="AI777" i="11"/>
  <c r="AJ766" i="11"/>
  <c r="AI761" i="11"/>
  <c r="AJ750" i="11"/>
  <c r="AI745" i="11"/>
  <c r="AJ734" i="11"/>
  <c r="AI729" i="11"/>
  <c r="AJ718" i="11"/>
  <c r="AI713" i="11"/>
  <c r="AJ702" i="11"/>
  <c r="AI697" i="11"/>
  <c r="AJ686" i="11"/>
  <c r="AI681" i="11"/>
  <c r="AJ670" i="11"/>
  <c r="AI665" i="11"/>
  <c r="AJ654" i="11"/>
  <c r="AI649" i="11"/>
  <c r="AJ638" i="11"/>
  <c r="AI633" i="11"/>
  <c r="AJ622" i="11"/>
  <c r="AI617" i="11"/>
  <c r="AJ606" i="11"/>
  <c r="AI601" i="11"/>
  <c r="AJ590" i="11"/>
  <c r="AI585" i="11"/>
  <c r="AJ574" i="11"/>
  <c r="AI569" i="11"/>
  <c r="AJ558" i="11"/>
  <c r="AI553" i="11"/>
  <c r="AJ542" i="11"/>
  <c r="AI537" i="11"/>
  <c r="AJ526" i="11"/>
  <c r="AI521" i="11"/>
  <c r="AJ510" i="11"/>
  <c r="AI505" i="11"/>
  <c r="AJ494" i="11"/>
  <c r="AI489" i="11"/>
  <c r="AJ478" i="11"/>
  <c r="AI473" i="11"/>
  <c r="AJ462" i="11"/>
  <c r="AI457" i="11"/>
  <c r="AJ446" i="11"/>
  <c r="AI441" i="11"/>
  <c r="AJ430" i="11"/>
  <c r="AI425" i="11"/>
  <c r="AJ414" i="11"/>
  <c r="AI409" i="11"/>
  <c r="AJ398" i="11"/>
  <c r="AI393" i="11"/>
  <c r="AJ382" i="11"/>
  <c r="AI377" i="11"/>
  <c r="AJ366" i="11"/>
  <c r="AI361" i="11"/>
  <c r="AJ350" i="11"/>
  <c r="AI345" i="11"/>
  <c r="AJ334" i="11"/>
  <c r="AI329" i="11"/>
  <c r="AJ318" i="11"/>
  <c r="AI313" i="11"/>
  <c r="AJ302" i="11"/>
  <c r="AI297" i="11"/>
  <c r="AJ286" i="11"/>
  <c r="AI281" i="11"/>
  <c r="AJ270" i="11"/>
  <c r="AI265" i="11"/>
  <c r="AJ254" i="11"/>
  <c r="AI249" i="11"/>
  <c r="AJ238" i="11"/>
  <c r="AI233" i="11"/>
  <c r="AJ222" i="11"/>
  <c r="AI217" i="11"/>
  <c r="AJ206" i="11"/>
  <c r="AI201" i="11"/>
  <c r="AJ190" i="11"/>
  <c r="AI185" i="11"/>
  <c r="AJ174" i="11"/>
  <c r="AI169" i="11"/>
  <c r="AJ158" i="11"/>
  <c r="AJ143" i="11"/>
  <c r="AI142" i="11"/>
  <c r="AI141" i="11"/>
  <c r="AI137" i="11"/>
  <c r="AI133" i="11"/>
  <c r="AJ127" i="11"/>
  <c r="AJ123" i="11"/>
  <c r="AI117" i="11"/>
  <c r="AJ114" i="11"/>
  <c r="AJ113" i="11"/>
  <c r="AJ112" i="11"/>
  <c r="AJ111" i="11"/>
  <c r="AJ110" i="11"/>
  <c r="AJ109" i="11"/>
  <c r="AJ108" i="11"/>
  <c r="AJ107" i="11"/>
  <c r="AJ106" i="11"/>
  <c r="AI105" i="11"/>
  <c r="AJ102" i="11"/>
  <c r="AI101" i="11"/>
  <c r="AJ98" i="11"/>
  <c r="AJ97" i="11"/>
  <c r="AI96" i="11"/>
  <c r="AJ82" i="11"/>
  <c r="AI81" i="11"/>
  <c r="AI80" i="11"/>
  <c r="AJ77" i="11"/>
  <c r="AJ75" i="11"/>
  <c r="AI72" i="11"/>
  <c r="AI70" i="11"/>
  <c r="AI68" i="11"/>
  <c r="AI66" i="11"/>
  <c r="AI64" i="11"/>
  <c r="AI62" i="11"/>
  <c r="AI60" i="11"/>
  <c r="AI58" i="11"/>
  <c r="AI56" i="11"/>
  <c r="AI54" i="11"/>
  <c r="AI52" i="11"/>
  <c r="AI50" i="11"/>
  <c r="AI48" i="11"/>
  <c r="AI46" i="11"/>
  <c r="AI44" i="11"/>
  <c r="AI42" i="11"/>
  <c r="AJ2496" i="11"/>
  <c r="AI2475" i="11"/>
  <c r="AJ2432" i="11"/>
  <c r="AI2411" i="11"/>
  <c r="AJ2368" i="11"/>
  <c r="AI2347" i="11"/>
  <c r="AJ2304" i="11"/>
  <c r="AI2283" i="11"/>
  <c r="AJ2240" i="11"/>
  <c r="AI2219" i="11"/>
  <c r="AJ2176" i="11"/>
  <c r="AI2155" i="11"/>
  <c r="AJ2114" i="11"/>
  <c r="AI2093" i="11"/>
  <c r="AJ2082" i="11"/>
  <c r="AI2061" i="11"/>
  <c r="AJ2050" i="11"/>
  <c r="AI2029" i="11"/>
  <c r="AJ2018" i="11"/>
  <c r="AI1997" i="11"/>
  <c r="AJ1986" i="11"/>
  <c r="AI1965" i="11"/>
  <c r="AJ1954" i="11"/>
  <c r="AI1933" i="11"/>
  <c r="AJ1922" i="11"/>
  <c r="AI1901" i="11"/>
  <c r="AJ1890" i="11"/>
  <c r="AI1869" i="11"/>
  <c r="AJ1858" i="11"/>
  <c r="AI1837" i="11"/>
  <c r="AJ1826" i="11"/>
  <c r="AJ1810" i="11"/>
  <c r="AJ1803" i="11"/>
  <c r="AJ1796" i="11"/>
  <c r="AI1789" i="11"/>
  <c r="AI1782" i="11"/>
  <c r="AI1775" i="11"/>
  <c r="AJ1746" i="11"/>
  <c r="AJ1739" i="11"/>
  <c r="AJ1732" i="11"/>
  <c r="AI1725" i="11"/>
  <c r="AI1718" i="11"/>
  <c r="AI1711" i="11"/>
  <c r="AJ1682" i="11"/>
  <c r="AJ1675" i="11"/>
  <c r="AJ1668" i="11"/>
  <c r="AI1661" i="11"/>
  <c r="AI1654" i="11"/>
  <c r="AI1647" i="11"/>
  <c r="AJ1618" i="11"/>
  <c r="AJ1611" i="11"/>
  <c r="AJ1604" i="11"/>
  <c r="AI1597" i="11"/>
  <c r="AI1590" i="11"/>
  <c r="AI1583" i="11"/>
  <c r="AJ1554" i="11"/>
  <c r="AJ1547" i="11"/>
  <c r="AJ1540" i="11"/>
  <c r="AI1533" i="11"/>
  <c r="AI1526" i="11"/>
  <c r="AI1519" i="11"/>
  <c r="AJ1490" i="11"/>
  <c r="AJ1483" i="11"/>
  <c r="AJ1476" i="11"/>
  <c r="AI1469" i="11"/>
  <c r="AI1462" i="11"/>
  <c r="AI1455" i="11"/>
  <c r="AJ1426" i="11"/>
  <c r="AJ1419" i="11"/>
  <c r="AJ1412" i="11"/>
  <c r="AI1405" i="11"/>
  <c r="AI1398" i="11"/>
  <c r="AI1391" i="11"/>
  <c r="AJ1362" i="11"/>
  <c r="AJ1355" i="11"/>
  <c r="AJ1348" i="11"/>
  <c r="AI1341" i="11"/>
  <c r="AJ1330" i="11"/>
  <c r="AI1325" i="11"/>
  <c r="AJ1314" i="11"/>
  <c r="AI1309" i="11"/>
  <c r="AJ1298" i="11"/>
  <c r="AI1293" i="11"/>
  <c r="AJ1282" i="11"/>
  <c r="AI1277" i="11"/>
  <c r="AJ1266" i="11"/>
  <c r="AI1261" i="11"/>
  <c r="AJ1250" i="11"/>
  <c r="AI1245" i="11"/>
  <c r="AJ1234" i="11"/>
  <c r="AI1229" i="11"/>
  <c r="AJ1218" i="11"/>
  <c r="AI1213" i="11"/>
  <c r="AJ1202" i="11"/>
  <c r="AI1197" i="11"/>
  <c r="AJ1186" i="11"/>
  <c r="AI1181" i="11"/>
  <c r="AJ1170" i="11"/>
  <c r="AI1165" i="11"/>
  <c r="AJ1154" i="11"/>
  <c r="AI1149" i="11"/>
  <c r="AJ1138" i="11"/>
  <c r="AI1133" i="11"/>
  <c r="AJ1122" i="11"/>
  <c r="AI1117" i="11"/>
  <c r="AJ1106" i="11"/>
  <c r="AI1101" i="11"/>
  <c r="AJ1090" i="11"/>
  <c r="AI1085" i="11"/>
  <c r="AJ1074" i="11"/>
  <c r="AI1069" i="11"/>
  <c r="AJ1058" i="11"/>
  <c r="AI1053" i="11"/>
  <c r="AJ1042" i="11"/>
  <c r="AI1037" i="11"/>
  <c r="AJ1026" i="11"/>
  <c r="AI1021" i="11"/>
  <c r="AJ1010" i="11"/>
  <c r="AI1005" i="11"/>
  <c r="AJ994" i="11"/>
  <c r="AI989" i="11"/>
  <c r="AJ978" i="11"/>
  <c r="AI973" i="11"/>
  <c r="AJ962" i="11"/>
  <c r="AI957" i="11"/>
  <c r="AJ946" i="11"/>
  <c r="AI941" i="11"/>
  <c r="AJ930" i="11"/>
  <c r="AI925" i="11"/>
  <c r="AJ914" i="11"/>
  <c r="AI909" i="11"/>
  <c r="AJ898" i="11"/>
  <c r="AI893" i="11"/>
  <c r="AJ882" i="11"/>
  <c r="AI877" i="11"/>
  <c r="AJ866" i="11"/>
  <c r="AI861" i="11"/>
  <c r="AJ850" i="11"/>
  <c r="AI845" i="11"/>
  <c r="AJ834" i="11"/>
  <c r="AI829" i="11"/>
  <c r="AJ818" i="11"/>
  <c r="AI813" i="11"/>
  <c r="AJ802" i="11"/>
  <c r="AI797" i="11"/>
  <c r="AJ786" i="11"/>
  <c r="AI781" i="11"/>
  <c r="AJ770" i="11"/>
  <c r="AI765" i="11"/>
  <c r="AJ754" i="11"/>
  <c r="AI749" i="11"/>
  <c r="AJ738" i="11"/>
  <c r="AI733" i="11"/>
  <c r="AJ722" i="11"/>
  <c r="AI717" i="11"/>
  <c r="AJ706" i="11"/>
  <c r="AI701" i="11"/>
  <c r="AJ690" i="11"/>
  <c r="AI685" i="11"/>
  <c r="AJ674" i="11"/>
  <c r="AI669" i="11"/>
  <c r="AJ658" i="11"/>
  <c r="AI653" i="11"/>
  <c r="AJ642" i="11"/>
  <c r="AI637" i="11"/>
  <c r="AJ626" i="11"/>
  <c r="AI621" i="11"/>
  <c r="AJ610" i="11"/>
  <c r="AI605" i="11"/>
  <c r="AJ594" i="11"/>
  <c r="AI589" i="11"/>
  <c r="AJ578" i="11"/>
  <c r="AI573" i="11"/>
  <c r="AJ562" i="11"/>
  <c r="AI557" i="11"/>
  <c r="AJ546" i="11"/>
  <c r="AI541" i="11"/>
  <c r="AJ530" i="11"/>
  <c r="AI525" i="11"/>
  <c r="AJ514" i="11"/>
  <c r="AI509" i="11"/>
  <c r="AJ498" i="11"/>
  <c r="AI493" i="11"/>
  <c r="AJ482" i="11"/>
  <c r="AI477" i="11"/>
  <c r="AJ466" i="11"/>
  <c r="AI461" i="11"/>
  <c r="AJ450" i="11"/>
  <c r="AI445" i="11"/>
  <c r="AJ434" i="11"/>
  <c r="AI429" i="11"/>
  <c r="AJ418" i="11"/>
  <c r="AI413" i="11"/>
  <c r="AJ402" i="11"/>
  <c r="AI397" i="11"/>
  <c r="AJ386" i="11"/>
  <c r="AI381" i="11"/>
  <c r="AJ370" i="11"/>
  <c r="AI365" i="11"/>
  <c r="AJ354" i="11"/>
  <c r="AI349" i="11"/>
  <c r="AJ338" i="11"/>
  <c r="AI333" i="11"/>
  <c r="AJ322" i="11"/>
  <c r="AI317" i="11"/>
  <c r="AJ306" i="11"/>
  <c r="AI301" i="11"/>
  <c r="AJ290" i="11"/>
  <c r="AI285" i="11"/>
  <c r="AJ274" i="11"/>
  <c r="AI269" i="11"/>
  <c r="AJ258" i="11"/>
  <c r="AI253" i="11"/>
  <c r="AJ242" i="11"/>
  <c r="AI237" i="11"/>
  <c r="AJ226" i="11"/>
  <c r="AI221" i="11"/>
  <c r="AJ210" i="11"/>
  <c r="AI205" i="11"/>
  <c r="AJ194" i="11"/>
  <c r="AI189" i="11"/>
  <c r="AJ178" i="11"/>
  <c r="AI173" i="11"/>
  <c r="AJ162" i="11"/>
  <c r="AI157" i="11"/>
  <c r="AI156" i="11"/>
  <c r="AJ155" i="11"/>
  <c r="AJ140" i="11"/>
  <c r="AJ136" i="11"/>
  <c r="AJ132" i="11"/>
  <c r="AI131" i="11"/>
  <c r="AI127" i="11"/>
  <c r="AJ126" i="11"/>
  <c r="AI123" i="11"/>
  <c r="AJ122" i="11"/>
  <c r="AJ118" i="11"/>
  <c r="AI114" i="11"/>
  <c r="AI113" i="11"/>
  <c r="AI112" i="11"/>
  <c r="AI111" i="11"/>
  <c r="AI110" i="11"/>
  <c r="AI109" i="11"/>
  <c r="AI108" i="11"/>
  <c r="AI107" i="11"/>
  <c r="AI106" i="11"/>
  <c r="AJ103" i="11"/>
  <c r="AI102" i="11"/>
  <c r="AJ99" i="11"/>
  <c r="AI98" i="11"/>
  <c r="AI97" i="11"/>
  <c r="AJ93" i="11"/>
  <c r="AJ92" i="11"/>
  <c r="AJ91" i="11"/>
  <c r="AJ90" i="11"/>
  <c r="AI2491" i="11"/>
  <c r="AJ2448" i="11"/>
  <c r="AI2427" i="11"/>
  <c r="AJ2384" i="11"/>
  <c r="AI2363" i="11"/>
  <c r="AJ2320" i="11"/>
  <c r="AI2299" i="11"/>
  <c r="AJ2256" i="11"/>
  <c r="AI2235" i="11"/>
  <c r="AJ2192" i="11"/>
  <c r="AI2171" i="11"/>
  <c r="AJ2128" i="11"/>
  <c r="AI2101" i="11"/>
  <c r="AJ2090" i="11"/>
  <c r="AI2069" i="11"/>
  <c r="AJ2058" i="11"/>
  <c r="AI2037" i="11"/>
  <c r="AJ2026" i="11"/>
  <c r="AI2005" i="11"/>
  <c r="AJ1994" i="11"/>
  <c r="AI1973" i="11"/>
  <c r="AJ1962" i="11"/>
  <c r="AI1941" i="11"/>
  <c r="AJ1930" i="11"/>
  <c r="AI1909" i="11"/>
  <c r="AJ1898" i="11"/>
  <c r="AI1877" i="11"/>
  <c r="AJ1866" i="11"/>
  <c r="AI1845" i="11"/>
  <c r="AJ1834" i="11"/>
  <c r="AJ1794" i="11"/>
  <c r="AJ1787" i="11"/>
  <c r="AJ1780" i="11"/>
  <c r="AI1773" i="11"/>
  <c r="AI1766" i="11"/>
  <c r="AI1759" i="11"/>
  <c r="AJ1730" i="11"/>
  <c r="AJ1723" i="11"/>
  <c r="AJ1716" i="11"/>
  <c r="AI1709" i="11"/>
  <c r="AI1702" i="11"/>
  <c r="AI1695" i="11"/>
  <c r="AJ1666" i="11"/>
  <c r="AJ1659" i="11"/>
  <c r="AJ1652" i="11"/>
  <c r="AI1645" i="11"/>
  <c r="AI1638" i="11"/>
  <c r="AI1631" i="11"/>
  <c r="AJ1602" i="11"/>
  <c r="AJ1595" i="11"/>
  <c r="AJ1588" i="11"/>
  <c r="AI1581" i="11"/>
  <c r="AI1574" i="11"/>
  <c r="AI1567" i="11"/>
  <c r="AJ1538" i="11"/>
  <c r="AJ1531" i="11"/>
  <c r="AJ1524" i="11"/>
  <c r="AI1517" i="11"/>
  <c r="AI1510" i="11"/>
  <c r="AI1503" i="11"/>
  <c r="AJ1474" i="11"/>
  <c r="AJ1467" i="11"/>
  <c r="AJ1460" i="11"/>
  <c r="AI1453" i="11"/>
  <c r="AI1446" i="11"/>
  <c r="AI1439" i="11"/>
  <c r="AJ1410" i="11"/>
  <c r="AJ1403" i="11"/>
  <c r="AJ1396" i="11"/>
  <c r="AI1389" i="11"/>
  <c r="AI1382" i="11"/>
  <c r="AI1375" i="11"/>
  <c r="AJ1346" i="11"/>
  <c r="AJ1334" i="11"/>
  <c r="AI1329" i="11"/>
  <c r="AJ1318" i="11"/>
  <c r="AI1313" i="11"/>
  <c r="AJ1302" i="11"/>
  <c r="AI1297" i="11"/>
  <c r="AJ1286" i="11"/>
  <c r="AI1281" i="11"/>
  <c r="AJ1270" i="11"/>
  <c r="AI1265" i="11"/>
  <c r="AJ1254" i="11"/>
  <c r="AI1249" i="11"/>
  <c r="AJ1238" i="11"/>
  <c r="AI1233" i="11"/>
  <c r="AJ1222" i="11"/>
  <c r="AI1217" i="11"/>
  <c r="AJ1206" i="11"/>
  <c r="AI1201" i="11"/>
  <c r="AJ1190" i="11"/>
  <c r="AI1185" i="11"/>
  <c r="AJ1174" i="11"/>
  <c r="AI1169" i="11"/>
  <c r="AJ1158" i="11"/>
  <c r="AI1153" i="11"/>
  <c r="AJ1142" i="11"/>
  <c r="AI1137" i="11"/>
  <c r="AJ1126" i="11"/>
  <c r="AI1121" i="11"/>
  <c r="AJ1110" i="11"/>
  <c r="AI1105" i="11"/>
  <c r="AJ1094" i="11"/>
  <c r="AI1089" i="11"/>
  <c r="AJ1078" i="11"/>
  <c r="AI1073" i="11"/>
  <c r="AJ1062" i="11"/>
  <c r="AI1057" i="11"/>
  <c r="AJ1046" i="11"/>
  <c r="AI1041" i="11"/>
  <c r="AJ1030" i="11"/>
  <c r="AI1025" i="11"/>
  <c r="AJ1014" i="11"/>
  <c r="AI1009" i="11"/>
  <c r="AJ998" i="11"/>
  <c r="AI993" i="11"/>
  <c r="AJ982" i="11"/>
  <c r="AI977" i="11"/>
  <c r="AJ966" i="11"/>
  <c r="AI961" i="11"/>
  <c r="AJ950" i="11"/>
  <c r="AI945" i="11"/>
  <c r="AJ934" i="11"/>
  <c r="AI929" i="11"/>
  <c r="AJ918" i="11"/>
  <c r="AI913" i="11"/>
  <c r="AJ902" i="11"/>
  <c r="AI897" i="11"/>
  <c r="AJ886" i="11"/>
  <c r="AI881" i="11"/>
  <c r="AJ870" i="11"/>
  <c r="AI865" i="11"/>
  <c r="AJ854" i="11"/>
  <c r="AI849" i="11"/>
  <c r="AJ838" i="11"/>
  <c r="AI833" i="11"/>
  <c r="AJ822" i="11"/>
  <c r="AI817" i="11"/>
  <c r="AJ806" i="11"/>
  <c r="AI801" i="11"/>
  <c r="AJ790" i="11"/>
  <c r="AI785" i="11"/>
  <c r="AJ774" i="11"/>
  <c r="AI769" i="11"/>
  <c r="AJ758" i="11"/>
  <c r="AI753" i="11"/>
  <c r="AJ742" i="11"/>
  <c r="AI737" i="11"/>
  <c r="AJ726" i="11"/>
  <c r="AI721" i="11"/>
  <c r="AJ710" i="11"/>
  <c r="AI705" i="11"/>
  <c r="AJ694" i="11"/>
  <c r="AI689" i="11"/>
  <c r="AJ678" i="11"/>
  <c r="AI673" i="11"/>
  <c r="AJ662" i="11"/>
  <c r="AI657" i="11"/>
  <c r="AJ646" i="11"/>
  <c r="AI641" i="11"/>
  <c r="AJ630" i="11"/>
  <c r="AI625" i="11"/>
  <c r="AJ614" i="11"/>
  <c r="AI609" i="11"/>
  <c r="AJ598" i="11"/>
  <c r="AI593" i="11"/>
  <c r="AJ582" i="11"/>
  <c r="AI577" i="11"/>
  <c r="AJ566" i="11"/>
  <c r="AI561" i="11"/>
  <c r="AJ550" i="11"/>
  <c r="AI545" i="11"/>
  <c r="AJ534" i="11"/>
  <c r="AI529" i="11"/>
  <c r="AJ518" i="11"/>
  <c r="AI513" i="11"/>
  <c r="AJ502" i="11"/>
  <c r="AI497" i="11"/>
  <c r="AJ486" i="11"/>
  <c r="AI481" i="11"/>
  <c r="AJ470" i="11"/>
  <c r="AI465" i="11"/>
  <c r="AJ454" i="11"/>
  <c r="AI449" i="11"/>
  <c r="AJ438" i="11"/>
  <c r="AI433" i="11"/>
  <c r="AJ422" i="11"/>
  <c r="AI417" i="11"/>
  <c r="AJ406" i="11"/>
  <c r="AI401" i="11"/>
  <c r="AJ390" i="11"/>
  <c r="AI385" i="11"/>
  <c r="AJ374" i="11"/>
  <c r="AI369" i="11"/>
  <c r="AJ358" i="11"/>
  <c r="AI353" i="11"/>
  <c r="AJ342" i="11"/>
  <c r="AI337" i="11"/>
  <c r="AJ326" i="11"/>
  <c r="AI321" i="11"/>
  <c r="AJ310" i="11"/>
  <c r="AI305" i="11"/>
  <c r="AJ294" i="11"/>
  <c r="AI289" i="11"/>
  <c r="AJ278" i="11"/>
  <c r="AI273" i="11"/>
  <c r="AJ262" i="11"/>
  <c r="AI257" i="11"/>
  <c r="AJ246" i="11"/>
  <c r="AI241" i="11"/>
  <c r="AJ230" i="11"/>
  <c r="AI225" i="11"/>
  <c r="AJ214" i="11"/>
  <c r="AI209" i="11"/>
  <c r="AJ198" i="11"/>
  <c r="AI193" i="11"/>
  <c r="AJ182" i="11"/>
  <c r="AI177" i="11"/>
  <c r="AJ166" i="11"/>
  <c r="AI161" i="11"/>
  <c r="AI152" i="11"/>
  <c r="AJ151" i="11"/>
  <c r="AI126" i="11"/>
  <c r="AJ125" i="11"/>
  <c r="AI122" i="11"/>
  <c r="AJ121" i="11"/>
  <c r="AI118" i="11"/>
  <c r="AJ116" i="11"/>
  <c r="AJ115" i="11"/>
  <c r="AJ104" i="11"/>
  <c r="AJ95" i="11"/>
  <c r="AJ94" i="11"/>
  <c r="AI93" i="11"/>
  <c r="AI92" i="11"/>
  <c r="AI91" i="11"/>
  <c r="AI90" i="11"/>
  <c r="AI82" i="11"/>
  <c r="AJ79" i="11"/>
  <c r="AI78" i="11"/>
  <c r="AJ71" i="11"/>
  <c r="AI69" i="11"/>
  <c r="AJ63" i="11"/>
  <c r="AI61" i="11"/>
  <c r="AJ55" i="11"/>
  <c r="AI53" i="11"/>
  <c r="AJ47" i="11"/>
  <c r="AI45" i="11"/>
  <c r="AJ36" i="11"/>
  <c r="AI35" i="11"/>
  <c r="AJ34" i="11"/>
  <c r="AI30" i="11"/>
  <c r="AI28" i="11"/>
  <c r="AI27" i="11"/>
  <c r="AI26" i="11"/>
  <c r="AJ23" i="11"/>
  <c r="AI22" i="11"/>
  <c r="AJ19" i="11"/>
  <c r="AI18" i="11"/>
  <c r="AI1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<sst xmlns="http://schemas.openxmlformats.org/spreadsheetml/2006/main" count="19292" uniqueCount="1804">
  <si>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</si>
  <si>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</si>
  <si>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</si>
  <si>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</si>
  <si>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</si>
  <si>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</si>
  <si>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</si>
  <si>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</si>
  <si>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</si>
  <si>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</si>
  <si>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</si>
  <si>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</si>
  <si>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</si>
  <si>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</si>
  <si>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</si>
  <si>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</si>
  <si>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</si>
  <si>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</si>
  <si>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</si>
  <si>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</si>
  <si>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</si>
  <si>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</si>
  <si>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</si>
  <si>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</si>
  <si>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</si>
  <si>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</si>
  <si>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</si>
  <si>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</si>
  <si>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</si>
  <si>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</si>
  <si>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</si>
  <si>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</si>
  <si>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</si>
  <si>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</si>
  <si>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</si>
  <si>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</si>
  <si>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</si>
  <si>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</si>
  <si>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</si>
  <si>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</si>
  <si>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</si>
  <si>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</si>
  <si>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</si>
  <si>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</si>
  <si>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</si>
  <si>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</si>
  <si>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</si>
  <si>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</si>
  <si>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</si>
  <si>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</si>
  <si>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</si>
  <si>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</si>
  <si>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</si>
  <si>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</si>
  <si>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</si>
  <si>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</si>
  <si>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</si>
  <si>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</si>
  <si>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</si>
  <si>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</si>
  <si>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</si>
  <si>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</si>
  <si>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</si>
  <si>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</si>
  <si>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</si>
  <si>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</si>
  <si>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</si>
  <si>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</si>
  <si>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</si>
  <si>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</si>
  <si>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</si>
  <si>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</si>
  <si>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</si>
  <si>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</si>
  <si>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</si>
  <si>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</si>
  <si>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</si>
  <si>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</si>
  <si>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</si>
  <si>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</si>
  <si>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</si>
  <si>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</si>
  <si>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</si>
  <si>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</si>
  <si>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</si>
  <si>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</si>
  <si>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</si>
  <si>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</si>
  <si>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</si>
  <si>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</si>
  <si>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</si>
  <si>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</si>
  <si>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</si>
  <si>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</si>
  <si>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</si>
  <si>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</si>
  <si>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</si>
  <si>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</si>
  <si>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</si>
  <si>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</si>
  <si>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</si>
  <si>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</si>
  <si>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</si>
  <si>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</si>
  <si>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</si>
  <si>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</si>
  <si>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</si>
  <si>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</si>
  <si>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</si>
  <si>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</si>
  <si>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</si>
  <si>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</si>
  <si>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</si>
  <si>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</si>
  <si>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</si>
  <si>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</si>
  <si>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</si>
  <si>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</si>
  <si>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</si>
  <si>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</si>
  <si>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</si>
  <si>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</si>
  <si>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</si>
  <si>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</si>
  <si>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</si>
  <si>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</si>
  <si>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</si>
  <si>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</si>
  <si>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</si>
  <si>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</si>
  <si>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</si>
  <si>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</si>
  <si>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</si>
  <si>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</si>
  <si>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</si>
  <si>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</si>
  <si>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</si>
  <si>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</si>
  <si>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</si>
  <si>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</si>
  <si>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</si>
  <si>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</si>
  <si>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</si>
  <si>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</si>
  <si>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</si>
  <si>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</si>
  <si>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</si>
  <si>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</si>
  <si>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</si>
  <si>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</si>
  <si>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</si>
  <si>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</si>
  <si>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</si>
  <si>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</si>
  <si>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</si>
  <si>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</si>
  <si>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</si>
  <si>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</si>
  <si>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</si>
  <si>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</si>
  <si>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</si>
  <si>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</si>
  <si>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</si>
  <si>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</si>
  <si>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</si>
  <si>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</si>
  <si>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</si>
  <si>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</si>
  <si>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</si>
  <si>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</si>
  <si>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</si>
  <si>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</si>
  <si>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</si>
  <si>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</si>
  <si>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</si>
  <si>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</si>
  <si>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</si>
  <si>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</si>
  <si>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</si>
  <si>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</si>
  <si>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</si>
  <si>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</si>
  <si>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</si>
  <si>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</si>
  <si>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</si>
  <si>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</si>
  <si>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</si>
  <si>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mar 25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</si>
  <si>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</si>
  <si>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</si>
  <si>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</si>
  <si>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</si>
  <si>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</si>
  <si>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</si>
  <si>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</si>
  <si>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</si>
  <si>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</si>
  <si>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</si>
  <si>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</si>
  <si>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</si>
  <si>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</si>
  <si>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</si>
  <si>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</si>
  <si>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</si>
  <si>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</si>
  <si>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</si>
  <si>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</si>
  <si>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</si>
  <si>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</si>
  <si>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</si>
  <si>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</si>
  <si>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</si>
  <si>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</si>
  <si>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</si>
  <si>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</si>
  <si>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</si>
  <si>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</si>
  <si>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</si>
  <si>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</si>
  <si>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</si>
  <si>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</si>
  <si>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</si>
  <si>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</si>
  <si>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</si>
  <si>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</si>
  <si>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</si>
  <si>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</si>
  <si>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</si>
  <si>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</si>
  <si>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</si>
  <si>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</si>
  <si>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</si>
  <si>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</si>
  <si>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</si>
  <si>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</si>
  <si>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</si>
  <si>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</si>
  <si>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</si>
  <si>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</si>
  <si>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</si>
  <si>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</si>
  <si>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</si>
  <si>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</si>
  <si>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</si>
  <si>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</si>
  <si>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</si>
  <si>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</si>
  <si>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</si>
  <si>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</si>
  <si>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</si>
  <si>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</si>
  <si>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</si>
  <si>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</si>
  <si>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</si>
  <si>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FUNDO DE INVESTIMENTO EM DIREITOS CREDITORIOS FORTBRASIL</t>
  </si>
  <si>
    <t>FIDC FORTBRASIL</t>
  </si>
  <si>
    <t>FIDC AUTO LOANS</t>
  </si>
  <si>
    <t>FIDC Auto Loans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</si>
  <si>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</si>
  <si>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</si>
  <si>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</si>
  <si>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</si>
  <si>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</si>
  <si>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</si>
  <si>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</si>
  <si>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</si>
  <si>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</si>
  <si>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</si>
  <si>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</si>
  <si>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</si>
  <si>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</si>
  <si>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</si>
  <si>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</si>
  <si>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</si>
  <si>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</si>
  <si>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</si>
  <si>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</si>
  <si>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</si>
  <si>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</si>
  <si>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</si>
  <si>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</si>
  <si>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</si>
  <si>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</si>
  <si>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</si>
  <si>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</si>
  <si>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</si>
  <si>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</si>
  <si>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</si>
  <si>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</si>
  <si>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</si>
  <si>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CONTOUR GLOBAL DO BRASIL PARTICIPACOES S.A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</si>
  <si>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</si>
  <si>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</si>
  <si>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</si>
  <si>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</si>
  <si>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</si>
  <si>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</si>
  <si>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</si>
  <si>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</si>
  <si>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</si>
  <si>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</si>
  <si>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</si>
  <si>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</si>
  <si>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</si>
  <si>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</si>
  <si>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</si>
  <si>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</si>
  <si>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</si>
  <si>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</si>
  <si>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</si>
  <si>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</si>
  <si>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</si>
  <si>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</si>
  <si>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</si>
  <si>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</si>
  <si>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</si>
  <si>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</si>
  <si>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</si>
  <si>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</si>
  <si>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</si>
  <si>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</si>
  <si>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</si>
  <si>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</si>
  <si>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LF002100A25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</si>
  <si>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</si>
  <si>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</si>
  <si>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</si>
  <si>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</si>
  <si>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</si>
  <si>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</si>
  <si>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</si>
  <si>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</si>
  <si>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</si>
  <si>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</si>
  <si>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</si>
  <si>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</si>
  <si>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</si>
  <si>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</si>
  <si>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</si>
  <si>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</si>
  <si>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</si>
  <si>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</si>
  <si>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</si>
  <si>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</si>
  <si>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</si>
  <si>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</si>
  <si>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</si>
  <si>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</si>
  <si>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</si>
  <si>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</si>
  <si>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</si>
  <si>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</si>
  <si>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</si>
  <si>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</si>
  <si>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</si>
  <si>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</si>
  <si>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</si>
  <si>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</si>
  <si>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</si>
  <si>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</si>
  <si>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</si>
  <si>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</si>
  <si>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</si>
  <si>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</si>
  <si>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</si>
  <si>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</si>
  <si>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</si>
  <si>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</si>
  <si>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</si>
  <si>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</si>
  <si>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</si>
  <si>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</si>
  <si>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OMEGA DESENVOLVIMENTO S.A.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</si>
  <si>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</si>
  <si>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</si>
  <si>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</si>
  <si>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</si>
  <si>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</si>
  <si>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</si>
  <si>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</si>
  <si>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</si>
  <si>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</si>
  <si>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</si>
  <si>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</si>
  <si>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</si>
  <si>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</si>
  <si>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</si>
  <si>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</si>
  <si>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</si>
  <si>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</si>
  <si>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</si>
  <si>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</si>
  <si>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</si>
  <si>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</si>
  <si>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</si>
  <si>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</si>
  <si>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</si>
  <si>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</si>
  <si>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</si>
  <si>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</si>
  <si>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LFSC18002MZ</t>
  </si>
  <si>
    <t>LFSC18002MY</t>
  </si>
  <si>
    <t>LFSC18002DF</t>
  </si>
  <si>
    <t>LFSC18002MS</t>
  </si>
  <si>
    <t>LFSC18002MR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</si>
  <si>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</si>
  <si>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</si>
  <si>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</si>
  <si>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</si>
  <si>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</si>
  <si>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</si>
  <si>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</si>
  <si>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</si>
  <si>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</si>
  <si>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</si>
  <si>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</si>
  <si>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</si>
  <si>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</si>
  <si>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</si>
  <si>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</si>
  <si>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</si>
  <si>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</si>
  <si>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</si>
  <si>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</si>
  <si>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</si>
  <si>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</si>
  <si>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</si>
  <si>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</si>
  <si>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</si>
  <si>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</si>
  <si>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</si>
  <si>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</si>
  <si>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</si>
  <si>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</si>
  <si>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</si>
  <si>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</si>
  <si>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</si>
  <si>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</si>
  <si>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</si>
  <si>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</si>
  <si>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</si>
  <si>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</si>
  <si>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</si>
  <si>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</si>
  <si>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</si>
  <si>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</si>
  <si>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</si>
  <si>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</si>
  <si>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</si>
  <si>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</si>
  <si>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</si>
  <si>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</si>
  <si>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</si>
  <si>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</si>
  <si>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</si>
  <si>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</si>
  <si>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</si>
  <si>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</si>
  <si>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</si>
  <si>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</si>
  <si>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</si>
  <si>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</si>
  <si>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</si>
  <si>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</si>
  <si>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</si>
  <si>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</si>
  <si>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</si>
  <si>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</si>
  <si>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</si>
  <si>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</si>
  <si>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</si>
  <si>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</si>
  <si>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</si>
  <si>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</si>
  <si>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</si>
  <si>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</si>
  <si>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</si>
  <si>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</si>
  <si>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</si>
  <si>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</si>
  <si>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</si>
  <si>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</si>
  <si>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</si>
  <si>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</si>
  <si>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</si>
  <si>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</si>
  <si>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</si>
  <si>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</si>
  <si>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</si>
  <si>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LFSC18002MT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</si>
  <si>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</si>
  <si>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</si>
  <si>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</si>
  <si>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</si>
  <si>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</si>
  <si>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</si>
  <si>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</si>
  <si>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</si>
  <si>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</si>
  <si>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</si>
  <si>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</si>
  <si>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</si>
  <si>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</si>
  <si>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</si>
  <si>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</si>
  <si>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</si>
  <si>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</si>
  <si>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</si>
  <si>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</si>
  <si>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</si>
  <si>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LF00220097D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</si>
  <si>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</si>
  <si>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</si>
  <si>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</si>
  <si>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</si>
  <si>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</si>
  <si>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</si>
  <si>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</si>
  <si>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LFSC18002A3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</si>
  <si>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</si>
  <si>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</si>
  <si>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</si>
  <si>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</si>
  <si>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</si>
  <si>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</si>
  <si>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</si>
  <si>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</si>
  <si>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</si>
  <si>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</si>
  <si>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</si>
  <si>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</si>
  <si>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</si>
  <si>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</si>
  <si>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</si>
  <si>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</si>
  <si>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(4)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</si>
  <si>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</si>
  <si>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</si>
  <si>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</si>
  <si>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</si>
  <si>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</si>
  <si>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</si>
  <si>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</si>
  <si>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</si>
  <si>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</si>
  <si>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</si>
  <si>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</si>
  <si>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</si>
  <si>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</si>
  <si>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</si>
  <si>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</si>
  <si>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</si>
  <si>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</si>
  <si>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</si>
  <si>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</si>
  <si>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</si>
  <si>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</si>
  <si>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</si>
  <si>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</si>
  <si>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(71)</t>
  </si>
  <si>
    <t>CDI+ (16)</t>
  </si>
  <si>
    <t>CDI+ (34)</t>
  </si>
  <si>
    <t>CDI+ (22)</t>
  </si>
  <si>
    <t>CDI+ (15)</t>
  </si>
  <si>
    <t>Hedge IPCA (-7)</t>
  </si>
  <si>
    <t>Juros Reais (6)</t>
  </si>
  <si>
    <t>Hedge IPCA (-3)</t>
  </si>
  <si>
    <t>Hedge IPCA (-1)</t>
  </si>
  <si>
    <t>Cupom (-130)</t>
  </si>
  <si>
    <t>Juros Reais (4)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</si>
  <si>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</si>
  <si>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</si>
  <si>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</si>
  <si>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</si>
  <si>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</si>
  <si>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</si>
  <si>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</si>
  <si>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</si>
  <si>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</si>
  <si>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</si>
  <si>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</si>
  <si>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</si>
  <si>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</si>
  <si>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</si>
  <si>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</si>
  <si>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</si>
  <si>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</si>
  <si>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</si>
  <si>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</si>
  <si>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</si>
  <si>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</si>
  <si>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</si>
  <si>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</si>
  <si>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</si>
  <si>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</si>
  <si>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</si>
  <si>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(1.000.000)</t>
  </si>
  <si>
    <t>FIDC (2.085)</t>
  </si>
  <si>
    <t>FIDC (2.555)</t>
  </si>
  <si>
    <t>FIDC (2.336)</t>
  </si>
  <si>
    <t>FIDC (1.923)</t>
  </si>
  <si>
    <t>FIDC (2.103)</t>
  </si>
  <si>
    <t>FIDC (1.439)</t>
  </si>
  <si>
    <t>FIDC (2.000.000)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</si>
  <si>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</si>
  <si>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</si>
  <si>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</si>
  <si>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</si>
  <si>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</si>
  <si>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</si>
  <si>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</si>
  <si>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</si>
  <si>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</si>
  <si>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</si>
  <si>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</si>
  <si>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</si>
  <si>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</si>
  <si>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</si>
  <si>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</si>
  <si>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</si>
  <si>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</si>
  <si>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</si>
  <si>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</si>
  <si>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</si>
  <si>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</si>
  <si>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(121)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</si>
  <si>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</si>
  <si>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</si>
  <si>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</si>
  <si>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</si>
  <si>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</si>
  <si>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</si>
  <si>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</si>
  <si>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</si>
  <si>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</si>
  <si>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</si>
  <si>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(1.192)</t>
  </si>
  <si>
    <t>CDI+ (247)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</si>
  <si>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</si>
  <si>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</si>
  <si>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</si>
  <si>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</si>
  <si>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</si>
  <si>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</si>
  <si>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</si>
  <si>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</si>
  <si>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</si>
  <si>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</si>
  <si>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</si>
  <si>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</si>
  <si>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</si>
  <si>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</si>
  <si>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</si>
  <si>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</si>
  <si>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</si>
  <si>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(1.195)</t>
  </si>
  <si>
    <t>CDI+ (148)</t>
  </si>
  <si>
    <t>CDI+ (179)</t>
  </si>
  <si>
    <t>CDI+ (3.809)</t>
  </si>
  <si>
    <t>IPCA+ (210)</t>
  </si>
  <si>
    <t>IPCA+ (237)</t>
  </si>
  <si>
    <t>CDI+ (2.016)</t>
  </si>
  <si>
    <t>CDI+ (1.330)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</si>
  <si>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</si>
  <si>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</si>
  <si>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</si>
  <si>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</si>
  <si>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</si>
  <si>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</si>
  <si>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</si>
  <si>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(2.305)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</si>
  <si>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</si>
  <si>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</si>
  <si>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</si>
  <si>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</si>
  <si>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</si>
  <si>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</si>
  <si>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</si>
  <si>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</si>
  <si>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</si>
  <si>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(1.695)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</si>
  <si>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</si>
  <si>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</si>
  <si>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</si>
  <si>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</si>
  <si>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</si>
  <si>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</si>
  <si>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</si>
  <si>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(3.527)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</si>
  <si>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</si>
  <si>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</si>
  <si>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</si>
  <si>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</si>
  <si>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</si>
  <si>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</si>
  <si>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</si>
  <si>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</si>
  <si>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</si>
  <si>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(1.325)</t>
  </si>
  <si>
    <t>CDI+ (1.468)</t>
  </si>
  <si>
    <t>CDI+ (2.854)</t>
  </si>
  <si>
    <t>CDI+ (2.444)</t>
  </si>
  <si>
    <t>CDI+ (531)</t>
  </si>
  <si>
    <t>CDI+ (240)</t>
  </si>
  <si>
    <t>IPCA+ (500)</t>
  </si>
  <si>
    <t>CDI+ (5.071)</t>
  </si>
  <si>
    <t>CDI+ (1.475)</t>
  </si>
  <si>
    <t>CDI+ (1.646)</t>
  </si>
  <si>
    <t>CDI+ (883)</t>
  </si>
  <si>
    <t>CDI+ (77)</t>
  </si>
  <si>
    <t>CDI+ (1.991)</t>
  </si>
  <si>
    <t>CDI+ (1.070)</t>
  </si>
  <si>
    <t>IPCA+ (1.546)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</si>
  <si>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</si>
  <si>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</si>
  <si>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</si>
  <si>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</si>
  <si>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</si>
  <si>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</si>
  <si>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</si>
  <si>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</si>
  <si>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</si>
  <si>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</si>
  <si>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</si>
  <si>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</si>
  <si>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</si>
  <si>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</si>
  <si>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</si>
  <si>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</si>
  <si>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</si>
  <si>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</si>
  <si>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</si>
  <si>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</si>
  <si>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</si>
  <si>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</si>
  <si>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</si>
  <si>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</si>
  <si>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</si>
  <si>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</si>
  <si>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</si>
  <si>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</si>
  <si>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</si>
  <si>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</si>
  <si>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(191)</t>
  </si>
  <si>
    <t>%CDI (194)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</si>
  <si>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</si>
  <si>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</si>
  <si>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</si>
  <si>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</si>
  <si>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</si>
  <si>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</si>
  <si>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</si>
  <si>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</si>
  <si>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CDI+ (985)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</si>
  <si>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</si>
  <si>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</si>
  <si>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</si>
  <si>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</si>
  <si>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</si>
  <si>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</si>
  <si>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</si>
  <si>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</si>
  <si>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(1.020)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</si>
  <si>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</si>
  <si>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</si>
  <si>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</si>
  <si>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</si>
  <si>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</si>
  <si>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</si>
  <si>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</si>
  <si>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</si>
  <si>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</si>
  <si>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</si>
  <si>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</si>
  <si>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</si>
  <si>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</si>
  <si>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</si>
  <si>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</si>
  <si>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</si>
  <si>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</si>
  <si>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</si>
  <si>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</si>
  <si>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</si>
  <si>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</si>
  <si>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</si>
  <si>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</si>
  <si>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</si>
  <si>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</si>
  <si>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</si>
  <si>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</si>
  <si>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12 meses</t>
  </si>
  <si>
    <t>24 meses</t>
  </si>
  <si>
    <t>36 meses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</si>
  <si>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</si>
  <si>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</si>
  <si>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</si>
  <si>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</si>
  <si>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</si>
  <si>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</si>
  <si>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</si>
  <si>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</si>
  <si>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</si>
  <si>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</si>
  <si>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</si>
  <si>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</si>
  <si>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</si>
  <si>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</si>
  <si>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</si>
  <si>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</si>
  <si>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</si>
  <si>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(429)</t>
  </si>
  <si>
    <t>CDI+ (350)</t>
  </si>
  <si>
    <t>CDI+ (490)</t>
  </si>
  <si>
    <t>CDI+ (3.744)</t>
  </si>
  <si>
    <t>IPCA+ (249)</t>
  </si>
  <si>
    <t>Caixa (20)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</si>
  <si>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</si>
  <si>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</si>
  <si>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</si>
  <si>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</si>
  <si>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</si>
  <si>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</si>
  <si>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</si>
  <si>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(216)</t>
  </si>
  <si>
    <t>CDI+ (641)</t>
  </si>
  <si>
    <t>COMPASS GAS E ENERGIA S.A</t>
  </si>
  <si>
    <t>PASS12</t>
  </si>
  <si>
    <t>CDI+ (1.326)</t>
  </si>
  <si>
    <t>CDI+ (1.941)</t>
  </si>
  <si>
    <t>CDI+ (158)</t>
  </si>
  <si>
    <t>MULTILASER INDUSTRIAL</t>
  </si>
  <si>
    <t>MLAS3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</si>
  <si>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</si>
  <si>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</si>
  <si>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</si>
  <si>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</si>
  <si>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</si>
  <si>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</si>
  <si>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</si>
  <si>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</si>
  <si>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</si>
  <si>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CDI+ (326)</t>
  </si>
  <si>
    <t>Corporate Bonds (56.402)</t>
  </si>
  <si>
    <t>CDI+ (4.145)</t>
  </si>
  <si>
    <t>CDI+ (335)</t>
  </si>
  <si>
    <t>CDI+ (3.255)</t>
  </si>
  <si>
    <t>CDI+ (2.616)</t>
  </si>
  <si>
    <t>CDI+ (1.487)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</si>
  <si>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</si>
  <si>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</si>
  <si>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</si>
  <si>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</si>
  <si>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</si>
  <si>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</si>
  <si>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</si>
  <si>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</si>
  <si>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</si>
  <si>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</si>
  <si>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</si>
  <si>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</si>
  <si>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</si>
  <si>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</si>
  <si>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</si>
  <si>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</si>
  <si>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</si>
  <si>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</si>
  <si>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CDI+ (1.274)</t>
  </si>
  <si>
    <t>Hedge IPCA (-14)</t>
  </si>
  <si>
    <t>Hedge IPCA (-20)</t>
  </si>
  <si>
    <t>IPCA+ (1.207)</t>
  </si>
  <si>
    <t>IPCA+ (1.099)</t>
  </si>
  <si>
    <t>IPCA+ (1.674)</t>
  </si>
  <si>
    <t>IPCA+ (172)</t>
  </si>
  <si>
    <t>IPCA+ (162)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</si>
  <si>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</si>
  <si>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</si>
  <si>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</si>
  <si>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</si>
  <si>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</si>
  <si>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</si>
  <si>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</si>
  <si>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</si>
  <si>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</si>
  <si>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</si>
  <si>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(3.263)</t>
  </si>
  <si>
    <t>CDI+ (14.908)</t>
  </si>
  <si>
    <t>IPCA+ (185)</t>
  </si>
  <si>
    <t>LFSC24000BB</t>
  </si>
  <si>
    <t>Juros Reais (1)</t>
  </si>
  <si>
    <t>WIZS11</t>
  </si>
  <si>
    <t>CDI+ (7.388)</t>
  </si>
  <si>
    <t>CENTRO DE IMAGEM DIAGNOSTICOS S/A</t>
  </si>
  <si>
    <t>BRKMB8</t>
  </si>
  <si>
    <t>CDI+ (655)</t>
  </si>
  <si>
    <t>CDI+ (4.843)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</si>
  <si>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</si>
  <si>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</si>
  <si>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</si>
  <si>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</si>
  <si>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</si>
  <si>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</si>
  <si>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</si>
  <si>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</si>
  <si>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</si>
  <si>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</si>
  <si>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</si>
  <si>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</si>
  <si>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</si>
  <si>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</si>
  <si>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</si>
  <si>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</si>
  <si>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</si>
  <si>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(1.320)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</si>
  <si>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</si>
  <si>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</si>
  <si>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</si>
  <si>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</si>
  <si>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</si>
  <si>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</si>
  <si>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</si>
  <si>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</si>
  <si>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</si>
  <si>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</si>
  <si>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</si>
  <si>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</si>
  <si>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</si>
  <si>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</si>
  <si>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</si>
  <si>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</si>
  <si>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</si>
  <si>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</si>
  <si>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</si>
  <si>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</si>
  <si>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</si>
  <si>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</si>
  <si>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</si>
  <si>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</si>
  <si>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</si>
  <si>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</si>
  <si>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</si>
  <si>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</si>
  <si>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</si>
  <si>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</si>
  <si>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</si>
  <si>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</si>
  <si>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</si>
  <si>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CDI+ (1.047)</t>
  </si>
  <si>
    <t>BARREIRAS HOLDING S.A.</t>
  </si>
  <si>
    <t>TUPY3</t>
  </si>
  <si>
    <t>BBRASIL FIM CP RESP</t>
  </si>
  <si>
    <t>LF00200088U</t>
  </si>
  <si>
    <t>LF0020009XX</t>
  </si>
  <si>
    <t>LF0020008IV</t>
  </si>
  <si>
    <t>LF002000977</t>
  </si>
  <si>
    <t>LF002400BZZ</t>
  </si>
  <si>
    <t>CDI+ (-6)</t>
  </si>
  <si>
    <t>Juros Reais (5)</t>
  </si>
  <si>
    <t>VLIDA0</t>
  </si>
  <si>
    <t>CDI+ (1.792)</t>
  </si>
  <si>
    <t>CDI+ (3.078)</t>
  </si>
  <si>
    <t>CDI+ (125)</t>
  </si>
  <si>
    <t>CDI+ (108)</t>
  </si>
  <si>
    <t>CDI+ (2.328)</t>
  </si>
  <si>
    <t>CDI+ (3.306)</t>
  </si>
  <si>
    <t>CDI+ (1.728)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</si>
  <si>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</si>
  <si>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</si>
  <si>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</si>
  <si>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</si>
  <si>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</si>
  <si>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</si>
  <si>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</si>
  <si>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</si>
  <si>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</si>
  <si>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</si>
  <si>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</si>
  <si>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</si>
  <si>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</si>
  <si>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</si>
  <si>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</si>
  <si>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</si>
  <si>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</si>
  <si>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</si>
  <si>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</si>
  <si>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</si>
  <si>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</si>
  <si>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</si>
  <si>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</si>
  <si>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</si>
  <si>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</si>
  <si>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LFSC18002A5</t>
  </si>
  <si>
    <t>LFSC18001VE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</si>
  <si>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</si>
  <si>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</si>
  <si>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</si>
  <si>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</si>
  <si>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</si>
  <si>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</si>
  <si>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</si>
  <si>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</si>
  <si>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</si>
  <si>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</si>
  <si>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</si>
  <si>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</si>
  <si>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(1.747)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</si>
  <si>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</si>
  <si>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</si>
  <si>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</si>
  <si>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</si>
  <si>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</si>
  <si>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</si>
  <si>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</si>
  <si>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</si>
  <si>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</si>
  <si>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</si>
  <si>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</si>
  <si>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</si>
  <si>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</si>
  <si>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</si>
  <si>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</si>
  <si>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</si>
  <si>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</si>
  <si>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</si>
  <si>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</si>
  <si>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</si>
  <si>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</si>
  <si>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</si>
  <si>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</si>
  <si>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</si>
  <si>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CDB424F0EOB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</si>
  <si>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</si>
  <si>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</si>
  <si>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</si>
  <si>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</si>
  <si>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</si>
  <si>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</si>
  <si>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</si>
  <si>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CDI+ (365)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</si>
  <si>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</si>
  <si>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</si>
  <si>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</si>
  <si>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</si>
  <si>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</si>
  <si>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</si>
  <si>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</si>
  <si>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</si>
  <si>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</si>
  <si>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</si>
  <si>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</si>
  <si>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</si>
  <si>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</si>
  <si>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</si>
  <si>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</si>
  <si>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</si>
  <si>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</si>
  <si>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</si>
  <si>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</si>
  <si>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</si>
  <si>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</si>
  <si>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</si>
  <si>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</si>
  <si>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</si>
  <si>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</si>
  <si>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</si>
  <si>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</si>
  <si>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</si>
  <si>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</si>
  <si>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</si>
  <si>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</si>
  <si>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</si>
  <si>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</si>
  <si>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Hedge DI (6)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</si>
  <si>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</si>
  <si>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</si>
  <si>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</si>
  <si>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</si>
  <si>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</si>
  <si>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</si>
  <si>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</si>
  <si>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</si>
  <si>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</si>
  <si>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</si>
  <si>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</si>
  <si>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</si>
  <si>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</si>
  <si>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</si>
  <si>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CDI+ (449)</t>
  </si>
  <si>
    <t>CDI+ (551)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</si>
  <si>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</si>
  <si>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</si>
  <si>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</si>
  <si>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</si>
  <si>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</si>
  <si>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</si>
  <si>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</si>
  <si>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</si>
  <si>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</si>
  <si>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</si>
  <si>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</si>
  <si>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</si>
  <si>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(1.174)</t>
  </si>
  <si>
    <t>CDI+ (262)</t>
  </si>
  <si>
    <t>CDI+ (3.989)</t>
  </si>
  <si>
    <t>CDI+ (1.035)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</si>
  <si>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</si>
  <si>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</si>
  <si>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</si>
  <si>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</si>
  <si>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</si>
  <si>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</si>
  <si>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</si>
  <si>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CDI+ (1.970)</t>
  </si>
  <si>
    <t>CDI+ (2.350)</t>
  </si>
  <si>
    <t>CGOS18</t>
  </si>
  <si>
    <t>CDI+ (2.222.594)</t>
  </si>
  <si>
    <t>CDI+ (390)</t>
  </si>
  <si>
    <t>CDI+ (1.179.100)</t>
  </si>
  <si>
    <t>CDI+ (410)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</si>
  <si>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</si>
  <si>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</si>
  <si>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</si>
  <si>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</si>
  <si>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</si>
  <si>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</si>
  <si>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</si>
  <si>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</si>
  <si>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</si>
  <si>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</si>
  <si>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</si>
  <si>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</si>
  <si>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</si>
  <si>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</si>
  <si>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</si>
  <si>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</si>
  <si>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</si>
  <si>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</si>
  <si>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</si>
  <si>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</si>
  <si>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</si>
  <si>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</si>
  <si>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</si>
  <si>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</si>
  <si>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</si>
  <si>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</si>
  <si>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</si>
  <si>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</si>
  <si>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</si>
  <si>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ASAI3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</si>
  <si>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</si>
  <si>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</si>
  <si>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</si>
  <si>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</si>
  <si>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</si>
  <si>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</si>
  <si>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</si>
  <si>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</si>
  <si>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</si>
  <si>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</si>
  <si>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</si>
  <si>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</si>
  <si>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</si>
  <si>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</si>
  <si>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Hedge IPCA (-28)</t>
  </si>
  <si>
    <t>T10MAR25</t>
  </si>
  <si>
    <t>CDI+ (2.847)</t>
  </si>
  <si>
    <t>IPCA+ (722)</t>
  </si>
  <si>
    <t>EQUIPAV SANEAMENTO S.A.</t>
  </si>
  <si>
    <t>AEGE17</t>
  </si>
  <si>
    <t>CDI+ (850)</t>
  </si>
  <si>
    <t>CDI+ (2.375)</t>
  </si>
  <si>
    <t>CDI+ (145)</t>
  </si>
  <si>
    <t>COMPANHIA DE TRANSMISSÃO DE ENERGIA ELÉTRICA PAULISTA - CTEEP</t>
  </si>
  <si>
    <t>BRKMB6</t>
  </si>
  <si>
    <t>CAEC21</t>
  </si>
  <si>
    <t>CHSF13</t>
  </si>
  <si>
    <t>Hedge IPCA (-30)</t>
  </si>
  <si>
    <t>CDI+ (6.734)</t>
  </si>
  <si>
    <t>CDI+ (3.949)</t>
  </si>
  <si>
    <t>%CDI (79)</t>
  </si>
  <si>
    <t>CDI+ (1.141)</t>
  </si>
  <si>
    <t>IPCA+ (1.650)</t>
  </si>
  <si>
    <t>LIGT11</t>
  </si>
  <si>
    <t>LIGH2B</t>
  </si>
  <si>
    <t>CDI+ (6.297)</t>
  </si>
  <si>
    <t>BRKP28</t>
  </si>
  <si>
    <t>IPCA+ (2.500)</t>
  </si>
  <si>
    <t>Caixa (60)</t>
  </si>
  <si>
    <t>LFSN19009YU</t>
  </si>
  <si>
    <t>LFSN1800DXV</t>
  </si>
  <si>
    <t>LFSN1800DZX</t>
  </si>
  <si>
    <t>LFSN1800DRJ</t>
  </si>
  <si>
    <t>LFSN1800DZH</t>
  </si>
  <si>
    <t>LF002305RGG</t>
  </si>
  <si>
    <t>LF002100EXK</t>
  </si>
  <si>
    <t>LF00220095U</t>
  </si>
  <si>
    <t>Caixa (579.033)</t>
  </si>
  <si>
    <t>Caixa (1.981.480)</t>
  </si>
  <si>
    <t>CDI+ (202)</t>
  </si>
  <si>
    <t>CDB9248TSCN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</si>
  <si>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</si>
  <si>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</si>
  <si>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</si>
  <si>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</si>
  <si>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</si>
  <si>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</si>
  <si>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</si>
  <si>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</si>
  <si>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</si>
  <si>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</si>
  <si>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</si>
  <si>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</si>
  <si>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</si>
  <si>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</si>
  <si>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</si>
  <si>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</si>
  <si>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</si>
  <si>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</si>
  <si>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</si>
  <si>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</si>
  <si>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</si>
  <si>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</si>
  <si>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</si>
  <si>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</si>
  <si>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</si>
  <si>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</si>
  <si>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</si>
  <si>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</si>
  <si>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</si>
  <si>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</si>
  <si>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</si>
  <si>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</si>
  <si>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</si>
  <si>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(-27)</t>
  </si>
  <si>
    <t>Hedge IPCA (-24)</t>
  </si>
  <si>
    <t>Hedge IPCA (-9)</t>
  </si>
  <si>
    <t>Hedge IPCA (-4)</t>
  </si>
  <si>
    <t>AF INVEST</t>
  </si>
  <si>
    <t>FIDC PICPAY FGTS</t>
  </si>
  <si>
    <t>FIDC PICPAY FGTS SR</t>
  </si>
  <si>
    <t>CDI+ (1.465)</t>
  </si>
  <si>
    <t>CDI+ (1.667)</t>
  </si>
  <si>
    <t>CDI+ (1.177)</t>
  </si>
  <si>
    <t>CDI+ (412)</t>
  </si>
  <si>
    <t>CDI+ (1.740)</t>
  </si>
  <si>
    <t>CDI+ (2.711)</t>
  </si>
  <si>
    <t>CDI+ (2.977)</t>
  </si>
  <si>
    <t>CDI+ (1.498)</t>
  </si>
  <si>
    <t>CDI+ (1.617)</t>
  </si>
  <si>
    <t>LIGHC6</t>
  </si>
  <si>
    <t>IPCA+ (3.000)</t>
  </si>
  <si>
    <t>IPCA+ (582)</t>
  </si>
  <si>
    <t>IPCA+ (4.267)</t>
  </si>
  <si>
    <t>CDI+ (1.132)</t>
  </si>
  <si>
    <t>CDI+ (1.108)</t>
  </si>
  <si>
    <t>CDI+ (1.267)</t>
  </si>
  <si>
    <t>IPCA+ (2.856)</t>
  </si>
  <si>
    <t>IPCA+ (770)</t>
  </si>
  <si>
    <t>Pré (4.500)</t>
  </si>
  <si>
    <t>CDI+ (4.775)</t>
  </si>
  <si>
    <t>CDI+ (94)</t>
  </si>
  <si>
    <t>Caixa (262.497)</t>
  </si>
  <si>
    <t>CDI+ (468)</t>
  </si>
  <si>
    <t>Hedge DI (9)</t>
  </si>
  <si>
    <t>Juros Reais (20)</t>
  </si>
  <si>
    <t>LFSC18002A6</t>
  </si>
  <si>
    <t>LFSC18002A2</t>
  </si>
  <si>
    <t>LFSC24001P5</t>
  </si>
  <si>
    <t>LF002305RG5</t>
  </si>
  <si>
    <t>LF002305RGO</t>
  </si>
  <si>
    <t>LF002400Q09</t>
  </si>
  <si>
    <t>LF002400ABI</t>
  </si>
  <si>
    <t>KAPITALO K10 FIQ FIM</t>
  </si>
  <si>
    <t>ABSOLUTE VERTEX II FIC FIM</t>
  </si>
  <si>
    <t>CDB824AAYUA</t>
  </si>
  <si>
    <t>CDB924AJYNP</t>
  </si>
  <si>
    <t>Hedge IPCA (-6)</t>
  </si>
  <si>
    <t>CDI+ (-5)</t>
  </si>
  <si>
    <t>CDI+ (-12)</t>
  </si>
  <si>
    <t>CDI+ (141)</t>
  </si>
  <si>
    <t>CDI+ (214)</t>
  </si>
  <si>
    <t>CDI+ (5.750)</t>
  </si>
  <si>
    <t>CDI+ (27)</t>
  </si>
  <si>
    <t>Caixa (3)</t>
  </si>
  <si>
    <t>LFT mar 29</t>
  </si>
  <si>
    <t>Caixa (27)</t>
  </si>
  <si>
    <t>Caixa (14)</t>
  </si>
  <si>
    <t>Caixa (5)</t>
  </si>
  <si>
    <t>CDBC241I1TG</t>
  </si>
  <si>
    <t>%CDI (1), CDI+ (1)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</si>
  <si>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</si>
  <si>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</si>
  <si>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</si>
  <si>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</si>
  <si>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</si>
  <si>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</si>
  <si>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</si>
  <si>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</si>
  <si>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</si>
  <si>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3.59y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</si>
  <si>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</si>
  <si>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</si>
  <si>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</si>
  <si>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</si>
  <si>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</si>
  <si>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</si>
  <si>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</si>
  <si>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</si>
  <si>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</si>
  <si>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</si>
  <si>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</si>
  <si>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</si>
  <si>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</si>
  <si>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</si>
  <si>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</si>
  <si>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</si>
  <si>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</si>
  <si>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</si>
  <si>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</si>
  <si>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</si>
  <si>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(58)</t>
  </si>
  <si>
    <t>CDI+ (1.290)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</si>
  <si>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</si>
  <si>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</si>
  <si>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</si>
  <si>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</si>
  <si>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</si>
  <si>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</si>
  <si>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</si>
  <si>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</si>
  <si>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</si>
  <si>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ALGTA3</t>
  </si>
  <si>
    <t>CDI+ (1.378)</t>
  </si>
  <si>
    <t>CDI+ (1.523)</t>
  </si>
  <si>
    <t>CDI+ (1.279)</t>
  </si>
  <si>
    <t>CDI+ (193)</t>
  </si>
  <si>
    <t>CDI+ (163)</t>
  </si>
  <si>
    <t>CDI+ (1.773)</t>
  </si>
  <si>
    <t>CDI+ (61)</t>
  </si>
  <si>
    <t>IPCA+ (116)</t>
  </si>
  <si>
    <t>CDI+ (461)</t>
  </si>
  <si>
    <t>CDB824AAYU9</t>
  </si>
  <si>
    <t>CDB924AJYNR</t>
  </si>
  <si>
    <t>CDB924AJYNU</t>
  </si>
  <si>
    <t>CDI+ (298)</t>
  </si>
  <si>
    <t>%CDI (736)</t>
  </si>
  <si>
    <t>%CDI (170)</t>
  </si>
  <si>
    <t>BANCO INTER SA</t>
  </si>
  <si>
    <t>INBR32</t>
  </si>
  <si>
    <t>CRTA12</t>
  </si>
  <si>
    <t>RISP12</t>
  </si>
  <si>
    <t>SUMI17</t>
  </si>
  <si>
    <t>Juros Reais (250), IPCA+ (-15)</t>
  </si>
  <si>
    <t>CDB1256KW67</t>
  </si>
  <si>
    <t>Risco (-1)</t>
  </si>
  <si>
    <t>Juros Reais (25), Hedge IPCA (-10)</t>
  </si>
  <si>
    <t>Juros Reais (7), Hedge IPCA (-2)</t>
  </si>
  <si>
    <t>SPE SANEAMENTO RIO 1 S.A</t>
  </si>
  <si>
    <t>4.39y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</si>
  <si>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</si>
  <si>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</si>
  <si>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</si>
  <si>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</si>
  <si>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</si>
  <si>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</si>
  <si>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</si>
  <si>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</si>
  <si>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</si>
  <si>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</si>
  <si>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</si>
  <si>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</si>
  <si>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4.08y</t>
  </si>
  <si>
    <t>2.97y</t>
  </si>
  <si>
    <t>3.60y</t>
  </si>
  <si>
    <t>2.19y</t>
  </si>
  <si>
    <t>CONCESSIONARIA ROTA DO OESTE S.A.</t>
  </si>
  <si>
    <t>IPCA+ (8.000)</t>
  </si>
  <si>
    <t>5.10y</t>
  </si>
  <si>
    <t>ABCB4</t>
  </si>
  <si>
    <t>GIGA MAIS FIBRA TELECOMUNICACOES S.A.</t>
  </si>
  <si>
    <t>IPCA+ (2.225)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</si>
  <si>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</si>
  <si>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</si>
  <si>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</si>
  <si>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</si>
  <si>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</si>
  <si>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</si>
  <si>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</si>
  <si>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</si>
  <si>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</si>
  <si>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</si>
  <si>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Pré (-62)</t>
  </si>
  <si>
    <t>Hedge IPCA (-33)</t>
  </si>
  <si>
    <t>Hedge DI (20)</t>
  </si>
  <si>
    <t>USRATES (10)</t>
  </si>
  <si>
    <t>WDOMAR25</t>
  </si>
  <si>
    <t>Hedge Cambial (6)</t>
  </si>
  <si>
    <t>DOLMAR25</t>
  </si>
  <si>
    <t>Hedge Cambial (-70)</t>
  </si>
  <si>
    <t>Caixa (2.075.184)</t>
  </si>
  <si>
    <t>FIDC ICRED INSS</t>
  </si>
  <si>
    <t>FIDC Icred INSS</t>
  </si>
  <si>
    <t>3.97y</t>
  </si>
  <si>
    <t>3.52y</t>
  </si>
  <si>
    <t>Corporate Bonds (13.693)</t>
  </si>
  <si>
    <t>VERT18 (nota reestruturada)</t>
  </si>
  <si>
    <t>VERT19 (nota participativa)</t>
  </si>
  <si>
    <t>3.28y</t>
  </si>
  <si>
    <t>2.93y</t>
  </si>
  <si>
    <t>2.22y</t>
  </si>
  <si>
    <t>2.67y</t>
  </si>
  <si>
    <t>MOVIDA PARTICIPACOES S/A</t>
  </si>
  <si>
    <t>2.91y</t>
  </si>
  <si>
    <t>2.38y</t>
  </si>
  <si>
    <t>2.10y</t>
  </si>
  <si>
    <t>CDI+ (37)</t>
  </si>
  <si>
    <t>2.52y</t>
  </si>
  <si>
    <t>4.44y</t>
  </si>
  <si>
    <t>6.63y</t>
  </si>
  <si>
    <t>2.76y</t>
  </si>
  <si>
    <t>3.27y</t>
  </si>
  <si>
    <t>2.78y</t>
  </si>
  <si>
    <t>3.26y</t>
  </si>
  <si>
    <t>0.63y</t>
  </si>
  <si>
    <t>4.81y</t>
  </si>
  <si>
    <t>CDI+ (3.057)</t>
  </si>
  <si>
    <t>CDI+ (2.539)</t>
  </si>
  <si>
    <t>CDI+ (223)</t>
  </si>
  <si>
    <t>2.50y</t>
  </si>
  <si>
    <t>5.09y</t>
  </si>
  <si>
    <t>2.75y</t>
  </si>
  <si>
    <t>2.54y</t>
  </si>
  <si>
    <t>2.12y</t>
  </si>
  <si>
    <t>CDI+ (1.191)</t>
  </si>
  <si>
    <t>CDI+ (2.011)</t>
  </si>
  <si>
    <t>CDI+ (114)</t>
  </si>
  <si>
    <t>CENTRAIS ELETRICAS DO PARA S.A - CELPA</t>
  </si>
  <si>
    <t>AUTOPISTA LITORAL SUL S/A.</t>
  </si>
  <si>
    <t>IPCA+ (3.005)</t>
  </si>
  <si>
    <t>3.82y</t>
  </si>
  <si>
    <t>1.93y</t>
  </si>
  <si>
    <t>IPCA+ (2.070)</t>
  </si>
  <si>
    <t>2.09y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</si>
  <si>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</si>
  <si>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</si>
  <si>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</si>
  <si>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</si>
  <si>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</si>
  <si>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</si>
  <si>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</si>
  <si>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</si>
  <si>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</si>
  <si>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</si>
  <si>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</si>
  <si>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</si>
  <si>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</si>
  <si>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</si>
  <si>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</si>
  <si>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</si>
  <si>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</si>
  <si>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</si>
  <si>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</si>
  <si>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</si>
  <si>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</si>
  <si>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</si>
  <si>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</si>
  <si>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</si>
  <si>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</si>
  <si>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</si>
  <si>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</si>
  <si>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</si>
  <si>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</si>
  <si>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%CDI (3), CDI+ (8)</t>
  </si>
  <si>
    <t>Hedge IPCA (-107)</t>
  </si>
  <si>
    <t>Hedge IPCA (-45)</t>
  </si>
  <si>
    <t>Hedge IPCA (-72)</t>
  </si>
  <si>
    <t>Hedge IPCA (-17)</t>
  </si>
  <si>
    <t>Hedge DI (-15)</t>
  </si>
  <si>
    <t>Hedge DI (-11)</t>
  </si>
  <si>
    <t>T10JUN25</t>
  </si>
  <si>
    <t>USRATES (1), Risco (-1)</t>
  </si>
  <si>
    <t>DDIABR25</t>
  </si>
  <si>
    <t>Hedge DI (-25)</t>
  </si>
  <si>
    <t>Risco (1), Hedge Cambial (-15)</t>
  </si>
  <si>
    <t>Hedge IPCA (-31)</t>
  </si>
  <si>
    <t>Hedge DI (5)</t>
  </si>
  <si>
    <t>3.13y</t>
  </si>
  <si>
    <t>0.50y</t>
  </si>
  <si>
    <t>0.35y</t>
  </si>
  <si>
    <t>CDI+ (139)</t>
  </si>
  <si>
    <t>4.01y</t>
  </si>
  <si>
    <t>IPCA+ (2.797)</t>
  </si>
  <si>
    <t>IPCA+ (476)</t>
  </si>
  <si>
    <t>4.37y</t>
  </si>
  <si>
    <t>3.51y</t>
  </si>
  <si>
    <t>IPCA+ (2.584)</t>
  </si>
  <si>
    <t>IPCA+ (620)</t>
  </si>
  <si>
    <t>1.51y</t>
  </si>
  <si>
    <t>IPCA+ (166.766)</t>
  </si>
  <si>
    <t>5.11y</t>
  </si>
  <si>
    <t>IPCA+ (40.234)</t>
  </si>
  <si>
    <t>4.33y</t>
  </si>
  <si>
    <t>3.29y</t>
  </si>
  <si>
    <t>2.21y</t>
  </si>
  <si>
    <t>1.02y</t>
  </si>
  <si>
    <t>0.23y</t>
  </si>
  <si>
    <t>6.64y</t>
  </si>
  <si>
    <t>1.17y</t>
  </si>
  <si>
    <t>1.09y</t>
  </si>
  <si>
    <t>CDI+ (-7)</t>
  </si>
  <si>
    <t>4.14y</t>
  </si>
  <si>
    <t>2.17y</t>
  </si>
  <si>
    <t>0.29y</t>
  </si>
  <si>
    <t>2.66y</t>
  </si>
  <si>
    <t>CDI+ (192)</t>
  </si>
  <si>
    <t>3.58y</t>
  </si>
  <si>
    <t>4.29y</t>
  </si>
  <si>
    <t>1.23y</t>
  </si>
  <si>
    <t>1.43y</t>
  </si>
  <si>
    <t>8.56y</t>
  </si>
  <si>
    <t>3.09y</t>
  </si>
  <si>
    <t>2.37y</t>
  </si>
  <si>
    <t>CDI+ (130)</t>
  </si>
  <si>
    <t>3.65y</t>
  </si>
  <si>
    <t>2.51y</t>
  </si>
  <si>
    <t>1.66y</t>
  </si>
  <si>
    <t>2.79y</t>
  </si>
  <si>
    <t>FIBRASIL INFRAESTRUTURA FIBRA OTICA S.A.</t>
  </si>
  <si>
    <t>IPCA+ (2.013)</t>
  </si>
  <si>
    <t>IPCA+ (1.987)</t>
  </si>
  <si>
    <t>4.43y</t>
  </si>
  <si>
    <t>CDI+ (8.150)</t>
  </si>
  <si>
    <t>2.77y</t>
  </si>
  <si>
    <t>4.67y</t>
  </si>
  <si>
    <t>0.49y</t>
  </si>
  <si>
    <t>4.32y</t>
  </si>
  <si>
    <t>5.83y</t>
  </si>
  <si>
    <t>3.25y</t>
  </si>
  <si>
    <t>1.20y</t>
  </si>
  <si>
    <t>2.57y</t>
  </si>
  <si>
    <t>0.61y</t>
  </si>
  <si>
    <t>4.80y</t>
  </si>
  <si>
    <t>2.96y</t>
  </si>
  <si>
    <t>3.80y</t>
  </si>
  <si>
    <t>IPCA+ (2.145)</t>
  </si>
  <si>
    <t>IPCA+ (2.117)</t>
  </si>
  <si>
    <t>0.56y</t>
  </si>
  <si>
    <t>2.49y</t>
  </si>
  <si>
    <t>5.07y</t>
  </si>
  <si>
    <t>1.00y</t>
  </si>
  <si>
    <t>7.00y</t>
  </si>
  <si>
    <t>2.74y</t>
  </si>
  <si>
    <t>4.70y</t>
  </si>
  <si>
    <t>1.28y</t>
  </si>
  <si>
    <t>IPCA+ (1.000)</t>
  </si>
  <si>
    <t>4.57y</t>
  </si>
  <si>
    <t>1.78y</t>
  </si>
  <si>
    <t>7.58y</t>
  </si>
  <si>
    <t>3.07y</t>
  </si>
  <si>
    <t>3.91y</t>
  </si>
  <si>
    <t>7.39y</t>
  </si>
  <si>
    <t>1.91y</t>
  </si>
  <si>
    <t>4.65y</t>
  </si>
  <si>
    <t>0.01y</t>
  </si>
  <si>
    <t>5.03y</t>
  </si>
  <si>
    <t>1.34y</t>
  </si>
  <si>
    <t>2.08y</t>
  </si>
  <si>
    <t>BANCO DO BRASIL</t>
  </si>
  <si>
    <t>BBAS3</t>
  </si>
  <si>
    <t>LF002400KC0</t>
  </si>
  <si>
    <t>LF002400KC1</t>
  </si>
  <si>
    <t>Hedge DI (-2)</t>
  </si>
  <si>
    <t>0.36y</t>
  </si>
  <si>
    <t>0.92y</t>
  </si>
  <si>
    <t>1.52y</t>
  </si>
  <si>
    <t>3.30y</t>
  </si>
  <si>
    <t>0.24y</t>
  </si>
  <si>
    <t>1.18y</t>
  </si>
  <si>
    <t>3.83y</t>
  </si>
  <si>
    <t>2.18y</t>
  </si>
  <si>
    <t>0.30y</t>
  </si>
  <si>
    <t>1.44y</t>
  </si>
  <si>
    <t>0.81y</t>
  </si>
  <si>
    <t>0.62y</t>
  </si>
  <si>
    <t>2.11y</t>
  </si>
  <si>
    <t>1.79y</t>
  </si>
  <si>
    <t>0.02y</t>
  </si>
  <si>
    <t>1.35y</t>
  </si>
  <si>
    <t>0,00</t>
  </si>
  <si>
    <t>Hedge IPCA (-10), Juros Reais (1)</t>
  </si>
  <si>
    <t>Hedge DI (13)</t>
  </si>
  <si>
    <t>3.11y</t>
  </si>
  <si>
    <t>3.94y</t>
  </si>
  <si>
    <t>4.00y</t>
  </si>
  <si>
    <t>4.36y</t>
  </si>
  <si>
    <t>3.49y</t>
  </si>
  <si>
    <t>IPCA+ (5.069)</t>
  </si>
  <si>
    <t>4.13y</t>
  </si>
  <si>
    <t>IPCA+ (1.168)</t>
  </si>
  <si>
    <t>2.16y</t>
  </si>
  <si>
    <t>2.65y</t>
  </si>
  <si>
    <t>3.50y</t>
  </si>
  <si>
    <t>4.60y</t>
  </si>
  <si>
    <t>9.09y</t>
  </si>
  <si>
    <t>2.36y</t>
  </si>
  <si>
    <t>1.65y</t>
  </si>
  <si>
    <t>2.73y</t>
  </si>
  <si>
    <t>3.23y</t>
  </si>
  <si>
    <t>3.78y</t>
  </si>
  <si>
    <t>2.48y</t>
  </si>
  <si>
    <t>1.92y</t>
  </si>
  <si>
    <t>5.06y</t>
  </si>
  <si>
    <t>2.72y</t>
  </si>
  <si>
    <t>3.05y</t>
  </si>
  <si>
    <t>3.79y</t>
  </si>
  <si>
    <t>0.93y</t>
  </si>
  <si>
    <t>ECORAPOSO</t>
  </si>
  <si>
    <t>RIO INFRA</t>
  </si>
  <si>
    <t>LF002400ATX</t>
  </si>
  <si>
    <t>Fundos de Terceiros</t>
  </si>
  <si>
    <t>BRREDCCTF053</t>
  </si>
  <si>
    <t>BR0460CTF016</t>
  </si>
  <si>
    <t>BR04PXCTF002</t>
  </si>
  <si>
    <t>BRSUR5CTF0E3</t>
  </si>
  <si>
    <t>BR07S4CTF068</t>
  </si>
  <si>
    <t>BR03UACTF002</t>
  </si>
  <si>
    <t>BRGASFCTF006</t>
  </si>
  <si>
    <t>BR0BHCCTF046</t>
  </si>
  <si>
    <t>VPORTS AUTORIDADE PORTUARIA S/A</t>
  </si>
  <si>
    <t>CDES11</t>
  </si>
  <si>
    <t>7.07y</t>
  </si>
  <si>
    <t>UHE SAO SIMAO ENERGIA S/A</t>
  </si>
  <si>
    <t>UHSM12</t>
  </si>
  <si>
    <t>7.38y</t>
  </si>
  <si>
    <t>SUZANO S.A.</t>
  </si>
  <si>
    <t>SUZBA0</t>
  </si>
  <si>
    <t>8.42y</t>
  </si>
  <si>
    <t>RISP22</t>
  </si>
  <si>
    <t>8.46y</t>
  </si>
  <si>
    <t>GASC17</t>
  </si>
  <si>
    <t>7.92y</t>
  </si>
  <si>
    <t>GASC25</t>
  </si>
  <si>
    <t>8.62y</t>
  </si>
  <si>
    <t>RIO PARANA ENERGIA S/A</t>
  </si>
  <si>
    <t>RIPR22</t>
  </si>
  <si>
    <t>4.61y</t>
  </si>
  <si>
    <t>RDVE SUBHOLDING S.A.</t>
  </si>
  <si>
    <t>RDVE11</t>
  </si>
  <si>
    <t>4.78y</t>
  </si>
  <si>
    <t>RAIZEN ENERGIA S/A</t>
  </si>
  <si>
    <t>RAIZ23</t>
  </si>
  <si>
    <t>8.70y</t>
  </si>
  <si>
    <t>PEJA22</t>
  </si>
  <si>
    <t>6.22y</t>
  </si>
  <si>
    <t>NORTE ENERGIA S/A</t>
  </si>
  <si>
    <t>NTEN11</t>
  </si>
  <si>
    <t>NEOENERGIA MORRO DO CHAPEU TRANSMISSAO E ENERGIA S.A.</t>
  </si>
  <si>
    <t>NMCH11</t>
  </si>
  <si>
    <t>6.25y</t>
  </si>
  <si>
    <t>MRS LOGÍSTICA S/A</t>
  </si>
  <si>
    <t>MRSAB2</t>
  </si>
  <si>
    <t>7.41y</t>
  </si>
  <si>
    <t>MRSAB1</t>
  </si>
  <si>
    <t>6.95y</t>
  </si>
  <si>
    <t>MRSAC1</t>
  </si>
  <si>
    <t>8.28y</t>
  </si>
  <si>
    <t>8.53y</t>
  </si>
  <si>
    <t>LINHAS DE TAUBATE TRANS.DE ENERGIA S/A</t>
  </si>
  <si>
    <t>LTTE15</t>
  </si>
  <si>
    <t>5.60y</t>
  </si>
  <si>
    <t>HOLDING DO ARAGUAIA S.A.</t>
  </si>
  <si>
    <t>HARG11</t>
  </si>
  <si>
    <t>5.44y</t>
  </si>
  <si>
    <t>HELIO VALGAS SOLAR PARTICIPACOES S.A.</t>
  </si>
  <si>
    <t>HVSP11</t>
  </si>
  <si>
    <t>5.46y</t>
  </si>
  <si>
    <t>GBS PARTICIPACOES S.A.</t>
  </si>
  <si>
    <t>GBSP11</t>
  </si>
  <si>
    <t>7.60y</t>
  </si>
  <si>
    <t>CGOS34</t>
  </si>
  <si>
    <t>6.67y</t>
  </si>
  <si>
    <t>ENTREVIAS CONCESSIONARIA DE RODOVIAS S.A</t>
  </si>
  <si>
    <t>ENTV12</t>
  </si>
  <si>
    <t>3.47y</t>
  </si>
  <si>
    <t>ENGIE BRASIL ENERGIA S.A.</t>
  </si>
  <si>
    <t>EGIEB2</t>
  </si>
  <si>
    <t>6.23y</t>
  </si>
  <si>
    <t>EGIEA1</t>
  </si>
  <si>
    <t>6.18y</t>
  </si>
  <si>
    <t>ENEVB0</t>
  </si>
  <si>
    <t>8.49y</t>
  </si>
  <si>
    <t>ENEV18</t>
  </si>
  <si>
    <t>5.19y</t>
  </si>
  <si>
    <t>ENGIB9</t>
  </si>
  <si>
    <t>5.82y</t>
  </si>
  <si>
    <t>ENGIB2</t>
  </si>
  <si>
    <t>6.97y</t>
  </si>
  <si>
    <t>EMPRESA DE ENERGIA SÃO MANOEL S/A</t>
  </si>
  <si>
    <t>ESAM14</t>
  </si>
  <si>
    <t>3.55y</t>
  </si>
  <si>
    <t>ELETROPAULO METROP. ELETRIC. DE S.P. S/A</t>
  </si>
  <si>
    <t>ELPLA7</t>
  </si>
  <si>
    <t>4.98y</t>
  </si>
  <si>
    <t>ERDVB4</t>
  </si>
  <si>
    <t>CPFL TRANSMISSAO S.A</t>
  </si>
  <si>
    <t>EEELB1</t>
  </si>
  <si>
    <t>8.68y</t>
  </si>
  <si>
    <t>CPLD29</t>
  </si>
  <si>
    <t>6.57y</t>
  </si>
  <si>
    <t>CONCESSIONÁRIA ROTA DAS BANDEIRAS S/A</t>
  </si>
  <si>
    <t>CBAN32</t>
  </si>
  <si>
    <t>5.15y</t>
  </si>
  <si>
    <t>CBAN52</t>
  </si>
  <si>
    <t>CONCESSIONÁRIA AUTO RAPOSO TAVARES S/A</t>
  </si>
  <si>
    <t>CART13</t>
  </si>
  <si>
    <t>4.74y</t>
  </si>
  <si>
    <t>CONC. RODOV. INTERI. PAULISTA S/A</t>
  </si>
  <si>
    <t>IVIAA0</t>
  </si>
  <si>
    <t>6.50y</t>
  </si>
  <si>
    <t>COMPANHIA RIOGRANDENSE DE SANEAMENTO - CORSAN</t>
  </si>
  <si>
    <t>RSAN26</t>
  </si>
  <si>
    <t>COMPANHIA PAULISTA DE FORÇA E LUZ</t>
  </si>
  <si>
    <t>PALFB3</t>
  </si>
  <si>
    <t>CIA DE SANEAMENTO DE M.GERAIS COPASA MG</t>
  </si>
  <si>
    <t>CSMGB9</t>
  </si>
  <si>
    <t>4.62y</t>
  </si>
  <si>
    <t>CEMIG DISTRIBUIÇÃO S/A</t>
  </si>
  <si>
    <t>CMGDB1</t>
  </si>
  <si>
    <t>7.63y</t>
  </si>
  <si>
    <t>CELESC DISTRIBUIÇÃO S/A</t>
  </si>
  <si>
    <t>CLCD27</t>
  </si>
  <si>
    <t>6.21y</t>
  </si>
  <si>
    <t>CCR S/A</t>
  </si>
  <si>
    <t>CCROB6</t>
  </si>
  <si>
    <t>6.32y</t>
  </si>
  <si>
    <t>BRASIL TECNOLOGIA E PARTICIPACAO S.A.</t>
  </si>
  <si>
    <t>TEPA12</t>
  </si>
  <si>
    <t>3.53y</t>
  </si>
  <si>
    <t>BARUERI ENERGIA RENOVAVEL S.A.</t>
  </si>
  <si>
    <t>BARU11</t>
  </si>
  <si>
    <t>8.74y</t>
  </si>
  <si>
    <t>ATLAS LUIZ CARLOS COMERCIALIZADORA DE ENERGIA S.A.</t>
  </si>
  <si>
    <t>ACRC21</t>
  </si>
  <si>
    <t>7.91y</t>
  </si>
  <si>
    <t>AGUAS DO RIO 4 SPE S.A</t>
  </si>
  <si>
    <t>RIS424</t>
  </si>
  <si>
    <t>8.34y</t>
  </si>
  <si>
    <t>RIS422</t>
  </si>
  <si>
    <t>8.45y</t>
  </si>
  <si>
    <t>GSTS24</t>
  </si>
  <si>
    <t>7.15y</t>
  </si>
  <si>
    <t>TRRG12</t>
  </si>
  <si>
    <t>SBSPE3</t>
  </si>
  <si>
    <t>CESE32</t>
  </si>
  <si>
    <t>HZTC14</t>
  </si>
  <si>
    <t>Hedge IPCA (-254)</t>
  </si>
  <si>
    <t>Hedge IPCA (-110)</t>
  </si>
  <si>
    <t>Hedge IPCA (-59), Juros Reais (6)</t>
  </si>
  <si>
    <t>Hedge IPCA (-18), Juros Reais (2)</t>
  </si>
  <si>
    <t>9.31y</t>
  </si>
  <si>
    <t>1.50y</t>
  </si>
  <si>
    <t>1.08y</t>
  </si>
  <si>
    <t>1.42y</t>
  </si>
  <si>
    <t>9.07y</t>
  </si>
  <si>
    <t>CDI+ (1.017)</t>
  </si>
  <si>
    <t>4.71y</t>
  </si>
  <si>
    <t>5.42y</t>
  </si>
  <si>
    <t>3.24y</t>
  </si>
  <si>
    <t>4.66y</t>
  </si>
  <si>
    <t>4.31y</t>
  </si>
  <si>
    <t>IPCA+ (9.027)</t>
  </si>
  <si>
    <t>5.81y</t>
  </si>
  <si>
    <t>IPCA+ (4.110)</t>
  </si>
  <si>
    <t>IPCA+ (3.865)</t>
  </si>
  <si>
    <t>IPCA+ (3.875)</t>
  </si>
  <si>
    <t>1.26y</t>
  </si>
  <si>
    <t>7.11y</t>
  </si>
  <si>
    <t>5.99y</t>
  </si>
  <si>
    <t>1.77y</t>
  </si>
  <si>
    <t>7.54y</t>
  </si>
  <si>
    <t>7.32y</t>
  </si>
  <si>
    <t>IPCA+ (3.709)</t>
  </si>
  <si>
    <t>4.63y</t>
  </si>
  <si>
    <t>5.93y</t>
  </si>
  <si>
    <t>CDI+ (1.707)</t>
  </si>
  <si>
    <t>1.33y</t>
  </si>
  <si>
    <t>Hedge IPCA (-22)</t>
  </si>
  <si>
    <t>Hedge IPCA (-76)</t>
  </si>
  <si>
    <t>Hedge IPCA (-4), Juros Reais (3)</t>
  </si>
  <si>
    <t>Hedge IPCA (-16), Juros Reais (2)</t>
  </si>
  <si>
    <t>2.20y</t>
  </si>
  <si>
    <t>1.01y</t>
  </si>
  <si>
    <t>3.62y</t>
  </si>
  <si>
    <t>IPCA+ (973)</t>
  </si>
  <si>
    <t>3.77y</t>
  </si>
  <si>
    <t>4.75y</t>
  </si>
  <si>
    <t>2.94y</t>
  </si>
  <si>
    <t>0.55y</t>
  </si>
  <si>
    <t>3.56y</t>
  </si>
  <si>
    <t>IPCA+ (990)</t>
  </si>
  <si>
    <t>IPCA+ (935)</t>
  </si>
  <si>
    <t>IPCA+ (925)</t>
  </si>
  <si>
    <t>3.87y</t>
  </si>
  <si>
    <t>IPCA+ (897)</t>
  </si>
  <si>
    <t>Mostrando de 1 até 107 de 107 registros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</si>
</sst>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3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0" fontId="22" fillId="0" borderId="32" xfId="0" applyFont="1" applyBorder="1" applyAlignment="1">
      <alignment horizontal="left" vertical="top"/>
    </xf>
    <xf numFmtId="3" fontId="22" fillId="0" borderId="32" xfId="0" applyNumberFormat="1" applyFont="1" applyBorder="1" applyAlignment="1">
      <alignment horizontal="center" vertical="top"/>
    </xf>
    <xf numFmtId="8" fontId="22" fillId="0" borderId="32" xfId="0" applyNumberFormat="1" applyFont="1" applyBorder="1" applyAlignment="1">
      <alignment horizontal="center" vertical="top"/>
    </xf>
    <xf numFmtId="10" fontId="22" fillId="0" borderId="32" xfId="0" applyNumberFormat="1" applyFont="1" applyBorder="1" applyAlignment="1">
      <alignment horizontal="left" vertical="top"/>
    </xf>
    <xf numFmtId="43" fontId="0" fillId="0" borderId="0" xfId="8" applyFont="1"/>
    <xf numFmtId="0" fontId="22" fillId="0" borderId="32" xfId="0" applyFont="1" applyBorder="1" applyAlignment="1">
      <alignment horizontal="center" vertical="top"/>
    </xf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3" fontId="0" fillId="4" borderId="0" xfId="0" applyNumberFormat="1" applyFill="1" applyAlignment="1">
      <alignment horizontal="center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29" fillId="0" borderId="37" xfId="0" applyFont="1" applyBorder="1" applyAlignment="1">
      <alignment horizontal="left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0" fontId="30" fillId="0" borderId="35" xfId="0" applyFont="1" applyBorder="1" applyAlignment="1">
      <alignment horizontal="left" vertical="top"/>
    </xf>
    <xf numFmtId="0" fontId="30" fillId="0" borderId="32" xfId="0" applyFont="1" applyBorder="1" applyAlignment="1">
      <alignment horizontal="left" vertical="top"/>
    </xf>
    <xf numFmtId="0" fontId="23" fillId="0" borderId="32" xfId="7" applyBorder="1" applyAlignment="1">
      <alignment horizontal="left" vertical="top"/>
    </xf>
    <xf numFmtId="0" fontId="30" fillId="0" borderId="32" xfId="0" applyFont="1" applyBorder="1" applyAlignment="1">
      <alignment horizontal="center" vertical="top"/>
    </xf>
    <xf numFmtId="14" fontId="30" fillId="0" borderId="31" xfId="0" applyNumberFormat="1" applyFont="1" applyBorder="1" applyAlignment="1">
      <alignment horizontal="center" vertical="top"/>
    </xf>
    <xf numFmtId="3" fontId="29" fillId="0" borderId="36" xfId="0" applyNumberFormat="1" applyFont="1" applyBorder="1" applyAlignment="1">
      <alignment horizontal="center" vertical="top"/>
    </xf>
    <xf numFmtId="8" fontId="29" fillId="0" borderId="36" xfId="0" applyNumberFormat="1" applyFont="1" applyBorder="1" applyAlignment="1">
      <alignment horizontal="center" vertical="top"/>
    </xf>
    <xf numFmtId="8" fontId="30" fillId="0" borderId="32" xfId="0" applyNumberFormat="1" applyFont="1" applyBorder="1" applyAlignment="1">
      <alignment horizontal="center" vertical="top"/>
    </xf>
    <xf numFmtId="10" fontId="29" fillId="0" borderId="36" xfId="0" applyNumberFormat="1" applyFont="1" applyBorder="1" applyAlignment="1">
      <alignment horizontal="left" vertical="top"/>
    </xf>
    <xf numFmtId="10" fontId="30" fillId="0" borderId="32" xfId="0" applyNumberFormat="1" applyFont="1" applyBorder="1" applyAlignment="1">
      <alignment horizontal="left" vertical="top"/>
    </xf>
    <xf numFmtId="170" fontId="0" fillId="0" borderId="0" xfId="0" applyNumberFormat="1"/>
    <xf numFmtId="0" fontId="29" fillId="0" borderId="18" xfId="0" applyFont="1" applyBorder="1" applyAlignment="1">
      <alignment horizontal="left" vertical="top"/>
    </xf>
    <xf numFmtId="0" fontId="29" fillId="0" borderId="17" xfId="0" applyFont="1" applyBorder="1" applyAlignment="1">
      <alignment horizontal="left" vertical="top"/>
    </xf>
    <xf numFmtId="0" fontId="29" fillId="0" borderId="17" xfId="0" applyFont="1" applyBorder="1" applyAlignment="1">
      <alignment horizontal="center" vertical="top"/>
    </xf>
    <xf numFmtId="14" fontId="30" fillId="0" borderId="32" xfId="0" applyNumberFormat="1" applyFont="1" applyBorder="1" applyAlignment="1">
      <alignment horizontal="center" vertical="top"/>
    </xf>
    <xf numFmtId="3" fontId="29" fillId="0" borderId="17" xfId="0" applyNumberFormat="1" applyFont="1" applyBorder="1" applyAlignment="1">
      <alignment horizontal="center" vertical="top"/>
    </xf>
    <xf numFmtId="3" fontId="30" fillId="0" borderId="31" xfId="0" applyNumberFormat="1" applyFont="1" applyBorder="1" applyAlignment="1">
      <alignment horizontal="center" vertical="top"/>
    </xf>
    <xf numFmtId="3" fontId="30" fillId="0" borderId="36" xfId="0" applyNumberFormat="1" applyFont="1" applyBorder="1" applyAlignment="1">
      <alignment horizontal="center" vertical="top"/>
    </xf>
    <xf numFmtId="8" fontId="29" fillId="0" borderId="17" xfId="0" applyNumberFormat="1" applyFont="1" applyBorder="1" applyAlignment="1">
      <alignment horizontal="center" vertical="top"/>
    </xf>
    <xf numFmtId="10" fontId="29" fillId="0" borderId="17" xfId="0" applyNumberFormat="1" applyFont="1" applyBorder="1" applyAlignment="1">
      <alignment horizontal="left" vertical="top"/>
    </xf>
    <xf numFmtId="3" fontId="9" fillId="4" borderId="0" xfId="0" applyNumberFormat="1" applyFont="1" applyFill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Data...2185509033</v>
        <stp/>
        <stp>BDP|11890849347572517576</stp>
        <tr r="C23" s="11"/>
      </tp>
      <tp>
        <v>7.6</v>
        <stp/>
        <stp>BDP|17126916438941211442|22</stp>
        <stp>WLQ40 Index</stp>
        <stp>LAST_PRICE</stp>
        <tr r="K26" s="11"/>
        <tr r="D27" s="19"/>
      </tp>
      <tp t="s">
        <v>#N/A Requesting Data...3790418393</v>
        <stp/>
        <stp>BDP|11672668594955036146</stp>
        <tr r="M13" s="2"/>
      </tp>
      <tp t="s">
        <v>#N/A Requesting Data...1751941313</v>
        <stp/>
        <stp>BDP|10525875546933644503</stp>
        <tr r="J16" s="2"/>
      </tp>
      <tp>
        <v>15.05</v>
        <stp/>
        <stp>BDP|1817248158173027332|22</stp>
        <stp>ODF27 Comdty</stp>
        <stp>LAST_PRICE</stp>
        <tr r="I9" s="2"/>
      </tp>
    </main>
    <main first="bofaddin.rtdserver">
      <tp t="s">
        <v>#N/A Requesting Data...4262953778</v>
        <stp/>
        <stp>BDP|13922660516409086616</stp>
        <tr r="J8" s="2"/>
      </tp>
      <tp t="s">
        <v>#N/A Requesting Data...2270055854</v>
        <stp/>
        <stp>BDP|17845737256369227744</stp>
        <tr r="AA46" s="11"/>
        <tr r="AB46" s="11"/>
        <tr r="Q46" s="11"/>
        <tr r="R46" s="11"/>
        <tr r="S46" s="11"/>
        <tr r="T46" s="11"/>
        <tr r="U46" s="11"/>
        <tr r="V46" s="11"/>
        <tr r="W46" s="11"/>
        <tr r="X46" s="11"/>
        <tr r="Y46" s="11"/>
        <tr r="Z46" s="11"/>
        <tr r="R19" s="19"/>
      </tp>
      <tp t="s">
        <v>#N/A Requesting Data...2737644623</v>
        <stp/>
        <stp>BDP|13351826156476807351</stp>
        <tr r="I5" s="11"/>
        <tr r="I4" s="19"/>
      </tp>
      <tp t="s">
        <v>#N/A Requesting Data...1401181553</v>
        <stp/>
        <stp>BDP|16242250041598013390</stp>
        <tr r="H12" s="2"/>
      </tp>
      <tp t="s">
        <v>#N/A Requesting Data...1093221166</v>
        <stp/>
        <stp>BDP|17554782934170103895</stp>
        <tr r="I12" s="11"/>
        <tr r="I13" s="19"/>
      </tp>
      <tp t="s">
        <v>#N/A Requesting Data...3657275194</v>
        <stp/>
        <stp>BDP|11933922321687068691</stp>
        <tr r="J30" s="11"/>
        <tr r="J36" s="11"/>
      </tp>
      <tp t="s">
        <v>#N/A Requesting Data...2413117585</v>
        <stp/>
        <stp>BDP|10989192625468543075</stp>
        <tr r="M11" s="2"/>
      </tp>
      <tp t="s">
        <v>#N/A Requesting Data...3652515279</v>
        <stp/>
        <stp>BDP|10560911534449628801</stp>
        <tr r="H16" s="2"/>
      </tp>
      <tp>
        <v>15</v>
        <stp/>
        <stp>BDP|5994555288853599865|22</stp>
        <stp>ODF28 Comdty</stp>
        <stp>LAST_PRICE</stp>
        <tr r="I10" s="2"/>
      </tp>
      <tp t="s">
        <v>#N/A Requesting Data...1011338534</v>
        <stp/>
        <stp>BDP|12324957208537191465</stp>
        <tr r="G12" s="7"/>
      </tp>
      <tp t="s">
        <v>#N/A Requesting Data...1626109178</v>
        <stp/>
        <stp>BDP|15250395624748236457</stp>
        <tr r="J13" s="11"/>
        <tr r="J14" s="19"/>
      </tp>
      <tp t="s">
        <v>#N/A Requesting Data...3760038882</v>
        <stp/>
        <stp>BDP|13212962842473294584</stp>
        <tr r="AA61" s="11"/>
        <tr r="AB61" s="11"/>
        <tr r="Q61" s="11"/>
        <tr r="R61" s="11"/>
        <tr r="S61" s="11"/>
        <tr r="T61" s="11"/>
        <tr r="U61" s="11"/>
        <tr r="V61" s="11"/>
        <tr r="W61" s="11"/>
        <tr r="X61" s="11"/>
        <tr r="Y61" s="11"/>
        <tr r="Z61" s="11"/>
      </tp>
      <tp t="s">
        <v>#N/A Requesting Data...1583854461</v>
        <stp/>
        <stp>BDP|16401139052443934902</stp>
        <tr r="H13" s="11"/>
        <tr r="H14" s="19"/>
      </tp>
      <tp t="s">
        <v>#N/A Requesting Data...1592783550</v>
        <stp/>
        <stp>BDP|13199699395971985544</stp>
        <tr r="M12" s="2"/>
      </tp>
      <tp t="s">
        <v>#N/A Requesting Data...2645882480</v>
        <stp/>
        <stp>BDP|11018397475349807400</stp>
        <tr r="J10" s="11"/>
        <tr r="J11" s="19"/>
      </tp>
      <tp t="s">
        <v>#N/A Requesting Data...3222142012</v>
        <stp/>
        <stp>BDP|12663864063863005743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</tp>
      <tp t="s">
        <v>#N/A Requesting Data...1942375726</v>
        <stp/>
        <stp>BDP|18066504518365779184</stp>
        <tr r="E9" s="7"/>
      </tp>
      <tp t="s">
        <v>#N/A Requesting Data...1254723709</v>
        <stp/>
        <stp>BDP|17086933372672206359</stp>
        <tr r="J6" s="2"/>
      </tp>
      <tp>
        <v>13.552</v>
        <stp/>
        <stp>BDP|6523699590249754009|22</stp>
        <stp>ODJ25 Comdty</stp>
        <stp>LAST_PRICE</stp>
        <tr r="I4" s="2"/>
      </tp>
      <tp t="s">
        <v>#N/A Requesting Data...2071511859</v>
        <stp/>
        <stp>BDP|11908500411255775974</stp>
        <tr r="AA48" s="11"/>
        <tr r="AB48" s="11"/>
        <tr r="Q48" s="11"/>
        <tr r="R48" s="11"/>
        <tr r="S48" s="11"/>
        <tr r="T48" s="11"/>
        <tr r="U48" s="11"/>
        <tr r="V48" s="11"/>
        <tr r="W48" s="11"/>
        <tr r="X48" s="11"/>
        <tr r="Y48" s="11"/>
        <tr r="Z48" s="11"/>
      </tp>
      <tp t="s">
        <v>#N/A Requesting Data...3277073706</v>
        <stp/>
        <stp>BDP|12094132856919978643</stp>
        <tr r="G13" s="11"/>
        <tr r="G14" s="19"/>
      </tp>
      <tp t="s">
        <v>#N/A Requesting Data...4177699740</v>
        <stp/>
        <stp>BDP|15560487271058748776</stp>
        <tr r="R15" s="19"/>
      </tp>
      <tp t="s">
        <v>#N/A Requesting Data...1359435664</v>
        <stp/>
        <stp>BDP|12664923227122563262</stp>
        <tr r="H15" s="2"/>
      </tp>
      <tp t="s">
        <v>#N/A Requesting Data...1160223619</v>
        <stp/>
        <stp>BDP|10132886557853282798</stp>
        <tr r="R25" s="19"/>
      </tp>
      <tp t="s">
        <v>#N/A Requesting Data...4021308276</v>
        <stp/>
        <stp>BDP|16662227082194801194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>
        <v>15.11</v>
        <stp/>
        <stp>BDP|4318107740087500527|22</stp>
        <stp>ODF33 Comdty</stp>
        <stp>LAST_PRICE</stp>
        <tr r="I14" s="2"/>
      </tp>
      <tp t="s">
        <v>#N/A Requesting Data...4125198864</v>
        <stp/>
        <stp>BDP|18390658971311970670</stp>
        <tr r="D9" s="11"/>
        <tr r="D10" s="19"/>
      </tp>
      <tp t="s">
        <v>#N/A Requesting Data...2777600885</v>
        <stp/>
        <stp>BDP|15381531992630229786</stp>
        <tr r="J6" s="11"/>
        <tr r="J5" s="19"/>
      </tp>
      <tp t="s">
        <v>#N/A Requesting Data...2337969405</v>
        <stp/>
        <stp>BDP|17393541793456997356</stp>
        <tr r="H11" s="11"/>
        <tr r="H12" s="19"/>
      </tp>
      <tp t="s">
        <v>#N/A Requesting Data...1269165012</v>
        <stp/>
        <stp>BDP|16274177393281282193</stp>
        <tr r="G8" s="7"/>
      </tp>
      <tp t="s">
        <v>#N/A Requesting Data...2519384781</v>
        <stp/>
        <stp>BDP|11965837721833428627</stp>
        <tr r="M16" s="2"/>
      </tp>
      <tp t="s">
        <v>#N/A Requesting Data...2825495087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Data...3698111093</v>
        <stp/>
        <stp>BDP|15313882157430160621</stp>
        <tr r="C21" s="11"/>
      </tp>
      <tp t="s">
        <v>#N/A Requesting Data...3151162194</v>
        <stp/>
        <stp>BDP|14309772788493607646</stp>
        <tr r="M4" s="2"/>
      </tp>
      <tp t="s">
        <v>#N/A Requesting Data...2855994246</v>
        <stp/>
        <stp>BDP|14595801115303949097</stp>
        <tr r="E21" s="19"/>
      </tp>
      <tp t="s">
        <v>#N/A Requesting Data...3597359670</v>
        <stp/>
        <stp>BDP|10151985908941504602</stp>
        <tr r="AA52" s="11"/>
        <tr r="AB52" s="11"/>
        <tr r="Q52" s="11"/>
        <tr r="R52" s="11"/>
        <tr r="S52" s="11"/>
        <tr r="T52" s="11"/>
        <tr r="U52" s="11"/>
        <tr r="V52" s="11"/>
        <tr r="W52" s="11"/>
        <tr r="X52" s="11"/>
        <tr r="Y52" s="11"/>
        <tr r="Z52" s="11"/>
        <tr r="R30" s="19"/>
      </tp>
      <tp t="s">
        <v>#N/A Requesting Data...1570315037</v>
        <stp/>
        <stp>BDP|18251230446683003334</stp>
        <tr r="B4" s="2"/>
      </tp>
      <tp t="s">
        <v>#N/A Requesting Data...2080990501</v>
        <stp/>
        <stp>BDP|16217601415257291833</stp>
        <tr r="K11" s="2"/>
      </tp>
      <tp>
        <v>15.03</v>
        <stp/>
        <stp>BDP|1730388117014610034|22</stp>
        <stp>ODF35 Comdty</stp>
        <stp>LAST_PRICE</stp>
        <tr r="I15" s="2"/>
      </tp>
    </main>
    <main first="bofaddin.rtdserver">
      <tp t="s">
        <v>#N/A Requesting Data...2765829878</v>
        <stp/>
        <stp>BDP|12414252169111583844</stp>
        <tr r="J9" s="11"/>
        <tr r="J10" s="19"/>
      </tp>
      <tp t="s">
        <v>#N/A Requesting Data...1614123855</v>
        <stp/>
        <stp>BDP|18247308852560902123</stp>
        <tr r="I6" s="11"/>
        <tr r="I5" s="19"/>
      </tp>
      <tp t="s">
        <v>#N/A Requesting Data...3166768836</v>
        <stp/>
        <stp>BDP|12873884328186186157</stp>
        <tr r="H26" s="19"/>
      </tp>
      <tp t="s">
        <v>#N/A Requesting Data...3296796130</v>
        <stp/>
        <stp>BDP|13407403793871815004</stp>
        <tr r="K6" s="2"/>
      </tp>
      <tp t="s">
        <v>#N/A Requesting Data...2915483802</v>
        <stp/>
        <stp>BDP|18177323470082276169</stp>
        <tr r="C20" s="11"/>
      </tp>
      <tp>
        <v>15.11</v>
        <stp/>
        <stp>BDP|8635531302600770334|22</stp>
        <stp>ODF30 Comdty</stp>
        <stp>LAST_PRICE</stp>
        <tr r="I12" s="2"/>
      </tp>
      <tp>
        <v>14.95</v>
        <stp/>
        <stp>BDP|7077160752787948741|22</stp>
        <stp>ODF26 Comdty</stp>
        <stp>LAST_PRICE</stp>
        <tr r="I7" s="2"/>
      </tp>
      <tp t="s">
        <v>#N/A Requesting Data...3503377073</v>
        <stp/>
        <stp>BDP|18210740456462118495</stp>
        <tr r="G11" s="7"/>
      </tp>
      <tp t="s">
        <v>#N/A Requesting Data...3850809777</v>
        <stp/>
        <stp>BDP|13811937565742578206</stp>
        <tr r="K5" s="2"/>
      </tp>
      <tp t="s">
        <v>#N/A Requesting Data...2030486306</v>
        <stp/>
        <stp>BDP|11302641772339703592</stp>
        <tr r="J12" s="11"/>
        <tr r="J13" s="19"/>
      </tp>
      <tp t="s">
        <v>#N/A Requesting Data...3836068058</v>
        <stp/>
        <stp>BDP|18144735643102604587</stp>
        <tr r="I7" s="11"/>
        <tr r="I7" s="19"/>
      </tp>
      <tp t="s">
        <v>#N/A Requesting Data...3165646992</v>
        <stp/>
        <stp>BDP|17891750447431177959</stp>
        <tr r="I23" s="19"/>
      </tp>
      <tp t="s">
        <v>#N/A Requesting Data...3505147026</v>
        <stp/>
        <stp>BDP|13169219909279069493</stp>
        <tr r="I9" s="19"/>
      </tp>
      <tp t="s">
        <v>#N/A Requesting Data...1879852037</v>
        <stp/>
        <stp>BDP|15169911027214728631</stp>
        <tr r="I11" s="11"/>
        <tr r="I12" s="19"/>
      </tp>
      <tp t="s">
        <v>#N/A Requesting Data...1534706534</v>
        <stp/>
        <stp>BDP|13938612248508071558</stp>
        <tr r="J14" s="2"/>
      </tp>
      <tp t="s">
        <v>#N/A Requesting Data...2484493179</v>
        <stp/>
        <stp>BDP|15756764600217707937</stp>
        <tr r="I9" s="11"/>
        <tr r="I10" s="19"/>
      </tp>
      <tp>
        <v>7.78</v>
        <stp/>
        <stp>BDP|15191354459661457650|22</stp>
        <stp>WLQ28 Index</stp>
        <stp>LAST_PRICE</stp>
        <tr r="K21" s="11"/>
        <tr r="D23" s="19"/>
      </tp>
      <tp t="s">
        <v>#N/A Requesting Data...1275800150</v>
        <stp/>
        <stp>BDP|16275844520047691695</stp>
        <tr r="I6" s="19"/>
      </tp>
      <tp t="s">
        <v>#N/A Requesting Data...3125265633</v>
        <stp/>
        <stp>BDP|16565084299882524097</stp>
        <tr r="E22" s="19"/>
      </tp>
      <tp t="s">
        <v>#N/A Requesting Data...2745650993</v>
        <stp/>
        <stp>BDP|13919009196892112561</stp>
        <tr r="G6" s="19"/>
      </tp>
      <tp t="s">
        <v>#N/A Requesting Data...2961788418</v>
        <stp/>
        <stp>BDP|10685517029532594805</stp>
        <tr r="J10" s="11"/>
        <tr r="J11" s="19"/>
      </tp>
      <tp t="s">
        <v>#N/A Requesting Data...3846512443</v>
        <stp/>
        <stp>BDP|10190007799825004140</stp>
        <tr r="J10" s="2"/>
      </tp>
      <tp t="s">
        <v>#N/A Requesting Data...1625249639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Data...2293660126</v>
        <stp/>
        <stp>BDP|10764697960379803489</stp>
        <tr r="H14" s="11"/>
        <tr r="H15" s="19"/>
      </tp>
      <tp t="s">
        <v>#N/A Requesting Data...2123535823</v>
        <stp/>
        <stp>BDP|13517598616202729838</stp>
        <tr r="K8" s="2"/>
      </tp>
      <tp t="s">
        <v>#N/A Requesting Data...1959611895</v>
        <stp/>
        <stp>BDP|17283641756651242833</stp>
        <tr r="I13" s="11"/>
        <tr r="I14" s="19"/>
      </tp>
      <tp t="s">
        <v>#N/A Requesting Data...2844473784</v>
        <stp/>
        <stp>BDP|11750802159294733595</stp>
        <tr r="D7" s="11"/>
        <tr r="D7" s="19"/>
      </tp>
      <tp t="s">
        <v>#N/A Requesting Data...3431623983</v>
        <stp/>
        <stp>BDP|13791043005266774797</stp>
        <tr r="K3" s="2"/>
      </tp>
      <tp t="s">
        <v>#N/A Requesting Data...2288141954</v>
        <stp/>
        <stp>BDP|16346012453228382996</stp>
        <tr r="M14" s="2"/>
      </tp>
      <tp>
        <v>7.88</v>
        <stp/>
        <stp>BDP|17400812045415001977|22</stp>
        <stp>WLQ30 Index</stp>
        <stp>LAST_PRICE</stp>
        <tr r="K23" s="11"/>
        <tr r="D24" s="19"/>
      </tp>
      <tp t="s">
        <v>#N/A Requesting Data...2956670674</v>
        <stp/>
        <stp>BDP|14493345555019657991</stp>
        <tr r="D22" s="11"/>
      </tp>
      <tp t="s">
        <v>#N/A Requesting Data...2468746014</v>
        <stp/>
        <stp>BDP|10381663256273547222</stp>
        <tr r="J7" s="2"/>
      </tp>
      <tp t="b">
        <v>0</v>
        <stp/>
        <stp>BDH|16708595841292483701</stp>
        <tr r="B30" s="11"/>
      </tp>
      <tp t="s">
        <v>#N/A Requesting Data...3125528626</v>
        <stp/>
        <stp>BDP|14207649066395210291</stp>
        <tr r="E14" s="11"/>
        <tr r="E15" s="19"/>
      </tp>
      <tp t="s">
        <v>#N/A Requesting Data...2274110171</v>
        <stp/>
        <stp>BDP|10329258298459125127</stp>
        <tr r="D6" s="11"/>
        <tr r="D5" s="19"/>
      </tp>
      <tp>
        <v>8.09</v>
        <stp/>
        <stp>BDP|12311044885073610825|22</stp>
        <stp>WLQ26 Index</stp>
        <stp>LAST_PRICE</stp>
        <tr r="K19" s="11"/>
        <tr r="D21" s="19"/>
      </tp>
      <tp t="s">
        <v>#N/A Requesting Data...1522408610</v>
        <stp/>
        <stp>BDP|12446015710023540329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12" s="19"/>
      </tp>
      <tp t="s">
        <v>#N/A Requesting Data...1991638901</v>
        <stp/>
        <stp>BDP|15657766851707412375</stp>
        <tr r="H9" s="2"/>
      </tp>
      <tp t="s">
        <v>#N/A Requesting Data...2674834067</v>
        <stp/>
        <stp>BDP|10206336109409844951</stp>
        <tr r="G5" s="11"/>
        <tr r="G4" s="19"/>
      </tp>
    </main>
    <main first="bofaddin.rtdserver">
      <tp t="s">
        <v>#N/A Requesting Data...2464507211</v>
        <stp/>
        <stp>BDP|13514466073332803207</stp>
        <tr r="E10" s="7"/>
      </tp>
      <tp t="s">
        <v>#N/A Requesting Data...2272681234</v>
        <stp/>
        <stp>BDP|15932419454602327679</stp>
        <tr r="R17" s="19"/>
      </tp>
      <tp t="s">
        <v>#N/A Requesting Data...1822130924</v>
        <stp/>
        <stp>BDP|10734617210797818067</stp>
        <tr r="H8" s="11"/>
        <tr r="H8" s="19"/>
      </tp>
      <tp t="s">
        <v>#N/A Requesting Data...3291830668</v>
        <stp/>
        <stp>BDP|15638326089319634731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Data...4210223703</v>
        <stp/>
        <stp>BDP|12488034333200047180</stp>
        <tr r="E7" s="11"/>
        <tr r="E7" s="19"/>
      </tp>
      <tp t="s">
        <v>#N/A Requesting Data...1726779197</v>
        <stp/>
        <stp>BDP|15079044459285072518</stp>
        <tr r="C24" s="11"/>
      </tp>
      <tp t="s">
        <v>#N/A Requesting Data...1651540995</v>
        <stp/>
        <stp>BDP|12403675587034363894</stp>
        <tr r="E24" s="19"/>
      </tp>
      <tp t="s">
        <v>#N/A Requesting Data...3627639320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Data...1285550598</v>
        <stp/>
        <stp>BDP|12133714350107069767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</tp>
      <tp t="s">
        <v>#N/A Requesting Data...3341365371</v>
        <stp/>
        <stp>BDP|13827638941138882945</stp>
        <tr r="D21" s="11"/>
      </tp>
      <tp t="s">
        <v>#N/A Requesting Data...2615941150</v>
        <stp/>
        <stp>BDP|12011324621007283512</stp>
        <tr r="K10" s="2"/>
      </tp>
      <tp t="s">
        <v>#N/A Requesting Data...3005912605</v>
        <stp/>
        <stp>BDP|13944439535751923464</stp>
        <tr r="G7" s="7"/>
      </tp>
      <tp t="s">
        <v>#N/A Requesting Data...2553924054</v>
        <stp/>
        <stp>BDP|12486181792623693882</stp>
        <tr r="I8" s="11"/>
        <tr r="I8" s="19"/>
      </tp>
      <tp t="s">
        <v>#N/A Requesting Data...3247811522</v>
        <stp/>
        <stp>BDP|15867650078552221747</stp>
        <tr r="J14" s="11"/>
        <tr r="J15" s="19"/>
      </tp>
      <tp t="s">
        <v>#N/A Requesting Data...2331087603</v>
        <stp/>
        <stp>BDP|16598361100882620607</stp>
        <tr r="E20" s="19"/>
      </tp>
      <tp t="s">
        <v>#N/A Requesting Data...2850451300</v>
        <stp/>
        <stp>BDP|14549521927542330072</stp>
        <tr r="B3" s="2"/>
      </tp>
      <tp t="s">
        <v>#N/A Requesting Data...4203920573</v>
        <stp/>
        <stp>BDP|15569729104905018670</stp>
        <tr r="G14" s="11"/>
        <tr r="G15" s="19"/>
      </tp>
      <tp t="s">
        <v>#N/A Requesting Data...1624352737</v>
        <stp/>
        <stp>BDP|13078510830501429523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  <tr r="R2" s="19"/>
      </tp>
      <tp t="s">
        <v>#N/A Requesting Data...3514708446</v>
        <stp/>
        <stp>BDP|15603954615614077815</stp>
        <tr r="H4" s="11"/>
        <tr r="H3" s="19"/>
      </tp>
    </main>
    <main first="bofaddin.rtdserver">
      <tp t="s">
        <v>#N/A Requesting Data...1482524290</v>
        <stp/>
        <stp>BDP|17808803716390596823</stp>
        <tr r="AA49" s="11"/>
        <tr r="AB49" s="11"/>
        <tr r="Q49" s="11"/>
        <tr r="R49" s="11"/>
        <tr r="S49" s="11"/>
        <tr r="T49" s="11"/>
        <tr r="U49" s="11"/>
        <tr r="V49" s="11"/>
        <tr r="W49" s="11"/>
        <tr r="X49" s="11"/>
        <tr r="Y49" s="11"/>
        <tr r="Z49" s="11"/>
      </tp>
      <tp t="s">
        <v>#N/A Requesting Data...2623485993</v>
        <stp/>
        <stp>BDP|10834474952903317479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Data...2832702488</v>
        <stp/>
        <stp>BDP|10218800080184890228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Data...3707576415</v>
        <stp/>
        <stp>BDP|10964637879606253112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 t="s">
        <v>#N/A Requesting Data...3902865699</v>
        <stp/>
        <stp>BDP|10167746766623851495</stp>
        <tr r="H27" s="19"/>
      </tp>
      <tp t="s">
        <v>#N/A Requesting Data...4168931982</v>
        <stp/>
        <stp>BDP|15650113847534740213</stp>
        <tr r="K16" s="2"/>
      </tp>
    </main>
    <main first="bofaddin.rtdserver">
      <tp>
        <v>7.88</v>
        <stp/>
        <stp>BDP|15206803498617246315|22</stp>
        <stp>WLK35 Index</stp>
        <stp>LAST_PRICE</stp>
        <tr r="K25" s="11"/>
        <tr r="D26" s="19"/>
      </tp>
      <tp t="s">
        <v>#N/A Requesting Data...1810470327</v>
        <stp/>
        <stp>BDP|13254377893488997629</stp>
        <tr r="D24" s="11"/>
      </tp>
      <tp t="s">
        <v>#N/A Requesting Data...2385504547</v>
        <stp/>
        <stp>BDP|17168141665277915099</stp>
        <tr r="J6" s="11"/>
        <tr r="J5" s="19"/>
      </tp>
      <tp t="s">
        <v>#N/A Requesting Data...3904972574</v>
        <stp/>
        <stp>BDP|13192264257971139213</stp>
        <tr r="B5" s="2"/>
      </tp>
      <tp>
        <v>7.96</v>
        <stp/>
        <stp>BDP|11202313113777109480|22</stp>
        <stp>WLQ32 Index</stp>
        <stp>LAST_PRICE</stp>
        <tr r="K24" s="11"/>
        <tr r="D25" s="19"/>
      </tp>
    </main>
    <main first="bofaddin.rtdserver">
      <tp t="s">
        <v>#N/A Requesting Data...3157974444</v>
        <stp/>
        <stp>BDP|11400645938887008706</stp>
        <tr r="J8" s="11"/>
        <tr r="J8" s="19"/>
      </tp>
      <tp t="s">
        <v>#N/A Requesting Data...2769829870</v>
        <stp/>
        <stp>BDP|11901617520055099407</stp>
        <tr r="H22" s="19"/>
      </tp>
      <tp t="s">
        <v>#N/A Requesting Data...1880867564</v>
        <stp/>
        <stp>BDP|15400756759381384234</stp>
        <tr r="D23" s="11"/>
      </tp>
      <tp t="s">
        <v>#N/A Requesting Data...2017081539</v>
        <stp/>
        <stp>BDP|12640648403606974635</stp>
        <tr r="H11" s="2"/>
      </tp>
      <tp t="s">
        <v>#N/A Requesting Data...3284026989</v>
        <stp/>
        <stp>BDP|16467386859441799584</stp>
        <tr r="H21" s="19"/>
      </tp>
      <tp t="s">
        <v>#N/A Requesting Data...2443164042</v>
        <stp/>
        <stp>BDP|14499871584089873959</stp>
        <tr r="J5" s="2"/>
      </tp>
      <tp t="s">
        <v>#N/A Requesting Data...1992218592</v>
        <stp/>
        <stp>BDP|15874572719711331490</stp>
        <tr r="E8" s="11"/>
        <tr r="E8" s="19"/>
      </tp>
      <tp>
        <v>7.73</v>
        <stp/>
        <stp>BDP|18343878312230213019|22</stp>
        <stp>WLK27 Index</stp>
        <stp>LAST_PRICE</stp>
        <tr r="K20" s="11"/>
        <tr r="D22" s="19"/>
      </tp>
      <tp t="s">
        <v>#N/A Requesting Data...2554553572</v>
        <stp/>
        <stp>BDP|10311071319847809260</stp>
        <tr r="E6" s="11"/>
        <tr r="E5" s="19"/>
      </tp>
      <tp t="s">
        <v>#N/A Requesting Data...2830507250</v>
        <stp/>
        <stp>BDP|13500928233515131809</stp>
        <tr r="R29" s="19"/>
      </tp>
      <tp t="s">
        <v>#N/A Requesting Data...2075209128</v>
        <stp/>
        <stp>BDP|17886146055302615594</stp>
        <tr r="H10" s="2"/>
      </tp>
      <tp t="s">
        <v>#N/A Requesting Data...3698310103</v>
        <stp/>
        <stp>BDP|15780778072099169853</stp>
        <tr r="H7" s="2"/>
      </tp>
      <tp>
        <v>15.14</v>
        <stp/>
        <stp>BDP|9537380863981849389|22</stp>
        <stp>ODF31 Comdty</stp>
        <stp>LAST_PRICE</stp>
        <tr r="I13" s="2"/>
      </tp>
    </main>
    <main first="bofaddin.rtdserver">
      <tp t="s">
        <v>#N/A Requesting Data...3239802210</v>
        <stp/>
        <stp>BDP|16811714503644524069</stp>
        <tr r="AA44" s="11"/>
        <tr r="AB44" s="11"/>
        <tr r="Q44" s="11"/>
        <tr r="R44" s="11"/>
        <tr r="S44" s="11"/>
        <tr r="T44" s="11"/>
        <tr r="U44" s="11"/>
        <tr r="V44" s="11"/>
        <tr r="W44" s="11"/>
        <tr r="X44" s="11"/>
        <tr r="Y44" s="11"/>
        <tr r="Z44" s="11"/>
        <tr r="R27" s="19"/>
      </tp>
      <tp t="s">
        <v>#N/A Requesting Data...3119231330</v>
        <stp/>
        <stp>BDP|12508709024814224690</stp>
        <tr r="D14" s="11"/>
        <tr r="D15" s="19"/>
      </tp>
      <tp t="s">
        <v>#N/A Requesting Data...1870055894</v>
        <stp/>
        <stp>BDP|16680580833864261100</stp>
        <tr r="C19" s="11"/>
      </tp>
      <tp t="s">
        <v>#N/A Requesting Data...3077364946</v>
        <stp/>
        <stp>BDP|10601763240924932273</stp>
        <tr r="B7" s="2"/>
      </tp>
      <tp t="s">
        <v>#N/A Requesting Data...2204123407</v>
        <stp/>
        <stp>BDP|12391114726967906339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  <tr r="R6" s="19"/>
      </tp>
      <tp t="s">
        <v>#N/A Requesting Data...3218487194</v>
        <stp/>
        <stp>BDP|12246695054252844675</stp>
        <tr r="I3" s="11"/>
        <tr r="I2" s="19"/>
      </tp>
      <tp t="s">
        <v>#N/A Requesting Data...3419462647</v>
        <stp/>
        <stp>BDP|14450913867796246868</stp>
        <tr r="E5" s="11"/>
        <tr r="E4" s="19"/>
      </tp>
    </main>
    <main first="bofaddin.rtdserver">
      <tp>
        <v>13.15</v>
        <stp/>
        <stp>BDP|14793314295211657181|22</stp>
        <stp>BZDIOVRA Index</stp>
        <stp>YEST_LAST_TRADE</stp>
        <tr r="J3" s="2"/>
      </tp>
    </main>
    <main first="bofaddin.rtdserver">
      <tp>
        <v>7.75</v>
        <stp/>
        <stp>BDP|6555917527705726771|22</stp>
        <stp>WLK29 Index</stp>
        <stp>LAST_PRICE</stp>
        <tr r="K22" s="11"/>
      </tp>
      <tp>
        <v>14.634</v>
        <stp/>
        <stp>BDP|17867681293201701771|22</stp>
        <stp>ODF37 Comdty</stp>
        <stp>LAST_PRICE</stp>
        <tr r="I16" s="2"/>
      </tp>
      <tp>
        <v>15.09</v>
        <stp/>
        <stp>BDP|16535547972267483256|22</stp>
        <stp>ODN26 Comdty</stp>
        <stp>LAST_PRICE</stp>
        <tr r="I8" s="2"/>
      </tp>
      <tp>
        <v>13.874000000000001</v>
        <stp/>
        <stp>BDP|11032077937065190793|22</stp>
        <stp>ODK25 Comdty</stp>
        <stp>LAST_PRICE</stp>
        <tr r="I5" s="2"/>
      </tp>
      <tp>
        <v>15.05</v>
        <stp/>
        <stp>BDP|17222976670638756393|22</stp>
        <stp>ODF29 Comdty</stp>
        <stp>LAST_PRICE</stp>
        <tr r="I11" s="2"/>
      </tp>
      <tp>
        <v>14.33</v>
        <stp/>
        <stp>BDP|11269106225149150376|22</stp>
        <stp>ODN25 Comdty</stp>
        <stp>LAST_PRICE</stp>
        <tr r="I6" s="2"/>
      </tp>
      <tp>
        <v>13.15</v>
        <stp/>
        <stp>BDP|13502834249559134851|22</stp>
        <stp>BZDIOVRA Index</stp>
        <stp>LAST_PRICE</stp>
        <tr r="I3" s="2"/>
      </tp>
      <tp t="s">
        <v>#N/A Requesting Data...2433981707</v>
        <stp/>
        <stp>BDP|4638716679660660820</stp>
        <tr r="H8" s="2"/>
      </tp>
      <tp t="s">
        <v>#N/A Requesting Data...2310309390</v>
        <stp/>
        <stp>BDP|5850214959956854834</stp>
        <tr r="H3" s="11"/>
        <tr r="H2" s="19"/>
      </tp>
      <tp t="s">
        <v>#N/A Requesting Data...3221687257</v>
        <stp/>
        <stp>BDP|1643486086802458341</stp>
        <tr r="E25" s="19"/>
      </tp>
      <tp t="s">
        <v>#N/A Requesting Data...1700324641</v>
        <stp/>
        <stp>BDP|4157223935860898914</stp>
        <tr r="J9" s="19"/>
      </tp>
      <tp t="s">
        <v>#N/A Requesting Data...3537957970</v>
        <stp/>
        <stp>BDP|9769032697008941467</stp>
        <tr r="E4" s="11"/>
        <tr r="E3" s="19"/>
      </tp>
      <tp t="s">
        <v>#N/A Requesting Data...2817036815</v>
        <stp/>
        <stp>BDP|2187806360183599399</stp>
        <tr r="M8" s="2"/>
      </tp>
      <tp t="s">
        <v>#N/A Requesting Data...3863072702</v>
        <stp/>
        <stp>BDP|9453706824659239917</stp>
        <tr r="D4" s="11"/>
        <tr r="D3" s="19"/>
      </tp>
      <tp t="s">
        <v>#N/A Requesting Data...1776704079</v>
        <stp/>
        <stp>BDP|1764178935309413614</stp>
        <tr r="AA43" s="11"/>
        <tr r="AB43" s="11"/>
        <tr r="Q43" s="11"/>
        <tr r="R43" s="11"/>
        <tr r="S43" s="11"/>
        <tr r="T43" s="11"/>
        <tr r="U43" s="11"/>
        <tr r="V43" s="11"/>
        <tr r="W43" s="11"/>
        <tr r="X43" s="11"/>
        <tr r="Y43" s="11"/>
        <tr r="Z43" s="11"/>
      </tp>
      <tp t="s">
        <v>#N/A Requesting Data...3975607309</v>
        <stp/>
        <stp>BDP|2992747448774164936</stp>
        <tr r="E27" s="19"/>
      </tp>
      <tp t="s">
        <v>#N/A Requesting Data...3445344211</v>
        <stp/>
        <stp>BDP|4395756221404557952</stp>
        <tr r="D3" s="11"/>
        <tr r="D2" s="19"/>
      </tp>
      <tp t="s">
        <v>#N/A Requesting Data...1764049837</v>
        <stp/>
        <stp>BDP|8426700375802659609</stp>
        <tr r="G10" s="11"/>
        <tr r="G11" s="19"/>
      </tp>
      <tp t="s">
        <v>#N/A Requesting Data...2250705720</v>
        <stp/>
        <stp>BDP|3905065737155367827</stp>
        <tr r="G7" s="11"/>
        <tr r="G7" s="19"/>
      </tp>
      <tp t="s">
        <v>#N/A Requesting Data...4051759473</v>
        <stp/>
        <stp>BDP|2001157129209643549</stp>
        <tr r="I25" s="19"/>
      </tp>
      <tp t="s">
        <v>#N/A Requesting Data...2609829880</v>
        <stp/>
        <stp>BDP|3794307997384608046</stp>
        <tr r="I4" s="11"/>
        <tr r="I3" s="19"/>
      </tp>
      <tp t="s">
        <v>#N/A Requesting Data...2248501121</v>
        <stp/>
        <stp>BDP|4275888243441819414</stp>
        <tr r="E26" s="19"/>
      </tp>
      <tp t="s">
        <v>#N/A Requesting Data...3447087070</v>
        <stp/>
        <stp>BDP|1923241929759262565</stp>
        <tr r="M10" s="2"/>
      </tp>
      <tp t="s">
        <v>#N/A Requesting Data...2288817042</v>
        <stp/>
        <stp>BDP|3331986474028834805</stp>
        <tr r="J5" s="11"/>
        <tr r="J4" s="19"/>
      </tp>
      <tp t="s">
        <v>#N/A Requesting Data...2463163920</v>
        <stp/>
        <stp>BDP|5983646568229835184</stp>
        <tr r="R20" s="19"/>
      </tp>
      <tp t="s">
        <v>#N/A Requesting Data...2123571512</v>
        <stp/>
        <stp>BDP|4734890585182203825</stp>
        <tr r="D19" s="11"/>
      </tp>
      <tp t="s">
        <v>#N/A Requesting Data...1660405813</v>
        <stp/>
        <stp>BDP|5084823412455529785</stp>
        <tr r="H5" s="11"/>
        <tr r="H4" s="19"/>
      </tp>
      <tp t="s">
        <v>#N/A Requesting Data...2806281655</v>
        <stp/>
        <stp>BDP|3666674876795321902</stp>
        <tr r="E6" s="19"/>
      </tp>
      <tp t="s">
        <v>#N/A Requesting Data...3828670062</v>
        <stp/>
        <stp>BDP|7052549700088374422</stp>
        <tr r="J13" s="2"/>
      </tp>
      <tp t="s">
        <v>#N/A Requesting Data...3415427797</v>
        <stp/>
        <stp>BDP|9741032815896210067</stp>
        <tr r="K4" s="2"/>
      </tp>
      <tp t="s">
        <v>#N/A Requesting Data...2291096336</v>
        <stp/>
        <stp>BDP|9882058252866127540</stp>
        <tr r="I27" s="19"/>
      </tp>
      <tp t="s">
        <v>#N/A Requesting Data...1939405026</v>
        <stp/>
        <stp>BDP|4517227982239731885</stp>
        <tr r="AA45" s="11"/>
        <tr r="AB45" s="11"/>
        <tr r="Q45" s="11"/>
        <tr r="R45" s="11"/>
        <tr r="S45" s="11"/>
        <tr r="T45" s="11"/>
        <tr r="U45" s="11"/>
        <tr r="V45" s="11"/>
        <tr r="W45" s="11"/>
        <tr r="X45" s="11"/>
        <tr r="Y45" s="11"/>
        <tr r="Z45" s="11"/>
        <tr r="R18" s="19"/>
      </tp>
      <tp t="s">
        <v>#N/A Requesting Data...4086717404</v>
        <stp/>
        <stp>BDP|8711749621454981610</stp>
        <tr r="H10" s="11"/>
        <tr r="H11" s="19"/>
      </tp>
      <tp t="s">
        <v>#N/A Requesting Data...2053416786</v>
        <stp/>
        <stp>BDP|2124980644386234646</stp>
        <tr r="R14" s="19"/>
      </tp>
      <tp t="s">
        <v>#N/A Requesting Data...4255312724</v>
        <stp/>
        <stp>BDP|2978154715375302822</stp>
        <tr r="C18" s="11"/>
      </tp>
      <tp t="b">
        <v>0</v>
        <stp/>
        <stp>BDH|1659389190240549439</stp>
        <tr r="P9" s="2"/>
      </tp>
      <tp t="s">
        <v>#N/A Requesting Data...1989681979</v>
        <stp/>
        <stp>BDP|4159726335098711786</stp>
        <tr r="D5" s="11"/>
        <tr r="D4" s="19"/>
      </tp>
      <tp t="s">
        <v>#N/A Requesting Data...3510134995</v>
        <stp/>
        <stp>BDP|6600922458241548475</stp>
        <tr r="J11" s="11"/>
        <tr r="J12" s="19"/>
      </tp>
      <tp t="s">
        <v>#N/A Requesting Data...3130822969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Data...3770106468</v>
        <stp/>
        <stp>BDP|7509049474986681906</stp>
        <tr r="H24" s="19"/>
      </tp>
      <tp t="s">
        <v>#N/A Requesting Data...3565770978</v>
        <stp/>
        <stp>BDP|8651142543386755452</stp>
        <tr r="I26" s="19"/>
      </tp>
      <tp t="s">
        <v>#N/A Requesting Data...3580282750</v>
        <stp/>
        <stp>BDP|2279758159639360156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</tp>
      <tp t="s">
        <v>#N/A Requesting Data...4075546899</v>
        <stp/>
        <stp>BDP|6401007919956475918</stp>
        <tr r="K9" s="2"/>
      </tp>
      <tp t="s">
        <v>#N/A Requesting Data...3504011865</v>
        <stp/>
        <stp>BDP|3594728727869926770</stp>
        <tr r="E11" s="11"/>
        <tr r="E12" s="19"/>
      </tp>
    </main>
    <main first="bofaddin.rtdserver">
      <tp t="s">
        <v>#N/A Requesting Data...2284501946</v>
        <stp/>
        <stp>BDP|1295270050609935714</stp>
        <tr r="H6" s="11"/>
        <tr r="H5" s="19"/>
      </tp>
      <tp t="s">
        <v>#N/A Requesting Data...1932022900</v>
        <stp/>
        <stp>BDP|9586602971314157476</stp>
        <tr r="J7" s="11"/>
        <tr r="J7" s="19"/>
      </tp>
      <tp t="s">
        <v>#N/A Requesting Data...4170117759</v>
        <stp/>
        <stp>BDP|5897436104601965865</stp>
        <tr r="J6" s="19"/>
      </tp>
      <tp t="s">
        <v>#N/A Requesting Data...2781703326</v>
        <stp/>
        <stp>BDP|7210719112410508942</stp>
        <tr r="J9" s="19"/>
      </tp>
      <tp t="s">
        <v>#N/A Requesting Data...3916598920</v>
        <stp/>
        <stp>BDP|6258822248703087193</stp>
        <tr r="I22" s="19"/>
      </tp>
      <tp t="s">
        <v>#N/A Requesting Data...3316860538</v>
        <stp/>
        <stp>BDP|6999313489046488323</stp>
        <tr r="K12" s="2"/>
      </tp>
      <tp t="s">
        <v>#N/A Requesting Data...2780272384</v>
        <stp/>
        <stp>BDP|8414640352844636739</stp>
        <tr r="K13" s="2"/>
      </tp>
      <tp t="s">
        <v>#N/A Requesting Data...2072819133</v>
        <stp/>
        <stp>BDP|6160330820607293841</stp>
        <tr r="J6" s="19"/>
      </tp>
      <tp t="s">
        <v>#N/A Requesting Data...3030608393</v>
        <stp/>
        <stp>BDP|3315293682106022630</stp>
        <tr r="J7" s="11"/>
        <tr r="J7" s="19"/>
      </tp>
      <tp t="s">
        <v>#N/A Requesting Data...2092992384</v>
        <stp/>
        <stp>BDP|9429013316019147896</stp>
        <tr r="R21" s="19"/>
      </tp>
      <tp t="s">
        <v>#N/A Requesting Data...3791019887</v>
        <stp/>
        <stp>BDP|2990502423164020862</stp>
        <tr r="M9" s="2"/>
      </tp>
      <tp t="s">
        <v>#N/A Requesting Data...3300703682</v>
        <stp/>
        <stp>BDP|8668841010131374935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</tp>
      <tp t="s">
        <v>#N/A Requesting Data...4163370979</v>
        <stp/>
        <stp>BDP|5007327625665658833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5" s="19"/>
      </tp>
      <tp t="s">
        <v>#N/A Requesting Data...2517843647</v>
        <stp/>
        <stp>BDP|8154902215360295977</stp>
        <tr r="H20" s="19"/>
      </tp>
      <tp t="s">
        <v>#N/A Requesting Data...2372042996</v>
        <stp/>
        <stp>BDP|8500246469637883265</stp>
        <tr r="AA53" s="11"/>
        <tr r="AB53" s="11"/>
        <tr r="Q53" s="11"/>
        <tr r="R53" s="11"/>
        <tr r="S53" s="11"/>
        <tr r="T53" s="11"/>
        <tr r="U53" s="11"/>
        <tr r="V53" s="11"/>
        <tr r="W53" s="11"/>
        <tr r="X53" s="11"/>
        <tr r="Y53" s="11"/>
        <tr r="Z53" s="11"/>
      </tp>
      <tp t="s">
        <v>#N/A Requesting Data...2248305852</v>
        <stp/>
        <stp>BDP|9636783809803462453</stp>
        <tr r="C25" s="11"/>
      </tp>
      <tp t="s">
        <v>#N/A Requesting Data...3225903793</v>
        <stp/>
        <stp>BDP|8805667161083002133</stp>
        <tr r="J4" s="11"/>
        <tr r="J3" s="19"/>
      </tp>
      <tp t="s">
        <v>#N/A Requesting Data...2875959853</v>
        <stp/>
        <stp>BDP|7546476684227611629</stp>
        <tr r="M7" s="2"/>
      </tp>
      <tp t="s">
        <v>#N/A Requesting Data...2019968287</v>
        <stp/>
        <stp>BDP|4774572175039586539</stp>
        <tr r="D9" s="19"/>
      </tp>
      <tp t="s">
        <v>#N/A Requesting Data...3712377907</v>
        <stp/>
        <stp>BDP|9349190465432927654</stp>
        <tr r="C26" s="11"/>
      </tp>
      <tp t="s">
        <v>#N/A Requesting Data...3152805197</v>
        <stp/>
        <stp>BDP|5332477555246563840</stp>
        <tr r="H6" s="2"/>
      </tp>
      <tp t="s">
        <v>#N/A Requesting Data...2290844097</v>
        <stp/>
        <stp>BDP|9296062114427229555</stp>
        <tr r="H5" s="2"/>
      </tp>
      <tp t="s">
        <v>#N/A Requesting Data...3080154930</v>
        <stp/>
        <stp>BDP|3131810410801081170</stp>
        <tr r="H12" s="11"/>
        <tr r="H13" s="19"/>
      </tp>
      <tp t="s">
        <v>#N/A Requesting Data...3699114671</v>
        <stp/>
        <stp>BDP|4482678795945008425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Data...4243741486</v>
        <stp/>
        <stp>BDP|5970432481165816675</stp>
        <tr r="J9" s="2"/>
      </tp>
      <tp t="s">
        <v>#N/A Requesting Data...2765873865</v>
        <stp/>
        <stp>BDP|6428209671071195804</stp>
        <tr r="D25" s="11"/>
      </tp>
      <tp t="s">
        <v>#N/A Requesting Data...3322865843</v>
        <stp/>
        <stp>BDP|6181484335763016961</stp>
        <tr r="I21" s="19"/>
      </tp>
      <tp t="s">
        <v>#N/A Requesting Data...2708861848</v>
        <stp/>
        <stp>BDP|8767287300271158044</stp>
        <tr r="R9" s="19"/>
      </tp>
      <tp t="s">
        <v>#N/A Requesting Data...1989700051</v>
        <stp/>
        <stp>BDP|3612074661198875616</stp>
        <tr r="J3" s="11"/>
        <tr r="J2" s="19"/>
      </tp>
      <tp t="s">
        <v>#N/A Requesting Data...4236100542</v>
        <stp/>
        <stp>BDP|6009636741147577859</stp>
        <tr r="I20" s="19"/>
      </tp>
      <tp t="s">
        <v>#N/A Requesting Data...2121750005</v>
        <stp/>
        <stp>BDP|5416050933808437507</stp>
        <tr r="E12" s="11"/>
        <tr r="E13" s="19"/>
      </tp>
      <tp t="s">
        <v>#N/A Requesting Data...3415349976</v>
        <stp/>
        <stp>BDP|4469726952068478577</stp>
        <tr r="E3" s="11"/>
        <tr r="E2" s="19"/>
      </tp>
      <tp t="s">
        <v>#N/A Requesting Data...4171817495</v>
        <stp/>
        <stp>BDP|2514423990686244217</stp>
        <tr r="D11" s="11"/>
        <tr r="D12" s="19"/>
      </tp>
      <tp t="s">
        <v>#N/A Requesting Data...2995113407</v>
        <stp/>
        <stp>BDP|5505121907678251772</stp>
        <tr r="G6" s="11"/>
        <tr r="G5" s="19"/>
      </tp>
      <tp t="s">
        <v>#N/A Requesting Data...3456589178</v>
        <stp/>
        <stp>BDP|6717872964888555496</stp>
        <tr r="K7" s="2"/>
      </tp>
      <tp t="s">
        <v>#N/A Requesting Data...2354733492</v>
        <stp/>
        <stp>BDP|7628246514408667822</stp>
        <tr r="I14" s="11"/>
        <tr r="I15" s="19"/>
      </tp>
      <tp t="s">
        <v>#N/A Requesting Data...2997172117</v>
        <stp/>
        <stp>BDP|3463804556948818291</stp>
        <tr r="D20" s="11"/>
      </tp>
      <tp t="s">
        <v>#N/A Requesting Data...3371097425</v>
        <stp/>
        <stp>BDP|1877563044224185082</stp>
        <tr r="R11" s="19"/>
      </tp>
      <tp t="s">
        <v>#N/A Requesting Data...3253739179</v>
        <stp/>
        <stp>BDP|3931452041031580694</stp>
        <tr r="J15" s="2"/>
      </tp>
      <tp t="s">
        <v>#N/A Requesting Data...1868355723</v>
        <stp/>
        <stp>BDP|6086773022681627652</stp>
        <tr r="R3" s="19"/>
      </tp>
    </main>
    <main first="bofaddin.rtdserver">
      <tp t="s">
        <v>#N/A Requesting Data...2409652798</v>
        <stp/>
        <stp>BDP|9274013617679287535</stp>
        <tr r="G9" s="19"/>
      </tp>
      <tp t="s">
        <v>#N/A Requesting Data...3338972869</v>
        <stp/>
        <stp>BDP|5458019831893466086</stp>
        <tr r="J11" s="11"/>
        <tr r="J12" s="19"/>
      </tp>
      <tp t="s">
        <v>#N/A Requesting Data...2710982251</v>
        <stp/>
        <stp>BDP|5425105562507935010</stp>
        <tr r="K14" s="2"/>
      </tp>
      <tp t="s">
        <v>#N/A Requesting Data...3205659497</v>
        <stp/>
        <stp>BDP|9507205330525513839</stp>
        <tr r="J5" s="11"/>
        <tr r="J4" s="19"/>
      </tp>
      <tp t="s">
        <v>#N/A Requesting Data...2965420542</v>
        <stp/>
        <stp>BDP|2101225401797588245</stp>
        <tr r="H14" s="2"/>
      </tp>
      <tp t="s">
        <v>#N/A Requesting Data...3480819412</v>
        <stp/>
        <stp>BDP|7380091922057856733</stp>
        <tr r="J4" s="2"/>
      </tp>
      <tp t="s">
        <v>#N/A Requesting Data...1954054518</v>
        <stp/>
        <stp>BDP|7227915130840435804</stp>
        <tr r="E23" s="19"/>
      </tp>
      <tp t="s">
        <v>#N/A Requesting Data...2968501216</v>
        <stp/>
        <stp>BDP|6648854877445314932</stp>
        <tr r="C22" s="11"/>
      </tp>
      <tp t="s">
        <v>#N/A Requesting Data...3305058647</v>
        <stp/>
        <stp>BDP|3813535555995696006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</tp>
      <tp t="s">
        <v>#N/A Requesting Data...4267797658</v>
        <stp/>
        <stp>BDP|8996523424079587047</stp>
        <tr r="J4" s="11"/>
        <tr r="J3" s="19"/>
      </tp>
      <tp t="s">
        <v>#N/A Requesting Data...3146768605</v>
        <stp/>
        <stp>BDP|5683100328445387518</stp>
        <tr r="G9" s="7"/>
      </tp>
      <tp t="s">
        <v>#N/A Requesting Data...4013847467</v>
        <stp/>
        <stp>BDP|1822719222220999206</stp>
        <tr r="D12" s="11"/>
        <tr r="D13" s="19"/>
      </tp>
      <tp t="s">
        <v>#N/A Requesting Data...3250885786</v>
        <stp/>
        <stp>BDP|3412478252612481668</stp>
        <tr r="D13" s="11"/>
        <tr r="D14" s="19"/>
      </tp>
      <tp t="s">
        <v>#N/A Requesting Data...3713487192</v>
        <stp/>
        <stp>BDP|1687368956969111871</stp>
        <tr r="K15" s="2"/>
      </tp>
      <tp t="s">
        <v>#N/A Requesting Data...4124350811</v>
        <stp/>
        <stp>BDP|2286322115411345773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</tp>
      <tp t="s">
        <v>#N/A Requesting Data...1949204873</v>
        <stp/>
        <stp>BDP|3464748034381197038</stp>
        <tr r="R16" s="19"/>
      </tp>
      <tp t="s">
        <v>#N/A Requesting Data...2462642839</v>
        <stp/>
        <stp>BDP|2374175931660047606</stp>
        <tr r="H13" s="2"/>
      </tp>
      <tp t="s">
        <v>#N/A Requesting Data...4245217273</v>
        <stp/>
        <stp>BDP|1469694448740928475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</tp>
      <tp t="s">
        <v>#N/A Requesting Data...3519858726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Data...2940045532</v>
        <stp/>
        <stp>BDP|2190926934948613723</stp>
        <tr r="H6" s="19"/>
      </tp>
      <tp t="s">
        <v>#N/A Requesting Data...2343202047</v>
        <stp/>
        <stp>BDP|4375753900560113469</stp>
        <tr r="R10" s="19"/>
      </tp>
      <tp t="s">
        <v>#N/A Requesting Data...3911757920</v>
        <stp/>
        <stp>BDP|4463478870191165152</stp>
        <tr r="M6" s="2"/>
      </tp>
      <tp t="s">
        <v>#N/A Requesting Data...3194170969</v>
        <stp/>
        <stp>BDP|6458698369549551863</stp>
        <tr r="I10" s="11"/>
        <tr r="I11" s="19"/>
      </tp>
      <tp t="s">
        <v>#N/A Requesting Data...3611763514</v>
        <stp/>
        <stp>BDP|5090352166701754608</stp>
        <tr r="F29" s="11"/>
      </tp>
      <tp t="s">
        <v>#N/A Requesting Data...2875499137</v>
        <stp/>
        <stp>BDP|2583747204366554458</stp>
        <tr r="AA47" s="11"/>
        <tr r="AB47" s="11"/>
        <tr r="Q47" s="11"/>
        <tr r="R47" s="11"/>
        <tr r="S47" s="11"/>
        <tr r="T47" s="11"/>
        <tr r="U47" s="11"/>
        <tr r="V47" s="11"/>
        <tr r="W47" s="11"/>
        <tr r="X47" s="11"/>
        <tr r="Y47" s="11"/>
        <tr r="Z47" s="11"/>
        <tr r="R23" s="19"/>
      </tp>
      <tp t="s">
        <v>#N/A Requesting Data...3591255325</v>
        <stp/>
        <stp>BDP|1827417845708676912</stp>
        <tr r="D8" s="11"/>
        <tr r="D8" s="19"/>
      </tp>
      <tp t="s">
        <v>#N/A Requesting Data...3844173161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Data...4040761193</v>
        <stp/>
        <stp>BDP|5901000520520466755</stp>
        <tr r="H23" s="19"/>
      </tp>
      <tp t="s">
        <v>#N/A Requesting Data...3147899035</v>
        <stp/>
        <stp>BDP|4651376489008602716</stp>
        <tr r="J13" s="11"/>
        <tr r="J14" s="19"/>
      </tp>
      <tp t="s">
        <v>#N/A Requesting Data...2881855361</v>
        <stp/>
        <stp>BDP|5367666932895616539</stp>
        <tr r="AA51" s="11"/>
        <tr r="AB51" s="11"/>
        <tr r="Q51" s="11"/>
        <tr r="R51" s="11"/>
        <tr r="S51" s="11"/>
        <tr r="T51" s="11"/>
        <tr r="U51" s="11"/>
        <tr r="V51" s="11"/>
        <tr r="W51" s="11"/>
        <tr r="X51" s="11"/>
        <tr r="Y51" s="11"/>
        <tr r="Z51" s="11"/>
        <tr r="R28" s="19"/>
      </tp>
      <tp t="s">
        <v>#N/A Requesting Data...3634520690</v>
        <stp/>
        <stp>BDP|5054854074032400854</stp>
        <tr r="D18" s="11"/>
      </tp>
      <tp t="s">
        <v>#N/A Requesting Data...4046971372</v>
        <stp/>
        <stp>BDP|7009126234541041477</stp>
        <tr r="E10" s="11"/>
        <tr r="E11" s="19"/>
      </tp>
      <tp t="s">
        <v>#N/A Requesting Data...4203644566</v>
        <stp/>
        <stp>BDP|2127305658120032482</stp>
        <tr r="G11" s="11"/>
        <tr r="G12" s="19"/>
      </tp>
      <tp t="s">
        <v>#N/A Requesting Data...2299964485</v>
        <stp/>
        <stp>BDP|3552371989500988863</stp>
        <tr r="J8" s="11"/>
        <tr r="J8" s="19"/>
      </tp>
      <tp t="s">
        <v>#N/A Requesting Data...3358548858</v>
        <stp/>
        <stp>BDP|8996589861712440902</stp>
        <tr r="D26" s="11"/>
      </tp>
      <tp t="s">
        <v>#N/A Requesting Data...2627563351</v>
        <stp/>
        <stp>BDP|4226241773230894182</stp>
        <tr r="J14" s="11"/>
        <tr r="J15" s="19"/>
      </tp>
      <tp t="s">
        <v>#N/A Requesting Data...2719755086</v>
        <stp/>
        <stp>BDP|9236812778495761274</stp>
        <tr r="D10" s="11"/>
        <tr r="D11" s="19"/>
      </tp>
      <tp t="s">
        <v>#N/A Requesting Data...3635470528</v>
        <stp/>
        <stp>BDP|8787993904919445978</stp>
        <tr r="J9" s="11"/>
        <tr r="J10" s="19"/>
      </tp>
      <tp t="s">
        <v>#N/A Requesting Data...2952404102</v>
        <stp/>
        <stp>BDP|4986428474834544241</stp>
        <tr r="H9" s="19"/>
      </tp>
      <tp t="s">
        <v>#N/A Requesting Data...3694245001</v>
        <stp/>
        <stp>BDP|4027837973262682890</stp>
        <tr r="M15" s="2"/>
      </tp>
      <tp t="s">
        <v>#N/A Requesting Data...2536047179</v>
        <stp/>
        <stp>BDP|6863710481498153056</stp>
        <tr r="R4" s="19"/>
      </tp>
      <tp t="s">
        <v>#N/A Requesting Data...4143486970</v>
        <stp/>
        <stp>BDP|7977680686540306885</stp>
        <tr r="D6" s="19"/>
      </tp>
      <tp t="s">
        <v>#N/A Requesting Data...3503455976</v>
        <stp/>
        <stp>BDP|2978744912796430367</stp>
        <tr r="M5" s="2"/>
      </tp>
      <tp t="s">
        <v>#N/A Requesting Data...3955114601</v>
        <stp/>
        <stp>BDP|6463399830411977660</stp>
        <tr r="H9" s="11"/>
        <tr r="H10" s="19"/>
      </tp>
      <tp t="s">
        <v>#N/A Requesting Data...2723556201</v>
        <stp/>
        <stp>BDP|3333630846708210848</stp>
        <tr r="J3" s="11"/>
        <tr r="J2" s="19"/>
      </tp>
      <tp t="s">
        <v>#N/A Requesting Data...2088675181</v>
        <stp/>
        <stp>BDP|6124812264958528142</stp>
        <tr r="G6" s="7"/>
      </tp>
      <tp t="s">
        <v>#N/A Requesting Data...2060378827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</main>
    <main first="bofaddin.rtdserver">
      <tp t="s">
        <v>#N/A Requesting Data...2524517193</v>
        <stp/>
        <stp>BDP|7576008118700462431</stp>
        <tr r="G9" s="11"/>
        <tr r="G10" s="19"/>
      </tp>
      <tp t="s">
        <v>#N/A Requesting Data...3542339147</v>
        <stp/>
        <stp>BDP|1070616809507239240</stp>
        <tr r="E9" s="11"/>
        <tr r="E10" s="19"/>
      </tp>
      <tp t="s">
        <v>#N/A Requesting Data...2289683756</v>
        <stp/>
        <stp>BDP|3915222074910115423</stp>
        <tr r="R8" s="19"/>
      </tp>
      <tp t="s">
        <v>#N/A Requesting Data...3146082583</v>
        <stp/>
        <stp>BDP|4163044537905757079</stp>
        <tr r="H4" s="2"/>
      </tp>
      <tp t="s">
        <v>#N/A Requesting Data...2258214923</v>
        <stp/>
        <stp>BDP|4623768472882485469</stp>
        <tr r="G4" s="11"/>
        <tr r="G3" s="19"/>
      </tp>
      <tp t="s">
        <v>#N/A Requesting Data...2639217795</v>
        <stp/>
        <stp>BDP|1655010175960499466</stp>
        <tr r="G8" s="11"/>
        <tr r="G8" s="19"/>
      </tp>
      <tp t="s">
        <v>#N/A Requesting Data...2618216612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Data...3813175493</v>
        <stp/>
        <stp>BDP|2569764526774212131</stp>
        <tr r="E9" s="19"/>
      </tp>
      <tp t="s">
        <v>#N/A Requesting Data...3320399146</v>
        <stp/>
        <stp>BDP|5180174984237381953</stp>
        <tr r="J12" s="11"/>
        <tr r="J13" s="19"/>
      </tp>
      <tp t="s">
        <v>#N/A Requesting Data...3569557158</v>
        <stp/>
        <stp>BDP|9595075412893390962</stp>
        <tr r="E13" s="11"/>
        <tr r="E14" s="19"/>
      </tp>
      <tp t="s">
        <v>#N/A Requesting Data...3182811247</v>
        <stp/>
        <stp>BDP|2884752705310536665</stp>
        <tr r="I24" s="19"/>
      </tp>
      <tp t="s">
        <v>#N/A Requesting Data...2852035464</v>
        <stp/>
        <stp>BDP|8786671772103883961</stp>
        <tr r="R7" s="19"/>
      </tp>
      <tp t="s">
        <v>#N/A Requesting Data...2516898225</v>
        <stp/>
        <stp>BDP|4673494246461255666</stp>
        <tr r="AA54" s="11"/>
        <tr r="AB54" s="11"/>
        <tr r="Q54" s="11"/>
        <tr r="R54" s="11"/>
        <tr r="S54" s="11"/>
        <tr r="T54" s="11"/>
        <tr r="U54" s="11"/>
        <tr r="V54" s="11"/>
        <tr r="W54" s="11"/>
        <tr r="X54" s="11"/>
        <tr r="Y54" s="11"/>
        <tr r="Z54" s="11"/>
        <tr r="R24" s="19"/>
      </tp>
      <tp t="s">
        <v>#N/A Requesting Data...2345677107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Data...3282811611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Data...2666996462</v>
        <stp/>
        <stp>BDP|1350668238224386387</stp>
        <tr r="R26" s="19"/>
      </tp>
    </main>
    <main first="bofaddin.rtdserver">
      <tp>
        <v>3.4350000000000001</v>
        <stp/>
        <stp>BDP|558791040652910541|22</stp>
        <stp>WLK25 Index</stp>
        <stp>LAST_PRICE</stp>
        <tr r="K18" s="11"/>
        <tr r="D20" s="19"/>
      </tp>
    </main>
    <main first="bofaddin.rtdserver">
      <tp t="s">
        <v>#N/A Requesting Data...2141891405</v>
        <stp/>
        <stp>BDP|55815364648658119</stp>
        <tr r="H25" s="19"/>
      </tp>
      <tp t="s">
        <v>#N/A Requesting Data...3944168511</v>
        <stp/>
        <stp>BDP|358140230785145392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Data...2753957777</v>
        <stp/>
        <stp>BDP|591725260180001521</stp>
        <tr r="H7" s="11"/>
        <tr r="H7" s="19"/>
      </tp>
      <tp t="s">
        <v>#N/A Requesting Data...3268336052</v>
        <stp/>
        <stp>BDP|542154546040819345</stp>
        <tr r="G12" s="11"/>
        <tr r="R22" s="19"/>
        <tr r="G13" s="19"/>
      </tp>
      <tp t="s">
        <v>#N/A Requesting Data...2929628169</v>
        <stp/>
        <stp>BDP|162205019758440862</stp>
        <tr r="E8" s="7"/>
      </tp>
      <tp t="s">
        <v>#N/A Requesting Data...3136274535</v>
        <stp/>
        <stp>BDP|368437973666143841</stp>
        <tr r="J12" s="2"/>
      </tp>
      <tp t="s">
        <v>#N/A Requesting Data...3035725834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Data...4243462211</v>
        <stp/>
        <stp>BDP|813990660275351546</stp>
        <tr r="R13" s="19"/>
      </tp>
      <tp t="s">
        <v>#N/A Requesting Data...2997705285</v>
        <stp/>
        <stp>BDP|394006502529987782</stp>
        <tr r="J11" s="2"/>
      </tp>
      <tp t="s">
        <v>#N/A Requesting Data...4064974587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6878&amp;codativo=LF002305RGG" TargetMode="External"/><Relationship Id="rId671" Type="http://schemas.openxmlformats.org/officeDocument/2006/relationships/hyperlink" Target="https://afinvest.com.br/interno/relatorios/detalhes-de-ativos?id=5722&amp;codativo=AALR13" TargetMode="External"/><Relationship Id="rId769" Type="http://schemas.openxmlformats.org/officeDocument/2006/relationships/hyperlink" Target="https://afinvest.com.br/interno/relatorios/detalhes-de-ativos?id=7580&amp;codativo=760199" TargetMode="External"/><Relationship Id="rId976" Type="http://schemas.openxmlformats.org/officeDocument/2006/relationships/hyperlink" Target="https://afinvest.com.br/interno/relatorios/detalhes-de-ativos?id=7680&amp;codativo=FIDC%20Pagbem%20Sr%207" TargetMode="External"/><Relationship Id="rId21" Type="http://schemas.openxmlformats.org/officeDocument/2006/relationships/hyperlink" Target="https://afinvest.com.br/interno/relatorios/detalhes-de-ativos?id=9357&amp;codativo=CDB1256KW68" TargetMode="External"/><Relationship Id="rId324" Type="http://schemas.openxmlformats.org/officeDocument/2006/relationships/hyperlink" Target="https://afinvest.com.br/interno/relatorios/detalhes-de-ativos?id=9223&amp;codativo=FIDC%20PICPAY%20FGTS%20SR" TargetMode="External"/><Relationship Id="rId531" Type="http://schemas.openxmlformats.org/officeDocument/2006/relationships/hyperlink" Target="https://afinvest.com.br/interno/relatorios/detalhes-de-ativos?id=308&amp;codativo=KLBNA2" TargetMode="External"/><Relationship Id="rId629" Type="http://schemas.openxmlformats.org/officeDocument/2006/relationships/hyperlink" Target="https://afinvest.com.br/interno/relatorios/detalhes-de-ativos?id=5729&amp;codativo=CSNAA2" TargetMode="External"/><Relationship Id="rId1161" Type="http://schemas.openxmlformats.org/officeDocument/2006/relationships/hyperlink" Target="https://afinvest.com.br/interno/relatorios/detalhes-de-ativos?id=8663&amp;codativo=ACRC21" TargetMode="External"/><Relationship Id="rId1259" Type="http://schemas.openxmlformats.org/officeDocument/2006/relationships/hyperlink" Target="https://afinvest.com.br/interno/relatorios/detalhes-de-ativos?id=2779&amp;codativo=CBRDA8" TargetMode="External"/><Relationship Id="rId170" Type="http://schemas.openxmlformats.org/officeDocument/2006/relationships/hyperlink" Target="https://afinvest.com.br/interno/relatorios/detalhes-de-ativos?id=8111&amp;codativo=LF002400BZZ" TargetMode="External"/><Relationship Id="rId836" Type="http://schemas.openxmlformats.org/officeDocument/2006/relationships/hyperlink" Target="https://afinvest.com.br/interno/relatorios/detalhes-de-ativos?id=7894&amp;codativo=MELK3" TargetMode="External"/><Relationship Id="rId1021" Type="http://schemas.openxmlformats.org/officeDocument/2006/relationships/hyperlink" Target="https://afinvest.com.br/interno/relatorios/detalhes-de-ativos?id=3395&amp;codativo=OGDS11" TargetMode="External"/><Relationship Id="rId1119" Type="http://schemas.openxmlformats.org/officeDocument/2006/relationships/hyperlink" Target="https://afinvest.com.br/interno/relatorios/detalhes-de-ativos?id=3484&amp;codativo=RDVE11" TargetMode="External"/><Relationship Id="rId268" Type="http://schemas.openxmlformats.org/officeDocument/2006/relationships/hyperlink" Target="https://afinvest.com.br/interno/relatorios/detalhes-de-ativos?id=7741&amp;codativo=SANTANDER%20CASH%20BLACK%20X" TargetMode="External"/><Relationship Id="rId475" Type="http://schemas.openxmlformats.org/officeDocument/2006/relationships/hyperlink" Target="https://afinvest.com.br/interno/relatorios/detalhes-de-ativos?id=2626&amp;codativo=OMGE13" TargetMode="External"/><Relationship Id="rId682" Type="http://schemas.openxmlformats.org/officeDocument/2006/relationships/hyperlink" Target="https://afinvest.com.br/interno/relatorios/detalhes-de-ativos?id=6410&amp;codativo=BRFS31" TargetMode="External"/><Relationship Id="rId903" Type="http://schemas.openxmlformats.org/officeDocument/2006/relationships/hyperlink" Target="https://afinvest.com.br/interno/relatorios/detalhes-de-ativos?id=8122&amp;codativo=LF0020008IV" TargetMode="External"/><Relationship Id="rId1326" Type="http://schemas.openxmlformats.org/officeDocument/2006/relationships/hyperlink" Target="https://afinvest.com.br/interno/relatorios/detalhes-de-ativos?id=6795&amp;codativo=TBSP11" TargetMode="External"/><Relationship Id="rId32" Type="http://schemas.openxmlformats.org/officeDocument/2006/relationships/hyperlink" Target="https://afinvest.com.br/interno/relatorios/detalhes-de-ativos?id=1271&amp;codativo=Provis%C3%A3o" TargetMode="External"/><Relationship Id="rId128" Type="http://schemas.openxmlformats.org/officeDocument/2006/relationships/hyperlink" Target="https://afinvest.com.br/interno/relatorios/detalhes-de-ativos?id=8350&amp;codativo=LF0024007OE" TargetMode="External"/><Relationship Id="rId335" Type="http://schemas.openxmlformats.org/officeDocument/2006/relationships/hyperlink" Target="https://afinvest.com.br/interno/relatorios/detalhes-de-ativos?id=9487&amp;codativo=FIDC%20Icred%20INSS" TargetMode="External"/><Relationship Id="rId542" Type="http://schemas.openxmlformats.org/officeDocument/2006/relationships/hyperlink" Target="https://afinvest.com.br/interno/relatorios/detalhes-de-ativos?id=2829&amp;codativo=ITSA24" TargetMode="External"/><Relationship Id="rId987" Type="http://schemas.openxmlformats.org/officeDocument/2006/relationships/hyperlink" Target="https://afinvest.com.br/interno/relatorios/detalhes-de-ativos?id=387&amp;codativo=FIDC%20LF%20I%20SR4" TargetMode="External"/><Relationship Id="rId1172" Type="http://schemas.openxmlformats.org/officeDocument/2006/relationships/hyperlink" Target="https://afinvest.com.br/interno/relatorios/detalhes-de-ativos?id=6707&amp;codativo=LFTset29" TargetMode="External"/><Relationship Id="rId181" Type="http://schemas.openxmlformats.org/officeDocument/2006/relationships/hyperlink" Target="https://afinvest.com.br/interno/relatorios/detalhes-de-ativos?id=8996&amp;codativo=LF%20BMG%20NOV/26" TargetMode="External"/><Relationship Id="rId402" Type="http://schemas.openxmlformats.org/officeDocument/2006/relationships/hyperlink" Target="https://afinvest.com.br/interno/relatorios/detalhes-de-ativos?id=9446&amp;codativo=VERT18%20(nota%20reestruturada)" TargetMode="External"/><Relationship Id="rId847" Type="http://schemas.openxmlformats.org/officeDocument/2006/relationships/hyperlink" Target="https://afinvest.com.br/interno/relatorios/detalhes-de-ativos?id=501&amp;codativo=CSAN3" TargetMode="External"/><Relationship Id="rId1032" Type="http://schemas.openxmlformats.org/officeDocument/2006/relationships/hyperlink" Target="https://afinvest.com.br/interno/relatorios/detalhes-de-ativos?id=9215&amp;codativo=LIGT11" TargetMode="External"/><Relationship Id="rId279" Type="http://schemas.openxmlformats.org/officeDocument/2006/relationships/hyperlink" Target="https://afinvest.com.br/interno/relatorios/detalhes-de-ativos?id=7741&amp;codativo=SANTANDER%20CASH%20BLACK%20X" TargetMode="External"/><Relationship Id="rId486" Type="http://schemas.openxmlformats.org/officeDocument/2006/relationships/hyperlink" Target="https://afinvest.com.br/interno/relatorios/detalhes-de-ativos?id=2766&amp;codativo=MOVI37" TargetMode="External"/><Relationship Id="rId693" Type="http://schemas.openxmlformats.org/officeDocument/2006/relationships/hyperlink" Target="https://afinvest.com.br/interno/relatorios/detalhes-de-ativos?id=3358&amp;codativo=BRKMB6" TargetMode="External"/><Relationship Id="rId707" Type="http://schemas.openxmlformats.org/officeDocument/2006/relationships/hyperlink" Target="https://afinvest.com.br/interno/relatorios/detalhes-de-ativos?id=7040&amp;codativo=ALGTA3" TargetMode="External"/><Relationship Id="rId914" Type="http://schemas.openxmlformats.org/officeDocument/2006/relationships/hyperlink" Target="https://afinvest.com.br/interno/relatorios/detalhes-de-ativos?id=3370&amp;codativo=LF002200HQZ" TargetMode="External"/><Relationship Id="rId1337" Type="http://schemas.openxmlformats.org/officeDocument/2006/relationships/hyperlink" Target="https://afinvest.com.br/interno/relatorios/detalhes-de-ativos?id=3468&amp;codativo=PEJA11" TargetMode="External"/><Relationship Id="rId43" Type="http://schemas.openxmlformats.org/officeDocument/2006/relationships/hyperlink" Target="https://afinvest.com.br/interno/relatorios/detalhes-de-ativos?id=9040&amp;codativo=LFSN%20RCI" TargetMode="External"/><Relationship Id="rId139" Type="http://schemas.openxmlformats.org/officeDocument/2006/relationships/hyperlink" Target="https://afinvest.com.br/interno/relatorios/detalhes-de-ativos?id=8803&amp;codativo=LF002400Q09" TargetMode="External"/><Relationship Id="rId346" Type="http://schemas.openxmlformats.org/officeDocument/2006/relationships/hyperlink" Target="https://afinvest.com.br/interno/relatorios/detalhes-de-ativos?id=8877&amp;codativo=FIDC%20Artico%20Sr" TargetMode="External"/><Relationship Id="rId553" Type="http://schemas.openxmlformats.org/officeDocument/2006/relationships/hyperlink" Target="https://afinvest.com.br/interno/relatorios/detalhes-de-ativos?id=5764&amp;codativo=HBSA12" TargetMode="External"/><Relationship Id="rId760" Type="http://schemas.openxmlformats.org/officeDocument/2006/relationships/hyperlink" Target="https://afinvest.com.br/interno/relatorios/detalhes-de-ativos?id=1306&amp;codativo=BANORT%207%20%E2%85%9D%20PERP" TargetMode="External"/><Relationship Id="rId998" Type="http://schemas.openxmlformats.org/officeDocument/2006/relationships/hyperlink" Target="https://afinvest.com.br/interno/relatorios/detalhes-de-ativos?id=3424&amp;codativo=VECS11" TargetMode="External"/><Relationship Id="rId1183" Type="http://schemas.openxmlformats.org/officeDocument/2006/relationships/hyperlink" Target="https://afinvest.com.br/interno/relatorios/detalhes-de-ativos?id=2640&amp;codativo=LFSC18002MZ" TargetMode="External"/><Relationship Id="rId192" Type="http://schemas.openxmlformats.org/officeDocument/2006/relationships/hyperlink" Target="https://afinvest.com.br/interno/relatorios/detalhes-de-ativos?id=2957&amp;codativo=DAPAGO28" TargetMode="External"/><Relationship Id="rId206" Type="http://schemas.openxmlformats.org/officeDocument/2006/relationships/hyperlink" Target="https://afinvest.com.br/interno/relatorios/detalhes-de-ativos?id=940&amp;codativo=DAPAGO26" TargetMode="External"/><Relationship Id="rId413" Type="http://schemas.openxmlformats.org/officeDocument/2006/relationships/hyperlink" Target="https://afinvest.com.br/interno/relatorios/detalhes-de-ativos?id=2918&amp;codativo=SULA29" TargetMode="External"/><Relationship Id="rId858" Type="http://schemas.openxmlformats.org/officeDocument/2006/relationships/hyperlink" Target="https://afinvest.com.br/interno/relatorios/detalhes-de-ativos?id=8523&amp;codativo=AMER11" TargetMode="External"/><Relationship Id="rId1043" Type="http://schemas.openxmlformats.org/officeDocument/2006/relationships/hyperlink" Target="https://afinvest.com.br/interno/relatorios/detalhes-de-ativos?id=7270&amp;codativo=CGOS14" TargetMode="External"/><Relationship Id="rId497" Type="http://schemas.openxmlformats.org/officeDocument/2006/relationships/hyperlink" Target="https://afinvest.com.br/interno/relatorios/detalhes-de-ativos?id=2934&amp;codativo=MSGT33" TargetMode="External"/><Relationship Id="rId620" Type="http://schemas.openxmlformats.org/officeDocument/2006/relationships/hyperlink" Target="https://afinvest.com.br/interno/relatorios/detalhes-de-ativos?id=7543&amp;codativo=CRNP11" TargetMode="External"/><Relationship Id="rId718" Type="http://schemas.openxmlformats.org/officeDocument/2006/relationships/hyperlink" Target="https://afinvest.com.br/interno/relatorios/detalhes-de-ativos?id=2808&amp;codativo=AEGP19" TargetMode="External"/><Relationship Id="rId925" Type="http://schemas.openxmlformats.org/officeDocument/2006/relationships/hyperlink" Target="https://afinvest.com.br/interno/relatorios/detalhes-de-ativos?id=4297&amp;codativo=DI1JUL26" TargetMode="External"/><Relationship Id="rId1250" Type="http://schemas.openxmlformats.org/officeDocument/2006/relationships/hyperlink" Target="https://afinvest.com.br/interno/relatorios/detalhes-de-ativos?id=1596&amp;codativo=DASAA4" TargetMode="External"/><Relationship Id="rId1348" Type="http://schemas.openxmlformats.org/officeDocument/2006/relationships/hyperlink" Target="https://afinvest.com.br/interno/relatorios/detalhes-de-ativos?id=2829&amp;codativo=ITSA24" TargetMode="External"/><Relationship Id="rId357" Type="http://schemas.openxmlformats.org/officeDocument/2006/relationships/hyperlink" Target="https://afinvest.com.br/interno/relatorios/detalhes-de-ativos?id=8583&amp;codativo=VIXL18" TargetMode="External"/><Relationship Id="rId1110" Type="http://schemas.openxmlformats.org/officeDocument/2006/relationships/hyperlink" Target="https://afinvest.com.br/interno/relatorios/detalhes-de-ativos?id=9573&amp;codativo=BRGASFCTF006" TargetMode="External"/><Relationship Id="rId1194" Type="http://schemas.openxmlformats.org/officeDocument/2006/relationships/hyperlink" Target="https://afinvest.com.br/interno/relatorios/detalhes-de-ativos?id=2677&amp;codativo=DI1JAN29" TargetMode="External"/><Relationship Id="rId1208" Type="http://schemas.openxmlformats.org/officeDocument/2006/relationships/hyperlink" Target="https://afinvest.com.br/interno/relatorios/detalhes-de-ativos?id=9223&amp;codativo=FIDC%20PICPAY%20FGTS%20SR" TargetMode="External"/><Relationship Id="rId54" Type="http://schemas.openxmlformats.org/officeDocument/2006/relationships/hyperlink" Target="https://afinvest.com.br/interno/relatorios/detalhes-de-ativos?id=5821&amp;codativo=LFSN2200E75" TargetMode="External"/><Relationship Id="rId217" Type="http://schemas.openxmlformats.org/officeDocument/2006/relationships/hyperlink" Target="https://afinvest.com.br/interno/relatorios/detalhes-de-ativos?id=4212&amp;codativo=DDIABR25" TargetMode="External"/><Relationship Id="rId564" Type="http://schemas.openxmlformats.org/officeDocument/2006/relationships/hyperlink" Target="https://afinvest.com.br/interno/relatorios/detalhes-de-ativos?id=7270&amp;codativo=CGOS14" TargetMode="External"/><Relationship Id="rId771" Type="http://schemas.openxmlformats.org/officeDocument/2006/relationships/hyperlink" Target="https://afinvest.com.br/interno/relatorios/detalhes-de-ativos?id=7580&amp;codativo=760199" TargetMode="External"/><Relationship Id="rId869" Type="http://schemas.openxmlformats.org/officeDocument/2006/relationships/hyperlink" Target="https://afinvest.com.br/interno/relatorios/detalhes-de-ativos?id=2681&amp;codativo=LFT%20set%2027" TargetMode="External"/><Relationship Id="rId424" Type="http://schemas.openxmlformats.org/officeDocument/2006/relationships/hyperlink" Target="https://afinvest.com.br/interno/relatorios/detalhes-de-ativos?id=1410&amp;codativo=ASAI22" TargetMode="External"/><Relationship Id="rId631" Type="http://schemas.openxmlformats.org/officeDocument/2006/relationships/hyperlink" Target="https://afinvest.com.br/interno/relatorios/detalhes-de-ativos?id=5729&amp;codativo=CSNAA2" TargetMode="External"/><Relationship Id="rId729" Type="http://schemas.openxmlformats.org/officeDocument/2006/relationships/hyperlink" Target="https://afinvest.com.br/interno/relatorios/detalhes-de-ativos?id=7897&amp;codativo=CRI%20PERNAMBUCO%2035%C2%AA%20(23J1753853)" TargetMode="External"/><Relationship Id="rId1054" Type="http://schemas.openxmlformats.org/officeDocument/2006/relationships/hyperlink" Target="https://afinvest.com.br/interno/relatorios/detalhes-de-ativos?id=7260&amp;codativo=PASS12" TargetMode="External"/><Relationship Id="rId1261" Type="http://schemas.openxmlformats.org/officeDocument/2006/relationships/hyperlink" Target="https://afinvest.com.br/interno/relatorios/detalhes-de-ativos?id=5722&amp;codativo=AALR13" TargetMode="External"/><Relationship Id="rId1359" Type="http://schemas.openxmlformats.org/officeDocument/2006/relationships/hyperlink" Target="https://afinvest.com.br/interno/relatorios/detalhes-de-ativos?id=2689&amp;codativo=CSAN23" TargetMode="External"/><Relationship Id="rId270" Type="http://schemas.openxmlformats.org/officeDocument/2006/relationships/hyperlink" Target="https://afinvest.com.br/interno/relatorios/detalhes-de-ativos?id=7747&amp;codativo=SANTANDER%20CASH%20BLACK%20VI" TargetMode="External"/><Relationship Id="rId936" Type="http://schemas.openxmlformats.org/officeDocument/2006/relationships/hyperlink" Target="https://afinvest.com.br/interno/relatorios/detalhes-de-ativos?id=940&amp;codativo=DAPAGO26" TargetMode="External"/><Relationship Id="rId1121" Type="http://schemas.openxmlformats.org/officeDocument/2006/relationships/hyperlink" Target="https://afinvest.com.br/interno/relatorios/detalhes-de-ativos?id=7874&amp;codativo=PEJA22" TargetMode="External"/><Relationship Id="rId1219" Type="http://schemas.openxmlformats.org/officeDocument/2006/relationships/hyperlink" Target="https://afinvest.com.br/interno/relatorios/detalhes-de-ativos?id=1464&amp;codativo=VAMO23" TargetMode="External"/><Relationship Id="rId65" Type="http://schemas.openxmlformats.org/officeDocument/2006/relationships/hyperlink" Target="https://afinvest.com.br/interno/relatorios/detalhes-de-ativos?id=6005&amp;codativo=LFSN2200G2M" TargetMode="External"/><Relationship Id="rId130" Type="http://schemas.openxmlformats.org/officeDocument/2006/relationships/hyperlink" Target="https://afinvest.com.br/interno/relatorios/detalhes-de-ativos?id=8350&amp;codativo=LF0024007OE" TargetMode="External"/><Relationship Id="rId368" Type="http://schemas.openxmlformats.org/officeDocument/2006/relationships/hyperlink" Target="https://afinvest.com.br/interno/relatorios/detalhes-de-ativos?id=3424&amp;codativo=VECS11" TargetMode="External"/><Relationship Id="rId575" Type="http://schemas.openxmlformats.org/officeDocument/2006/relationships/hyperlink" Target="https://afinvest.com.br/interno/relatorios/detalhes-de-ativos?id=1807&amp;codativo=ENEV32" TargetMode="External"/><Relationship Id="rId782" Type="http://schemas.openxmlformats.org/officeDocument/2006/relationships/hyperlink" Target="https://afinvest.com.br/interno/relatorios/detalhes-de-ativos?id=8101&amp;codativo=CDB424EERW3" TargetMode="External"/><Relationship Id="rId228" Type="http://schemas.openxmlformats.org/officeDocument/2006/relationships/hyperlink" Target="https://afinvest.com.br/interno/relatorios/detalhes-de-ativos?id=2957&amp;codativo=DAPAGO28" TargetMode="External"/><Relationship Id="rId435" Type="http://schemas.openxmlformats.org/officeDocument/2006/relationships/hyperlink" Target="https://afinvest.com.br/interno/relatorios/detalhes-de-ativos?id=3175&amp;codativo=SBFC13" TargetMode="External"/><Relationship Id="rId642" Type="http://schemas.openxmlformats.org/officeDocument/2006/relationships/hyperlink" Target="https://afinvest.com.br/interno/relatorios/detalhes-de-ativos?id=3508&amp;codativo=CRCG12" TargetMode="External"/><Relationship Id="rId1065" Type="http://schemas.openxmlformats.org/officeDocument/2006/relationships/hyperlink" Target="https://afinvest.com.br/interno/relatorios/detalhes-de-ativos?id=6410&amp;codativo=BRFS31" TargetMode="External"/><Relationship Id="rId1272" Type="http://schemas.openxmlformats.org/officeDocument/2006/relationships/hyperlink" Target="https://afinvest.com.br/interno/relatorios/detalhes-de-ativos?id=315&amp;codativo=TIET19" TargetMode="External"/><Relationship Id="rId281" Type="http://schemas.openxmlformats.org/officeDocument/2006/relationships/hyperlink" Target="https://afinvest.com.br/interno/relatorios/detalhes-de-ativos?id=408&amp;codativo=FIDC%20Sifra%20Plus%20Sr" TargetMode="External"/><Relationship Id="rId502" Type="http://schemas.openxmlformats.org/officeDocument/2006/relationships/hyperlink" Target="https://afinvest.com.br/interno/relatorios/detalhes-de-ativos?id=7539&amp;codativo=LCAMC3" TargetMode="External"/><Relationship Id="rId947" Type="http://schemas.openxmlformats.org/officeDocument/2006/relationships/hyperlink" Target="https://afinvest.com.br/interno/relatorios/detalhes-de-ativos?id=343&amp;codativo=GERAES" TargetMode="External"/><Relationship Id="rId1132" Type="http://schemas.openxmlformats.org/officeDocument/2006/relationships/hyperlink" Target="https://afinvest.com.br/interno/relatorios/detalhes-de-ativos?id=3482&amp;codativo=HVSP11" TargetMode="External"/><Relationship Id="rId76" Type="http://schemas.openxmlformats.org/officeDocument/2006/relationships/hyperlink" Target="https://afinvest.com.br/interno/relatorios/detalhes-de-ativos?id=3185&amp;codativo=LFSC190059S" TargetMode="External"/><Relationship Id="rId141" Type="http://schemas.openxmlformats.org/officeDocument/2006/relationships/hyperlink" Target="https://afinvest.com.br/interno/relatorios/detalhes-de-ativos?id=8263&amp;codativo=LF002400EY5" TargetMode="External"/><Relationship Id="rId379" Type="http://schemas.openxmlformats.org/officeDocument/2006/relationships/hyperlink" Target="https://afinvest.com.br/interno/relatorios/detalhes-de-ativos?id=1463&amp;codativo=VAMO13" TargetMode="External"/><Relationship Id="rId586" Type="http://schemas.openxmlformats.org/officeDocument/2006/relationships/hyperlink" Target="https://afinvest.com.br/interno/relatorios/detalhes-de-ativos?id=6635&amp;codativo=ERDVA2" TargetMode="External"/><Relationship Id="rId793" Type="http://schemas.openxmlformats.org/officeDocument/2006/relationships/hyperlink" Target="https://afinvest.com.br/interno/relatorios/detalhes-de-ativos?id=8852&amp;codativo=CDB924AJYNO" TargetMode="External"/><Relationship Id="rId807" Type="http://schemas.openxmlformats.org/officeDocument/2006/relationships/hyperlink" Target="https://afinvest.com.br/interno/relatorios/detalhes-de-ativos?id=1249&amp;codativo=CAIXA" TargetMode="External"/><Relationship Id="rId7" Type="http://schemas.openxmlformats.org/officeDocument/2006/relationships/hyperlink" Target="https://afinvest.com.br/interno/relatorios/detalhes-de-ativos?id=3126&amp;codativo=LFTset28" TargetMode="External"/><Relationship Id="rId239" Type="http://schemas.openxmlformats.org/officeDocument/2006/relationships/hyperlink" Target="https://afinvest.com.br/interno/relatorios/detalhes-de-ativos?id=343&amp;codativo=GERAES" TargetMode="External"/><Relationship Id="rId446" Type="http://schemas.openxmlformats.org/officeDocument/2006/relationships/hyperlink" Target="https://afinvest.com.br/interno/relatorios/detalhes-de-ativos?id=1214&amp;codativo=RDCO10" TargetMode="External"/><Relationship Id="rId653" Type="http://schemas.openxmlformats.org/officeDocument/2006/relationships/hyperlink" Target="https://afinvest.com.br/interno/relatorios/detalhes-de-ativos?id=8444&amp;codativo=CAEC22" TargetMode="External"/><Relationship Id="rId1076" Type="http://schemas.openxmlformats.org/officeDocument/2006/relationships/hyperlink" Target="https://afinvest.com.br/interno/relatorios/detalhes-de-ativos?id=9081&amp;codativo=CRI%20Vic%20Engenharia%201%C2%AA%20Emiss%C3%A3o" TargetMode="External"/><Relationship Id="rId1283" Type="http://schemas.openxmlformats.org/officeDocument/2006/relationships/hyperlink" Target="https://afinvest.com.br/interno/relatorios/detalhes-de-ativos?id=1271&amp;codativo=Provis%C3%A3o" TargetMode="External"/><Relationship Id="rId292" Type="http://schemas.openxmlformats.org/officeDocument/2006/relationships/hyperlink" Target="https://afinvest.com.br/interno/relatorios/detalhes-de-ativos?id=7810&amp;codativo=FIDC%20ACR%20Fast" TargetMode="External"/><Relationship Id="rId306" Type="http://schemas.openxmlformats.org/officeDocument/2006/relationships/hyperlink" Target="https://afinvest.com.br/interno/relatorios/detalhes-de-ativos?id=2938&amp;codativo=FIDC%20FORTBRASIL" TargetMode="External"/><Relationship Id="rId860" Type="http://schemas.openxmlformats.org/officeDocument/2006/relationships/hyperlink" Target="https://afinvest.com.br/interno/relatorios/detalhes-de-ativos?id=8117&amp;codativo=ALOS3" TargetMode="External"/><Relationship Id="rId958" Type="http://schemas.openxmlformats.org/officeDocument/2006/relationships/hyperlink" Target="https://afinvest.com.br/interno/relatorios/detalhes-de-ativos?id=7739&amp;codativo=SANTANDER%20CASH%20BLACK%20III" TargetMode="External"/><Relationship Id="rId1143" Type="http://schemas.openxmlformats.org/officeDocument/2006/relationships/hyperlink" Target="https://afinvest.com.br/interno/relatorios/detalhes-de-ativos?id=3474&amp;codativo=ELPLA7" TargetMode="External"/><Relationship Id="rId87" Type="http://schemas.openxmlformats.org/officeDocument/2006/relationships/hyperlink" Target="https://afinvest.com.br/interno/relatorios/detalhes-de-ativos?id=2640&amp;codativo=LFSC18002MR" TargetMode="External"/><Relationship Id="rId513" Type="http://schemas.openxmlformats.org/officeDocument/2006/relationships/hyperlink" Target="https://afinvest.com.br/interno/relatorios/detalhes-de-ativos?id=9215&amp;codativo=LIGT11" TargetMode="External"/><Relationship Id="rId597" Type="http://schemas.openxmlformats.org/officeDocument/2006/relationships/hyperlink" Target="https://afinvest.com.br/interno/relatorios/detalhes-de-ativos?id=1596&amp;codativo=DASAA4" TargetMode="External"/><Relationship Id="rId720" Type="http://schemas.openxmlformats.org/officeDocument/2006/relationships/hyperlink" Target="https://afinvest.com.br/interno/relatorios/detalhes-de-ativos?id=2808&amp;codativo=AEGP19" TargetMode="External"/><Relationship Id="rId818" Type="http://schemas.openxmlformats.org/officeDocument/2006/relationships/hyperlink" Target="https://afinvest.com.br/interno/relatorios/detalhes-de-ativos?id=1249&amp;codativo=CAIXA" TargetMode="External"/><Relationship Id="rId1350" Type="http://schemas.openxmlformats.org/officeDocument/2006/relationships/hyperlink" Target="https://afinvest.com.br/interno/relatorios/detalhes-de-ativos?id=5764&amp;codativo=HBSA12" TargetMode="External"/><Relationship Id="rId152" Type="http://schemas.openxmlformats.org/officeDocument/2006/relationships/hyperlink" Target="https://afinvest.com.br/interno/relatorios/detalhes-de-ativos?id=8445&amp;codativo=LF002100EXK" TargetMode="External"/><Relationship Id="rId457" Type="http://schemas.openxmlformats.org/officeDocument/2006/relationships/hyperlink" Target="https://afinvest.com.br/interno/relatorios/detalhes-de-ativos?id=2723&amp;codativo=RDORB9" TargetMode="External"/><Relationship Id="rId1003" Type="http://schemas.openxmlformats.org/officeDocument/2006/relationships/hyperlink" Target="https://afinvest.com.br/interno/relatorios/detalhes-de-ativos?id=8116&amp;codativo=VLIDA0" TargetMode="External"/><Relationship Id="rId1087" Type="http://schemas.openxmlformats.org/officeDocument/2006/relationships/hyperlink" Target="https://afinvest.com.br/interno/relatorios/detalhes-de-ativos?id=9175&amp;codativo=CDBC241I1TF" TargetMode="External"/><Relationship Id="rId1210" Type="http://schemas.openxmlformats.org/officeDocument/2006/relationships/hyperlink" Target="https://afinvest.com.br/interno/relatorios/detalhes-de-ativos?id=475&amp;codativo=FIDC%20Ideal%20Invest%2029" TargetMode="External"/><Relationship Id="rId1294" Type="http://schemas.openxmlformats.org/officeDocument/2006/relationships/hyperlink" Target="https://afinvest.com.br/interno/relatorios/detalhes-de-ativos?id=940&amp;codativo=DAPAGO26" TargetMode="External"/><Relationship Id="rId1308" Type="http://schemas.openxmlformats.org/officeDocument/2006/relationships/hyperlink" Target="https://afinvest.com.br/interno/relatorios/detalhes-de-ativos?id=3505&amp;codativo=FIDC%20URA%20Agro%20SR" TargetMode="External"/><Relationship Id="rId664" Type="http://schemas.openxmlformats.org/officeDocument/2006/relationships/hyperlink" Target="https://afinvest.com.br/interno/relatorios/detalhes-de-ativos?id=2780&amp;codativo=CBRDB8" TargetMode="External"/><Relationship Id="rId871" Type="http://schemas.openxmlformats.org/officeDocument/2006/relationships/hyperlink" Target="https://afinvest.com.br/interno/relatorios/detalhes-de-ativos?id=1271&amp;codativo=Provis%C3%A3o" TargetMode="External"/><Relationship Id="rId969" Type="http://schemas.openxmlformats.org/officeDocument/2006/relationships/hyperlink" Target="https://afinvest.com.br/interno/relatorios/detalhes-de-ativos?id=7745&amp;codativo=SANTANDER%20CASH%20BLACK%20IV" TargetMode="External"/><Relationship Id="rId14" Type="http://schemas.openxmlformats.org/officeDocument/2006/relationships/hyperlink" Target="https://afinvest.com.br/interno/relatorios/detalhes-de-ativos?id=2964&amp;codativo=LFT%20mar%2028" TargetMode="External"/><Relationship Id="rId317" Type="http://schemas.openxmlformats.org/officeDocument/2006/relationships/hyperlink" Target="https://afinvest.com.br/interno/relatorios/detalhes-de-ativos?id=3505&amp;codativo=FIDC%20URA%20Agro%20SR" TargetMode="External"/><Relationship Id="rId524" Type="http://schemas.openxmlformats.org/officeDocument/2006/relationships/hyperlink" Target="https://afinvest.com.br/interno/relatorios/detalhes-de-ativos?id=1637&amp;codativo=LIGHC6" TargetMode="External"/><Relationship Id="rId731" Type="http://schemas.openxmlformats.org/officeDocument/2006/relationships/hyperlink" Target="https://afinvest.com.br/interno/relatorios/detalhes-de-ativos?id=7897&amp;codativo=CRI%20PERNAMBUCO%2035%C2%AA%20(23J1753853)" TargetMode="External"/><Relationship Id="rId1154" Type="http://schemas.openxmlformats.org/officeDocument/2006/relationships/hyperlink" Target="https://afinvest.com.br/interno/relatorios/detalhes-de-ativos?id=8667&amp;codativo=CSMGB9" TargetMode="External"/><Relationship Id="rId1361" Type="http://schemas.openxmlformats.org/officeDocument/2006/relationships/hyperlink" Target="https://afinvest.com.br/interno/relatorios/detalhes-de-ativos?id=8431&amp;codativo=CSANA0" TargetMode="External"/><Relationship Id="rId98" Type="http://schemas.openxmlformats.org/officeDocument/2006/relationships/hyperlink" Target="https://afinvest.com.br/interno/relatorios/detalhes-de-ativos?id=264&amp;codativo=LFSC19003W4" TargetMode="External"/><Relationship Id="rId163" Type="http://schemas.openxmlformats.org/officeDocument/2006/relationships/hyperlink" Target="https://afinvest.com.br/interno/relatorios/detalhes-de-ativos?id=7998&amp;codativo=LF002400ABG" TargetMode="External"/><Relationship Id="rId370" Type="http://schemas.openxmlformats.org/officeDocument/2006/relationships/hyperlink" Target="https://afinvest.com.br/interno/relatorios/detalhes-de-ativos?id=8807&amp;codativo=VSCF17" TargetMode="External"/><Relationship Id="rId829" Type="http://schemas.openxmlformats.org/officeDocument/2006/relationships/hyperlink" Target="https://afinvest.com.br/interno/relatorios/detalhes-de-ativos?id=874&amp;codativo=SIMH3" TargetMode="External"/><Relationship Id="rId1014" Type="http://schemas.openxmlformats.org/officeDocument/2006/relationships/hyperlink" Target="https://afinvest.com.br/interno/relatorios/detalhes-de-ativos?id=1420&amp;codativo=SBFC12" TargetMode="External"/><Relationship Id="rId1221" Type="http://schemas.openxmlformats.org/officeDocument/2006/relationships/hyperlink" Target="https://afinvest.com.br/interno/relatorios/detalhes-de-ativos?id=9446&amp;codativo=VERT18%20(nota%20reestruturada)" TargetMode="External"/><Relationship Id="rId230" Type="http://schemas.openxmlformats.org/officeDocument/2006/relationships/hyperlink" Target="https://afinvest.com.br/interno/relatorios/detalhes-de-ativos?id=3254&amp;codativo=DAPMAI25" TargetMode="External"/><Relationship Id="rId468" Type="http://schemas.openxmlformats.org/officeDocument/2006/relationships/hyperlink" Target="https://afinvest.com.br/interno/relatorios/detalhes-de-ativos?id=5840&amp;codativo=ONCO19" TargetMode="External"/><Relationship Id="rId675" Type="http://schemas.openxmlformats.org/officeDocument/2006/relationships/hyperlink" Target="https://afinvest.com.br/interno/relatorios/detalhes-de-ativos?id=5722&amp;codativo=AALR13" TargetMode="External"/><Relationship Id="rId882" Type="http://schemas.openxmlformats.org/officeDocument/2006/relationships/hyperlink" Target="https://afinvest.com.br/interno/relatorios/detalhes-de-ativos?id=7720&amp;codativo=LFSC24000BB" TargetMode="External"/><Relationship Id="rId1098" Type="http://schemas.openxmlformats.org/officeDocument/2006/relationships/hyperlink" Target="https://afinvest.com.br/interno/relatorios/detalhes-de-ativos?id=1369&amp;codativo=LFT%20mar%2027" TargetMode="External"/><Relationship Id="rId1319" Type="http://schemas.openxmlformats.org/officeDocument/2006/relationships/hyperlink" Target="https://afinvest.com.br/interno/relatorios/detalhes-de-ativos?id=7868&amp;codativo=VERO13" TargetMode="External"/><Relationship Id="rId25" Type="http://schemas.openxmlformats.org/officeDocument/2006/relationships/hyperlink" Target="https://afinvest.com.br/interno/relatorios/detalhes-de-ativos?id=1271&amp;codativo=Provis%C3%A3o" TargetMode="External"/><Relationship Id="rId328" Type="http://schemas.openxmlformats.org/officeDocument/2006/relationships/hyperlink" Target="https://afinvest.com.br/interno/relatorios/detalhes-de-ativos?id=387&amp;codativo=FIDC%20LF%20I%20SR4" TargetMode="External"/><Relationship Id="rId535" Type="http://schemas.openxmlformats.org/officeDocument/2006/relationships/hyperlink" Target="https://afinvest.com.br/interno/relatorios/detalhes-de-ativos?id=2846&amp;codativo=JSLGA5" TargetMode="External"/><Relationship Id="rId742" Type="http://schemas.openxmlformats.org/officeDocument/2006/relationships/hyperlink" Target="https://afinvest.com.br/interno/relatorios/detalhes-de-ativos?id=9435&amp;codativo=Unigel%20nota%20reestruturada" TargetMode="External"/><Relationship Id="rId1165" Type="http://schemas.openxmlformats.org/officeDocument/2006/relationships/hyperlink" Target="https://afinvest.com.br/interno/relatorios/detalhes-de-ativos?id=9571&amp;codativo=TRRG12" TargetMode="External"/><Relationship Id="rId1372" Type="http://schemas.openxmlformats.org/officeDocument/2006/relationships/hyperlink" Target="https://afinvest.com.br/interno/relatorios/detalhes-de-ativos?id=8444&amp;codativo=CAEC22" TargetMode="External"/><Relationship Id="rId174" Type="http://schemas.openxmlformats.org/officeDocument/2006/relationships/hyperlink" Target="https://afinvest.com.br/interno/relatorios/detalhes-de-ativos?id=8111&amp;codativo=LF002400BZZ" TargetMode="External"/><Relationship Id="rId381" Type="http://schemas.openxmlformats.org/officeDocument/2006/relationships/hyperlink" Target="https://afinvest.com.br/interno/relatorios/detalhes-de-ativos?id=1464&amp;codativo=VAMO23" TargetMode="External"/><Relationship Id="rId602" Type="http://schemas.openxmlformats.org/officeDocument/2006/relationships/hyperlink" Target="https://afinvest.com.br/interno/relatorios/detalhes-de-ativos?id=8431&amp;codativo=CSANA0" TargetMode="External"/><Relationship Id="rId1025" Type="http://schemas.openxmlformats.org/officeDocument/2006/relationships/hyperlink" Target="https://afinvest.com.br/interno/relatorios/detalhes-de-ativos?id=3059&amp;codativo=MNRVA1" TargetMode="External"/><Relationship Id="rId1232" Type="http://schemas.openxmlformats.org/officeDocument/2006/relationships/hyperlink" Target="https://afinvest.com.br/interno/relatorios/detalhes-de-ativos?id=9425&amp;codativo=MVLV19" TargetMode="External"/><Relationship Id="rId241" Type="http://schemas.openxmlformats.org/officeDocument/2006/relationships/hyperlink" Target="https://afinvest.com.br/interno/relatorios/detalhes-de-ativos?id=2936&amp;codativo=AF%20DEBENTURES%20INCENTIVADAS" TargetMode="External"/><Relationship Id="rId479" Type="http://schemas.openxmlformats.org/officeDocument/2006/relationships/hyperlink" Target="https://afinvest.com.br/interno/relatorios/detalhes-de-ativos?id=3395&amp;codativo=OGDS11" TargetMode="External"/><Relationship Id="rId686" Type="http://schemas.openxmlformats.org/officeDocument/2006/relationships/hyperlink" Target="https://afinvest.com.br/interno/relatorios/detalhes-de-ativos?id=6410&amp;codativo=BRFS31" TargetMode="External"/><Relationship Id="rId893" Type="http://schemas.openxmlformats.org/officeDocument/2006/relationships/hyperlink" Target="https://afinvest.com.br/interno/relatorios/detalhes-de-ativos?id=6882&amp;codativo=LF002305RGM" TargetMode="External"/><Relationship Id="rId907" Type="http://schemas.openxmlformats.org/officeDocument/2006/relationships/hyperlink" Target="https://afinvest.com.br/interno/relatorios/detalhes-de-ativos?id=8263&amp;codativo=LF002400EY5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475&amp;codativo=FIDC%20Ideal%20Invest%2029" TargetMode="External"/><Relationship Id="rId546" Type="http://schemas.openxmlformats.org/officeDocument/2006/relationships/hyperlink" Target="https://afinvest.com.br/interno/relatorios/detalhes-de-ativos?id=2844&amp;codativo=MATD11" TargetMode="External"/><Relationship Id="rId753" Type="http://schemas.openxmlformats.org/officeDocument/2006/relationships/hyperlink" Target="https://afinvest.com.br/interno/relatorios/detalhes-de-ativos?id=3130&amp;codativo=NATURA29" TargetMode="External"/><Relationship Id="rId1176" Type="http://schemas.openxmlformats.org/officeDocument/2006/relationships/hyperlink" Target="https://afinvest.com.br/interno/relatorios/detalhes-de-ativos?id=5821&amp;codativo=LFSN2200E75" TargetMode="External"/><Relationship Id="rId1383" Type="http://schemas.openxmlformats.org/officeDocument/2006/relationships/hyperlink" Target="https://afinvest.com.br/interno/relatorios/detalhes-de-ativos?id=5671&amp;codativo=CRI%20Vic%20Engenharia%202%C2%AA%20Emiss%C3%A3o" TargetMode="External"/><Relationship Id="rId101" Type="http://schemas.openxmlformats.org/officeDocument/2006/relationships/hyperlink" Target="https://afinvest.com.br/interno/relatorios/detalhes-de-ativos?id=7859&amp;codativo=LFSC24001JU" TargetMode="External"/><Relationship Id="rId185" Type="http://schemas.openxmlformats.org/officeDocument/2006/relationships/hyperlink" Target="https://afinvest.com.br/interno/relatorios/detalhes-de-ativos?id=7100&amp;codativo=LF002307IJ6" TargetMode="External"/><Relationship Id="rId406" Type="http://schemas.openxmlformats.org/officeDocument/2006/relationships/hyperlink" Target="https://afinvest.com.br/interno/relatorios/detalhes-de-ativos?id=6795&amp;codativo=TBSP11" TargetMode="External"/><Relationship Id="rId960" Type="http://schemas.openxmlformats.org/officeDocument/2006/relationships/hyperlink" Target="https://afinvest.com.br/interno/relatorios/detalhes-de-ativos?id=7745&amp;codativo=SANTANDER%20CASH%20BLACK%20IV" TargetMode="External"/><Relationship Id="rId1036" Type="http://schemas.openxmlformats.org/officeDocument/2006/relationships/hyperlink" Target="https://afinvest.com.br/interno/relatorios/detalhes-de-ativos?id=308&amp;codativo=KLBNA2" TargetMode="External"/><Relationship Id="rId1243" Type="http://schemas.openxmlformats.org/officeDocument/2006/relationships/hyperlink" Target="https://afinvest.com.br/interno/relatorios/detalhes-de-ativos?id=9151&amp;codativo=AEGE17" TargetMode="External"/><Relationship Id="rId392" Type="http://schemas.openxmlformats.org/officeDocument/2006/relationships/hyperlink" Target="https://afinvest.com.br/interno/relatorios/detalhes-de-ativos?id=9446&amp;codativo=VERT18%20(nota%20reestruturada)" TargetMode="External"/><Relationship Id="rId613" Type="http://schemas.openxmlformats.org/officeDocument/2006/relationships/hyperlink" Target="https://afinvest.com.br/interno/relatorios/detalhes-de-ativos?id=3364&amp;codativo=CPLD37" TargetMode="External"/><Relationship Id="rId697" Type="http://schemas.openxmlformats.org/officeDocument/2006/relationships/hyperlink" Target="https://afinvest.com.br/interno/relatorios/detalhes-de-ativos?id=8804&amp;codativo=AMERF2" TargetMode="External"/><Relationship Id="rId820" Type="http://schemas.openxmlformats.org/officeDocument/2006/relationships/hyperlink" Target="https://afinvest.com.br/interno/relatorios/detalhes-de-ativos?id=1249&amp;codativo=CAIXA" TargetMode="External"/><Relationship Id="rId918" Type="http://schemas.openxmlformats.org/officeDocument/2006/relationships/hyperlink" Target="https://afinvest.com.br/interno/relatorios/detalhes-de-ativos?id=9045&amp;codativo=LF002400UVM" TargetMode="External"/><Relationship Id="rId252" Type="http://schemas.openxmlformats.org/officeDocument/2006/relationships/hyperlink" Target="https://afinvest.com.br/interno/relatorios/detalhes-de-ativos?id=2710&amp;codativo=Santander%20CashBlack" TargetMode="External"/><Relationship Id="rId1103" Type="http://schemas.openxmlformats.org/officeDocument/2006/relationships/hyperlink" Target="https://afinvest.com.br/interno/relatorios/detalhes-de-ativos?id=1271&amp;codativo=Provis%C3%A3o" TargetMode="External"/><Relationship Id="rId1187" Type="http://schemas.openxmlformats.org/officeDocument/2006/relationships/hyperlink" Target="https://afinvest.com.br/interno/relatorios/detalhes-de-ativos?id=1417&amp;codativo=DAPAGO30" TargetMode="External"/><Relationship Id="rId1310" Type="http://schemas.openxmlformats.org/officeDocument/2006/relationships/hyperlink" Target="https://afinvest.com.br/interno/relatorios/detalhes-de-ativos?id=8922&amp;codativo=FIDC%20Precavida" TargetMode="External"/><Relationship Id="rId47" Type="http://schemas.openxmlformats.org/officeDocument/2006/relationships/hyperlink" Target="https://afinvest.com.br/interno/relatorios/detalhes-de-ativos?id=153&amp;codativo=LFSN19006KM" TargetMode="External"/><Relationship Id="rId112" Type="http://schemas.openxmlformats.org/officeDocument/2006/relationships/hyperlink" Target="https://afinvest.com.br/interno/relatorios/detalhes-de-ativos?id=7896&amp;codativo=LF002400951" TargetMode="External"/><Relationship Id="rId557" Type="http://schemas.openxmlformats.org/officeDocument/2006/relationships/hyperlink" Target="https://afinvest.com.br/interno/relatorios/detalhes-de-ativos?id=2877&amp;codativo=HAPV22" TargetMode="External"/><Relationship Id="rId764" Type="http://schemas.openxmlformats.org/officeDocument/2006/relationships/hyperlink" Target="https://afinvest.com.br/interno/relatorios/detalhes-de-ativos?id=2800&amp;codativo=760199" TargetMode="External"/><Relationship Id="rId971" Type="http://schemas.openxmlformats.org/officeDocument/2006/relationships/hyperlink" Target="https://afinvest.com.br/interno/relatorios/detalhes-de-ativos?id=7746&amp;codativo=SANTANDER%20CASH%20BLACK%20VII" TargetMode="External"/><Relationship Id="rId196" Type="http://schemas.openxmlformats.org/officeDocument/2006/relationships/hyperlink" Target="https://afinvest.com.br/interno/relatorios/detalhes-de-ativos?id=3254&amp;codativo=DAPMAI25" TargetMode="External"/><Relationship Id="rId417" Type="http://schemas.openxmlformats.org/officeDocument/2006/relationships/hyperlink" Target="https://afinvest.com.br/interno/relatorios/detalhes-de-ativos?id=6041&amp;codativo=SIMH16" TargetMode="External"/><Relationship Id="rId624" Type="http://schemas.openxmlformats.org/officeDocument/2006/relationships/hyperlink" Target="https://afinvest.com.br/interno/relatorios/detalhes-de-ativos?id=7260&amp;codativo=PASS12" TargetMode="External"/><Relationship Id="rId831" Type="http://schemas.openxmlformats.org/officeDocument/2006/relationships/hyperlink" Target="https://afinvest.com.br/interno/relatorios/detalhes-de-ativos?id=850&amp;codativo=PRIO3" TargetMode="External"/><Relationship Id="rId1047" Type="http://schemas.openxmlformats.org/officeDocument/2006/relationships/hyperlink" Target="https://afinvest.com.br/interno/relatorios/detalhes-de-ativos?id=1596&amp;codativo=DASAA4" TargetMode="External"/><Relationship Id="rId1254" Type="http://schemas.openxmlformats.org/officeDocument/2006/relationships/hyperlink" Target="https://afinvest.com.br/interno/relatorios/detalhes-de-ativos?id=3460&amp;codativo=VTII12" TargetMode="External"/><Relationship Id="rId263" Type="http://schemas.openxmlformats.org/officeDocument/2006/relationships/hyperlink" Target="https://afinvest.com.br/interno/relatorios/detalhes-de-ativos?id=7744&amp;codativo=SANTANDER%20CASH%20BLACK%20II" TargetMode="External"/><Relationship Id="rId470" Type="http://schemas.openxmlformats.org/officeDocument/2006/relationships/hyperlink" Target="https://afinvest.com.br/interno/relatorios/detalhes-de-ativos?id=5840&amp;codativo=ONCO19" TargetMode="External"/><Relationship Id="rId929" Type="http://schemas.openxmlformats.org/officeDocument/2006/relationships/hyperlink" Target="https://afinvest.com.br/interno/relatorios/detalhes-de-ativos?id=940&amp;codativo=DAPAGO26" TargetMode="External"/><Relationship Id="rId1114" Type="http://schemas.openxmlformats.org/officeDocument/2006/relationships/hyperlink" Target="https://afinvest.com.br/interno/relatorios/detalhes-de-ativos?id=7172&amp;codativo=SUZBA0" TargetMode="External"/><Relationship Id="rId1321" Type="http://schemas.openxmlformats.org/officeDocument/2006/relationships/hyperlink" Target="https://afinvest.com.br/interno/relatorios/detalhes-de-ativos?id=1464&amp;codativo=VAMO23" TargetMode="External"/><Relationship Id="rId58" Type="http://schemas.openxmlformats.org/officeDocument/2006/relationships/hyperlink" Target="https://afinvest.com.br/interno/relatorios/detalhes-de-ativos?id=1092&amp;codativo=LFSN1800E2I" TargetMode="External"/><Relationship Id="rId123" Type="http://schemas.openxmlformats.org/officeDocument/2006/relationships/hyperlink" Target="https://afinvest.com.br/interno/relatorios/detalhes-de-ativos?id=6059&amp;codativo=LF00220097D" TargetMode="External"/><Relationship Id="rId330" Type="http://schemas.openxmlformats.org/officeDocument/2006/relationships/hyperlink" Target="https://afinvest.com.br/interno/relatorios/detalhes-de-ativos?id=387&amp;codativo=FIDC%20LF%20I%20SR4" TargetMode="External"/><Relationship Id="rId568" Type="http://schemas.openxmlformats.org/officeDocument/2006/relationships/hyperlink" Target="https://afinvest.com.br/interno/relatorios/detalhes-de-ativos?id=7270&amp;codativo=CGOS14" TargetMode="External"/><Relationship Id="rId775" Type="http://schemas.openxmlformats.org/officeDocument/2006/relationships/hyperlink" Target="https://afinvest.com.br/interno/relatorios/detalhes-de-ativos?id=9354&amp;codativo=CDB1256KW65" TargetMode="External"/><Relationship Id="rId982" Type="http://schemas.openxmlformats.org/officeDocument/2006/relationships/hyperlink" Target="https://afinvest.com.br/interno/relatorios/detalhes-de-ativos?id=3505&amp;codativo=FIDC%20URA%20Agro%20SR" TargetMode="External"/><Relationship Id="rId1198" Type="http://schemas.openxmlformats.org/officeDocument/2006/relationships/hyperlink" Target="https://afinvest.com.br/interno/relatorios/detalhes-de-ativos?id=3425&amp;codativo=2A" TargetMode="External"/><Relationship Id="rId428" Type="http://schemas.openxmlformats.org/officeDocument/2006/relationships/hyperlink" Target="https://afinvest.com.br/interno/relatorios/detalhes-de-ativos?id=1410&amp;codativo=ASAI22" TargetMode="External"/><Relationship Id="rId635" Type="http://schemas.openxmlformats.org/officeDocument/2006/relationships/hyperlink" Target="https://afinvest.com.br/interno/relatorios/detalhes-de-ativos?id=5729&amp;codativo=CSNAA2" TargetMode="External"/><Relationship Id="rId842" Type="http://schemas.openxmlformats.org/officeDocument/2006/relationships/hyperlink" Target="https://afinvest.com.br/interno/relatorios/detalhes-de-ativos?id=3077&amp;codativo=LQD%20US" TargetMode="External"/><Relationship Id="rId1058" Type="http://schemas.openxmlformats.org/officeDocument/2006/relationships/hyperlink" Target="https://afinvest.com.br/interno/relatorios/detalhes-de-ativos?id=8005&amp;codativo=CHSF12" TargetMode="External"/><Relationship Id="rId1265" Type="http://schemas.openxmlformats.org/officeDocument/2006/relationships/hyperlink" Target="https://afinvest.com.br/interno/relatorios/detalhes-de-ativos?id=5807&amp;codativo=RMSA12" TargetMode="External"/><Relationship Id="rId274" Type="http://schemas.openxmlformats.org/officeDocument/2006/relationships/hyperlink" Target="https://afinvest.com.br/interno/relatorios/detalhes-de-ativos?id=7743&amp;codativo=SANTANDER%20CASH%20BLACK%20VIII" TargetMode="External"/><Relationship Id="rId481" Type="http://schemas.openxmlformats.org/officeDocument/2006/relationships/hyperlink" Target="https://afinvest.com.br/interno/relatorios/detalhes-de-ativos?id=8875&amp;codativo=NTSD17" TargetMode="External"/><Relationship Id="rId702" Type="http://schemas.openxmlformats.org/officeDocument/2006/relationships/hyperlink" Target="https://afinvest.com.br/interno/relatorios/detalhes-de-ativos?id=8804&amp;codativo=AMERF2" TargetMode="External"/><Relationship Id="rId1125" Type="http://schemas.openxmlformats.org/officeDocument/2006/relationships/hyperlink" Target="https://afinvest.com.br/interno/relatorios/detalhes-de-ativos?id=8988&amp;codativo=MRSAB2" TargetMode="External"/><Relationship Id="rId1332" Type="http://schemas.openxmlformats.org/officeDocument/2006/relationships/hyperlink" Target="https://afinvest.com.br/interno/relatorios/detalhes-de-ativos?id=3175&amp;codativo=SBFC13" TargetMode="External"/><Relationship Id="rId69" Type="http://schemas.openxmlformats.org/officeDocument/2006/relationships/hyperlink" Target="https://afinvest.com.br/interno/relatorios/detalhes-de-ativos?id=1126&amp;codativo=LFSN1800DZH" TargetMode="External"/><Relationship Id="rId134" Type="http://schemas.openxmlformats.org/officeDocument/2006/relationships/hyperlink" Target="https://afinvest.com.br/interno/relatorios/detalhes-de-ativos?id=9444&amp;codativo=LF002308CS3" TargetMode="External"/><Relationship Id="rId579" Type="http://schemas.openxmlformats.org/officeDocument/2006/relationships/hyperlink" Target="https://afinvest.com.br/interno/relatorios/detalhes-de-ativos?id=2839&amp;codativo=ENGIC5" TargetMode="External"/><Relationship Id="rId786" Type="http://schemas.openxmlformats.org/officeDocument/2006/relationships/hyperlink" Target="https://afinvest.com.br/interno/relatorios/detalhes-de-ativos?id=8710&amp;codativo=CDB824AAYUC" TargetMode="External"/><Relationship Id="rId993" Type="http://schemas.openxmlformats.org/officeDocument/2006/relationships/hyperlink" Target="https://afinvest.com.br/interno/relatorios/detalhes-de-ativos?id=2721&amp;codativo=VIXL14" TargetMode="External"/><Relationship Id="rId341" Type="http://schemas.openxmlformats.org/officeDocument/2006/relationships/hyperlink" Target="https://afinvest.com.br/interno/relatorios/detalhes-de-ativos?id=8007&amp;codativo=FIDC%20CloudWalk%20II" TargetMode="External"/><Relationship Id="rId439" Type="http://schemas.openxmlformats.org/officeDocument/2006/relationships/hyperlink" Target="https://afinvest.com.br/interno/relatorios/detalhes-de-ativos?id=1420&amp;codativo=SBFC12" TargetMode="External"/><Relationship Id="rId646" Type="http://schemas.openxmlformats.org/officeDocument/2006/relationships/hyperlink" Target="https://afinvest.com.br/interno/relatorios/detalhes-de-ativos?id=8005&amp;codativo=CHSF12" TargetMode="External"/><Relationship Id="rId1069" Type="http://schemas.openxmlformats.org/officeDocument/2006/relationships/hyperlink" Target="https://afinvest.com.br/interno/relatorios/detalhes-de-ativos?id=7040&amp;codativo=ALGTA3" TargetMode="External"/><Relationship Id="rId1276" Type="http://schemas.openxmlformats.org/officeDocument/2006/relationships/hyperlink" Target="https://afinvest.com.br/interno/relatorios/detalhes-de-ativos?id=2795&amp;codativo=CRI%20Bem%20Brasil" TargetMode="External"/><Relationship Id="rId201" Type="http://schemas.openxmlformats.org/officeDocument/2006/relationships/hyperlink" Target="https://afinvest.com.br/interno/relatorios/detalhes-de-ativos?id=4281&amp;codativo=DI1JAN26" TargetMode="External"/><Relationship Id="rId285" Type="http://schemas.openxmlformats.org/officeDocument/2006/relationships/hyperlink" Target="https://afinvest.com.br/interno/relatorios/detalhes-de-ativos?id=2845&amp;codativo=FIDC%20Red%20Multissetorial" TargetMode="External"/><Relationship Id="rId506" Type="http://schemas.openxmlformats.org/officeDocument/2006/relationships/hyperlink" Target="https://afinvest.com.br/interno/relatorios/detalhes-de-ativos?id=9179&amp;codativo=LIGH2B" TargetMode="External"/><Relationship Id="rId853" Type="http://schemas.openxmlformats.org/officeDocument/2006/relationships/hyperlink" Target="https://afinvest.com.br/interno/relatorios/detalhes-de-ativos?id=937&amp;codativo=ABCB4" TargetMode="External"/><Relationship Id="rId1136" Type="http://schemas.openxmlformats.org/officeDocument/2006/relationships/hyperlink" Target="https://afinvest.com.br/interno/relatorios/detalhes-de-ativos?id=8506&amp;codativo=EGIEB2" TargetMode="External"/><Relationship Id="rId492" Type="http://schemas.openxmlformats.org/officeDocument/2006/relationships/hyperlink" Target="https://afinvest.com.br/interno/relatorios/detalhes-de-ativos?id=3059&amp;codativo=MNRVA1" TargetMode="External"/><Relationship Id="rId713" Type="http://schemas.openxmlformats.org/officeDocument/2006/relationships/hyperlink" Target="https://afinvest.com.br/interno/relatorios/detalhes-de-ativos?id=2693&amp;codativo=AERI12" TargetMode="External"/><Relationship Id="rId797" Type="http://schemas.openxmlformats.org/officeDocument/2006/relationships/hyperlink" Target="https://afinvest.com.br/interno/relatorios/detalhes-de-ativos?id=8100&amp;codativo=CDB424EEPNN" TargetMode="External"/><Relationship Id="rId920" Type="http://schemas.openxmlformats.org/officeDocument/2006/relationships/hyperlink" Target="https://afinvest.com.br/interno/relatorios/detalhes-de-ativos?id=8996&amp;codativo=LF%20BMG%20NOV/26" TargetMode="External"/><Relationship Id="rId1343" Type="http://schemas.openxmlformats.org/officeDocument/2006/relationships/hyperlink" Target="https://afinvest.com.br/interno/relatorios/detalhes-de-ativos?id=3059&amp;codativo=MNRVA1" TargetMode="External"/><Relationship Id="rId145" Type="http://schemas.openxmlformats.org/officeDocument/2006/relationships/hyperlink" Target="https://afinvest.com.br/interno/relatorios/detalhes-de-ativos?id=8578&amp;codativo=LF002400KBT" TargetMode="External"/><Relationship Id="rId352" Type="http://schemas.openxmlformats.org/officeDocument/2006/relationships/hyperlink" Target="https://afinvest.com.br/interno/relatorios/detalhes-de-ativos?id=7806&amp;codativo=VEBMA4" TargetMode="External"/><Relationship Id="rId1203" Type="http://schemas.openxmlformats.org/officeDocument/2006/relationships/hyperlink" Target="https://afinvest.com.br/interno/relatorios/detalhes-de-ativos?id=8328&amp;codativo=FIDC%20Guardian%20MC%20II%20Sr" TargetMode="External"/><Relationship Id="rId1287" Type="http://schemas.openxmlformats.org/officeDocument/2006/relationships/hyperlink" Target="https://afinvest.com.br/interno/relatorios/detalhes-de-ativos?id=7859&amp;codativo=LFSC24001JP" TargetMode="External"/><Relationship Id="rId212" Type="http://schemas.openxmlformats.org/officeDocument/2006/relationships/hyperlink" Target="https://afinvest.com.br/interno/relatorios/detalhes-de-ativos?id=7861&amp;codativo=WDOMAR25" TargetMode="External"/><Relationship Id="rId657" Type="http://schemas.openxmlformats.org/officeDocument/2006/relationships/hyperlink" Target="https://afinvest.com.br/interno/relatorios/detalhes-de-ativos?id=8444&amp;codativo=CAEC22" TargetMode="External"/><Relationship Id="rId864" Type="http://schemas.openxmlformats.org/officeDocument/2006/relationships/hyperlink" Target="https://afinvest.com.br/interno/relatorios/detalhes-de-ativos?id=6895&amp;codativo=TIP%20US" TargetMode="External"/><Relationship Id="rId296" Type="http://schemas.openxmlformats.org/officeDocument/2006/relationships/hyperlink" Target="https://afinvest.com.br/interno/relatorios/detalhes-de-ativos?id=8473&amp;codativo=FIDC%20ICred%20Sr" TargetMode="External"/><Relationship Id="rId517" Type="http://schemas.openxmlformats.org/officeDocument/2006/relationships/hyperlink" Target="https://afinvest.com.br/interno/relatorios/detalhes-de-ativos?id=215&amp;codativo=LIGHB6" TargetMode="External"/><Relationship Id="rId724" Type="http://schemas.openxmlformats.org/officeDocument/2006/relationships/hyperlink" Target="https://afinvest.com.br/interno/relatorios/detalhes-de-ativos?id=7681&amp;codativo=RRRP14" TargetMode="External"/><Relationship Id="rId931" Type="http://schemas.openxmlformats.org/officeDocument/2006/relationships/hyperlink" Target="https://afinvest.com.br/interno/relatorios/detalhes-de-ativos?id=4120&amp;codativo=DAPMAI27" TargetMode="External"/><Relationship Id="rId1147" Type="http://schemas.openxmlformats.org/officeDocument/2006/relationships/hyperlink" Target="https://afinvest.com.br/interno/relatorios/detalhes-de-ativos?id=1746&amp;codativo=CBAN32" TargetMode="External"/><Relationship Id="rId1354" Type="http://schemas.openxmlformats.org/officeDocument/2006/relationships/hyperlink" Target="https://afinvest.com.br/interno/relatorios/detalhes-de-ativos?id=8876&amp;codativo=CGOS18" TargetMode="External"/><Relationship Id="rId60" Type="http://schemas.openxmlformats.org/officeDocument/2006/relationships/hyperlink" Target="https://afinvest.com.br/interno/relatorios/detalhes-de-ativos?id=6002&amp;codativo=LFSN2200G7D" TargetMode="External"/><Relationship Id="rId156" Type="http://schemas.openxmlformats.org/officeDocument/2006/relationships/hyperlink" Target="https://afinvest.com.br/interno/relatorios/detalhes-de-ativos?id=7998&amp;codativo=LF002400ABN" TargetMode="External"/><Relationship Id="rId363" Type="http://schemas.openxmlformats.org/officeDocument/2006/relationships/hyperlink" Target="https://afinvest.com.br/interno/relatorios/detalhes-de-ativos?id=2927&amp;codativo=VBBR24" TargetMode="External"/><Relationship Id="rId570" Type="http://schemas.openxmlformats.org/officeDocument/2006/relationships/hyperlink" Target="https://afinvest.com.br/interno/relatorios/detalhes-de-ativos?id=8876&amp;codativo=CGOS18" TargetMode="External"/><Relationship Id="rId1007" Type="http://schemas.openxmlformats.org/officeDocument/2006/relationships/hyperlink" Target="https://afinvest.com.br/interno/relatorios/detalhes-de-ativos?id=2918&amp;codativo=SULA29" TargetMode="External"/><Relationship Id="rId1214" Type="http://schemas.openxmlformats.org/officeDocument/2006/relationships/hyperlink" Target="https://afinvest.com.br/interno/relatorios/detalhes-de-ativos?id=2721&amp;codativo=VIXL14" TargetMode="External"/><Relationship Id="rId223" Type="http://schemas.openxmlformats.org/officeDocument/2006/relationships/hyperlink" Target="https://afinvest.com.br/interno/relatorios/detalhes-de-ativos?id=2957&amp;codativo=DAPAGO28" TargetMode="External"/><Relationship Id="rId430" Type="http://schemas.openxmlformats.org/officeDocument/2006/relationships/hyperlink" Target="https://afinvest.com.br/interno/relatorios/detalhes-de-ativos?id=8398&amp;codativo=ASAIA0" TargetMode="External"/><Relationship Id="rId668" Type="http://schemas.openxmlformats.org/officeDocument/2006/relationships/hyperlink" Target="https://afinvest.com.br/interno/relatorios/detalhes-de-ativos?id=8478&amp;codativo=CEDO13" TargetMode="External"/><Relationship Id="rId875" Type="http://schemas.openxmlformats.org/officeDocument/2006/relationships/hyperlink" Target="https://afinvest.com.br/interno/relatorios/detalhes-de-ativos?id=153&amp;codativo=LFSN19006KM" TargetMode="External"/><Relationship Id="rId1060" Type="http://schemas.openxmlformats.org/officeDocument/2006/relationships/hyperlink" Target="https://afinvest.com.br/interno/relatorios/detalhes-de-ativos?id=2779&amp;codativo=CBRDA8" TargetMode="External"/><Relationship Id="rId1298" Type="http://schemas.openxmlformats.org/officeDocument/2006/relationships/hyperlink" Target="https://afinvest.com.br/interno/relatorios/detalhes-de-ativos?id=1411&amp;codativo=KAPITALO%20K10%20FIQ%20FIM" TargetMode="External"/><Relationship Id="rId18" Type="http://schemas.openxmlformats.org/officeDocument/2006/relationships/hyperlink" Target="https://afinvest.com.br/interno/relatorios/detalhes-de-ativos?id=366&amp;codativo=LFT%20mar%2026" TargetMode="External"/><Relationship Id="rId528" Type="http://schemas.openxmlformats.org/officeDocument/2006/relationships/hyperlink" Target="https://afinvest.com.br/interno/relatorios/detalhes-de-ativos?id=215&amp;codativo=LIGHB6" TargetMode="External"/><Relationship Id="rId735" Type="http://schemas.openxmlformats.org/officeDocument/2006/relationships/hyperlink" Target="https://afinvest.com.br/interno/relatorios/detalhes-de-ativos?id=1459&amp;codativo=CRA%20Ferroeste%202%C2%AA%20S%C3%A9rie" TargetMode="External"/><Relationship Id="rId942" Type="http://schemas.openxmlformats.org/officeDocument/2006/relationships/hyperlink" Target="https://afinvest.com.br/interno/relatorios/detalhes-de-ativos?id=2889&amp;codativo=HORIZONTE%20FIM%20CP" TargetMode="External"/><Relationship Id="rId1158" Type="http://schemas.openxmlformats.org/officeDocument/2006/relationships/hyperlink" Target="https://afinvest.com.br/interno/relatorios/detalhes-de-ativos?id=3222&amp;codativo=CCROB6" TargetMode="External"/><Relationship Id="rId1365" Type="http://schemas.openxmlformats.org/officeDocument/2006/relationships/hyperlink" Target="https://afinvest.com.br/interno/relatorios/detalhes-de-ativos?id=7260&amp;codativo=PASS12" TargetMode="External"/><Relationship Id="rId167" Type="http://schemas.openxmlformats.org/officeDocument/2006/relationships/hyperlink" Target="https://afinvest.com.br/interno/relatorios/detalhes-de-ativos?id=9045&amp;codativo=LF002400UVJ" TargetMode="External"/><Relationship Id="rId374" Type="http://schemas.openxmlformats.org/officeDocument/2006/relationships/hyperlink" Target="https://afinvest.com.br/interno/relatorios/detalhes-de-ativos?id=8726&amp;codativo=VVRT11" TargetMode="External"/><Relationship Id="rId581" Type="http://schemas.openxmlformats.org/officeDocument/2006/relationships/hyperlink" Target="https://afinvest.com.br/interno/relatorios/detalhes-de-ativos?id=2839&amp;codativo=ENGIC5" TargetMode="External"/><Relationship Id="rId1018" Type="http://schemas.openxmlformats.org/officeDocument/2006/relationships/hyperlink" Target="https://afinvest.com.br/interno/relatorios/detalhes-de-ativos?id=5906&amp;codativo=PEJA21" TargetMode="External"/><Relationship Id="rId1225" Type="http://schemas.openxmlformats.org/officeDocument/2006/relationships/hyperlink" Target="https://afinvest.com.br/interno/relatorios/detalhes-de-ativos?id=2918&amp;codativo=SULA29" TargetMode="External"/><Relationship Id="rId71" Type="http://schemas.openxmlformats.org/officeDocument/2006/relationships/hyperlink" Target="https://afinvest.com.br/interno/relatorios/detalhes-de-ativos?id=7720&amp;codativo=LFSC24000BB" TargetMode="External"/><Relationship Id="rId234" Type="http://schemas.openxmlformats.org/officeDocument/2006/relationships/hyperlink" Target="https://afinvest.com.br/interno/relatorios/detalhes-de-ativos?id=1411&amp;codativo=KAPITALO%20K10%20FIQ%20FIM" TargetMode="External"/><Relationship Id="rId679" Type="http://schemas.openxmlformats.org/officeDocument/2006/relationships/hyperlink" Target="https://afinvest.com.br/interno/relatorios/detalhes-de-ativos?id=3194&amp;codativo=BRKPA0" TargetMode="External"/><Relationship Id="rId802" Type="http://schemas.openxmlformats.org/officeDocument/2006/relationships/hyperlink" Target="https://afinvest.com.br/interno/relatorios/detalhes-de-ativos?id=8887&amp;codativo=CDB%20MERCANTIL%20OUT25" TargetMode="External"/><Relationship Id="rId886" Type="http://schemas.openxmlformats.org/officeDocument/2006/relationships/hyperlink" Target="https://afinvest.com.br/interno/relatorios/detalhes-de-ativos?id=7859&amp;codativo=LFSC24001JV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1271&amp;codativo=Provis%C3%A3o" TargetMode="External"/><Relationship Id="rId441" Type="http://schemas.openxmlformats.org/officeDocument/2006/relationships/hyperlink" Target="https://afinvest.com.br/interno/relatorios/detalhes-de-ativos?id=3175&amp;codativo=SBFC13" TargetMode="External"/><Relationship Id="rId539" Type="http://schemas.openxmlformats.org/officeDocument/2006/relationships/hyperlink" Target="https://afinvest.com.br/interno/relatorios/detalhes-de-ativos?id=2846&amp;codativo=JSLGA5" TargetMode="External"/><Relationship Id="rId746" Type="http://schemas.openxmlformats.org/officeDocument/2006/relationships/hyperlink" Target="https://afinvest.com.br/interno/relatorios/detalhes-de-ativos?id=9435&amp;codativo=Unigel%20nota%20reestruturada" TargetMode="External"/><Relationship Id="rId1071" Type="http://schemas.openxmlformats.org/officeDocument/2006/relationships/hyperlink" Target="https://afinvest.com.br/interno/relatorios/detalhes-de-ativos?id=2693&amp;codativo=AERI12" TargetMode="External"/><Relationship Id="rId1169" Type="http://schemas.openxmlformats.org/officeDocument/2006/relationships/hyperlink" Target="https://afinvest.com.br/interno/relatorios/detalhes-de-ativos?id=9342&amp;codativo=100000" TargetMode="External"/><Relationship Id="rId1376" Type="http://schemas.openxmlformats.org/officeDocument/2006/relationships/hyperlink" Target="https://afinvest.com.br/interno/relatorios/detalhes-de-ativos?id=3357&amp;codativo=BRKMA6" TargetMode="External"/><Relationship Id="rId178" Type="http://schemas.openxmlformats.org/officeDocument/2006/relationships/hyperlink" Target="https://afinvest.com.br/interno/relatorios/detalhes-de-ativos?id=8996&amp;codativo=LF%20BMG%20NOV/26" TargetMode="External"/><Relationship Id="rId301" Type="http://schemas.openxmlformats.org/officeDocument/2006/relationships/hyperlink" Target="https://afinvest.com.br/interno/relatorios/detalhes-de-ativos?id=8328&amp;codativo=FIDC%20Guardian%20MC%20II%20Sr" TargetMode="External"/><Relationship Id="rId953" Type="http://schemas.openxmlformats.org/officeDocument/2006/relationships/hyperlink" Target="https://afinvest.com.br/interno/relatorios/detalhes-de-ativos?id=2710&amp;codativo=Santander%20CashBlack" TargetMode="External"/><Relationship Id="rId1029" Type="http://schemas.openxmlformats.org/officeDocument/2006/relationships/hyperlink" Target="https://afinvest.com.br/interno/relatorios/detalhes-de-ativos?id=1637&amp;codativo=LIGHC6" TargetMode="External"/><Relationship Id="rId1236" Type="http://schemas.openxmlformats.org/officeDocument/2006/relationships/hyperlink" Target="https://afinvest.com.br/interno/relatorios/detalhes-de-ativos?id=8798&amp;codativo=KLBNA5" TargetMode="External"/><Relationship Id="rId82" Type="http://schemas.openxmlformats.org/officeDocument/2006/relationships/hyperlink" Target="https://afinvest.com.br/interno/relatorios/detalhes-de-ativos?id=3081&amp;codativo=LFSC19005FF" TargetMode="External"/><Relationship Id="rId385" Type="http://schemas.openxmlformats.org/officeDocument/2006/relationships/hyperlink" Target="https://afinvest.com.br/interno/relatorios/detalhes-de-ativos?id=8116&amp;codativo=VLIDA0" TargetMode="External"/><Relationship Id="rId592" Type="http://schemas.openxmlformats.org/officeDocument/2006/relationships/hyperlink" Target="https://afinvest.com.br/interno/relatorios/detalhes-de-ativos?id=7268&amp;codativo=ERDVB3" TargetMode="External"/><Relationship Id="rId606" Type="http://schemas.openxmlformats.org/officeDocument/2006/relationships/hyperlink" Target="https://afinvest.com.br/interno/relatorios/detalhes-de-ativos?id=8431&amp;codativo=CSANA0" TargetMode="External"/><Relationship Id="rId81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3247&amp;codativo=SANTANDER%20CASH%20ORANGE" TargetMode="External"/><Relationship Id="rId452" Type="http://schemas.openxmlformats.org/officeDocument/2006/relationships/hyperlink" Target="https://afinvest.com.br/interno/relatorios/detalhes-de-ativos?id=2723&amp;codativo=RDORB9" TargetMode="External"/><Relationship Id="rId897" Type="http://schemas.openxmlformats.org/officeDocument/2006/relationships/hyperlink" Target="https://afinvest.com.br/interno/relatorios/detalhes-de-ativos?id=6058&amp;codativo=LF002200L4W" TargetMode="External"/><Relationship Id="rId1082" Type="http://schemas.openxmlformats.org/officeDocument/2006/relationships/hyperlink" Target="https://afinvest.com.br/interno/relatorios/detalhes-de-ativos?id=6827&amp;codativo=CDB323EWULR" TargetMode="External"/><Relationship Id="rId1303" Type="http://schemas.openxmlformats.org/officeDocument/2006/relationships/hyperlink" Target="https://afinvest.com.br/interno/relatorios/detalhes-de-ativos?id=2845&amp;codativo=FIDC%20Red%20Multissetorial" TargetMode="External"/><Relationship Id="rId105" Type="http://schemas.openxmlformats.org/officeDocument/2006/relationships/hyperlink" Target="https://afinvest.com.br/interno/relatorios/detalhes-de-ativos?id=7859&amp;codativo=LFSC24001JS" TargetMode="External"/><Relationship Id="rId312" Type="http://schemas.openxmlformats.org/officeDocument/2006/relationships/hyperlink" Target="https://afinvest.com.br/interno/relatorios/detalhes-de-ativos?id=5743&amp;codativo=FIDC%20FS%20FORTALECE" TargetMode="External"/><Relationship Id="rId757" Type="http://schemas.openxmlformats.org/officeDocument/2006/relationships/hyperlink" Target="https://afinvest.com.br/interno/relatorios/detalhes-de-ativos?id=2577&amp;codativo=ECOPET43" TargetMode="External"/><Relationship Id="rId964" Type="http://schemas.openxmlformats.org/officeDocument/2006/relationships/hyperlink" Target="https://afinvest.com.br/interno/relatorios/detalhes-de-ativos?id=7744&amp;codativo=SANTANDER%20CASH%20BLACK%20II" TargetMode="External"/><Relationship Id="rId1387" Type="http://schemas.openxmlformats.org/officeDocument/2006/relationships/hyperlink" Target="https://afinvest.com.br/interno/relatorios/detalhes-de-ativos?id=8887&amp;codativo=CDB%20MERCANTIL%20OUT25" TargetMode="External"/><Relationship Id="rId93" Type="http://schemas.openxmlformats.org/officeDocument/2006/relationships/hyperlink" Target="https://afinvest.com.br/interno/relatorios/detalhes-de-ativos?id=7859&amp;codativo=LFSC24001JQ" TargetMode="External"/><Relationship Id="rId189" Type="http://schemas.openxmlformats.org/officeDocument/2006/relationships/hyperlink" Target="https://afinvest.com.br/interno/relatorios/detalhes-de-ativos?id=4099&amp;codativo=DAPAGO32" TargetMode="External"/><Relationship Id="rId396" Type="http://schemas.openxmlformats.org/officeDocument/2006/relationships/hyperlink" Target="https://afinvest.com.br/interno/relatorios/detalhes-de-ativos?id=9446&amp;codativo=VERT18%20(nota%20reestruturada)" TargetMode="External"/><Relationship Id="rId617" Type="http://schemas.openxmlformats.org/officeDocument/2006/relationships/hyperlink" Target="https://afinvest.com.br/interno/relatorios/detalhes-de-ativos?id=2833&amp;codativo=CGBP13" TargetMode="External"/><Relationship Id="rId824" Type="http://schemas.openxmlformats.org/officeDocument/2006/relationships/hyperlink" Target="https://afinvest.com.br/interno/relatorios/detalhes-de-ativos?id=8285&amp;codativo=VTRU3" TargetMode="External"/><Relationship Id="rId1247" Type="http://schemas.openxmlformats.org/officeDocument/2006/relationships/hyperlink" Target="https://afinvest.com.br/interno/relatorios/detalhes-de-ativos?id=8430&amp;codativo=ENAT14" TargetMode="External"/><Relationship Id="rId256" Type="http://schemas.openxmlformats.org/officeDocument/2006/relationships/hyperlink" Target="https://afinvest.com.br/interno/relatorios/detalhes-de-ativos?id=7740&amp;codativo=SANTANDER%20CASH%20BLACK%20IX" TargetMode="External"/><Relationship Id="rId463" Type="http://schemas.openxmlformats.org/officeDocument/2006/relationships/hyperlink" Target="https://afinvest.com.br/interno/relatorios/detalhes-de-ativos?id=3468&amp;codativo=PEJA11" TargetMode="External"/><Relationship Id="rId670" Type="http://schemas.openxmlformats.org/officeDocument/2006/relationships/hyperlink" Target="https://afinvest.com.br/interno/relatorios/detalhes-de-ativos?id=5722&amp;codativo=AALR13" TargetMode="External"/><Relationship Id="rId1093" Type="http://schemas.openxmlformats.org/officeDocument/2006/relationships/hyperlink" Target="https://afinvest.com.br/interno/relatorios/detalhes-de-ativos?id=1249&amp;codativo=CAIXA" TargetMode="External"/><Relationship Id="rId1107" Type="http://schemas.openxmlformats.org/officeDocument/2006/relationships/hyperlink" Target="https://afinvest.com.br/interno/relatorios/detalhes-de-ativos?id=9574&amp;codativo=BRSUR5CTF0E3" TargetMode="External"/><Relationship Id="rId1314" Type="http://schemas.openxmlformats.org/officeDocument/2006/relationships/hyperlink" Target="https://afinvest.com.br/interno/relatorios/detalhes-de-ativos?id=7806&amp;codativo=VEBMA4" TargetMode="External"/><Relationship Id="rId116" Type="http://schemas.openxmlformats.org/officeDocument/2006/relationships/hyperlink" Target="https://afinvest.com.br/interno/relatorios/detalhes-de-ativos?id=7896&amp;codativo=LF002400951" TargetMode="External"/><Relationship Id="rId323" Type="http://schemas.openxmlformats.org/officeDocument/2006/relationships/hyperlink" Target="https://afinvest.com.br/interno/relatorios/detalhes-de-ativos?id=8922&amp;codativo=FIDC%20Precavida" TargetMode="External"/><Relationship Id="rId530" Type="http://schemas.openxmlformats.org/officeDocument/2006/relationships/hyperlink" Target="https://afinvest.com.br/interno/relatorios/detalhes-de-ativos?id=1637&amp;codativo=LIGHC6" TargetMode="External"/><Relationship Id="rId768" Type="http://schemas.openxmlformats.org/officeDocument/2006/relationships/hyperlink" Target="https://afinvest.com.br/interno/relatorios/detalhes-de-ativos?id=9342&amp;codativo=100000" TargetMode="External"/><Relationship Id="rId975" Type="http://schemas.openxmlformats.org/officeDocument/2006/relationships/hyperlink" Target="https://afinvest.com.br/interno/relatorios/detalhes-de-ativos?id=7680&amp;codativo=FIDC%20Pagbem%20Sr%207" TargetMode="External"/><Relationship Id="rId1160" Type="http://schemas.openxmlformats.org/officeDocument/2006/relationships/hyperlink" Target="https://afinvest.com.br/interno/relatorios/detalhes-de-ativos?id=8664&amp;codativo=BARU11" TargetMode="External"/><Relationship Id="rId20" Type="http://schemas.openxmlformats.org/officeDocument/2006/relationships/hyperlink" Target="https://afinvest.com.br/interno/relatorios/detalhes-de-ativos?id=411&amp;codativo=NTN-B26" TargetMode="External"/><Relationship Id="rId628" Type="http://schemas.openxmlformats.org/officeDocument/2006/relationships/hyperlink" Target="https://afinvest.com.br/interno/relatorios/detalhes-de-ativos?id=7260&amp;codativo=PASS12" TargetMode="External"/><Relationship Id="rId835" Type="http://schemas.openxmlformats.org/officeDocument/2006/relationships/hyperlink" Target="https://afinvest.com.br/interno/relatorios/detalhes-de-ativos?id=838&amp;codativo=MOVI3" TargetMode="External"/><Relationship Id="rId1258" Type="http://schemas.openxmlformats.org/officeDocument/2006/relationships/hyperlink" Target="https://afinvest.com.br/interno/relatorios/detalhes-de-ativos?id=2650&amp;codativo=CAEC21" TargetMode="External"/><Relationship Id="rId267" Type="http://schemas.openxmlformats.org/officeDocument/2006/relationships/hyperlink" Target="https://afinvest.com.br/interno/relatorios/detalhes-de-ativos?id=7743&amp;codativo=SANTANDER%20CASH%20BLACK%20VIII" TargetMode="External"/><Relationship Id="rId474" Type="http://schemas.openxmlformats.org/officeDocument/2006/relationships/hyperlink" Target="https://afinvest.com.br/interno/relatorios/detalhes-de-ativos?id=2626&amp;codativo=OMGE13" TargetMode="External"/><Relationship Id="rId1020" Type="http://schemas.openxmlformats.org/officeDocument/2006/relationships/hyperlink" Target="https://afinvest.com.br/interno/relatorios/detalhes-de-ativos?id=2626&amp;codativo=OMGE13" TargetMode="External"/><Relationship Id="rId1118" Type="http://schemas.openxmlformats.org/officeDocument/2006/relationships/hyperlink" Target="https://afinvest.com.br/interno/relatorios/detalhes-de-ativos?id=2826&amp;codativo=RIPR22" TargetMode="External"/><Relationship Id="rId1325" Type="http://schemas.openxmlformats.org/officeDocument/2006/relationships/hyperlink" Target="https://afinvest.com.br/interno/relatorios/detalhes-de-ativos?id=9445&amp;codativo=VERT19%20(nota%20participativa)" TargetMode="External"/><Relationship Id="rId127" Type="http://schemas.openxmlformats.org/officeDocument/2006/relationships/hyperlink" Target="https://afinvest.com.br/interno/relatorios/detalhes-de-ativos?id=6058&amp;codativo=LF002200L4W" TargetMode="External"/><Relationship Id="rId681" Type="http://schemas.openxmlformats.org/officeDocument/2006/relationships/hyperlink" Target="https://afinvest.com.br/interno/relatorios/detalhes-de-ativos?id=5807&amp;codativo=RMSA12" TargetMode="External"/><Relationship Id="rId779" Type="http://schemas.openxmlformats.org/officeDocument/2006/relationships/hyperlink" Target="https://afinvest.com.br/interno/relatorios/detalhes-de-ativos?id=6827&amp;codativo=CDB323EWULR" TargetMode="External"/><Relationship Id="rId902" Type="http://schemas.openxmlformats.org/officeDocument/2006/relationships/hyperlink" Target="https://afinvest.com.br/interno/relatorios/detalhes-de-ativos?id=8123&amp;codativo=LF0020009XX" TargetMode="External"/><Relationship Id="rId986" Type="http://schemas.openxmlformats.org/officeDocument/2006/relationships/hyperlink" Target="https://afinvest.com.br/interno/relatorios/detalhes-de-ativos?id=9223&amp;codativo=FIDC%20PICPAY%20FGTS%20SR" TargetMode="External"/><Relationship Id="rId31" Type="http://schemas.openxmlformats.org/officeDocument/2006/relationships/hyperlink" Target="https://afinvest.com.br/interno/relatorios/detalhes-de-ativos?id=1271&amp;codativo=Provis%C3%A3o" TargetMode="External"/><Relationship Id="rId334" Type="http://schemas.openxmlformats.org/officeDocument/2006/relationships/hyperlink" Target="https://afinvest.com.br/interno/relatorios/detalhes-de-ativos?id=9487&amp;codativo=FIDC%20Icred%20INSS" TargetMode="External"/><Relationship Id="rId541" Type="http://schemas.openxmlformats.org/officeDocument/2006/relationships/hyperlink" Target="https://afinvest.com.br/interno/relatorios/detalhes-de-ativos?id=2829&amp;codativo=ITSA24" TargetMode="External"/><Relationship Id="rId639" Type="http://schemas.openxmlformats.org/officeDocument/2006/relationships/hyperlink" Target="https://afinvest.com.br/interno/relatorios/detalhes-de-ativos?id=3508&amp;codativo=CRCG12" TargetMode="External"/><Relationship Id="rId1171" Type="http://schemas.openxmlformats.org/officeDocument/2006/relationships/hyperlink" Target="https://afinvest.com.br/interno/relatorios/detalhes-de-ativos?id=7956&amp;codativo=LFTjun30" TargetMode="External"/><Relationship Id="rId1269" Type="http://schemas.openxmlformats.org/officeDocument/2006/relationships/hyperlink" Target="https://afinvest.com.br/interno/relatorios/detalhes-de-ativos?id=2891&amp;codativo=ALGAB1" TargetMode="External"/><Relationship Id="rId180" Type="http://schemas.openxmlformats.org/officeDocument/2006/relationships/hyperlink" Target="https://afinvest.com.br/interno/relatorios/detalhes-de-ativos?id=5818&amp;codativo=LF002200QQO" TargetMode="External"/><Relationship Id="rId278" Type="http://schemas.openxmlformats.org/officeDocument/2006/relationships/hyperlink" Target="https://afinvest.com.br/interno/relatorios/detalhes-de-ativos?id=7747&amp;codativo=SANTANDER%20CASH%20BLACK%20VI" TargetMode="External"/><Relationship Id="rId401" Type="http://schemas.openxmlformats.org/officeDocument/2006/relationships/hyperlink" Target="https://afinvest.com.br/interno/relatorios/detalhes-de-ativos?id=9445&amp;codativo=VERT19%20(nota%20participativa)" TargetMode="External"/><Relationship Id="rId846" Type="http://schemas.openxmlformats.org/officeDocument/2006/relationships/hyperlink" Target="https://afinvest.com.br/interno/relatorios/detalhes-de-ativos?id=501&amp;codativo=CSAN3" TargetMode="External"/><Relationship Id="rId1031" Type="http://schemas.openxmlformats.org/officeDocument/2006/relationships/hyperlink" Target="https://afinvest.com.br/interno/relatorios/detalhes-de-ativos?id=1427&amp;codativo=LIGH1B" TargetMode="External"/><Relationship Id="rId1129" Type="http://schemas.openxmlformats.org/officeDocument/2006/relationships/hyperlink" Target="https://afinvest.com.br/interno/relatorios/detalhes-de-ativos?id=3227&amp;codativo=LTTE15" TargetMode="External"/><Relationship Id="rId485" Type="http://schemas.openxmlformats.org/officeDocument/2006/relationships/hyperlink" Target="https://afinvest.com.br/interno/relatorios/detalhes-de-ativos?id=1861&amp;codativo=NEOE26" TargetMode="External"/><Relationship Id="rId692" Type="http://schemas.openxmlformats.org/officeDocument/2006/relationships/hyperlink" Target="https://afinvest.com.br/interno/relatorios/detalhes-de-ativos?id=3357&amp;codativo=BRKMA6" TargetMode="External"/><Relationship Id="rId706" Type="http://schemas.openxmlformats.org/officeDocument/2006/relationships/hyperlink" Target="https://afinvest.com.br/interno/relatorios/detalhes-de-ativos?id=7040&amp;codativo=ALGTA3" TargetMode="External"/><Relationship Id="rId913" Type="http://schemas.openxmlformats.org/officeDocument/2006/relationships/hyperlink" Target="https://afinvest.com.br/interno/relatorios/detalhes-de-ativos?id=3181&amp;codativo=LF002200DBM" TargetMode="External"/><Relationship Id="rId1336" Type="http://schemas.openxmlformats.org/officeDocument/2006/relationships/hyperlink" Target="https://afinvest.com.br/interno/relatorios/detalhes-de-ativos?id=3368&amp;codativo=QUAL16" TargetMode="External"/><Relationship Id="rId42" Type="http://schemas.openxmlformats.org/officeDocument/2006/relationships/hyperlink" Target="https://afinvest.com.br/interno/relatorios/detalhes-de-ativos?id=9040&amp;codativo=LFSN%20RCI" TargetMode="External"/><Relationship Id="rId138" Type="http://schemas.openxmlformats.org/officeDocument/2006/relationships/hyperlink" Target="https://afinvest.com.br/interno/relatorios/detalhes-de-ativos?id=8803&amp;codativo=LF002400Q0D" TargetMode="External"/><Relationship Id="rId345" Type="http://schemas.openxmlformats.org/officeDocument/2006/relationships/hyperlink" Target="https://afinvest.com.br/interno/relatorios/detalhes-de-ativos?id=8877&amp;codativo=FIDC%20Artico%20Sr" TargetMode="External"/><Relationship Id="rId552" Type="http://schemas.openxmlformats.org/officeDocument/2006/relationships/hyperlink" Target="https://afinvest.com.br/interno/relatorios/detalhes-de-ativos?id=5764&amp;codativo=HBSA12" TargetMode="External"/><Relationship Id="rId997" Type="http://schemas.openxmlformats.org/officeDocument/2006/relationships/hyperlink" Target="https://afinvest.com.br/interno/relatorios/detalhes-de-ativos?id=3424&amp;codativo=VECS11" TargetMode="External"/><Relationship Id="rId1182" Type="http://schemas.openxmlformats.org/officeDocument/2006/relationships/hyperlink" Target="https://afinvest.com.br/interno/relatorios/detalhes-de-ativos?id=243&amp;codativo=LFSC18002A5" TargetMode="External"/><Relationship Id="rId191" Type="http://schemas.openxmlformats.org/officeDocument/2006/relationships/hyperlink" Target="https://afinvest.com.br/interno/relatorios/detalhes-de-ativos?id=940&amp;codativo=DAPAGO26" TargetMode="External"/><Relationship Id="rId205" Type="http://schemas.openxmlformats.org/officeDocument/2006/relationships/hyperlink" Target="https://afinvest.com.br/interno/relatorios/detalhes-de-ativos?id=395&amp;codativo=DI1JAN27" TargetMode="External"/><Relationship Id="rId412" Type="http://schemas.openxmlformats.org/officeDocument/2006/relationships/hyperlink" Target="https://afinvest.com.br/interno/relatorios/detalhes-de-ativos?id=2918&amp;codativo=SULA29" TargetMode="External"/><Relationship Id="rId857" Type="http://schemas.openxmlformats.org/officeDocument/2006/relationships/hyperlink" Target="https://afinvest.com.br/interno/relatorios/detalhes-de-ativos?id=8523&amp;codativo=AMER11" TargetMode="External"/><Relationship Id="rId1042" Type="http://schemas.openxmlformats.org/officeDocument/2006/relationships/hyperlink" Target="https://afinvest.com.br/interno/relatorios/detalhes-de-ativos?id=9151&amp;codativo=AEGE17" TargetMode="External"/><Relationship Id="rId289" Type="http://schemas.openxmlformats.org/officeDocument/2006/relationships/hyperlink" Target="https://afinvest.com.br/interno/relatorios/detalhes-de-ativos?id=7680&amp;codativo=FIDC%20Pagbem%20Sr%207" TargetMode="External"/><Relationship Id="rId496" Type="http://schemas.openxmlformats.org/officeDocument/2006/relationships/hyperlink" Target="https://afinvest.com.br/interno/relatorios/detalhes-de-ativos?id=3059&amp;codativo=MNRVA1" TargetMode="External"/><Relationship Id="rId717" Type="http://schemas.openxmlformats.org/officeDocument/2006/relationships/hyperlink" Target="https://afinvest.com.br/interno/relatorios/detalhes-de-ativos?id=2808&amp;codativo=AEGP19" TargetMode="External"/><Relationship Id="rId924" Type="http://schemas.openxmlformats.org/officeDocument/2006/relationships/hyperlink" Target="https://afinvest.com.br/interno/relatorios/detalhes-de-ativos?id=7100&amp;codativo=LF002307IJ6" TargetMode="External"/><Relationship Id="rId1347" Type="http://schemas.openxmlformats.org/officeDocument/2006/relationships/hyperlink" Target="https://afinvest.com.br/interno/relatorios/detalhes-de-ativos?id=308&amp;codativo=KLBNA2" TargetMode="External"/><Relationship Id="rId53" Type="http://schemas.openxmlformats.org/officeDocument/2006/relationships/hyperlink" Target="https://afinvest.com.br/interno/relatorios/detalhes-de-ativos?id=5821&amp;codativo=LFSN2200E75" TargetMode="External"/><Relationship Id="rId149" Type="http://schemas.openxmlformats.org/officeDocument/2006/relationships/hyperlink" Target="https://afinvest.com.br/interno/relatorios/detalhes-de-ativos?id=8578&amp;codativo=LF002400KC2" TargetMode="External"/><Relationship Id="rId356" Type="http://schemas.openxmlformats.org/officeDocument/2006/relationships/hyperlink" Target="https://afinvest.com.br/interno/relatorios/detalhes-de-ativos?id=8583&amp;codativo=VIXL18" TargetMode="External"/><Relationship Id="rId563" Type="http://schemas.openxmlformats.org/officeDocument/2006/relationships/hyperlink" Target="https://afinvest.com.br/interno/relatorios/detalhes-de-ativos?id=1833&amp;codativo=EQTR11" TargetMode="External"/><Relationship Id="rId770" Type="http://schemas.openxmlformats.org/officeDocument/2006/relationships/hyperlink" Target="https://afinvest.com.br/interno/relatorios/detalhes-de-ativos?id=2798&amp;codativo=760199" TargetMode="External"/><Relationship Id="rId1193" Type="http://schemas.openxmlformats.org/officeDocument/2006/relationships/hyperlink" Target="https://afinvest.com.br/interno/relatorios/detalhes-de-ativos?id=7577&amp;codativo=DAPMAI29" TargetMode="External"/><Relationship Id="rId1207" Type="http://schemas.openxmlformats.org/officeDocument/2006/relationships/hyperlink" Target="https://afinvest.com.br/interno/relatorios/detalhes-de-ativos?id=8922&amp;codativo=FIDC%20Precavida" TargetMode="External"/><Relationship Id="rId216" Type="http://schemas.openxmlformats.org/officeDocument/2006/relationships/hyperlink" Target="https://afinvest.com.br/interno/relatorios/detalhes-de-ativos?id=3254&amp;codativo=DAPMAI25" TargetMode="External"/><Relationship Id="rId423" Type="http://schemas.openxmlformats.org/officeDocument/2006/relationships/hyperlink" Target="https://afinvest.com.br/interno/relatorios/detalhes-de-ativos?id=8398&amp;codativo=ASAIA0" TargetMode="External"/><Relationship Id="rId868" Type="http://schemas.openxmlformats.org/officeDocument/2006/relationships/hyperlink" Target="https://afinvest.com.br/interno/relatorios/detalhes-de-ativos?id=402&amp;codativo=LFT%20mar%2025" TargetMode="External"/><Relationship Id="rId1053" Type="http://schemas.openxmlformats.org/officeDocument/2006/relationships/hyperlink" Target="https://afinvest.com.br/interno/relatorios/detalhes-de-ativos?id=7543&amp;codativo=CRNP11" TargetMode="External"/><Relationship Id="rId1260" Type="http://schemas.openxmlformats.org/officeDocument/2006/relationships/hyperlink" Target="https://afinvest.com.br/interno/relatorios/detalhes-de-ativos?id=2780&amp;codativo=CBRDB8" TargetMode="External"/><Relationship Id="rId630" Type="http://schemas.openxmlformats.org/officeDocument/2006/relationships/hyperlink" Target="https://afinvest.com.br/interno/relatorios/detalhes-de-ativos?id=5729&amp;codativo=CSNAA2" TargetMode="External"/><Relationship Id="rId728" Type="http://schemas.openxmlformats.org/officeDocument/2006/relationships/hyperlink" Target="https://afinvest.com.br/interno/relatorios/detalhes-de-ativos?id=9081&amp;codativo=CRI%20Vic%20Engenharia%201%C2%AA%20Emiss%C3%A3o" TargetMode="External"/><Relationship Id="rId935" Type="http://schemas.openxmlformats.org/officeDocument/2006/relationships/hyperlink" Target="https://afinvest.com.br/interno/relatorios/detalhes-de-ativos?id=2677&amp;codativo=DI1JAN29" TargetMode="External"/><Relationship Id="rId1358" Type="http://schemas.openxmlformats.org/officeDocument/2006/relationships/hyperlink" Target="https://afinvest.com.br/interno/relatorios/detalhes-de-ativos?id=1596&amp;codativo=DASAA4" TargetMode="External"/><Relationship Id="rId64" Type="http://schemas.openxmlformats.org/officeDocument/2006/relationships/hyperlink" Target="https://afinvest.com.br/interno/relatorios/detalhes-de-ativos?id=6005&amp;codativo=LFSN2200G2M" TargetMode="External"/><Relationship Id="rId367" Type="http://schemas.openxmlformats.org/officeDocument/2006/relationships/hyperlink" Target="https://afinvest.com.br/interno/relatorios/detalhes-de-ativos?id=3424&amp;codativo=VECS11" TargetMode="External"/><Relationship Id="rId574" Type="http://schemas.openxmlformats.org/officeDocument/2006/relationships/hyperlink" Target="https://afinvest.com.br/interno/relatorios/detalhes-de-ativos?id=8876&amp;codativo=CGOS18" TargetMode="External"/><Relationship Id="rId1120" Type="http://schemas.openxmlformats.org/officeDocument/2006/relationships/hyperlink" Target="https://afinvest.com.br/interno/relatorios/detalhes-de-ativos?id=9110&amp;codativo=RAIZ23" TargetMode="External"/><Relationship Id="rId1218" Type="http://schemas.openxmlformats.org/officeDocument/2006/relationships/hyperlink" Target="https://afinvest.com.br/interno/relatorios/detalhes-de-ativos?id=1462&amp;codativo=VAMO33" TargetMode="External"/><Relationship Id="rId227" Type="http://schemas.openxmlformats.org/officeDocument/2006/relationships/hyperlink" Target="https://afinvest.com.br/interno/relatorios/detalhes-de-ativos?id=4281&amp;codativo=DI1JAN26" TargetMode="External"/><Relationship Id="rId781" Type="http://schemas.openxmlformats.org/officeDocument/2006/relationships/hyperlink" Target="https://afinvest.com.br/interno/relatorios/detalhes-de-ativos?id=8119&amp;codativo=CDB424F0EOB" TargetMode="External"/><Relationship Id="rId879" Type="http://schemas.openxmlformats.org/officeDocument/2006/relationships/hyperlink" Target="https://afinvest.com.br/interno/relatorios/detalhes-de-ativos?id=195&amp;codativo=LFSN1800D79" TargetMode="External"/><Relationship Id="rId434" Type="http://schemas.openxmlformats.org/officeDocument/2006/relationships/hyperlink" Target="https://afinvest.com.br/interno/relatorios/detalhes-de-ativos?id=1410&amp;codativo=ASAI22" TargetMode="External"/><Relationship Id="rId641" Type="http://schemas.openxmlformats.org/officeDocument/2006/relationships/hyperlink" Target="https://afinvest.com.br/interno/relatorios/detalhes-de-ativos?id=3508&amp;codativo=CRCG12" TargetMode="External"/><Relationship Id="rId739" Type="http://schemas.openxmlformats.org/officeDocument/2006/relationships/hyperlink" Target="https://afinvest.com.br/interno/relatorios/detalhes-de-ativos?id=1458&amp;codativo=CRA%20Ferroeste%201%C2%AA%20S%C3%A9rie" TargetMode="External"/><Relationship Id="rId1064" Type="http://schemas.openxmlformats.org/officeDocument/2006/relationships/hyperlink" Target="https://afinvest.com.br/interno/relatorios/detalhes-de-ativos?id=3194&amp;codativo=BRKPA0" TargetMode="External"/><Relationship Id="rId1271" Type="http://schemas.openxmlformats.org/officeDocument/2006/relationships/hyperlink" Target="https://afinvest.com.br/interno/relatorios/detalhes-de-ativos?id=8196&amp;codativo=AESOA1" TargetMode="External"/><Relationship Id="rId1369" Type="http://schemas.openxmlformats.org/officeDocument/2006/relationships/hyperlink" Target="https://afinvest.com.br/interno/relatorios/detalhes-de-ativos?id=8504&amp;codativo=CHSF13" TargetMode="External"/><Relationship Id="rId280" Type="http://schemas.openxmlformats.org/officeDocument/2006/relationships/hyperlink" Target="https://afinvest.com.br/interno/relatorios/detalhes-de-ativos?id=408&amp;codativo=FIDC%20Sifra%20Plus%20Sr" TargetMode="External"/><Relationship Id="rId501" Type="http://schemas.openxmlformats.org/officeDocument/2006/relationships/hyperlink" Target="https://afinvest.com.br/interno/relatorios/detalhes-de-ativos?id=2785&amp;codativo=LCAMB2" TargetMode="External"/><Relationship Id="rId946" Type="http://schemas.openxmlformats.org/officeDocument/2006/relationships/hyperlink" Target="https://afinvest.com.br/interno/relatorios/detalhes-de-ativos?id=391&amp;codativo=GERAES%2030" TargetMode="External"/><Relationship Id="rId1131" Type="http://schemas.openxmlformats.org/officeDocument/2006/relationships/hyperlink" Target="https://afinvest.com.br/interno/relatorios/detalhes-de-ativos?id=3048&amp;codativo=HARG11" TargetMode="External"/><Relationship Id="rId1229" Type="http://schemas.openxmlformats.org/officeDocument/2006/relationships/hyperlink" Target="https://afinvest.com.br/interno/relatorios/detalhes-de-ativos?id=3368&amp;codativo=QUAL16" TargetMode="External"/><Relationship Id="rId75" Type="http://schemas.openxmlformats.org/officeDocument/2006/relationships/hyperlink" Target="https://afinvest.com.br/interno/relatorios/detalhes-de-ativos?id=7720&amp;codativo=LFSC24000BB" TargetMode="External"/><Relationship Id="rId140" Type="http://schemas.openxmlformats.org/officeDocument/2006/relationships/hyperlink" Target="https://afinvest.com.br/interno/relatorios/detalhes-de-ativos?id=8263&amp;codativo=LF002400EY5" TargetMode="External"/><Relationship Id="rId378" Type="http://schemas.openxmlformats.org/officeDocument/2006/relationships/hyperlink" Target="https://afinvest.com.br/interno/relatorios/detalhes-de-ativos?id=1463&amp;codativo=VAMO13" TargetMode="External"/><Relationship Id="rId585" Type="http://schemas.openxmlformats.org/officeDocument/2006/relationships/hyperlink" Target="https://afinvest.com.br/interno/relatorios/detalhes-de-ativos?id=7268&amp;codativo=ERDVB3" TargetMode="External"/><Relationship Id="rId792" Type="http://schemas.openxmlformats.org/officeDocument/2006/relationships/hyperlink" Target="https://afinvest.com.br/interno/relatorios/detalhes-de-ativos?id=9175&amp;codativo=CDBC241I1TE" TargetMode="External"/><Relationship Id="rId806" Type="http://schemas.openxmlformats.org/officeDocument/2006/relationships/hyperlink" Target="https://afinvest.com.br/interno/relatorios/detalhes-de-ativos?id=8887&amp;codativo=CDB%20MERCANTIL%20OUT25" TargetMode="External"/><Relationship Id="rId6" Type="http://schemas.openxmlformats.org/officeDocument/2006/relationships/hyperlink" Target="https://afinvest.com.br/interno/relatorios/detalhes-de-ativos?id=9177&amp;codativo=LFT%20mar%2029" TargetMode="External"/><Relationship Id="rId238" Type="http://schemas.openxmlformats.org/officeDocument/2006/relationships/hyperlink" Target="https://afinvest.com.br/interno/relatorios/detalhes-de-ativos?id=343&amp;codativo=GERAES" TargetMode="External"/><Relationship Id="rId445" Type="http://schemas.openxmlformats.org/officeDocument/2006/relationships/hyperlink" Target="https://afinvest.com.br/interno/relatorios/detalhes-de-ativos?id=1214&amp;codativo=RDCO10" TargetMode="External"/><Relationship Id="rId652" Type="http://schemas.openxmlformats.org/officeDocument/2006/relationships/hyperlink" Target="https://afinvest.com.br/interno/relatorios/detalhes-de-ativos?id=8444&amp;codativo=CAEC22" TargetMode="External"/><Relationship Id="rId1075" Type="http://schemas.openxmlformats.org/officeDocument/2006/relationships/hyperlink" Target="https://afinvest.com.br/interno/relatorios/detalhes-de-ativos?id=7897&amp;codativo=CRI%20PERNAMBUCO%2035%C2%AA%20(23J1753853)" TargetMode="External"/><Relationship Id="rId1282" Type="http://schemas.openxmlformats.org/officeDocument/2006/relationships/hyperlink" Target="https://afinvest.com.br/interno/relatorios/detalhes-de-ativos?id=1369&amp;codativo=LFT%20mar%2027" TargetMode="External"/><Relationship Id="rId291" Type="http://schemas.openxmlformats.org/officeDocument/2006/relationships/hyperlink" Target="https://afinvest.com.br/interno/relatorios/detalhes-de-ativos?id=7680&amp;codativo=FIDC%20Pagbem%20Sr%207" TargetMode="External"/><Relationship Id="rId305" Type="http://schemas.openxmlformats.org/officeDocument/2006/relationships/hyperlink" Target="https://afinvest.com.br/interno/relatorios/detalhes-de-ativos?id=3131&amp;codativo=FIDC%20TMAQ21" TargetMode="External"/><Relationship Id="rId512" Type="http://schemas.openxmlformats.org/officeDocument/2006/relationships/hyperlink" Target="https://afinvest.com.br/interno/relatorios/detalhes-de-ativos?id=1427&amp;codativo=LIGH1B" TargetMode="External"/><Relationship Id="rId957" Type="http://schemas.openxmlformats.org/officeDocument/2006/relationships/hyperlink" Target="https://afinvest.com.br/interno/relatorios/detalhes-de-ativos?id=7743&amp;codativo=SANTANDER%20CASH%20BLACK%20VIII" TargetMode="External"/><Relationship Id="rId1142" Type="http://schemas.openxmlformats.org/officeDocument/2006/relationships/hyperlink" Target="https://afinvest.com.br/interno/relatorios/detalhes-de-ativos?id=1782&amp;codativo=ESAM14" TargetMode="External"/><Relationship Id="rId86" Type="http://schemas.openxmlformats.org/officeDocument/2006/relationships/hyperlink" Target="https://afinvest.com.br/interno/relatorios/detalhes-de-ativos?id=243&amp;codativo=LFSC18002A3" TargetMode="External"/><Relationship Id="rId151" Type="http://schemas.openxmlformats.org/officeDocument/2006/relationships/hyperlink" Target="https://afinvest.com.br/interno/relatorios/detalhes-de-ativos?id=3181&amp;codativo=LF002200DBM" TargetMode="External"/><Relationship Id="rId389" Type="http://schemas.openxmlformats.org/officeDocument/2006/relationships/hyperlink" Target="https://afinvest.com.br/interno/relatorios/detalhes-de-ativos?id=8116&amp;codativo=VLIDA0" TargetMode="External"/><Relationship Id="rId596" Type="http://schemas.openxmlformats.org/officeDocument/2006/relationships/hyperlink" Target="https://afinvest.com.br/interno/relatorios/detalhes-de-ativos?id=1596&amp;codativo=DASAA4" TargetMode="External"/><Relationship Id="rId817" Type="http://schemas.openxmlformats.org/officeDocument/2006/relationships/hyperlink" Target="https://afinvest.com.br/interno/relatorios/detalhes-de-ativos?id=1249&amp;codativo=CAIXA" TargetMode="External"/><Relationship Id="rId1002" Type="http://schemas.openxmlformats.org/officeDocument/2006/relationships/hyperlink" Target="https://afinvest.com.br/interno/relatorios/detalhes-de-ativos?id=1463&amp;codativo=VAMO13" TargetMode="External"/><Relationship Id="rId249" Type="http://schemas.openxmlformats.org/officeDocument/2006/relationships/hyperlink" Target="https://afinvest.com.br/interno/relatorios/detalhes-de-ativos?id=1104&amp;codativo=CASH%20BLUE" TargetMode="External"/><Relationship Id="rId456" Type="http://schemas.openxmlformats.org/officeDocument/2006/relationships/hyperlink" Target="https://afinvest.com.br/interno/relatorios/detalhes-de-ativos?id=2723&amp;codativo=RDORB9" TargetMode="External"/><Relationship Id="rId663" Type="http://schemas.openxmlformats.org/officeDocument/2006/relationships/hyperlink" Target="https://afinvest.com.br/interno/relatorios/detalhes-de-ativos?id=2779&amp;codativo=CBRDA8" TargetMode="External"/><Relationship Id="rId870" Type="http://schemas.openxmlformats.org/officeDocument/2006/relationships/hyperlink" Target="https://afinvest.com.br/interno/relatorios/detalhes-de-ativos?id=9357&amp;codativo=CDB1256KW67" TargetMode="External"/><Relationship Id="rId1086" Type="http://schemas.openxmlformats.org/officeDocument/2006/relationships/hyperlink" Target="https://afinvest.com.br/interno/relatorios/detalhes-de-ativos?id=8852&amp;codativo=CDB924AJYNQ" TargetMode="External"/><Relationship Id="rId1293" Type="http://schemas.openxmlformats.org/officeDocument/2006/relationships/hyperlink" Target="https://afinvest.com.br/interno/relatorios/detalhes-de-ativos?id=4100&amp;codativo=DAPAGO40" TargetMode="External"/><Relationship Id="rId1307" Type="http://schemas.openxmlformats.org/officeDocument/2006/relationships/hyperlink" Target="https://afinvest.com.br/interno/relatorios/detalhes-de-ativos?id=5743&amp;codativo=FIDC%20FS%20FORTALECE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6845&amp;codativo=LF002305R3L" TargetMode="External"/><Relationship Id="rId316" Type="http://schemas.openxmlformats.org/officeDocument/2006/relationships/hyperlink" Target="https://afinvest.com.br/interno/relatorios/detalhes-de-ativos?id=3505&amp;codativo=FIDC%20URA%20Agro%20SR" TargetMode="External"/><Relationship Id="rId523" Type="http://schemas.openxmlformats.org/officeDocument/2006/relationships/hyperlink" Target="https://afinvest.com.br/interno/relatorios/detalhes-de-ativos?id=9179&amp;codativo=LIGH2B" TargetMode="External"/><Relationship Id="rId968" Type="http://schemas.openxmlformats.org/officeDocument/2006/relationships/hyperlink" Target="https://afinvest.com.br/interno/relatorios/detalhes-de-ativos?id=7743&amp;codativo=SANTANDER%20CASH%20BLACK%20VIII" TargetMode="External"/><Relationship Id="rId1153" Type="http://schemas.openxmlformats.org/officeDocument/2006/relationships/hyperlink" Target="https://afinvest.com.br/interno/relatorios/detalhes-de-ativos?id=8504&amp;codativo=CHSF13" TargetMode="External"/><Relationship Id="rId97" Type="http://schemas.openxmlformats.org/officeDocument/2006/relationships/hyperlink" Target="https://afinvest.com.br/interno/relatorios/detalhes-de-ativos?id=262&amp;codativo=LFSC19000BR" TargetMode="External"/><Relationship Id="rId730" Type="http://schemas.openxmlformats.org/officeDocument/2006/relationships/hyperlink" Target="https://afinvest.com.br/interno/relatorios/detalhes-de-ativos?id=9081&amp;codativo=CRI%20Vic%20Engenharia%201%C2%AA%20Emiss%C3%A3o" TargetMode="External"/><Relationship Id="rId828" Type="http://schemas.openxmlformats.org/officeDocument/2006/relationships/hyperlink" Target="https://afinvest.com.br/interno/relatorios/detalhes-de-ativos?id=874&amp;codativo=SIMH3" TargetMode="External"/><Relationship Id="rId1013" Type="http://schemas.openxmlformats.org/officeDocument/2006/relationships/hyperlink" Target="https://afinvest.com.br/interno/relatorios/detalhes-de-ativos?id=3175&amp;codativo=SBFC13" TargetMode="External"/><Relationship Id="rId1360" Type="http://schemas.openxmlformats.org/officeDocument/2006/relationships/hyperlink" Target="https://afinvest.com.br/interno/relatorios/detalhes-de-ativos?id=8432&amp;codativo=CSANB0" TargetMode="External"/><Relationship Id="rId162" Type="http://schemas.openxmlformats.org/officeDocument/2006/relationships/hyperlink" Target="https://afinvest.com.br/interno/relatorios/detalhes-de-ativos?id=8352&amp;codativo=LF0024008ZU" TargetMode="External"/><Relationship Id="rId467" Type="http://schemas.openxmlformats.org/officeDocument/2006/relationships/hyperlink" Target="https://afinvest.com.br/interno/relatorios/detalhes-de-ativos?id=5906&amp;codativo=PEJA21" TargetMode="External"/><Relationship Id="rId1097" Type="http://schemas.openxmlformats.org/officeDocument/2006/relationships/hyperlink" Target="https://afinvest.com.br/interno/relatorios/detalhes-de-ativos?id=8523&amp;codativo=AMER11" TargetMode="External"/><Relationship Id="rId1220" Type="http://schemas.openxmlformats.org/officeDocument/2006/relationships/hyperlink" Target="https://afinvest.com.br/interno/relatorios/detalhes-de-ativos?id=9115&amp;codativo=VALEC0" TargetMode="External"/><Relationship Id="rId1318" Type="http://schemas.openxmlformats.org/officeDocument/2006/relationships/hyperlink" Target="https://afinvest.com.br/interno/relatorios/detalhes-de-ativos?id=8807&amp;codativo=VSCF17" TargetMode="External"/><Relationship Id="rId674" Type="http://schemas.openxmlformats.org/officeDocument/2006/relationships/hyperlink" Target="https://afinvest.com.br/interno/relatorios/detalhes-de-ativos?id=5722&amp;codativo=AALR13" TargetMode="External"/><Relationship Id="rId881" Type="http://schemas.openxmlformats.org/officeDocument/2006/relationships/hyperlink" Target="https://afinvest.com.br/interno/relatorios/detalhes-de-ativos?id=6005&amp;codativo=LFSN2200G2K" TargetMode="External"/><Relationship Id="rId979" Type="http://schemas.openxmlformats.org/officeDocument/2006/relationships/hyperlink" Target="https://afinvest.com.br/interno/relatorios/detalhes-de-ativos?id=8473&amp;codativo=FIDC%20ICred%20Sr" TargetMode="External"/><Relationship Id="rId24" Type="http://schemas.openxmlformats.org/officeDocument/2006/relationships/hyperlink" Target="https://afinvest.com.br/interno/relatorios/detalhes-de-ativos?id=1271&amp;codativo=Provis%C3%A3o" TargetMode="External"/><Relationship Id="rId327" Type="http://schemas.openxmlformats.org/officeDocument/2006/relationships/hyperlink" Target="https://afinvest.com.br/interno/relatorios/detalhes-de-ativos?id=9223&amp;codativo=FIDC%20PICPAY%20FGTS%20SR" TargetMode="External"/><Relationship Id="rId534" Type="http://schemas.openxmlformats.org/officeDocument/2006/relationships/hyperlink" Target="https://afinvest.com.br/interno/relatorios/detalhes-de-ativos?id=308&amp;codativo=KLBNA2" TargetMode="External"/><Relationship Id="rId741" Type="http://schemas.openxmlformats.org/officeDocument/2006/relationships/hyperlink" Target="https://afinvest.com.br/interno/relatorios/detalhes-de-ativos?id=3031&amp;codativo=CORURI27" TargetMode="External"/><Relationship Id="rId839" Type="http://schemas.openxmlformats.org/officeDocument/2006/relationships/hyperlink" Target="https://afinvest.com.br/interno/relatorios/detalhes-de-ativos?id=1473&amp;codativo=AMER3" TargetMode="External"/><Relationship Id="rId1164" Type="http://schemas.openxmlformats.org/officeDocument/2006/relationships/hyperlink" Target="https://afinvest.com.br/interno/relatorios/detalhes-de-ativos?id=5642&amp;codativo=GSTS24" TargetMode="External"/><Relationship Id="rId1371" Type="http://schemas.openxmlformats.org/officeDocument/2006/relationships/hyperlink" Target="https://afinvest.com.br/interno/relatorios/detalhes-de-ativos?id=2650&amp;codativo=CAEC21" TargetMode="External"/><Relationship Id="rId173" Type="http://schemas.openxmlformats.org/officeDocument/2006/relationships/hyperlink" Target="https://afinvest.com.br/interno/relatorios/detalhes-de-ativos?id=8996&amp;codativo=LF%20BMG%20NOV/26" TargetMode="External"/><Relationship Id="rId380" Type="http://schemas.openxmlformats.org/officeDocument/2006/relationships/hyperlink" Target="https://afinvest.com.br/interno/relatorios/detalhes-de-ativos?id=1464&amp;codativo=VAMO23" TargetMode="External"/><Relationship Id="rId601" Type="http://schemas.openxmlformats.org/officeDocument/2006/relationships/hyperlink" Target="https://afinvest.com.br/interno/relatorios/detalhes-de-ativos?id=8432&amp;codativo=CSANB0" TargetMode="External"/><Relationship Id="rId1024" Type="http://schemas.openxmlformats.org/officeDocument/2006/relationships/hyperlink" Target="https://afinvest.com.br/interno/relatorios/detalhes-de-ativos?id=9425&amp;codativo=MVLV19" TargetMode="External"/><Relationship Id="rId1231" Type="http://schemas.openxmlformats.org/officeDocument/2006/relationships/hyperlink" Target="https://afinvest.com.br/interno/relatorios/detalhes-de-ativos?id=8875&amp;codativo=NTSD17" TargetMode="External"/><Relationship Id="rId240" Type="http://schemas.openxmlformats.org/officeDocument/2006/relationships/hyperlink" Target="https://afinvest.com.br/interno/relatorios/detalhes-de-ativos?id=343&amp;codativo=GERAES" TargetMode="External"/><Relationship Id="rId478" Type="http://schemas.openxmlformats.org/officeDocument/2006/relationships/hyperlink" Target="https://afinvest.com.br/interno/relatorios/detalhes-de-ativos?id=3395&amp;codativo=OGDS11" TargetMode="External"/><Relationship Id="rId685" Type="http://schemas.openxmlformats.org/officeDocument/2006/relationships/hyperlink" Target="https://afinvest.com.br/interno/relatorios/detalhes-de-ativos?id=6410&amp;codativo=BRFS31" TargetMode="External"/><Relationship Id="rId892" Type="http://schemas.openxmlformats.org/officeDocument/2006/relationships/hyperlink" Target="https://afinvest.com.br/interno/relatorios/detalhes-de-ativos?id=6883&amp;codativo=LF002305RGI" TargetMode="External"/><Relationship Id="rId906" Type="http://schemas.openxmlformats.org/officeDocument/2006/relationships/hyperlink" Target="https://afinvest.com.br/interno/relatorios/detalhes-de-ativos?id=8803&amp;codativo=LF002400Q0A" TargetMode="External"/><Relationship Id="rId1329" Type="http://schemas.openxmlformats.org/officeDocument/2006/relationships/hyperlink" Target="https://afinvest.com.br/interno/relatorios/detalhes-de-ativos?id=6041&amp;codativo=SIMH16" TargetMode="External"/><Relationship Id="rId35" Type="http://schemas.openxmlformats.org/officeDocument/2006/relationships/hyperlink" Target="https://afinvest.com.br/interno/relatorios/detalhes-de-ativos?id=1271&amp;codativo=Provis%C3%A3o" TargetMode="External"/><Relationship Id="rId100" Type="http://schemas.openxmlformats.org/officeDocument/2006/relationships/hyperlink" Target="https://afinvest.com.br/interno/relatorios/detalhes-de-ativos?id=6112&amp;codativo=LFSC19007G2" TargetMode="External"/><Relationship Id="rId338" Type="http://schemas.openxmlformats.org/officeDocument/2006/relationships/hyperlink" Target="https://afinvest.com.br/interno/relatorios/detalhes-de-ativos?id=2959&amp;codativo=FIDC%20Auto%20Loans" TargetMode="External"/><Relationship Id="rId545" Type="http://schemas.openxmlformats.org/officeDocument/2006/relationships/hyperlink" Target="https://afinvest.com.br/interno/relatorios/detalhes-de-ativos?id=2844&amp;codativo=MATD11" TargetMode="External"/><Relationship Id="rId752" Type="http://schemas.openxmlformats.org/officeDocument/2006/relationships/hyperlink" Target="https://afinvest.com.br/interno/relatorios/detalhes-de-ativos?id=1416&amp;codativo=PRIOBZ26" TargetMode="External"/><Relationship Id="rId1175" Type="http://schemas.openxmlformats.org/officeDocument/2006/relationships/hyperlink" Target="https://afinvest.com.br/interno/relatorios/detalhes-de-ativos?id=3176&amp;codativo=LFSN210099R" TargetMode="External"/><Relationship Id="rId1382" Type="http://schemas.openxmlformats.org/officeDocument/2006/relationships/hyperlink" Target="https://afinvest.com.br/interno/relatorios/detalhes-de-ativos?id=7897&amp;codativo=CRI%20PERNAMBUCO%2035%C2%AA%20(23J1753853)" TargetMode="External"/><Relationship Id="rId184" Type="http://schemas.openxmlformats.org/officeDocument/2006/relationships/hyperlink" Target="https://afinvest.com.br/interno/relatorios/detalhes-de-ativos?id=7100&amp;codativo=LF002307IJ6" TargetMode="External"/><Relationship Id="rId391" Type="http://schemas.openxmlformats.org/officeDocument/2006/relationships/hyperlink" Target="https://afinvest.com.br/interno/relatorios/detalhes-de-ativos?id=3091&amp;codativo=CVRDA6" TargetMode="External"/><Relationship Id="rId405" Type="http://schemas.openxmlformats.org/officeDocument/2006/relationships/hyperlink" Target="https://afinvest.com.br/interno/relatorios/detalhes-de-ativos?id=6795&amp;codativo=TBSP11" TargetMode="External"/><Relationship Id="rId612" Type="http://schemas.openxmlformats.org/officeDocument/2006/relationships/hyperlink" Target="https://afinvest.com.br/interno/relatorios/detalhes-de-ativos?id=8431&amp;codativo=CSANA0" TargetMode="External"/><Relationship Id="rId1035" Type="http://schemas.openxmlformats.org/officeDocument/2006/relationships/hyperlink" Target="https://afinvest.com.br/interno/relatorios/detalhes-de-ativos?id=1637&amp;codativo=LIGHC6" TargetMode="External"/><Relationship Id="rId1242" Type="http://schemas.openxmlformats.org/officeDocument/2006/relationships/hyperlink" Target="https://afinvest.com.br/interno/relatorios/detalhes-de-ativos?id=8393&amp;codativo=FBRI13" TargetMode="External"/><Relationship Id="rId251" Type="http://schemas.openxmlformats.org/officeDocument/2006/relationships/hyperlink" Target="https://afinvest.com.br/interno/relatorios/detalhes-de-ativos?id=2710&amp;codativo=Santander%20CashBlack" TargetMode="External"/><Relationship Id="rId489" Type="http://schemas.openxmlformats.org/officeDocument/2006/relationships/hyperlink" Target="https://afinvest.com.br/interno/relatorios/detalhes-de-ativos?id=9425&amp;codativo=MVLV19" TargetMode="External"/><Relationship Id="rId696" Type="http://schemas.openxmlformats.org/officeDocument/2006/relationships/hyperlink" Target="https://afinvest.com.br/interno/relatorios/detalhes-de-ativos?id=8804&amp;codativo=AMERF2" TargetMode="External"/><Relationship Id="rId917" Type="http://schemas.openxmlformats.org/officeDocument/2006/relationships/hyperlink" Target="https://afinvest.com.br/interno/relatorios/detalhes-de-ativos?id=7998&amp;codativo=LF002400ABM" TargetMode="External"/><Relationship Id="rId1102" Type="http://schemas.openxmlformats.org/officeDocument/2006/relationships/hyperlink" Target="https://afinvest.com.br/interno/relatorios/detalhes-de-ativos?id=9567&amp;codativo=LF002400ATX" TargetMode="External"/><Relationship Id="rId46" Type="http://schemas.openxmlformats.org/officeDocument/2006/relationships/hyperlink" Target="https://afinvest.com.br/interno/relatorios/detalhes-de-ativos?id=3176&amp;codativo=LFSN210099R" TargetMode="External"/><Relationship Id="rId349" Type="http://schemas.openxmlformats.org/officeDocument/2006/relationships/hyperlink" Target="https://afinvest.com.br/interno/relatorios/detalhes-de-ativos?id=7806&amp;codativo=VEBMA4" TargetMode="External"/><Relationship Id="rId556" Type="http://schemas.openxmlformats.org/officeDocument/2006/relationships/hyperlink" Target="https://afinvest.com.br/interno/relatorios/detalhes-de-ativos?id=2877&amp;codativo=HAPV22" TargetMode="External"/><Relationship Id="rId763" Type="http://schemas.openxmlformats.org/officeDocument/2006/relationships/hyperlink" Target="https://afinvest.com.br/interno/relatorios/detalhes-de-ativos?id=3359&amp;codativo=760199" TargetMode="External"/><Relationship Id="rId1186" Type="http://schemas.openxmlformats.org/officeDocument/2006/relationships/hyperlink" Target="https://afinvest.com.br/interno/relatorios/detalhes-de-ativos?id=7859&amp;codativo=LFSC24001JT" TargetMode="External"/><Relationship Id="rId111" Type="http://schemas.openxmlformats.org/officeDocument/2006/relationships/hyperlink" Target="https://afinvest.com.br/interno/relatorios/detalhes-de-ativos?id=6879&amp;codativo=LF002305RGY" TargetMode="External"/><Relationship Id="rId195" Type="http://schemas.openxmlformats.org/officeDocument/2006/relationships/hyperlink" Target="https://afinvest.com.br/interno/relatorios/detalhes-de-ativos?id=2957&amp;codativo=DAPAGO28" TargetMode="External"/><Relationship Id="rId209" Type="http://schemas.openxmlformats.org/officeDocument/2006/relationships/hyperlink" Target="https://afinvest.com.br/interno/relatorios/detalhes-de-ativos?id=2957&amp;codativo=DAPAGO28" TargetMode="External"/><Relationship Id="rId416" Type="http://schemas.openxmlformats.org/officeDocument/2006/relationships/hyperlink" Target="https://afinvest.com.br/interno/relatorios/detalhes-de-ativos?id=3004&amp;codativo=JSMLA5" TargetMode="External"/><Relationship Id="rId970" Type="http://schemas.openxmlformats.org/officeDocument/2006/relationships/hyperlink" Target="https://afinvest.com.br/interno/relatorios/detalhes-de-ativos?id=7747&amp;codativo=SANTANDER%20CASH%20BLACK%20VI" TargetMode="External"/><Relationship Id="rId1046" Type="http://schemas.openxmlformats.org/officeDocument/2006/relationships/hyperlink" Target="https://afinvest.com.br/interno/relatorios/detalhes-de-ativos?id=7268&amp;codativo=ERDVB3" TargetMode="External"/><Relationship Id="rId1253" Type="http://schemas.openxmlformats.org/officeDocument/2006/relationships/hyperlink" Target="https://afinvest.com.br/interno/relatorios/detalhes-de-ativos?id=3155&amp;codativo=CSNAA1" TargetMode="External"/><Relationship Id="rId623" Type="http://schemas.openxmlformats.org/officeDocument/2006/relationships/hyperlink" Target="https://afinvest.com.br/interno/relatorios/detalhes-de-ativos?id=7260&amp;codativo=PASS12" TargetMode="External"/><Relationship Id="rId830" Type="http://schemas.openxmlformats.org/officeDocument/2006/relationships/hyperlink" Target="https://afinvest.com.br/interno/relatorios/detalhes-de-ativos?id=1370&amp;codativo=ASAI3" TargetMode="External"/><Relationship Id="rId928" Type="http://schemas.openxmlformats.org/officeDocument/2006/relationships/hyperlink" Target="https://afinvest.com.br/interno/relatorios/detalhes-de-ativos?id=8625&amp;codativo=T10MAR25" TargetMode="External"/><Relationship Id="rId57" Type="http://schemas.openxmlformats.org/officeDocument/2006/relationships/hyperlink" Target="https://afinvest.com.br/interno/relatorios/detalhes-de-ativos?id=195&amp;codativo=LFSN1800D79" TargetMode="External"/><Relationship Id="rId262" Type="http://schemas.openxmlformats.org/officeDocument/2006/relationships/hyperlink" Target="https://afinvest.com.br/interno/relatorios/detalhes-de-ativos?id=7740&amp;codativo=SANTANDER%20CASH%20BLACK%20IX" TargetMode="External"/><Relationship Id="rId567" Type="http://schemas.openxmlformats.org/officeDocument/2006/relationships/hyperlink" Target="https://afinvest.com.br/interno/relatorios/detalhes-de-ativos?id=8876&amp;codativo=CGOS18" TargetMode="External"/><Relationship Id="rId1113" Type="http://schemas.openxmlformats.org/officeDocument/2006/relationships/hyperlink" Target="https://afinvest.com.br/interno/relatorios/detalhes-de-ativos?id=2999&amp;codativo=UHSM12" TargetMode="External"/><Relationship Id="rId1197" Type="http://schemas.openxmlformats.org/officeDocument/2006/relationships/hyperlink" Target="https://afinvest.com.br/interno/relatorios/detalhes-de-ativos?id=395&amp;codativo=DI1JAN27" TargetMode="External"/><Relationship Id="rId1320" Type="http://schemas.openxmlformats.org/officeDocument/2006/relationships/hyperlink" Target="https://afinvest.com.br/interno/relatorios/detalhes-de-ativos?id=1462&amp;codativo=VAMO33" TargetMode="External"/><Relationship Id="rId122" Type="http://schemas.openxmlformats.org/officeDocument/2006/relationships/hyperlink" Target="https://afinvest.com.br/interno/relatorios/detalhes-de-ativos?id=9459&amp;codativo=LF002400BZO" TargetMode="External"/><Relationship Id="rId774" Type="http://schemas.openxmlformats.org/officeDocument/2006/relationships/hyperlink" Target="https://afinvest.com.br/interno/relatorios/detalhes-de-ativos?id=7580&amp;codativo=760199" TargetMode="External"/><Relationship Id="rId981" Type="http://schemas.openxmlformats.org/officeDocument/2006/relationships/hyperlink" Target="https://afinvest.com.br/interno/relatorios/detalhes-de-ativos?id=5743&amp;codativo=FIDC%20FS%20FORTALECE" TargetMode="External"/><Relationship Id="rId1057" Type="http://schemas.openxmlformats.org/officeDocument/2006/relationships/hyperlink" Target="https://afinvest.com.br/interno/relatorios/detalhes-de-ativos?id=3508&amp;codativo=CRCG12" TargetMode="External"/><Relationship Id="rId427" Type="http://schemas.openxmlformats.org/officeDocument/2006/relationships/hyperlink" Target="https://afinvest.com.br/interno/relatorios/detalhes-de-ativos?id=8398&amp;codativo=ASAIA0" TargetMode="External"/><Relationship Id="rId634" Type="http://schemas.openxmlformats.org/officeDocument/2006/relationships/hyperlink" Target="https://afinvest.com.br/interno/relatorios/detalhes-de-ativos?id=5729&amp;codativo=CSNAA2" TargetMode="External"/><Relationship Id="rId841" Type="http://schemas.openxmlformats.org/officeDocument/2006/relationships/hyperlink" Target="https://afinvest.com.br/interno/relatorios/detalhes-de-ativos?id=3077&amp;codativo=LQD%20US" TargetMode="External"/><Relationship Id="rId1264" Type="http://schemas.openxmlformats.org/officeDocument/2006/relationships/hyperlink" Target="https://afinvest.com.br/interno/relatorios/detalhes-de-ativos?id=3194&amp;codativo=BRKPA0" TargetMode="External"/><Relationship Id="rId273" Type="http://schemas.openxmlformats.org/officeDocument/2006/relationships/hyperlink" Target="https://afinvest.com.br/interno/relatorios/detalhes-de-ativos?id=7739&amp;codativo=SANTANDER%20CASH%20BLACK%20III" TargetMode="External"/><Relationship Id="rId480" Type="http://schemas.openxmlformats.org/officeDocument/2006/relationships/hyperlink" Target="https://afinvest.com.br/interno/relatorios/detalhes-de-ativos?id=8875&amp;codativo=NTSD17" TargetMode="External"/><Relationship Id="rId701" Type="http://schemas.openxmlformats.org/officeDocument/2006/relationships/hyperlink" Target="https://afinvest.com.br/interno/relatorios/detalhes-de-ativos?id=8801&amp;codativo=AMERG2" TargetMode="External"/><Relationship Id="rId939" Type="http://schemas.openxmlformats.org/officeDocument/2006/relationships/hyperlink" Target="https://afinvest.com.br/interno/relatorios/detalhes-de-ativos?id=2684&amp;codativo=AFHI11" TargetMode="External"/><Relationship Id="rId1124" Type="http://schemas.openxmlformats.org/officeDocument/2006/relationships/hyperlink" Target="https://afinvest.com.br/interno/relatorios/detalhes-de-ativos?id=9390&amp;codativo=NMCH11" TargetMode="External"/><Relationship Id="rId1331" Type="http://schemas.openxmlformats.org/officeDocument/2006/relationships/hyperlink" Target="https://afinvest.com.br/interno/relatorios/detalhes-de-ativos?id=1410&amp;codativo=ASAI22" TargetMode="External"/><Relationship Id="rId68" Type="http://schemas.openxmlformats.org/officeDocument/2006/relationships/hyperlink" Target="https://afinvest.com.br/interno/relatorios/detalhes-de-ativos?id=1128&amp;codativo=LFSN1800DRJ" TargetMode="External"/><Relationship Id="rId133" Type="http://schemas.openxmlformats.org/officeDocument/2006/relationships/hyperlink" Target="https://afinvest.com.br/interno/relatorios/detalhes-de-ativos?id=8350&amp;codativo=LF0024007OE" TargetMode="External"/><Relationship Id="rId340" Type="http://schemas.openxmlformats.org/officeDocument/2006/relationships/hyperlink" Target="https://afinvest.com.br/interno/relatorios/detalhes-de-ativos?id=8007&amp;codativo=FIDC%20CloudWalk%20II" TargetMode="External"/><Relationship Id="rId578" Type="http://schemas.openxmlformats.org/officeDocument/2006/relationships/hyperlink" Target="https://afinvest.com.br/interno/relatorios/detalhes-de-ativos?id=886&amp;codativo=ENGIA3" TargetMode="External"/><Relationship Id="rId785" Type="http://schemas.openxmlformats.org/officeDocument/2006/relationships/hyperlink" Target="https://afinvest.com.br/interno/relatorios/detalhes-de-ativos?id=8710&amp;codativo=CDB824AAYU8" TargetMode="External"/><Relationship Id="rId992" Type="http://schemas.openxmlformats.org/officeDocument/2006/relationships/hyperlink" Target="https://afinvest.com.br/interno/relatorios/detalhes-de-ativos?id=2721&amp;codativo=VIXL14" TargetMode="External"/><Relationship Id="rId200" Type="http://schemas.openxmlformats.org/officeDocument/2006/relationships/hyperlink" Target="https://afinvest.com.br/interno/relatorios/detalhes-de-ativos?id=4297&amp;codativo=DI1JUL26" TargetMode="External"/><Relationship Id="rId438" Type="http://schemas.openxmlformats.org/officeDocument/2006/relationships/hyperlink" Target="https://afinvest.com.br/interno/relatorios/detalhes-de-ativos?id=1420&amp;codativo=SBFC12" TargetMode="External"/><Relationship Id="rId645" Type="http://schemas.openxmlformats.org/officeDocument/2006/relationships/hyperlink" Target="https://afinvest.com.br/interno/relatorios/detalhes-de-ativos?id=8005&amp;codativo=CHSF12" TargetMode="External"/><Relationship Id="rId852" Type="http://schemas.openxmlformats.org/officeDocument/2006/relationships/hyperlink" Target="https://afinvest.com.br/interno/relatorios/detalhes-de-ativos?id=855&amp;codativo=BBAS3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75" Type="http://schemas.openxmlformats.org/officeDocument/2006/relationships/hyperlink" Target="https://afinvest.com.br/interno/relatorios/detalhes-de-ativos?id=7681&amp;codativo=RRRP14" TargetMode="External"/><Relationship Id="rId284" Type="http://schemas.openxmlformats.org/officeDocument/2006/relationships/hyperlink" Target="https://afinvest.com.br/interno/relatorios/detalhes-de-ativos?id=2845&amp;codativo=FIDC%20Red%20Multissetorial" TargetMode="External"/><Relationship Id="rId491" Type="http://schemas.openxmlformats.org/officeDocument/2006/relationships/hyperlink" Target="https://afinvest.com.br/interno/relatorios/detalhes-de-ativos?id=2766&amp;codativo=MOVI37" TargetMode="External"/><Relationship Id="rId505" Type="http://schemas.openxmlformats.org/officeDocument/2006/relationships/hyperlink" Target="https://afinvest.com.br/interno/relatorios/detalhes-de-ativos?id=9215&amp;codativo=LIGT11" TargetMode="External"/><Relationship Id="rId712" Type="http://schemas.openxmlformats.org/officeDocument/2006/relationships/hyperlink" Target="https://afinvest.com.br/interno/relatorios/detalhes-de-ativos?id=315&amp;codativo=TIET19" TargetMode="External"/><Relationship Id="rId1135" Type="http://schemas.openxmlformats.org/officeDocument/2006/relationships/hyperlink" Target="https://afinvest.com.br/interno/relatorios/detalhes-de-ativos?id=1821&amp;codativo=ENTV12" TargetMode="External"/><Relationship Id="rId1342" Type="http://schemas.openxmlformats.org/officeDocument/2006/relationships/hyperlink" Target="https://afinvest.com.br/interno/relatorios/detalhes-de-ativos?id=2766&amp;codativo=MOVI37" TargetMode="External"/><Relationship Id="rId79" Type="http://schemas.openxmlformats.org/officeDocument/2006/relationships/hyperlink" Target="https://afinvest.com.br/interno/relatorios/detalhes-de-ativos?id=2736&amp;codativo=LFSC19005L3" TargetMode="External"/><Relationship Id="rId144" Type="http://schemas.openxmlformats.org/officeDocument/2006/relationships/hyperlink" Target="https://afinvest.com.br/interno/relatorios/detalhes-de-ativos?id=8263&amp;codativo=LF002400EY5" TargetMode="External"/><Relationship Id="rId589" Type="http://schemas.openxmlformats.org/officeDocument/2006/relationships/hyperlink" Target="https://afinvest.com.br/interno/relatorios/detalhes-de-ativos?id=7268&amp;codativo=ERDVB3" TargetMode="External"/><Relationship Id="rId796" Type="http://schemas.openxmlformats.org/officeDocument/2006/relationships/hyperlink" Target="https://afinvest.com.br/interno/relatorios/detalhes-de-ativos?id=8852&amp;codativo=CDB924AJYNP" TargetMode="External"/><Relationship Id="rId1202" Type="http://schemas.openxmlformats.org/officeDocument/2006/relationships/hyperlink" Target="https://afinvest.com.br/interno/relatorios/detalhes-de-ativos?id=7680&amp;codativo=FIDC%20Pagbem%20Sr%207" TargetMode="External"/><Relationship Id="rId351" Type="http://schemas.openxmlformats.org/officeDocument/2006/relationships/hyperlink" Target="https://afinvest.com.br/interno/relatorios/detalhes-de-ativos?id=7806&amp;codativo=VEBMA4" TargetMode="External"/><Relationship Id="rId449" Type="http://schemas.openxmlformats.org/officeDocument/2006/relationships/hyperlink" Target="https://afinvest.com.br/interno/relatorios/detalhes-de-ativos?id=1214&amp;codativo=RDCO10" TargetMode="External"/><Relationship Id="rId656" Type="http://schemas.openxmlformats.org/officeDocument/2006/relationships/hyperlink" Target="https://afinvest.com.br/interno/relatorios/detalhes-de-ativos?id=8444&amp;codativo=CAEC22" TargetMode="External"/><Relationship Id="rId863" Type="http://schemas.openxmlformats.org/officeDocument/2006/relationships/hyperlink" Target="https://afinvest.com.br/interno/relatorios/detalhes-de-ativos?id=9460&amp;codativo=US8605701189" TargetMode="External"/><Relationship Id="rId1079" Type="http://schemas.openxmlformats.org/officeDocument/2006/relationships/hyperlink" Target="https://afinvest.com.br/interno/relatorios/detalhes-de-ativos?id=1458&amp;codativo=CRA%20Ferroeste%201%C2%AA%20S%C3%A9rie" TargetMode="External"/><Relationship Id="rId1286" Type="http://schemas.openxmlformats.org/officeDocument/2006/relationships/hyperlink" Target="https://afinvest.com.br/interno/relatorios/detalhes-de-ativos?id=262&amp;codativo=LFSC19000BS" TargetMode="External"/><Relationship Id="rId211" Type="http://schemas.openxmlformats.org/officeDocument/2006/relationships/hyperlink" Target="https://afinvest.com.br/interno/relatorios/detalhes-de-ativos?id=9080&amp;codativo=T10JUN25" TargetMode="External"/><Relationship Id="rId295" Type="http://schemas.openxmlformats.org/officeDocument/2006/relationships/hyperlink" Target="https://afinvest.com.br/interno/relatorios/detalhes-de-ativos?id=8473&amp;codativo=FIDC%20ICred%20Sr" TargetMode="External"/><Relationship Id="rId309" Type="http://schemas.openxmlformats.org/officeDocument/2006/relationships/hyperlink" Target="https://afinvest.com.br/interno/relatorios/detalhes-de-ativos?id=5743&amp;codativo=FIDC%20FS%20FORTALECE" TargetMode="External"/><Relationship Id="rId516" Type="http://schemas.openxmlformats.org/officeDocument/2006/relationships/hyperlink" Target="https://afinvest.com.br/interno/relatorios/detalhes-de-ativos?id=9215&amp;codativo=LIGT11" TargetMode="External"/><Relationship Id="rId1146" Type="http://schemas.openxmlformats.org/officeDocument/2006/relationships/hyperlink" Target="https://afinvest.com.br/interno/relatorios/detalhes-de-ativos?id=8505&amp;codativo=CPLD29" TargetMode="External"/><Relationship Id="rId723" Type="http://schemas.openxmlformats.org/officeDocument/2006/relationships/hyperlink" Target="https://afinvest.com.br/interno/relatorios/detalhes-de-ativos?id=7681&amp;codativo=RRRP14" TargetMode="External"/><Relationship Id="rId930" Type="http://schemas.openxmlformats.org/officeDocument/2006/relationships/hyperlink" Target="https://afinvest.com.br/interno/relatorios/detalhes-de-ativos?id=395&amp;codativo=DI1JAN27" TargetMode="External"/><Relationship Id="rId1006" Type="http://schemas.openxmlformats.org/officeDocument/2006/relationships/hyperlink" Target="https://afinvest.com.br/interno/relatorios/detalhes-de-ativos?id=6795&amp;codativo=TBSP11" TargetMode="External"/><Relationship Id="rId1353" Type="http://schemas.openxmlformats.org/officeDocument/2006/relationships/hyperlink" Target="https://afinvest.com.br/interno/relatorios/detalhes-de-ativos?id=7270&amp;codativo=CGOS14" TargetMode="External"/><Relationship Id="rId155" Type="http://schemas.openxmlformats.org/officeDocument/2006/relationships/hyperlink" Target="https://afinvest.com.br/interno/relatorios/detalhes-de-ativos?id=8399&amp;codativo=LF002400GJ4" TargetMode="External"/><Relationship Id="rId197" Type="http://schemas.openxmlformats.org/officeDocument/2006/relationships/hyperlink" Target="https://afinvest.com.br/interno/relatorios/detalhes-de-ativos?id=395&amp;codativo=DI1JAN27" TargetMode="External"/><Relationship Id="rId362" Type="http://schemas.openxmlformats.org/officeDocument/2006/relationships/hyperlink" Target="https://afinvest.com.br/interno/relatorios/detalhes-de-ativos?id=2927&amp;codativo=VBBR24" TargetMode="External"/><Relationship Id="rId418" Type="http://schemas.openxmlformats.org/officeDocument/2006/relationships/hyperlink" Target="https://afinvest.com.br/interno/relatorios/detalhes-de-ativos?id=3004&amp;codativo=JSMLA5" TargetMode="External"/><Relationship Id="rId625" Type="http://schemas.openxmlformats.org/officeDocument/2006/relationships/hyperlink" Target="https://afinvest.com.br/interno/relatorios/detalhes-de-ativos?id=7260&amp;codativo=PASS12" TargetMode="External"/><Relationship Id="rId832" Type="http://schemas.openxmlformats.org/officeDocument/2006/relationships/hyperlink" Target="https://afinvest.com.br/interno/relatorios/detalhes-de-ativos?id=6111&amp;codativo=MLAS3" TargetMode="External"/><Relationship Id="rId1048" Type="http://schemas.openxmlformats.org/officeDocument/2006/relationships/hyperlink" Target="https://afinvest.com.br/interno/relatorios/detalhes-de-ativos?id=1596&amp;codativo=DASAA4" TargetMode="External"/><Relationship Id="rId1213" Type="http://schemas.openxmlformats.org/officeDocument/2006/relationships/hyperlink" Target="https://afinvest.com.br/interno/relatorios/detalhes-de-ativos?id=8583&amp;codativo=VIXL18" TargetMode="External"/><Relationship Id="rId1255" Type="http://schemas.openxmlformats.org/officeDocument/2006/relationships/hyperlink" Target="https://afinvest.com.br/interno/relatorios/detalhes-de-ativos?id=3508&amp;codativo=CRCG12" TargetMode="External"/><Relationship Id="rId1297" Type="http://schemas.openxmlformats.org/officeDocument/2006/relationships/hyperlink" Target="https://afinvest.com.br/interno/relatorios/detalhes-de-ativos?id=4281&amp;codativo=DI1JAN26" TargetMode="External"/><Relationship Id="rId222" Type="http://schemas.openxmlformats.org/officeDocument/2006/relationships/hyperlink" Target="https://afinvest.com.br/interno/relatorios/detalhes-de-ativos?id=7861&amp;codativo=WDOMAR25" TargetMode="External"/><Relationship Id="rId264" Type="http://schemas.openxmlformats.org/officeDocument/2006/relationships/hyperlink" Target="https://afinvest.com.br/interno/relatorios/detalhes-de-ativos?id=7739&amp;codativo=SANTANDER%20CASH%20BLACK%20III" TargetMode="External"/><Relationship Id="rId471" Type="http://schemas.openxmlformats.org/officeDocument/2006/relationships/hyperlink" Target="https://afinvest.com.br/interno/relatorios/detalhes-de-ativos?id=5840&amp;codativo=ONCO19" TargetMode="External"/><Relationship Id="rId667" Type="http://schemas.openxmlformats.org/officeDocument/2006/relationships/hyperlink" Target="https://afinvest.com.br/interno/relatorios/detalhes-de-ativos?id=2779&amp;codativo=CBRDA8" TargetMode="External"/><Relationship Id="rId874" Type="http://schemas.openxmlformats.org/officeDocument/2006/relationships/hyperlink" Target="https://afinvest.com.br/interno/relatorios/detalhes-de-ativos?id=8260&amp;codativo=LFSN1800D4W" TargetMode="External"/><Relationship Id="rId1115" Type="http://schemas.openxmlformats.org/officeDocument/2006/relationships/hyperlink" Target="https://afinvest.com.br/interno/relatorios/detalhes-de-ativos?id=6920&amp;codativo=RISP22" TargetMode="External"/><Relationship Id="rId1322" Type="http://schemas.openxmlformats.org/officeDocument/2006/relationships/hyperlink" Target="https://afinvest.com.br/interno/relatorios/detalhes-de-ativos?id=8116&amp;codativo=VLIDA0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6006&amp;codativo=LFSN2200G2L" TargetMode="External"/><Relationship Id="rId124" Type="http://schemas.openxmlformats.org/officeDocument/2006/relationships/hyperlink" Target="https://afinvest.com.br/interno/relatorios/detalhes-de-ativos?id=6059&amp;codativo=LF00220097D" TargetMode="External"/><Relationship Id="rId527" Type="http://schemas.openxmlformats.org/officeDocument/2006/relationships/hyperlink" Target="https://afinvest.com.br/interno/relatorios/detalhes-de-ativos?id=9179&amp;codativo=LIGH2B" TargetMode="External"/><Relationship Id="rId569" Type="http://schemas.openxmlformats.org/officeDocument/2006/relationships/hyperlink" Target="https://afinvest.com.br/interno/relatorios/detalhes-de-ativos?id=8876&amp;codativo=CGOS18" TargetMode="External"/><Relationship Id="rId734" Type="http://schemas.openxmlformats.org/officeDocument/2006/relationships/hyperlink" Target="https://afinvest.com.br/interno/relatorios/detalhes-de-ativos?id=5671&amp;codativo=CRI%20Vic%20Engenharia%202%C2%AA%20Emiss%C3%A3o" TargetMode="External"/><Relationship Id="rId776" Type="http://schemas.openxmlformats.org/officeDocument/2006/relationships/hyperlink" Target="https://afinvest.com.br/interno/relatorios/detalhes-de-ativos?id=6827&amp;codativo=CDB323EWULR" TargetMode="External"/><Relationship Id="rId941" Type="http://schemas.openxmlformats.org/officeDocument/2006/relationships/hyperlink" Target="https://afinvest.com.br/interno/relatorios/detalhes-de-ativos?id=2889&amp;codativo=HORIZONTE%20FIM%20CP" TargetMode="External"/><Relationship Id="rId983" Type="http://schemas.openxmlformats.org/officeDocument/2006/relationships/hyperlink" Target="https://afinvest.com.br/interno/relatorios/detalhes-de-ativos?id=1220&amp;codativo=FIDC%20SIMPAR" TargetMode="External"/><Relationship Id="rId1157" Type="http://schemas.openxmlformats.org/officeDocument/2006/relationships/hyperlink" Target="https://afinvest.com.br/interno/relatorios/detalhes-de-ativos?id=8666&amp;codativo=CLCD27" TargetMode="External"/><Relationship Id="rId1199" Type="http://schemas.openxmlformats.org/officeDocument/2006/relationships/hyperlink" Target="https://afinvest.com.br/interno/relatorios/detalhes-de-ativos?id=873&amp;codativo=AF%20GLOBAL%20BONDS%20FI%20RF%20CP%20IE" TargetMode="External"/><Relationship Id="rId1364" Type="http://schemas.openxmlformats.org/officeDocument/2006/relationships/hyperlink" Target="https://afinvest.com.br/interno/relatorios/detalhes-de-ativos?id=7543&amp;codativo=CRNP11" TargetMode="External"/><Relationship Id="rId70" Type="http://schemas.openxmlformats.org/officeDocument/2006/relationships/hyperlink" Target="https://afinvest.com.br/interno/relatorios/detalhes-de-ativos?id=1165&amp;codativo=LFSN1800DS6" TargetMode="External"/><Relationship Id="rId166" Type="http://schemas.openxmlformats.org/officeDocument/2006/relationships/hyperlink" Target="https://afinvest.com.br/interno/relatorios/detalhes-de-ativos?id=9045&amp;codativo=LF002400UVP" TargetMode="External"/><Relationship Id="rId331" Type="http://schemas.openxmlformats.org/officeDocument/2006/relationships/hyperlink" Target="https://afinvest.com.br/interno/relatorios/detalhes-de-ativos?id=387&amp;codativo=FIDC%20LF%20I%20SR4" TargetMode="External"/><Relationship Id="rId373" Type="http://schemas.openxmlformats.org/officeDocument/2006/relationships/hyperlink" Target="https://afinvest.com.br/interno/relatorios/detalhes-de-ativos?id=8726&amp;codativo=VVRT11" TargetMode="External"/><Relationship Id="rId429" Type="http://schemas.openxmlformats.org/officeDocument/2006/relationships/hyperlink" Target="https://afinvest.com.br/interno/relatorios/detalhes-de-ativos?id=1410&amp;codativo=ASAI22" TargetMode="External"/><Relationship Id="rId580" Type="http://schemas.openxmlformats.org/officeDocument/2006/relationships/hyperlink" Target="https://afinvest.com.br/interno/relatorios/detalhes-de-ativos?id=886&amp;codativo=ENGIA3" TargetMode="External"/><Relationship Id="rId636" Type="http://schemas.openxmlformats.org/officeDocument/2006/relationships/hyperlink" Target="https://afinvest.com.br/interno/relatorios/detalhes-de-ativos?id=3460&amp;codativo=VTII12" TargetMode="External"/><Relationship Id="rId801" Type="http://schemas.openxmlformats.org/officeDocument/2006/relationships/hyperlink" Target="https://afinvest.com.br/interno/relatorios/detalhes-de-ativos?id=8577&amp;codativo=CDB724BH6RG" TargetMode="External"/><Relationship Id="rId1017" Type="http://schemas.openxmlformats.org/officeDocument/2006/relationships/hyperlink" Target="https://afinvest.com.br/interno/relatorios/detalhes-de-ativos?id=3368&amp;codativo=QUAL16" TargetMode="External"/><Relationship Id="rId1059" Type="http://schemas.openxmlformats.org/officeDocument/2006/relationships/hyperlink" Target="https://afinvest.com.br/interno/relatorios/detalhes-de-ativos?id=8444&amp;codativo=CAEC22" TargetMode="External"/><Relationship Id="rId1224" Type="http://schemas.openxmlformats.org/officeDocument/2006/relationships/hyperlink" Target="https://afinvest.com.br/interno/relatorios/detalhes-de-ativos?id=6795&amp;codativo=TBSP11" TargetMode="External"/><Relationship Id="rId1266" Type="http://schemas.openxmlformats.org/officeDocument/2006/relationships/hyperlink" Target="https://afinvest.com.br/interno/relatorios/detalhes-de-ativos?id=3357&amp;codativo=BRKMA6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957&amp;codativo=DAPAGO28" TargetMode="External"/><Relationship Id="rId440" Type="http://schemas.openxmlformats.org/officeDocument/2006/relationships/hyperlink" Target="https://afinvest.com.br/interno/relatorios/detalhes-de-ativos?id=3175&amp;codativo=SBFC13" TargetMode="External"/><Relationship Id="rId678" Type="http://schemas.openxmlformats.org/officeDocument/2006/relationships/hyperlink" Target="https://afinvest.com.br/interno/relatorios/detalhes-de-ativos?id=3194&amp;codativo=BRKPA0" TargetMode="External"/><Relationship Id="rId843" Type="http://schemas.openxmlformats.org/officeDocument/2006/relationships/hyperlink" Target="https://afinvest.com.br/interno/relatorios/detalhes-de-ativos?id=896&amp;codativo=MYPK3" TargetMode="External"/><Relationship Id="rId885" Type="http://schemas.openxmlformats.org/officeDocument/2006/relationships/hyperlink" Target="https://afinvest.com.br/interno/relatorios/detalhes-de-ativos?id=2640&amp;codativo=LFSC18002MS" TargetMode="External"/><Relationship Id="rId1070" Type="http://schemas.openxmlformats.org/officeDocument/2006/relationships/hyperlink" Target="https://afinvest.com.br/interno/relatorios/detalhes-de-ativos?id=315&amp;codativo=TIET19" TargetMode="External"/><Relationship Id="rId1126" Type="http://schemas.openxmlformats.org/officeDocument/2006/relationships/hyperlink" Target="https://afinvest.com.br/interno/relatorios/detalhes-de-ativos?id=7167&amp;codativo=MRSAB1" TargetMode="External"/><Relationship Id="rId28" Type="http://schemas.openxmlformats.org/officeDocument/2006/relationships/hyperlink" Target="https://afinvest.com.br/interno/relatorios/detalhes-de-ativos?id=1271&amp;codativo=Provis%C3%A3o" TargetMode="External"/><Relationship Id="rId275" Type="http://schemas.openxmlformats.org/officeDocument/2006/relationships/hyperlink" Target="https://afinvest.com.br/interno/relatorios/detalhes-de-ativos?id=7742&amp;codativo=SANTANDER%20CASH%20BLACK%20V" TargetMode="External"/><Relationship Id="rId300" Type="http://schemas.openxmlformats.org/officeDocument/2006/relationships/hyperlink" Target="https://afinvest.com.br/interno/relatorios/detalhes-de-ativos?id=8328&amp;codativo=FIDC%20Guardian%20MC%20II%20Sr" TargetMode="External"/><Relationship Id="rId482" Type="http://schemas.openxmlformats.org/officeDocument/2006/relationships/hyperlink" Target="https://afinvest.com.br/interno/relatorios/detalhes-de-ativos?id=8875&amp;codativo=NTSD17" TargetMode="External"/><Relationship Id="rId538" Type="http://schemas.openxmlformats.org/officeDocument/2006/relationships/hyperlink" Target="https://afinvest.com.br/interno/relatorios/detalhes-de-ativos?id=2846&amp;codativo=JSLGA5" TargetMode="External"/><Relationship Id="rId703" Type="http://schemas.openxmlformats.org/officeDocument/2006/relationships/hyperlink" Target="https://afinvest.com.br/interno/relatorios/detalhes-de-ativos?id=2891&amp;codativo=ALGAB1" TargetMode="External"/><Relationship Id="rId745" Type="http://schemas.openxmlformats.org/officeDocument/2006/relationships/hyperlink" Target="https://afinvest.com.br/interno/relatorios/detalhes-de-ativos?id=9443&amp;codativo=Unigel%20nota%20dinheiro%20novo" TargetMode="External"/><Relationship Id="rId910" Type="http://schemas.openxmlformats.org/officeDocument/2006/relationships/hyperlink" Target="https://afinvest.com.br/interno/relatorios/detalhes-de-ativos?id=8578&amp;codativo=LF002400KC1" TargetMode="External"/><Relationship Id="rId952" Type="http://schemas.openxmlformats.org/officeDocument/2006/relationships/hyperlink" Target="https://afinvest.com.br/interno/relatorios/detalhes-de-ativos?id=1107&amp;codativo=AF%20MINAS" TargetMode="External"/><Relationship Id="rId1168" Type="http://schemas.openxmlformats.org/officeDocument/2006/relationships/hyperlink" Target="https://afinvest.com.br/interno/relatorios/detalhes-de-ativos?id=9569&amp;codativo=HZTC14" TargetMode="External"/><Relationship Id="rId1333" Type="http://schemas.openxmlformats.org/officeDocument/2006/relationships/hyperlink" Target="https://afinvest.com.br/interno/relatorios/detalhes-de-ativos?id=1420&amp;codativo=SBFC12" TargetMode="External"/><Relationship Id="rId1375" Type="http://schemas.openxmlformats.org/officeDocument/2006/relationships/hyperlink" Target="https://afinvest.com.br/interno/relatorios/detalhes-de-ativos?id=9256&amp;codativo=EQPA18" TargetMode="External"/><Relationship Id="rId81" Type="http://schemas.openxmlformats.org/officeDocument/2006/relationships/hyperlink" Target="https://afinvest.com.br/interno/relatorios/detalhes-de-ativos?id=3184&amp;codativo=LFSC19005L1" TargetMode="External"/><Relationship Id="rId135" Type="http://schemas.openxmlformats.org/officeDocument/2006/relationships/hyperlink" Target="https://afinvest.com.br/interno/relatorios/detalhes-de-ativos?id=9490&amp;codativo=LF0023082A5" TargetMode="External"/><Relationship Id="rId177" Type="http://schemas.openxmlformats.org/officeDocument/2006/relationships/hyperlink" Target="https://afinvest.com.br/interno/relatorios/detalhes-de-ativos?id=5818&amp;codativo=LF002200QQO" TargetMode="External"/><Relationship Id="rId342" Type="http://schemas.openxmlformats.org/officeDocument/2006/relationships/hyperlink" Target="https://afinvest.com.br/interno/relatorios/detalhes-de-ativos?id=8007&amp;codativo=FIDC%20CloudWalk%20II" TargetMode="External"/><Relationship Id="rId384" Type="http://schemas.openxmlformats.org/officeDocument/2006/relationships/hyperlink" Target="https://afinvest.com.br/interno/relatorios/detalhes-de-ativos?id=8116&amp;codativo=VLIDA0" TargetMode="External"/><Relationship Id="rId591" Type="http://schemas.openxmlformats.org/officeDocument/2006/relationships/hyperlink" Target="https://afinvest.com.br/interno/relatorios/detalhes-de-ativos?id=6635&amp;codativo=ERDVA2" TargetMode="External"/><Relationship Id="rId605" Type="http://schemas.openxmlformats.org/officeDocument/2006/relationships/hyperlink" Target="https://afinvest.com.br/interno/relatorios/detalhes-de-ativos?id=3187&amp;codativo=CSAN24" TargetMode="External"/><Relationship Id="rId787" Type="http://schemas.openxmlformats.org/officeDocument/2006/relationships/hyperlink" Target="https://afinvest.com.br/interno/relatorios/detalhes-de-ativos?id=8710&amp;codativo=CDB824AAYU9" TargetMode="External"/><Relationship Id="rId812" Type="http://schemas.openxmlformats.org/officeDocument/2006/relationships/hyperlink" Target="https://afinvest.com.br/interno/relatorios/detalhes-de-ativos?id=1249&amp;codativo=CAIXA" TargetMode="External"/><Relationship Id="rId994" Type="http://schemas.openxmlformats.org/officeDocument/2006/relationships/hyperlink" Target="https://afinvest.com.br/interno/relatorios/detalhes-de-ativos?id=8583&amp;codativo=VIXL18" TargetMode="External"/><Relationship Id="rId1028" Type="http://schemas.openxmlformats.org/officeDocument/2006/relationships/hyperlink" Target="https://afinvest.com.br/interno/relatorios/detalhes-de-ativos?id=1427&amp;codativo=LIGH1B" TargetMode="External"/><Relationship Id="rId1235" Type="http://schemas.openxmlformats.org/officeDocument/2006/relationships/hyperlink" Target="https://afinvest.com.br/interno/relatorios/detalhes-de-ativos?id=2933&amp;codativo=MSGT13" TargetMode="External"/><Relationship Id="rId202" Type="http://schemas.openxmlformats.org/officeDocument/2006/relationships/hyperlink" Target="https://afinvest.com.br/interno/relatorios/detalhes-de-ativos?id=2677&amp;codativo=DI1JAN29" TargetMode="External"/><Relationship Id="rId244" Type="http://schemas.openxmlformats.org/officeDocument/2006/relationships/hyperlink" Target="https://afinvest.com.br/interno/relatorios/detalhes-de-ativos?id=873&amp;codativo=AF%20GLOBAL%20BONDS%20FI%20RF%20CP%20IE" TargetMode="External"/><Relationship Id="rId647" Type="http://schemas.openxmlformats.org/officeDocument/2006/relationships/hyperlink" Target="https://afinvest.com.br/interno/relatorios/detalhes-de-ativos?id=8005&amp;codativo=CHSF12" TargetMode="External"/><Relationship Id="rId689" Type="http://schemas.openxmlformats.org/officeDocument/2006/relationships/hyperlink" Target="https://afinvest.com.br/interno/relatorios/detalhes-de-ativos?id=3357&amp;codativo=BRKMA6" TargetMode="External"/><Relationship Id="rId854" Type="http://schemas.openxmlformats.org/officeDocument/2006/relationships/hyperlink" Target="https://afinvest.com.br/interno/relatorios/detalhes-de-ativos?id=885&amp;codativo=ANIM3" TargetMode="External"/><Relationship Id="rId896" Type="http://schemas.openxmlformats.org/officeDocument/2006/relationships/hyperlink" Target="https://afinvest.com.br/interno/relatorios/detalhes-de-ativos?id=6059&amp;codativo=LF00220097D" TargetMode="External"/><Relationship Id="rId1081" Type="http://schemas.openxmlformats.org/officeDocument/2006/relationships/hyperlink" Target="https://afinvest.com.br/interno/relatorios/detalhes-de-ativos?id=1458&amp;codativo=CRA%20Ferroeste%201%C2%AA%20S%C3%A9rie" TargetMode="External"/><Relationship Id="rId1277" Type="http://schemas.openxmlformats.org/officeDocument/2006/relationships/hyperlink" Target="https://afinvest.com.br/interno/relatorios/detalhes-de-ativos?id=9081&amp;codativo=CRI%20Vic%20Engenharia%201%C2%AA%20Emiss%C3%A3o" TargetMode="External"/><Relationship Id="rId1302" Type="http://schemas.openxmlformats.org/officeDocument/2006/relationships/hyperlink" Target="https://afinvest.com.br/interno/relatorios/detalhes-de-ativos?id=408&amp;codativo=FIDC%20Sifra%20Plus%20Sr" TargetMode="External"/><Relationship Id="rId39" Type="http://schemas.openxmlformats.org/officeDocument/2006/relationships/hyperlink" Target="https://afinvest.com.br/interno/relatorios/detalhes-de-ativos?id=164&amp;codativo=LFSN1900008" TargetMode="External"/><Relationship Id="rId286" Type="http://schemas.openxmlformats.org/officeDocument/2006/relationships/hyperlink" Target="https://afinvest.com.br/interno/relatorios/detalhes-de-ativos?id=7680&amp;codativo=FIDC%20Pagbem%20Sr%207" TargetMode="External"/><Relationship Id="rId451" Type="http://schemas.openxmlformats.org/officeDocument/2006/relationships/hyperlink" Target="https://afinvest.com.br/interno/relatorios/detalhes-de-ativos?id=2723&amp;codativo=RDORB9" TargetMode="External"/><Relationship Id="rId493" Type="http://schemas.openxmlformats.org/officeDocument/2006/relationships/hyperlink" Target="https://afinvest.com.br/interno/relatorios/detalhes-de-ativos?id=3059&amp;codativo=MNRVA1" TargetMode="External"/><Relationship Id="rId507" Type="http://schemas.openxmlformats.org/officeDocument/2006/relationships/hyperlink" Target="https://afinvest.com.br/interno/relatorios/detalhes-de-ativos?id=1427&amp;codativo=LIGH1B" TargetMode="External"/><Relationship Id="rId549" Type="http://schemas.openxmlformats.org/officeDocument/2006/relationships/hyperlink" Target="https://afinvest.com.br/interno/relatorios/detalhes-de-ativos?id=5764&amp;codativo=HBSA12" TargetMode="External"/><Relationship Id="rId714" Type="http://schemas.openxmlformats.org/officeDocument/2006/relationships/hyperlink" Target="https://afinvest.com.br/interno/relatorios/detalhes-de-ativos?id=2693&amp;codativo=AERI12" TargetMode="External"/><Relationship Id="rId756" Type="http://schemas.openxmlformats.org/officeDocument/2006/relationships/hyperlink" Target="https://afinvest.com.br/interno/relatorios/detalhes-de-ativos?id=1399&amp;codativo=IOCMXW28" TargetMode="External"/><Relationship Id="rId921" Type="http://schemas.openxmlformats.org/officeDocument/2006/relationships/hyperlink" Target="https://afinvest.com.br/interno/relatorios/detalhes-de-ativos?id=8111&amp;codativo=LF002400BZZ" TargetMode="External"/><Relationship Id="rId1137" Type="http://schemas.openxmlformats.org/officeDocument/2006/relationships/hyperlink" Target="https://afinvest.com.br/interno/relatorios/detalhes-de-ativos?id=7472&amp;codativo=EGIEA1" TargetMode="External"/><Relationship Id="rId1179" Type="http://schemas.openxmlformats.org/officeDocument/2006/relationships/hyperlink" Target="https://afinvest.com.br/interno/relatorios/detalhes-de-ativos?id=7720&amp;codativo=LFSC24000BB" TargetMode="External"/><Relationship Id="rId1344" Type="http://schemas.openxmlformats.org/officeDocument/2006/relationships/hyperlink" Target="https://afinvest.com.br/interno/relatorios/detalhes-de-ativos?id=2933&amp;codativo=MSGT13" TargetMode="External"/><Relationship Id="rId1386" Type="http://schemas.openxmlformats.org/officeDocument/2006/relationships/hyperlink" Target="https://afinvest.com.br/interno/relatorios/detalhes-de-ativos?id=8577&amp;codativo=CDB724BH6RG" TargetMode="External"/><Relationship Id="rId50" Type="http://schemas.openxmlformats.org/officeDocument/2006/relationships/hyperlink" Target="https://afinvest.com.br/interno/relatorios/detalhes-de-ativos?id=5821&amp;codativo=LFSN2200E75" TargetMode="External"/><Relationship Id="rId104" Type="http://schemas.openxmlformats.org/officeDocument/2006/relationships/hyperlink" Target="https://afinvest.com.br/interno/relatorios/detalhes-de-ativos?id=262&amp;codativo=LFSC19000BT" TargetMode="External"/><Relationship Id="rId146" Type="http://schemas.openxmlformats.org/officeDocument/2006/relationships/hyperlink" Target="https://afinvest.com.br/interno/relatorios/detalhes-de-ativos?id=8578&amp;codativo=LF002400KBW" TargetMode="External"/><Relationship Id="rId188" Type="http://schemas.openxmlformats.org/officeDocument/2006/relationships/hyperlink" Target="https://afinvest.com.br/interno/relatorios/detalhes-de-ativos?id=3090&amp;codativo=DAPMAI35" TargetMode="External"/><Relationship Id="rId311" Type="http://schemas.openxmlformats.org/officeDocument/2006/relationships/hyperlink" Target="https://afinvest.com.br/interno/relatorios/detalhes-de-ativos?id=5743&amp;codativo=FIDC%20FS%20FORTALECE" TargetMode="External"/><Relationship Id="rId353" Type="http://schemas.openxmlformats.org/officeDocument/2006/relationships/hyperlink" Target="https://afinvest.com.br/interno/relatorios/detalhes-de-ativos?id=2721&amp;codativo=VIXL14" TargetMode="External"/><Relationship Id="rId395" Type="http://schemas.openxmlformats.org/officeDocument/2006/relationships/hyperlink" Target="https://afinvest.com.br/interno/relatorios/detalhes-de-ativos?id=9445&amp;codativo=VERT19%20(nota%20participativa)" TargetMode="External"/><Relationship Id="rId409" Type="http://schemas.openxmlformats.org/officeDocument/2006/relationships/hyperlink" Target="https://afinvest.com.br/interno/relatorios/detalhes-de-ativos?id=6795&amp;codativo=TBSP11" TargetMode="External"/><Relationship Id="rId560" Type="http://schemas.openxmlformats.org/officeDocument/2006/relationships/hyperlink" Target="https://afinvest.com.br/interno/relatorios/detalhes-de-ativos?id=9151&amp;codativo=AEGE17" TargetMode="External"/><Relationship Id="rId798" Type="http://schemas.openxmlformats.org/officeDocument/2006/relationships/hyperlink" Target="https://afinvest.com.br/interno/relatorios/detalhes-de-ativos?id=8333&amp;codativo=CDB6246HKQG" TargetMode="External"/><Relationship Id="rId963" Type="http://schemas.openxmlformats.org/officeDocument/2006/relationships/hyperlink" Target="https://afinvest.com.br/interno/relatorios/detalhes-de-ativos?id=7741&amp;codativo=SANTANDER%20CASH%20BLACK%20X" TargetMode="External"/><Relationship Id="rId1039" Type="http://schemas.openxmlformats.org/officeDocument/2006/relationships/hyperlink" Target="https://afinvest.com.br/interno/relatorios/detalhes-de-ativos?id=5764&amp;codativo=HBSA12" TargetMode="External"/><Relationship Id="rId1190" Type="http://schemas.openxmlformats.org/officeDocument/2006/relationships/hyperlink" Target="https://afinvest.com.br/interno/relatorios/detalhes-de-ativos?id=4099&amp;codativo=DAPAGO32" TargetMode="External"/><Relationship Id="rId1204" Type="http://schemas.openxmlformats.org/officeDocument/2006/relationships/hyperlink" Target="https://afinvest.com.br/interno/relatorios/detalhes-de-ativos?id=5743&amp;codativo=FIDC%20FS%20FORTALECE" TargetMode="External"/><Relationship Id="rId1246" Type="http://schemas.openxmlformats.org/officeDocument/2006/relationships/hyperlink" Target="https://afinvest.com.br/interno/relatorios/detalhes-de-ativos?id=2838&amp;codativo=ENGIA5" TargetMode="External"/><Relationship Id="rId92" Type="http://schemas.openxmlformats.org/officeDocument/2006/relationships/hyperlink" Target="https://afinvest.com.br/interno/relatorios/detalhes-de-ativos?id=7865&amp;codativo=LFSC24001P6" TargetMode="External"/><Relationship Id="rId213" Type="http://schemas.openxmlformats.org/officeDocument/2006/relationships/hyperlink" Target="https://afinvest.com.br/interno/relatorios/detalhes-de-ativos?id=7795&amp;codativo=DOLMAR25" TargetMode="External"/><Relationship Id="rId420" Type="http://schemas.openxmlformats.org/officeDocument/2006/relationships/hyperlink" Target="https://afinvest.com.br/interno/relatorios/detalhes-de-ativos?id=3004&amp;codativo=JSMLA5" TargetMode="External"/><Relationship Id="rId616" Type="http://schemas.openxmlformats.org/officeDocument/2006/relationships/hyperlink" Target="https://afinvest.com.br/interno/relatorios/detalhes-de-ativos?id=2833&amp;codativo=CGBP13" TargetMode="External"/><Relationship Id="rId658" Type="http://schemas.openxmlformats.org/officeDocument/2006/relationships/hyperlink" Target="https://afinvest.com.br/interno/relatorios/detalhes-de-ativos?id=2780&amp;codativo=CBRDB8" TargetMode="External"/><Relationship Id="rId823" Type="http://schemas.openxmlformats.org/officeDocument/2006/relationships/hyperlink" Target="https://afinvest.com.br/interno/relatorios/detalhes-de-ativos?id=20&amp;codativo=YDUQ3" TargetMode="External"/><Relationship Id="rId865" Type="http://schemas.openxmlformats.org/officeDocument/2006/relationships/hyperlink" Target="https://afinvest.com.br/interno/relatorios/detalhes-de-ativos?id=9460&amp;codativo=US8605701189" TargetMode="External"/><Relationship Id="rId1050" Type="http://schemas.openxmlformats.org/officeDocument/2006/relationships/hyperlink" Target="https://afinvest.com.br/interno/relatorios/detalhes-de-ativos?id=8431&amp;codativo=CSANA0" TargetMode="External"/><Relationship Id="rId1288" Type="http://schemas.openxmlformats.org/officeDocument/2006/relationships/hyperlink" Target="https://afinvest.com.br/interno/relatorios/detalhes-de-ativos?id=8996&amp;codativo=LF%20BMG%20NOV/26" TargetMode="External"/><Relationship Id="rId255" Type="http://schemas.openxmlformats.org/officeDocument/2006/relationships/hyperlink" Target="https://afinvest.com.br/interno/relatorios/detalhes-de-ativos?id=7742&amp;codativo=SANTANDER%20CASH%20BLACK%20V" TargetMode="External"/><Relationship Id="rId297" Type="http://schemas.openxmlformats.org/officeDocument/2006/relationships/hyperlink" Target="https://afinvest.com.br/interno/relatorios/detalhes-de-ativos?id=8477&amp;codativo=FIDC%20iCred%20Meza%202" TargetMode="External"/><Relationship Id="rId462" Type="http://schemas.openxmlformats.org/officeDocument/2006/relationships/hyperlink" Target="https://afinvest.com.br/interno/relatorios/detalhes-de-ativos?id=3368&amp;codativo=QUAL16" TargetMode="External"/><Relationship Id="rId518" Type="http://schemas.openxmlformats.org/officeDocument/2006/relationships/hyperlink" Target="https://afinvest.com.br/interno/relatorios/detalhes-de-ativos?id=9179&amp;codativo=LIGH2B" TargetMode="External"/><Relationship Id="rId725" Type="http://schemas.openxmlformats.org/officeDocument/2006/relationships/hyperlink" Target="https://afinvest.com.br/interno/relatorios/detalhes-de-ativos?id=2795&amp;codativo=CRI%20Bem%20Brasil" TargetMode="External"/><Relationship Id="rId932" Type="http://schemas.openxmlformats.org/officeDocument/2006/relationships/hyperlink" Target="https://afinvest.com.br/interno/relatorios/detalhes-de-ativos?id=2957&amp;codativo=DAPAGO28" TargetMode="External"/><Relationship Id="rId1092" Type="http://schemas.openxmlformats.org/officeDocument/2006/relationships/hyperlink" Target="https://afinvest.com.br/interno/relatorios/detalhes-de-ativos?id=1249&amp;codativo=CAIXA" TargetMode="External"/><Relationship Id="rId1106" Type="http://schemas.openxmlformats.org/officeDocument/2006/relationships/hyperlink" Target="https://afinvest.com.br/interno/relatorios/detalhes-de-ativos?id=9575&amp;codativo=BR04PXCTF002" TargetMode="External"/><Relationship Id="rId1148" Type="http://schemas.openxmlformats.org/officeDocument/2006/relationships/hyperlink" Target="https://afinvest.com.br/interno/relatorios/detalhes-de-ativos?id=1747&amp;codativo=CBAN52" TargetMode="External"/><Relationship Id="rId1313" Type="http://schemas.openxmlformats.org/officeDocument/2006/relationships/hyperlink" Target="https://afinvest.com.br/interno/relatorios/detalhes-de-ativos?id=8877&amp;codativo=FIDC%20Artico%20Sr" TargetMode="External"/><Relationship Id="rId1355" Type="http://schemas.openxmlformats.org/officeDocument/2006/relationships/hyperlink" Target="https://afinvest.com.br/interno/relatorios/detalhes-de-ativos?id=2839&amp;codativo=ENGIC5" TargetMode="External"/><Relationship Id="rId115" Type="http://schemas.openxmlformats.org/officeDocument/2006/relationships/hyperlink" Target="https://afinvest.com.br/interno/relatorios/detalhes-de-ativos?id=6880&amp;codativo=LF002305RG9" TargetMode="External"/><Relationship Id="rId157" Type="http://schemas.openxmlformats.org/officeDocument/2006/relationships/hyperlink" Target="https://afinvest.com.br/interno/relatorios/detalhes-de-ativos?id=8352&amp;codativo=LF0024008ZU" TargetMode="External"/><Relationship Id="rId322" Type="http://schemas.openxmlformats.org/officeDocument/2006/relationships/hyperlink" Target="https://afinvest.com.br/interno/relatorios/detalhes-de-ativos?id=8922&amp;codativo=FIDC%20Precavida" TargetMode="External"/><Relationship Id="rId364" Type="http://schemas.openxmlformats.org/officeDocument/2006/relationships/hyperlink" Target="https://afinvest.com.br/interno/relatorios/detalhes-de-ativos?id=2927&amp;codativo=VBBR24" TargetMode="External"/><Relationship Id="rId767" Type="http://schemas.openxmlformats.org/officeDocument/2006/relationships/hyperlink" Target="https://afinvest.com.br/interno/relatorios/detalhes-de-ativos?id=2798&amp;codativo=760199" TargetMode="External"/><Relationship Id="rId974" Type="http://schemas.openxmlformats.org/officeDocument/2006/relationships/hyperlink" Target="https://afinvest.com.br/interno/relatorios/detalhes-de-ativos?id=408&amp;codativo=FIDC%20Sifra%20Plus%20Sr" TargetMode="External"/><Relationship Id="rId1008" Type="http://schemas.openxmlformats.org/officeDocument/2006/relationships/hyperlink" Target="https://afinvest.com.br/interno/relatorios/detalhes-de-ativos?id=3004&amp;codativo=JSMLA5" TargetMode="External"/><Relationship Id="rId1215" Type="http://schemas.openxmlformats.org/officeDocument/2006/relationships/hyperlink" Target="https://afinvest.com.br/interno/relatorios/detalhes-de-ativos?id=2927&amp;codativo=VBBR24" TargetMode="External"/><Relationship Id="rId61" Type="http://schemas.openxmlformats.org/officeDocument/2006/relationships/hyperlink" Target="https://afinvest.com.br/interno/relatorios/detalhes-de-ativos?id=195&amp;codativo=LFSN1800D79" TargetMode="External"/><Relationship Id="rId199" Type="http://schemas.openxmlformats.org/officeDocument/2006/relationships/hyperlink" Target="https://afinvest.com.br/interno/relatorios/detalhes-de-ativos?id=1417&amp;codativo=DAPAGO30" TargetMode="External"/><Relationship Id="rId571" Type="http://schemas.openxmlformats.org/officeDocument/2006/relationships/hyperlink" Target="https://afinvest.com.br/interno/relatorios/detalhes-de-ativos?id=7270&amp;codativo=CGOS14" TargetMode="External"/><Relationship Id="rId627" Type="http://schemas.openxmlformats.org/officeDocument/2006/relationships/hyperlink" Target="https://afinvest.com.br/interno/relatorios/detalhes-de-ativos?id=7260&amp;codativo=PASS12" TargetMode="External"/><Relationship Id="rId669" Type="http://schemas.openxmlformats.org/officeDocument/2006/relationships/hyperlink" Target="https://afinvest.com.br/interno/relatorios/detalhes-de-ativos?id=3042&amp;codativo=CEEBC3" TargetMode="External"/><Relationship Id="rId834" Type="http://schemas.openxmlformats.org/officeDocument/2006/relationships/hyperlink" Target="https://afinvest.com.br/interno/relatorios/detalhes-de-ativos?id=838&amp;codativo=MOVI3" TargetMode="External"/><Relationship Id="rId876" Type="http://schemas.openxmlformats.org/officeDocument/2006/relationships/hyperlink" Target="https://afinvest.com.br/interno/relatorios/detalhes-de-ativos?id=8438&amp;codativo=LFSN1800DG1" TargetMode="External"/><Relationship Id="rId1257" Type="http://schemas.openxmlformats.org/officeDocument/2006/relationships/hyperlink" Target="https://afinvest.com.br/interno/relatorios/detalhes-de-ativos?id=5638&amp;codativo=COCE18" TargetMode="External"/><Relationship Id="rId1299" Type="http://schemas.openxmlformats.org/officeDocument/2006/relationships/hyperlink" Target="https://afinvest.com.br/interno/relatorios/detalhes-de-ativos?id=391&amp;codativo=GERAES%2030" TargetMode="External"/><Relationship Id="rId19" Type="http://schemas.openxmlformats.org/officeDocument/2006/relationships/hyperlink" Target="https://afinvest.com.br/interno/relatorios/detalhes-de-ativos?id=821&amp;codativo=LFT%20set%2026" TargetMode="External"/><Relationship Id="rId224" Type="http://schemas.openxmlformats.org/officeDocument/2006/relationships/hyperlink" Target="https://afinvest.com.br/interno/relatorios/detalhes-de-ativos?id=7795&amp;codativo=DOLMAR25" TargetMode="External"/><Relationship Id="rId266" Type="http://schemas.openxmlformats.org/officeDocument/2006/relationships/hyperlink" Target="https://afinvest.com.br/interno/relatorios/detalhes-de-ativos?id=7745&amp;codativo=SANTANDER%20CASH%20BLACK%20IV" TargetMode="External"/><Relationship Id="rId431" Type="http://schemas.openxmlformats.org/officeDocument/2006/relationships/hyperlink" Target="https://afinvest.com.br/interno/relatorios/detalhes-de-ativos?id=1410&amp;codativo=ASAI22" TargetMode="External"/><Relationship Id="rId473" Type="http://schemas.openxmlformats.org/officeDocument/2006/relationships/hyperlink" Target="https://afinvest.com.br/interno/relatorios/detalhes-de-ativos?id=2626&amp;codativo=OMGE13" TargetMode="External"/><Relationship Id="rId529" Type="http://schemas.openxmlformats.org/officeDocument/2006/relationships/hyperlink" Target="https://afinvest.com.br/interno/relatorios/detalhes-de-ativos?id=9215&amp;codativo=LIGT11" TargetMode="External"/><Relationship Id="rId680" Type="http://schemas.openxmlformats.org/officeDocument/2006/relationships/hyperlink" Target="https://afinvest.com.br/interno/relatorios/detalhes-de-ativos?id=3194&amp;codativo=BRKPA0" TargetMode="External"/><Relationship Id="rId736" Type="http://schemas.openxmlformats.org/officeDocument/2006/relationships/hyperlink" Target="https://afinvest.com.br/interno/relatorios/detalhes-de-ativos?id=1459&amp;codativo=CRA%20Ferroeste%202%C2%AA%20S%C3%A9rie" TargetMode="External"/><Relationship Id="rId901" Type="http://schemas.openxmlformats.org/officeDocument/2006/relationships/hyperlink" Target="https://afinvest.com.br/interno/relatorios/detalhes-de-ativos?id=8121&amp;codativo=LF00200088U" TargetMode="External"/><Relationship Id="rId1061" Type="http://schemas.openxmlformats.org/officeDocument/2006/relationships/hyperlink" Target="https://afinvest.com.br/interno/relatorios/detalhes-de-ativos?id=2779&amp;codativo=CBRDA8" TargetMode="External"/><Relationship Id="rId1117" Type="http://schemas.openxmlformats.org/officeDocument/2006/relationships/hyperlink" Target="https://afinvest.com.br/interno/relatorios/detalhes-de-ativos?id=8030&amp;codativo=GASC25" TargetMode="External"/><Relationship Id="rId1159" Type="http://schemas.openxmlformats.org/officeDocument/2006/relationships/hyperlink" Target="https://afinvest.com.br/interno/relatorios/detalhes-de-ativos?id=9254&amp;codativo=TEPA12" TargetMode="External"/><Relationship Id="rId1324" Type="http://schemas.openxmlformats.org/officeDocument/2006/relationships/hyperlink" Target="https://afinvest.com.br/interno/relatorios/detalhes-de-ativos?id=9446&amp;codativo=VERT18%20(nota%20reestruturada)" TargetMode="External"/><Relationship Id="rId1366" Type="http://schemas.openxmlformats.org/officeDocument/2006/relationships/hyperlink" Target="https://afinvest.com.br/interno/relatorios/detalhes-de-ativos?id=5729&amp;codativo=CSNAA2" TargetMode="External"/><Relationship Id="rId30" Type="http://schemas.openxmlformats.org/officeDocument/2006/relationships/hyperlink" Target="https://afinvest.com.br/interno/relatorios/detalhes-de-ativos?id=1271&amp;codativo=Provis%C3%A3o" TargetMode="External"/><Relationship Id="rId126" Type="http://schemas.openxmlformats.org/officeDocument/2006/relationships/hyperlink" Target="https://afinvest.com.br/interno/relatorios/detalhes-de-ativos?id=6059&amp;codativo=LF00220097D" TargetMode="External"/><Relationship Id="rId168" Type="http://schemas.openxmlformats.org/officeDocument/2006/relationships/hyperlink" Target="https://afinvest.com.br/interno/relatorios/detalhes-de-ativos?id=9442&amp;codativo=LF0021008OH" TargetMode="External"/><Relationship Id="rId333" Type="http://schemas.openxmlformats.org/officeDocument/2006/relationships/hyperlink" Target="https://afinvest.com.br/interno/relatorios/detalhes-de-ativos?id=9487&amp;codativo=FIDC%20Icred%20INSS" TargetMode="External"/><Relationship Id="rId540" Type="http://schemas.openxmlformats.org/officeDocument/2006/relationships/hyperlink" Target="https://afinvest.com.br/interno/relatorios/detalhes-de-ativos?id=2829&amp;codativo=ITSA24" TargetMode="External"/><Relationship Id="rId778" Type="http://schemas.openxmlformats.org/officeDocument/2006/relationships/hyperlink" Target="https://afinvest.com.br/interno/relatorios/detalhes-de-ativos?id=6827&amp;codativo=CDB323EWULR" TargetMode="External"/><Relationship Id="rId943" Type="http://schemas.openxmlformats.org/officeDocument/2006/relationships/hyperlink" Target="https://afinvest.com.br/interno/relatorios/detalhes-de-ativos?id=3065&amp;codativo=ABSOLUTE%20VERTEX%20ADVISORY%20FIC%20FIM" TargetMode="External"/><Relationship Id="rId985" Type="http://schemas.openxmlformats.org/officeDocument/2006/relationships/hyperlink" Target="https://afinvest.com.br/interno/relatorios/detalhes-de-ativos?id=8922&amp;codativo=FIDC%20Precavida" TargetMode="External"/><Relationship Id="rId1019" Type="http://schemas.openxmlformats.org/officeDocument/2006/relationships/hyperlink" Target="https://afinvest.com.br/interno/relatorios/detalhes-de-ativos?id=5840&amp;codativo=ONCO19" TargetMode="External"/><Relationship Id="rId1170" Type="http://schemas.openxmlformats.org/officeDocument/2006/relationships/hyperlink" Target="https://afinvest.com.br/interno/relatorios/detalhes-de-ativos?id=1249&amp;codativo=CAIXA" TargetMode="External"/><Relationship Id="rId72" Type="http://schemas.openxmlformats.org/officeDocument/2006/relationships/hyperlink" Target="https://afinvest.com.br/interno/relatorios/detalhes-de-ativos?id=7720&amp;codativo=LFSC24000BB" TargetMode="External"/><Relationship Id="rId375" Type="http://schemas.openxmlformats.org/officeDocument/2006/relationships/hyperlink" Target="https://afinvest.com.br/interno/relatorios/detalhes-de-ativos?id=7868&amp;codativo=VERO13" TargetMode="External"/><Relationship Id="rId582" Type="http://schemas.openxmlformats.org/officeDocument/2006/relationships/hyperlink" Target="https://afinvest.com.br/interno/relatorios/detalhes-de-ativos?id=3038&amp;codativo=ESULA6" TargetMode="External"/><Relationship Id="rId638" Type="http://schemas.openxmlformats.org/officeDocument/2006/relationships/hyperlink" Target="https://afinvest.com.br/interno/relatorios/detalhes-de-ativos?id=3460&amp;codativo=VTII12" TargetMode="External"/><Relationship Id="rId803" Type="http://schemas.openxmlformats.org/officeDocument/2006/relationships/hyperlink" Target="https://afinvest.com.br/interno/relatorios/detalhes-de-ativos?id=8577&amp;codativo=CDB724BH6RG" TargetMode="External"/><Relationship Id="rId845" Type="http://schemas.openxmlformats.org/officeDocument/2006/relationships/hyperlink" Target="https://afinvest.com.br/interno/relatorios/detalhes-de-ativos?id=2769&amp;codativo=GOLD11" TargetMode="External"/><Relationship Id="rId1030" Type="http://schemas.openxmlformats.org/officeDocument/2006/relationships/hyperlink" Target="https://afinvest.com.br/interno/relatorios/detalhes-de-ativos?id=9179&amp;codativo=LIGH2B" TargetMode="External"/><Relationship Id="rId1226" Type="http://schemas.openxmlformats.org/officeDocument/2006/relationships/hyperlink" Target="https://afinvest.com.br/interno/relatorios/detalhes-de-ativos?id=6919&amp;codativo=RISP12" TargetMode="External"/><Relationship Id="rId1268" Type="http://schemas.openxmlformats.org/officeDocument/2006/relationships/hyperlink" Target="https://afinvest.com.br/interno/relatorios/detalhes-de-ativos?id=2945&amp;codativo=PLSB1A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2889&amp;codativo=HORIZONTE%20FIM%20CP" TargetMode="External"/><Relationship Id="rId277" Type="http://schemas.openxmlformats.org/officeDocument/2006/relationships/hyperlink" Target="https://afinvest.com.br/interno/relatorios/detalhes-de-ativos?id=7746&amp;codativo=SANTANDER%20CASH%20BLACK%20VII" TargetMode="External"/><Relationship Id="rId400" Type="http://schemas.openxmlformats.org/officeDocument/2006/relationships/hyperlink" Target="https://afinvest.com.br/interno/relatorios/detalhes-de-ativos?id=9446&amp;codativo=VERT18%20(nota%20reestruturada)" TargetMode="External"/><Relationship Id="rId442" Type="http://schemas.openxmlformats.org/officeDocument/2006/relationships/hyperlink" Target="https://afinvest.com.br/interno/relatorios/detalhes-de-ativos?id=3175&amp;codativo=SBFC13" TargetMode="External"/><Relationship Id="rId484" Type="http://schemas.openxmlformats.org/officeDocument/2006/relationships/hyperlink" Target="https://afinvest.com.br/interno/relatorios/detalhes-de-ativos?id=8875&amp;codativo=NTSD17" TargetMode="External"/><Relationship Id="rId705" Type="http://schemas.openxmlformats.org/officeDocument/2006/relationships/hyperlink" Target="https://afinvest.com.br/interno/relatorios/detalhes-de-ativos?id=7040&amp;codativo=ALGTA3" TargetMode="External"/><Relationship Id="rId887" Type="http://schemas.openxmlformats.org/officeDocument/2006/relationships/hyperlink" Target="https://afinvest.com.br/interno/relatorios/detalhes-de-ativos?id=262&amp;codativo=LFSC19000BP" TargetMode="External"/><Relationship Id="rId1072" Type="http://schemas.openxmlformats.org/officeDocument/2006/relationships/hyperlink" Target="https://afinvest.com.br/interno/relatorios/detalhes-de-ativos?id=2808&amp;codativo=AEGP19" TargetMode="External"/><Relationship Id="rId1128" Type="http://schemas.openxmlformats.org/officeDocument/2006/relationships/hyperlink" Target="https://afinvest.com.br/interno/relatorios/detalhes-de-ativos?id=2934&amp;codativo=MSGT33" TargetMode="External"/><Relationship Id="rId1335" Type="http://schemas.openxmlformats.org/officeDocument/2006/relationships/hyperlink" Target="https://afinvest.com.br/interno/relatorios/detalhes-de-ativos?id=2723&amp;codativo=RDORB9" TargetMode="External"/><Relationship Id="rId137" Type="http://schemas.openxmlformats.org/officeDocument/2006/relationships/hyperlink" Target="https://afinvest.com.br/interno/relatorios/detalhes-de-ativos?id=8803&amp;codativo=LF002400Q0B" TargetMode="External"/><Relationship Id="rId302" Type="http://schemas.openxmlformats.org/officeDocument/2006/relationships/hyperlink" Target="https://afinvest.com.br/interno/relatorios/detalhes-de-ativos?id=8328&amp;codativo=FIDC%20Guardian%20MC%20II%20Sr" TargetMode="External"/><Relationship Id="rId344" Type="http://schemas.openxmlformats.org/officeDocument/2006/relationships/hyperlink" Target="https://afinvest.com.br/interno/relatorios/detalhes-de-ativos?id=8007&amp;codativo=FIDC%20CloudWalk%20II" TargetMode="External"/><Relationship Id="rId691" Type="http://schemas.openxmlformats.org/officeDocument/2006/relationships/hyperlink" Target="https://afinvest.com.br/interno/relatorios/detalhes-de-ativos?id=3358&amp;codativo=BRKMB6" TargetMode="External"/><Relationship Id="rId747" Type="http://schemas.openxmlformats.org/officeDocument/2006/relationships/hyperlink" Target="https://afinvest.com.br/interno/relatorios/detalhes-de-ativos?id=9436&amp;codativo=Unigel%20nota%20participativa" TargetMode="External"/><Relationship Id="rId789" Type="http://schemas.openxmlformats.org/officeDocument/2006/relationships/hyperlink" Target="https://afinvest.com.br/interno/relatorios/detalhes-de-ativos?id=8852&amp;codativo=CDB924AJYNR" TargetMode="External"/><Relationship Id="rId912" Type="http://schemas.openxmlformats.org/officeDocument/2006/relationships/hyperlink" Target="https://afinvest.com.br/interno/relatorios/detalhes-de-ativos?id=3181&amp;codativo=LF002200DBM" TargetMode="External"/><Relationship Id="rId954" Type="http://schemas.openxmlformats.org/officeDocument/2006/relationships/hyperlink" Target="https://afinvest.com.br/interno/relatorios/detalhes-de-ativos?id=2710&amp;codativo=Santander%20CashBlack" TargetMode="External"/><Relationship Id="rId996" Type="http://schemas.openxmlformats.org/officeDocument/2006/relationships/hyperlink" Target="https://afinvest.com.br/interno/relatorios/detalhes-de-ativos?id=2927&amp;codativo=VBBR24" TargetMode="External"/><Relationship Id="rId1377" Type="http://schemas.openxmlformats.org/officeDocument/2006/relationships/hyperlink" Target="https://afinvest.com.br/interno/relatorios/detalhes-de-ativos?id=3358&amp;codativo=BRKMB6" TargetMode="External"/><Relationship Id="rId41" Type="http://schemas.openxmlformats.org/officeDocument/2006/relationships/hyperlink" Target="https://afinvest.com.br/interno/relatorios/detalhes-de-ativos?id=6001&amp;codativo=LFSN1900CR5" TargetMode="External"/><Relationship Id="rId83" Type="http://schemas.openxmlformats.org/officeDocument/2006/relationships/hyperlink" Target="https://afinvest.com.br/interno/relatorios/detalhes-de-ativos?id=2639&amp;codativo=LFSC190054I" TargetMode="External"/><Relationship Id="rId179" Type="http://schemas.openxmlformats.org/officeDocument/2006/relationships/hyperlink" Target="https://afinvest.com.br/interno/relatorios/detalhes-de-ativos?id=8111&amp;codativo=LF002400BZZ" TargetMode="External"/><Relationship Id="rId386" Type="http://schemas.openxmlformats.org/officeDocument/2006/relationships/hyperlink" Target="https://afinvest.com.br/interno/relatorios/detalhes-de-ativos?id=8116&amp;codativo=VLIDA0" TargetMode="External"/><Relationship Id="rId551" Type="http://schemas.openxmlformats.org/officeDocument/2006/relationships/hyperlink" Target="https://afinvest.com.br/interno/relatorios/detalhes-de-ativos?id=5764&amp;codativo=HBSA12" TargetMode="External"/><Relationship Id="rId593" Type="http://schemas.openxmlformats.org/officeDocument/2006/relationships/hyperlink" Target="https://afinvest.com.br/interno/relatorios/detalhes-de-ativos?id=7268&amp;codativo=ERDVB3" TargetMode="External"/><Relationship Id="rId607" Type="http://schemas.openxmlformats.org/officeDocument/2006/relationships/hyperlink" Target="https://afinvest.com.br/interno/relatorios/detalhes-de-ativos?id=2689&amp;codativo=CSAN23" TargetMode="External"/><Relationship Id="rId649" Type="http://schemas.openxmlformats.org/officeDocument/2006/relationships/hyperlink" Target="https://afinvest.com.br/interno/relatorios/detalhes-de-ativos?id=3179&amp;codativo=MTRO12" TargetMode="External"/><Relationship Id="rId814" Type="http://schemas.openxmlformats.org/officeDocument/2006/relationships/hyperlink" Target="https://afinvest.com.br/interno/relatorios/detalhes-de-ativos?id=1249&amp;codativo=CAIXA" TargetMode="External"/><Relationship Id="rId856" Type="http://schemas.openxmlformats.org/officeDocument/2006/relationships/hyperlink" Target="https://afinvest.com.br/interno/relatorios/detalhes-de-ativos?id=8523&amp;codativo=AMER11" TargetMode="External"/><Relationship Id="rId1181" Type="http://schemas.openxmlformats.org/officeDocument/2006/relationships/hyperlink" Target="https://afinvest.com.br/interno/relatorios/detalhes-de-ativos?id=144&amp;codativo=LFSC190054D" TargetMode="External"/><Relationship Id="rId1237" Type="http://schemas.openxmlformats.org/officeDocument/2006/relationships/hyperlink" Target="https://afinvest.com.br/interno/relatorios/detalhes-de-ativos?id=308&amp;codativo=KLBNA2" TargetMode="External"/><Relationship Id="rId1279" Type="http://schemas.openxmlformats.org/officeDocument/2006/relationships/hyperlink" Target="https://afinvest.com.br/interno/relatorios/detalhes-de-ativos?id=1459&amp;codativo=CRA%20Ferroeste%202%C2%AA%20S%C3%A9rie" TargetMode="External"/><Relationship Id="rId190" Type="http://schemas.openxmlformats.org/officeDocument/2006/relationships/hyperlink" Target="https://afinvest.com.br/interno/relatorios/detalhes-de-ativos?id=4120&amp;codativo=DAPMAI27" TargetMode="External"/><Relationship Id="rId204" Type="http://schemas.openxmlformats.org/officeDocument/2006/relationships/hyperlink" Target="https://afinvest.com.br/interno/relatorios/detalhes-de-ativos?id=3254&amp;codativo=DAPMAI25" TargetMode="External"/><Relationship Id="rId246" Type="http://schemas.openxmlformats.org/officeDocument/2006/relationships/hyperlink" Target="https://afinvest.com.br/interno/relatorios/detalhes-de-ativos?id=3247&amp;codativo=SANTANDER%20CASH%20ORANGE" TargetMode="External"/><Relationship Id="rId288" Type="http://schemas.openxmlformats.org/officeDocument/2006/relationships/hyperlink" Target="https://afinvest.com.br/interno/relatorios/detalhes-de-ativos?id=7680&amp;codativo=FIDC%20Pagbem%20Sr%207" TargetMode="External"/><Relationship Id="rId411" Type="http://schemas.openxmlformats.org/officeDocument/2006/relationships/hyperlink" Target="https://afinvest.com.br/interno/relatorios/detalhes-de-ativos?id=2918&amp;codativo=SULA29" TargetMode="External"/><Relationship Id="rId453" Type="http://schemas.openxmlformats.org/officeDocument/2006/relationships/hyperlink" Target="https://afinvest.com.br/interno/relatorios/detalhes-de-ativos?id=3014&amp;codativo=RDORC9" TargetMode="External"/><Relationship Id="rId509" Type="http://schemas.openxmlformats.org/officeDocument/2006/relationships/hyperlink" Target="https://afinvest.com.br/interno/relatorios/detalhes-de-ativos?id=215&amp;codativo=LIGHB6" TargetMode="External"/><Relationship Id="rId660" Type="http://schemas.openxmlformats.org/officeDocument/2006/relationships/hyperlink" Target="https://afinvest.com.br/interno/relatorios/detalhes-de-ativos?id=2780&amp;codativo=CBRDB8" TargetMode="External"/><Relationship Id="rId898" Type="http://schemas.openxmlformats.org/officeDocument/2006/relationships/hyperlink" Target="https://afinvest.com.br/interno/relatorios/detalhes-de-ativos?id=8351&amp;codativo=LF002400GAO" TargetMode="External"/><Relationship Id="rId1041" Type="http://schemas.openxmlformats.org/officeDocument/2006/relationships/hyperlink" Target="https://afinvest.com.br/interno/relatorios/detalhes-de-ativos?id=2877&amp;codativo=HAPV22" TargetMode="External"/><Relationship Id="rId1083" Type="http://schemas.openxmlformats.org/officeDocument/2006/relationships/hyperlink" Target="https://afinvest.com.br/interno/relatorios/detalhes-de-ativos?id=6827&amp;codativo=CDB323EWULR" TargetMode="External"/><Relationship Id="rId1139" Type="http://schemas.openxmlformats.org/officeDocument/2006/relationships/hyperlink" Target="https://afinvest.com.br/interno/relatorios/detalhes-de-ativos?id=3475&amp;codativo=ENEV18" TargetMode="External"/><Relationship Id="rId1290" Type="http://schemas.openxmlformats.org/officeDocument/2006/relationships/hyperlink" Target="https://afinvest.com.br/interno/relatorios/detalhes-de-ativos?id=1417&amp;codativo=DAPAGO30" TargetMode="External"/><Relationship Id="rId1304" Type="http://schemas.openxmlformats.org/officeDocument/2006/relationships/hyperlink" Target="https://afinvest.com.br/interno/relatorios/detalhes-de-ativos?id=7680&amp;codativo=FIDC%20Pagbem%20Sr%207" TargetMode="External"/><Relationship Id="rId1346" Type="http://schemas.openxmlformats.org/officeDocument/2006/relationships/hyperlink" Target="https://afinvest.com.br/interno/relatorios/detalhes-de-ativos?id=1427&amp;codativo=LIGH1B" TargetMode="External"/><Relationship Id="rId106" Type="http://schemas.openxmlformats.org/officeDocument/2006/relationships/hyperlink" Target="https://afinvest.com.br/interno/relatorios/detalhes-de-ativos?id=262&amp;codativo=LFSC19000BP" TargetMode="External"/><Relationship Id="rId313" Type="http://schemas.openxmlformats.org/officeDocument/2006/relationships/hyperlink" Target="https://afinvest.com.br/interno/relatorios/detalhes-de-ativos?id=3505&amp;codativo=FIDC%20URA%20Agro%20SR" TargetMode="External"/><Relationship Id="rId495" Type="http://schemas.openxmlformats.org/officeDocument/2006/relationships/hyperlink" Target="https://afinvest.com.br/interno/relatorios/detalhes-de-ativos?id=3059&amp;codativo=MNRVA1" TargetMode="External"/><Relationship Id="rId716" Type="http://schemas.openxmlformats.org/officeDocument/2006/relationships/hyperlink" Target="https://afinvest.com.br/interno/relatorios/detalhes-de-ativos?id=2693&amp;codativo=AERI12" TargetMode="External"/><Relationship Id="rId758" Type="http://schemas.openxmlformats.org/officeDocument/2006/relationships/hyperlink" Target="https://afinvest.com.br/interno/relatorios/detalhes-de-ativos?id=2611&amp;codativo=CSANBZ%20PERP" TargetMode="External"/><Relationship Id="rId923" Type="http://schemas.openxmlformats.org/officeDocument/2006/relationships/hyperlink" Target="https://afinvest.com.br/interno/relatorios/detalhes-de-ativos?id=7100&amp;codativo=LF002307IJ6" TargetMode="External"/><Relationship Id="rId965" Type="http://schemas.openxmlformats.org/officeDocument/2006/relationships/hyperlink" Target="https://afinvest.com.br/interno/relatorios/detalhes-de-ativos?id=7740&amp;codativo=SANTANDER%20CASH%20BLACK%20IX" TargetMode="External"/><Relationship Id="rId1150" Type="http://schemas.openxmlformats.org/officeDocument/2006/relationships/hyperlink" Target="https://afinvest.com.br/interno/relatorios/detalhes-de-ativos?id=8516&amp;codativo=IVIAA0" TargetMode="External"/><Relationship Id="rId1388" Type="http://schemas.openxmlformats.org/officeDocument/2006/relationships/hyperlink" Target="https://afinvest.com.br/interno/relatorios/detalhes-de-ativos?id=1249&amp;codativo=CAIXA" TargetMode="External"/><Relationship Id="rId10" Type="http://schemas.openxmlformats.org/officeDocument/2006/relationships/hyperlink" Target="https://afinvest.com.br/interno/relatorios/detalhes-de-ativos?id=366&amp;codativo=LFT%20mar%2026" TargetMode="External"/><Relationship Id="rId52" Type="http://schemas.openxmlformats.org/officeDocument/2006/relationships/hyperlink" Target="https://afinvest.com.br/interno/relatorios/detalhes-de-ativos?id=5821&amp;codativo=LFSN2200E75" TargetMode="External"/><Relationship Id="rId94" Type="http://schemas.openxmlformats.org/officeDocument/2006/relationships/hyperlink" Target="https://afinvest.com.br/interno/relatorios/detalhes-de-ativos?id=262&amp;codativo=LFSC19000BR" TargetMode="External"/><Relationship Id="rId148" Type="http://schemas.openxmlformats.org/officeDocument/2006/relationships/hyperlink" Target="https://afinvest.com.br/interno/relatorios/detalhes-de-ativos?id=8578&amp;codativo=LF002400KBY" TargetMode="External"/><Relationship Id="rId355" Type="http://schemas.openxmlformats.org/officeDocument/2006/relationships/hyperlink" Target="https://afinvest.com.br/interno/relatorios/detalhes-de-ativos?id=2721&amp;codativo=VIXL14" TargetMode="External"/><Relationship Id="rId397" Type="http://schemas.openxmlformats.org/officeDocument/2006/relationships/hyperlink" Target="https://afinvest.com.br/interno/relatorios/detalhes-de-ativos?id=9445&amp;codativo=VERT19%20(nota%20participativa)" TargetMode="External"/><Relationship Id="rId520" Type="http://schemas.openxmlformats.org/officeDocument/2006/relationships/hyperlink" Target="https://afinvest.com.br/interno/relatorios/detalhes-de-ativos?id=1427&amp;codativo=LIGH1B" TargetMode="External"/><Relationship Id="rId562" Type="http://schemas.openxmlformats.org/officeDocument/2006/relationships/hyperlink" Target="https://afinvest.com.br/interno/relatorios/detalhes-de-ativos?id=9151&amp;codativo=AEGE17" TargetMode="External"/><Relationship Id="rId618" Type="http://schemas.openxmlformats.org/officeDocument/2006/relationships/hyperlink" Target="https://afinvest.com.br/interno/relatorios/detalhes-de-ativos?id=2833&amp;codativo=CGBP13" TargetMode="External"/><Relationship Id="rId825" Type="http://schemas.openxmlformats.org/officeDocument/2006/relationships/hyperlink" Target="https://afinvest.com.br/interno/relatorios/detalhes-de-ativos?id=8285&amp;codativo=VTRU3" TargetMode="External"/><Relationship Id="rId1192" Type="http://schemas.openxmlformats.org/officeDocument/2006/relationships/hyperlink" Target="https://afinvest.com.br/interno/relatorios/detalhes-de-ativos?id=4120&amp;codativo=DAPMAI27" TargetMode="External"/><Relationship Id="rId1206" Type="http://schemas.openxmlformats.org/officeDocument/2006/relationships/hyperlink" Target="https://afinvest.com.br/interno/relatorios/detalhes-de-ativos?id=1220&amp;codativo=FIDC%20SIMPAR" TargetMode="External"/><Relationship Id="rId1248" Type="http://schemas.openxmlformats.org/officeDocument/2006/relationships/hyperlink" Target="https://afinvest.com.br/interno/relatorios/detalhes-de-ativos?id=7269&amp;codativo=ERDVC3" TargetMode="External"/><Relationship Id="rId215" Type="http://schemas.openxmlformats.org/officeDocument/2006/relationships/hyperlink" Target="https://afinvest.com.br/interno/relatorios/detalhes-de-ativos?id=9080&amp;codativo=T10JUN25" TargetMode="External"/><Relationship Id="rId257" Type="http://schemas.openxmlformats.org/officeDocument/2006/relationships/hyperlink" Target="https://afinvest.com.br/interno/relatorios/detalhes-de-ativos?id=7739&amp;codativo=SANTANDER%20CASH%20BLACK%20III" TargetMode="External"/><Relationship Id="rId422" Type="http://schemas.openxmlformats.org/officeDocument/2006/relationships/hyperlink" Target="https://afinvest.com.br/interno/relatorios/detalhes-de-ativos?id=6041&amp;codativo=SIMH16" TargetMode="External"/><Relationship Id="rId464" Type="http://schemas.openxmlformats.org/officeDocument/2006/relationships/hyperlink" Target="https://afinvest.com.br/interno/relatorios/detalhes-de-ativos?id=5906&amp;codativo=PEJA21" TargetMode="External"/><Relationship Id="rId867" Type="http://schemas.openxmlformats.org/officeDocument/2006/relationships/hyperlink" Target="https://afinvest.com.br/interno/relatorios/detalhes-de-ativos?id=2964&amp;codativo=LFT%20mar%2028" TargetMode="External"/><Relationship Id="rId1010" Type="http://schemas.openxmlformats.org/officeDocument/2006/relationships/hyperlink" Target="https://afinvest.com.br/interno/relatorios/detalhes-de-ativos?id=1410&amp;codativo=ASAI22" TargetMode="External"/><Relationship Id="rId1052" Type="http://schemas.openxmlformats.org/officeDocument/2006/relationships/hyperlink" Target="https://afinvest.com.br/interno/relatorios/detalhes-de-ativos?id=7543&amp;codativo=CRNP11" TargetMode="External"/><Relationship Id="rId1094" Type="http://schemas.openxmlformats.org/officeDocument/2006/relationships/hyperlink" Target="https://afinvest.com.br/interno/relatorios/detalhes-de-ativos?id=1473&amp;codativo=AMER3" TargetMode="External"/><Relationship Id="rId1108" Type="http://schemas.openxmlformats.org/officeDocument/2006/relationships/hyperlink" Target="https://afinvest.com.br/interno/relatorios/detalhes-de-ativos?id=9577&amp;codativo=BR07S4CTF068" TargetMode="External"/><Relationship Id="rId1315" Type="http://schemas.openxmlformats.org/officeDocument/2006/relationships/hyperlink" Target="https://afinvest.com.br/interno/relatorios/detalhes-de-ativos?id=2721&amp;codativo=VIXL14" TargetMode="External"/><Relationship Id="rId299" Type="http://schemas.openxmlformats.org/officeDocument/2006/relationships/hyperlink" Target="https://afinvest.com.br/interno/relatorios/detalhes-de-ativos?id=8328&amp;codativo=FIDC%20Guardian%20MC%20II%20Sr" TargetMode="External"/><Relationship Id="rId727" Type="http://schemas.openxmlformats.org/officeDocument/2006/relationships/hyperlink" Target="https://afinvest.com.br/interno/relatorios/detalhes-de-ativos?id=7897&amp;codativo=CRI%20PERNAMBUCO%2035%C2%AA%20(23J1753853)" TargetMode="External"/><Relationship Id="rId934" Type="http://schemas.openxmlformats.org/officeDocument/2006/relationships/hyperlink" Target="https://afinvest.com.br/interno/relatorios/detalhes-de-ativos?id=3254&amp;codativo=DAPMAI25" TargetMode="External"/><Relationship Id="rId1357" Type="http://schemas.openxmlformats.org/officeDocument/2006/relationships/hyperlink" Target="https://afinvest.com.br/interno/relatorios/detalhes-de-ativos?id=7268&amp;codativo=ERDVB3" TargetMode="External"/><Relationship Id="rId63" Type="http://schemas.openxmlformats.org/officeDocument/2006/relationships/hyperlink" Target="https://afinvest.com.br/interno/relatorios/detalhes-de-ativos?id=6005&amp;codativo=LFSN2200G2K" TargetMode="External"/><Relationship Id="rId159" Type="http://schemas.openxmlformats.org/officeDocument/2006/relationships/hyperlink" Target="https://afinvest.com.br/interno/relatorios/detalhes-de-ativos?id=8399&amp;codativo=LF002400GJ4" TargetMode="External"/><Relationship Id="rId366" Type="http://schemas.openxmlformats.org/officeDocument/2006/relationships/hyperlink" Target="https://afinvest.com.br/interno/relatorios/detalhes-de-ativos?id=3424&amp;codativo=VECS11" TargetMode="External"/><Relationship Id="rId573" Type="http://schemas.openxmlformats.org/officeDocument/2006/relationships/hyperlink" Target="https://afinvest.com.br/interno/relatorios/detalhes-de-ativos?id=7270&amp;codativo=CGOS14" TargetMode="External"/><Relationship Id="rId780" Type="http://schemas.openxmlformats.org/officeDocument/2006/relationships/hyperlink" Target="https://afinvest.com.br/interno/relatorios/detalhes-de-ativos?id=6827&amp;codativo=CDB323EWULR" TargetMode="External"/><Relationship Id="rId1217" Type="http://schemas.openxmlformats.org/officeDocument/2006/relationships/hyperlink" Target="https://afinvest.com.br/interno/relatorios/detalhes-de-ativos?id=7868&amp;codativo=VERO13" TargetMode="External"/><Relationship Id="rId226" Type="http://schemas.openxmlformats.org/officeDocument/2006/relationships/hyperlink" Target="https://afinvest.com.br/interno/relatorios/detalhes-de-ativos?id=2677&amp;codativo=DI1JAN29" TargetMode="External"/><Relationship Id="rId433" Type="http://schemas.openxmlformats.org/officeDocument/2006/relationships/hyperlink" Target="https://afinvest.com.br/interno/relatorios/detalhes-de-ativos?id=8398&amp;codativo=ASAIA0" TargetMode="External"/><Relationship Id="rId878" Type="http://schemas.openxmlformats.org/officeDocument/2006/relationships/hyperlink" Target="https://afinvest.com.br/interno/relatorios/detalhes-de-ativos?id=5821&amp;codativo=LFSN2200E75" TargetMode="External"/><Relationship Id="rId1063" Type="http://schemas.openxmlformats.org/officeDocument/2006/relationships/hyperlink" Target="https://afinvest.com.br/interno/relatorios/detalhes-de-ativos?id=5722&amp;codativo=AALR13" TargetMode="External"/><Relationship Id="rId1270" Type="http://schemas.openxmlformats.org/officeDocument/2006/relationships/hyperlink" Target="https://afinvest.com.br/interno/relatorios/detalhes-de-ativos?id=300&amp;codativo=ALGA28" TargetMode="External"/><Relationship Id="rId640" Type="http://schemas.openxmlformats.org/officeDocument/2006/relationships/hyperlink" Target="https://afinvest.com.br/interno/relatorios/detalhes-de-ativos?id=3508&amp;codativo=CRCG12" TargetMode="External"/><Relationship Id="rId738" Type="http://schemas.openxmlformats.org/officeDocument/2006/relationships/hyperlink" Target="https://afinvest.com.br/interno/relatorios/detalhes-de-ativos?id=1459&amp;codativo=CRA%20Ferroeste%202%C2%AA%20S%C3%A9rie" TargetMode="External"/><Relationship Id="rId945" Type="http://schemas.openxmlformats.org/officeDocument/2006/relationships/hyperlink" Target="https://afinvest.com.br/interno/relatorios/detalhes-de-ativos?id=391&amp;codativo=GERAES%2030" TargetMode="External"/><Relationship Id="rId1368" Type="http://schemas.openxmlformats.org/officeDocument/2006/relationships/hyperlink" Target="https://afinvest.com.br/interno/relatorios/detalhes-de-ativos?id=3508&amp;codativo=CRCG12" TargetMode="External"/><Relationship Id="rId74" Type="http://schemas.openxmlformats.org/officeDocument/2006/relationships/hyperlink" Target="https://afinvest.com.br/interno/relatorios/detalhes-de-ativos?id=7720&amp;codativo=LFSC24000BB" TargetMode="External"/><Relationship Id="rId377" Type="http://schemas.openxmlformats.org/officeDocument/2006/relationships/hyperlink" Target="https://afinvest.com.br/interno/relatorios/detalhes-de-ativos?id=1464&amp;codativo=VAMO23" TargetMode="External"/><Relationship Id="rId500" Type="http://schemas.openxmlformats.org/officeDocument/2006/relationships/hyperlink" Target="https://afinvest.com.br/interno/relatorios/detalhes-de-ativos?id=7539&amp;codativo=LCAMC3" TargetMode="External"/><Relationship Id="rId584" Type="http://schemas.openxmlformats.org/officeDocument/2006/relationships/hyperlink" Target="https://afinvest.com.br/interno/relatorios/detalhes-de-ativos?id=7269&amp;codativo=ERDVC3" TargetMode="External"/><Relationship Id="rId805" Type="http://schemas.openxmlformats.org/officeDocument/2006/relationships/hyperlink" Target="https://afinvest.com.br/interno/relatorios/detalhes-de-ativos?id=8577&amp;codativo=CDB724BH6RG" TargetMode="External"/><Relationship Id="rId1130" Type="http://schemas.openxmlformats.org/officeDocument/2006/relationships/hyperlink" Target="https://afinvest.com.br/interno/relatorios/detalhes-de-ativos?id=8798&amp;codativo=KLBNA5" TargetMode="External"/><Relationship Id="rId1228" Type="http://schemas.openxmlformats.org/officeDocument/2006/relationships/hyperlink" Target="https://afinvest.com.br/interno/relatorios/detalhes-de-ativos?id=1420&amp;codativo=SBFC12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391&amp;codativo=GERAES%2030" TargetMode="External"/><Relationship Id="rId791" Type="http://schemas.openxmlformats.org/officeDocument/2006/relationships/hyperlink" Target="https://afinvest.com.br/interno/relatorios/detalhes-de-ativos?id=8852&amp;codativo=CDB924AJYNT" TargetMode="External"/><Relationship Id="rId889" Type="http://schemas.openxmlformats.org/officeDocument/2006/relationships/hyperlink" Target="https://afinvest.com.br/interno/relatorios/detalhes-de-ativos?id=6885&amp;codativo=LF002305RGQ" TargetMode="External"/><Relationship Id="rId1074" Type="http://schemas.openxmlformats.org/officeDocument/2006/relationships/hyperlink" Target="https://afinvest.com.br/interno/relatorios/detalhes-de-ativos?id=2795&amp;codativo=CRI%20Bem%20Brasil" TargetMode="External"/><Relationship Id="rId444" Type="http://schemas.openxmlformats.org/officeDocument/2006/relationships/hyperlink" Target="https://afinvest.com.br/interno/relatorios/detalhes-de-ativos?id=3047&amp;codativo=GASC23" TargetMode="External"/><Relationship Id="rId651" Type="http://schemas.openxmlformats.org/officeDocument/2006/relationships/hyperlink" Target="https://afinvest.com.br/interno/relatorios/detalhes-de-ativos?id=8443&amp;codativo=CAEC12" TargetMode="External"/><Relationship Id="rId749" Type="http://schemas.openxmlformats.org/officeDocument/2006/relationships/hyperlink" Target="https://afinvest.com.br/interno/relatorios/detalhes-de-ativos?id=8711&amp;codativo=USP8T88JAA61" TargetMode="External"/><Relationship Id="rId1281" Type="http://schemas.openxmlformats.org/officeDocument/2006/relationships/hyperlink" Target="https://afinvest.com.br/interno/relatorios/detalhes-de-ativos?id=1249&amp;codativo=CAIXA" TargetMode="External"/><Relationship Id="rId1379" Type="http://schemas.openxmlformats.org/officeDocument/2006/relationships/hyperlink" Target="https://afinvest.com.br/interno/relatorios/detalhes-de-ativos?id=2891&amp;codativo=ALGAB1" TargetMode="External"/><Relationship Id="rId290" Type="http://schemas.openxmlformats.org/officeDocument/2006/relationships/hyperlink" Target="https://afinvest.com.br/interno/relatorios/detalhes-de-ativos?id=7680&amp;codativo=FIDC%20Pagbem%20Sr%207" TargetMode="External"/><Relationship Id="rId304" Type="http://schemas.openxmlformats.org/officeDocument/2006/relationships/hyperlink" Target="https://afinvest.com.br/interno/relatorios/detalhes-de-ativos?id=8328&amp;codativo=FIDC%20Guardian%20MC%20II%20Sr" TargetMode="External"/><Relationship Id="rId388" Type="http://schemas.openxmlformats.org/officeDocument/2006/relationships/hyperlink" Target="https://afinvest.com.br/interno/relatorios/detalhes-de-ativos?id=8116&amp;codativo=VLIDA0" TargetMode="External"/><Relationship Id="rId511" Type="http://schemas.openxmlformats.org/officeDocument/2006/relationships/hyperlink" Target="https://afinvest.com.br/interno/relatorios/detalhes-de-ativos?id=1637&amp;codativo=LIGHC6" TargetMode="External"/><Relationship Id="rId609" Type="http://schemas.openxmlformats.org/officeDocument/2006/relationships/hyperlink" Target="https://afinvest.com.br/interno/relatorios/detalhes-de-ativos?id=8432&amp;codativo=CSANB0" TargetMode="External"/><Relationship Id="rId956" Type="http://schemas.openxmlformats.org/officeDocument/2006/relationships/hyperlink" Target="https://afinvest.com.br/interno/relatorios/detalhes-de-ativos?id=7744&amp;codativo=SANTANDER%20CASH%20BLACK%20II" TargetMode="External"/><Relationship Id="rId1141" Type="http://schemas.openxmlformats.org/officeDocument/2006/relationships/hyperlink" Target="https://afinvest.com.br/interno/relatorios/detalhes-de-ativos?id=9107&amp;codativo=ENGIB2" TargetMode="External"/><Relationship Id="rId1239" Type="http://schemas.openxmlformats.org/officeDocument/2006/relationships/hyperlink" Target="https://afinvest.com.br/interno/relatorios/detalhes-de-ativos?id=2844&amp;codativo=MATD11" TargetMode="External"/><Relationship Id="rId85" Type="http://schemas.openxmlformats.org/officeDocument/2006/relationships/hyperlink" Target="https://afinvest.com.br/interno/relatorios/detalhes-de-ativos?id=144&amp;codativo=LFSC190054D" TargetMode="External"/><Relationship Id="rId150" Type="http://schemas.openxmlformats.org/officeDocument/2006/relationships/hyperlink" Target="https://afinvest.com.br/interno/relatorios/detalhes-de-ativos?id=3181&amp;codativo=LF002200DBM" TargetMode="External"/><Relationship Id="rId595" Type="http://schemas.openxmlformats.org/officeDocument/2006/relationships/hyperlink" Target="https://afinvest.com.br/interno/relatorios/detalhes-de-ativos?id=1596&amp;codativo=DASAA4" TargetMode="External"/><Relationship Id="rId816" Type="http://schemas.openxmlformats.org/officeDocument/2006/relationships/hyperlink" Target="https://afinvest.com.br/interno/relatorios/detalhes-de-ativos?id=1249&amp;codativo=CAIXA" TargetMode="External"/><Relationship Id="rId1001" Type="http://schemas.openxmlformats.org/officeDocument/2006/relationships/hyperlink" Target="https://afinvest.com.br/interno/relatorios/detalhes-de-ativos?id=1464&amp;codativo=VAMO23" TargetMode="External"/><Relationship Id="rId248" Type="http://schemas.openxmlformats.org/officeDocument/2006/relationships/hyperlink" Target="https://afinvest.com.br/interno/relatorios/detalhes-de-ativos?id=1104&amp;codativo=CASH%20BLUE" TargetMode="External"/><Relationship Id="rId455" Type="http://schemas.openxmlformats.org/officeDocument/2006/relationships/hyperlink" Target="https://afinvest.com.br/interno/relatorios/detalhes-de-ativos?id=3014&amp;codativo=RDORC9" TargetMode="External"/><Relationship Id="rId662" Type="http://schemas.openxmlformats.org/officeDocument/2006/relationships/hyperlink" Target="https://afinvest.com.br/interno/relatorios/detalhes-de-ativos?id=2780&amp;codativo=CBRDB8" TargetMode="External"/><Relationship Id="rId1085" Type="http://schemas.openxmlformats.org/officeDocument/2006/relationships/hyperlink" Target="https://afinvest.com.br/interno/relatorios/detalhes-de-ativos?id=8710&amp;codativo=CDB824AAYUB" TargetMode="External"/><Relationship Id="rId1292" Type="http://schemas.openxmlformats.org/officeDocument/2006/relationships/hyperlink" Target="https://afinvest.com.br/interno/relatorios/detalhes-de-ativos?id=3090&amp;codativo=DAPMAI35" TargetMode="External"/><Relationship Id="rId1306" Type="http://schemas.openxmlformats.org/officeDocument/2006/relationships/hyperlink" Target="https://afinvest.com.br/interno/relatorios/detalhes-de-ativos?id=8328&amp;codativo=FIDC%20Guardian%20MC%20II%20Sr" TargetMode="External"/><Relationship Id="rId12" Type="http://schemas.openxmlformats.org/officeDocument/2006/relationships/hyperlink" Target="https://afinvest.com.br/interno/relatorios/detalhes-de-ativos?id=403&amp;codativo=LFT%20set%2025" TargetMode="External"/><Relationship Id="rId108" Type="http://schemas.openxmlformats.org/officeDocument/2006/relationships/hyperlink" Target="https://afinvest.com.br/interno/relatorios/detalhes-de-ativos?id=7896&amp;codativo=LF002400951" TargetMode="External"/><Relationship Id="rId315" Type="http://schemas.openxmlformats.org/officeDocument/2006/relationships/hyperlink" Target="https://afinvest.com.br/interno/relatorios/detalhes-de-ativos?id=3505&amp;codativo=FIDC%20URA%20Agro%20SR" TargetMode="External"/><Relationship Id="rId522" Type="http://schemas.openxmlformats.org/officeDocument/2006/relationships/hyperlink" Target="https://afinvest.com.br/interno/relatorios/detalhes-de-ativos?id=215&amp;codativo=LIGHB6" TargetMode="External"/><Relationship Id="rId967" Type="http://schemas.openxmlformats.org/officeDocument/2006/relationships/hyperlink" Target="https://afinvest.com.br/interno/relatorios/detalhes-de-ativos?id=7742&amp;codativo=SANTANDER%20CASH%20BLACK%20V" TargetMode="External"/><Relationship Id="rId1152" Type="http://schemas.openxmlformats.org/officeDocument/2006/relationships/hyperlink" Target="https://afinvest.com.br/interno/relatorios/detalhes-de-ativos?id=7475&amp;codativo=PALFB3" TargetMode="External"/><Relationship Id="rId96" Type="http://schemas.openxmlformats.org/officeDocument/2006/relationships/hyperlink" Target="https://afinvest.com.br/interno/relatorios/detalhes-de-ativos?id=7859&amp;codativo=LFSC24001JR" TargetMode="External"/><Relationship Id="rId161" Type="http://schemas.openxmlformats.org/officeDocument/2006/relationships/hyperlink" Target="https://afinvest.com.br/interno/relatorios/detalhes-de-ativos?id=8399&amp;codativo=LF002400GJ4" TargetMode="External"/><Relationship Id="rId399" Type="http://schemas.openxmlformats.org/officeDocument/2006/relationships/hyperlink" Target="https://afinvest.com.br/interno/relatorios/detalhes-de-ativos?id=9445&amp;codativo=VERT19%20(nota%20participativa)" TargetMode="External"/><Relationship Id="rId827" Type="http://schemas.openxmlformats.org/officeDocument/2006/relationships/hyperlink" Target="https://afinvest.com.br/interno/relatorios/detalhes-de-ativos?id=958&amp;codativo=TUPY3" TargetMode="External"/><Relationship Id="rId1012" Type="http://schemas.openxmlformats.org/officeDocument/2006/relationships/hyperlink" Target="https://afinvest.com.br/interno/relatorios/detalhes-de-ativos?id=1420&amp;codativo=SBFC12" TargetMode="External"/><Relationship Id="rId259" Type="http://schemas.openxmlformats.org/officeDocument/2006/relationships/hyperlink" Target="https://afinvest.com.br/interno/relatorios/detalhes-de-ativos?id=7747&amp;codativo=SANTANDER%20CASH%20BLACK%20VI" TargetMode="External"/><Relationship Id="rId466" Type="http://schemas.openxmlformats.org/officeDocument/2006/relationships/hyperlink" Target="https://afinvest.com.br/interno/relatorios/detalhes-de-ativos?id=5906&amp;codativo=PEJA21" TargetMode="External"/><Relationship Id="rId673" Type="http://schemas.openxmlformats.org/officeDocument/2006/relationships/hyperlink" Target="https://afinvest.com.br/interno/relatorios/detalhes-de-ativos?id=5722&amp;codativo=AALR13" TargetMode="External"/><Relationship Id="rId880" Type="http://schemas.openxmlformats.org/officeDocument/2006/relationships/hyperlink" Target="https://afinvest.com.br/interno/relatorios/detalhes-de-ativos?id=192&amp;codativo=LFSN1800CUH" TargetMode="External"/><Relationship Id="rId1096" Type="http://schemas.openxmlformats.org/officeDocument/2006/relationships/hyperlink" Target="https://afinvest.com.br/interno/relatorios/detalhes-de-ativos?id=2769&amp;codativo=GOLD11" TargetMode="External"/><Relationship Id="rId1317" Type="http://schemas.openxmlformats.org/officeDocument/2006/relationships/hyperlink" Target="https://afinvest.com.br/interno/relatorios/detalhes-de-ativos?id=2927&amp;codativo=VBBR24" TargetMode="External"/><Relationship Id="rId23" Type="http://schemas.openxmlformats.org/officeDocument/2006/relationships/hyperlink" Target="https://afinvest.com.br/interno/relatorios/detalhes-de-ativos?id=1271&amp;codativo=Provis%C3%A3o" TargetMode="External"/><Relationship Id="rId119" Type="http://schemas.openxmlformats.org/officeDocument/2006/relationships/hyperlink" Target="https://afinvest.com.br/interno/relatorios/detalhes-de-ativos?id=6880&amp;codativo=LF002305RGO" TargetMode="External"/><Relationship Id="rId326" Type="http://schemas.openxmlformats.org/officeDocument/2006/relationships/hyperlink" Target="https://afinvest.com.br/interno/relatorios/detalhes-de-ativos?id=9223&amp;codativo=FIDC%20PICPAY%20FGTS%20SR" TargetMode="External"/><Relationship Id="rId533" Type="http://schemas.openxmlformats.org/officeDocument/2006/relationships/hyperlink" Target="https://afinvest.com.br/interno/relatorios/detalhes-de-ativos?id=308&amp;codativo=KLBNA2" TargetMode="External"/><Relationship Id="rId978" Type="http://schemas.openxmlformats.org/officeDocument/2006/relationships/hyperlink" Target="https://afinvest.com.br/interno/relatorios/detalhes-de-ativos?id=7810&amp;codativo=FIDC%20ACR%20Fast" TargetMode="External"/><Relationship Id="rId1163" Type="http://schemas.openxmlformats.org/officeDocument/2006/relationships/hyperlink" Target="https://afinvest.com.br/interno/relatorios/detalhes-de-ativos?id=6918&amp;codativo=RIS422" TargetMode="External"/><Relationship Id="rId1370" Type="http://schemas.openxmlformats.org/officeDocument/2006/relationships/hyperlink" Target="https://afinvest.com.br/interno/relatorios/detalhes-de-ativos?id=5638&amp;codativo=COCE18" TargetMode="External"/><Relationship Id="rId740" Type="http://schemas.openxmlformats.org/officeDocument/2006/relationships/hyperlink" Target="https://afinvest.com.br/interno/relatorios/detalhes-de-ativos?id=1459&amp;codativo=CRA%20Ferroeste%202%C2%AA%20S%C3%A9rie" TargetMode="External"/><Relationship Id="rId838" Type="http://schemas.openxmlformats.org/officeDocument/2006/relationships/hyperlink" Target="https://afinvest.com.br/interno/relatorios/detalhes-de-ativos?id=1473&amp;codativo=AMER3" TargetMode="External"/><Relationship Id="rId1023" Type="http://schemas.openxmlformats.org/officeDocument/2006/relationships/hyperlink" Target="https://afinvest.com.br/interno/relatorios/detalhes-de-ativos?id=8875&amp;codativo=NTSD17" TargetMode="External"/><Relationship Id="rId172" Type="http://schemas.openxmlformats.org/officeDocument/2006/relationships/hyperlink" Target="https://afinvest.com.br/interno/relatorios/detalhes-de-ativos?id=5818&amp;codativo=LF002200QQO" TargetMode="External"/><Relationship Id="rId477" Type="http://schemas.openxmlformats.org/officeDocument/2006/relationships/hyperlink" Target="https://afinvest.com.br/interno/relatorios/detalhes-de-ativos?id=2626&amp;codativo=OMGE13" TargetMode="External"/><Relationship Id="rId600" Type="http://schemas.openxmlformats.org/officeDocument/2006/relationships/hyperlink" Target="https://afinvest.com.br/interno/relatorios/detalhes-de-ativos?id=1596&amp;codativo=DASAA4" TargetMode="External"/><Relationship Id="rId684" Type="http://schemas.openxmlformats.org/officeDocument/2006/relationships/hyperlink" Target="https://afinvest.com.br/interno/relatorios/detalhes-de-ativos?id=6410&amp;codativo=BRFS31" TargetMode="External"/><Relationship Id="rId1230" Type="http://schemas.openxmlformats.org/officeDocument/2006/relationships/hyperlink" Target="https://afinvest.com.br/interno/relatorios/detalhes-de-ativos?id=3468&amp;codativo=PEJA11" TargetMode="External"/><Relationship Id="rId1328" Type="http://schemas.openxmlformats.org/officeDocument/2006/relationships/hyperlink" Target="https://afinvest.com.br/interno/relatorios/detalhes-de-ativos?id=6919&amp;codativo=RISP12" TargetMode="External"/><Relationship Id="rId337" Type="http://schemas.openxmlformats.org/officeDocument/2006/relationships/hyperlink" Target="https://afinvest.com.br/interno/relatorios/detalhes-de-ativos?id=3409&amp;codativo=FIDC%20Bemol" TargetMode="External"/><Relationship Id="rId891" Type="http://schemas.openxmlformats.org/officeDocument/2006/relationships/hyperlink" Target="https://afinvest.com.br/interno/relatorios/detalhes-de-ativos?id=6884&amp;codativo=LF002305RGT" TargetMode="External"/><Relationship Id="rId905" Type="http://schemas.openxmlformats.org/officeDocument/2006/relationships/hyperlink" Target="https://afinvest.com.br/interno/relatorios/detalhes-de-ativos?id=3258&amp;codativo=LF002200G90" TargetMode="External"/><Relationship Id="rId989" Type="http://schemas.openxmlformats.org/officeDocument/2006/relationships/hyperlink" Target="https://afinvest.com.br/interno/relatorios/detalhes-de-ativos?id=8007&amp;codativo=FIDC%20CloudWalk%20II" TargetMode="External"/><Relationship Id="rId34" Type="http://schemas.openxmlformats.org/officeDocument/2006/relationships/hyperlink" Target="https://afinvest.com.br/interno/relatorios/detalhes-de-ativos?id=1271&amp;codativo=Provis%C3%A3o" TargetMode="External"/><Relationship Id="rId544" Type="http://schemas.openxmlformats.org/officeDocument/2006/relationships/hyperlink" Target="https://afinvest.com.br/interno/relatorios/detalhes-de-ativos?id=2844&amp;codativo=MATD11" TargetMode="External"/><Relationship Id="rId751" Type="http://schemas.openxmlformats.org/officeDocument/2006/relationships/hyperlink" Target="https://afinvest.com.br/interno/relatorios/detalhes-de-ativos?id=1260&amp;codativo=SIMHBZ31" TargetMode="External"/><Relationship Id="rId849" Type="http://schemas.openxmlformats.org/officeDocument/2006/relationships/hyperlink" Target="https://afinvest.com.br/interno/relatorios/detalhes-de-ativos?id=7&amp;codativo=COGN3" TargetMode="External"/><Relationship Id="rId1174" Type="http://schemas.openxmlformats.org/officeDocument/2006/relationships/hyperlink" Target="https://afinvest.com.br/interno/relatorios/detalhes-de-ativos?id=151&amp;codativo=LFSN19001BH" TargetMode="External"/><Relationship Id="rId1381" Type="http://schemas.openxmlformats.org/officeDocument/2006/relationships/hyperlink" Target="https://afinvest.com.br/interno/relatorios/detalhes-de-ativos?id=9081&amp;codativo=CRI%20Vic%20Engenharia%201%C2%AA%20Emiss%C3%A3o" TargetMode="External"/><Relationship Id="rId183" Type="http://schemas.openxmlformats.org/officeDocument/2006/relationships/hyperlink" Target="https://afinvest.com.br/interno/relatorios/detalhes-de-ativos?id=7100&amp;codativo=LF002307IJ6" TargetMode="External"/><Relationship Id="rId390" Type="http://schemas.openxmlformats.org/officeDocument/2006/relationships/hyperlink" Target="https://afinvest.com.br/interno/relatorios/detalhes-de-ativos?id=3091&amp;codativo=CVRDA6" TargetMode="External"/><Relationship Id="rId404" Type="http://schemas.openxmlformats.org/officeDocument/2006/relationships/hyperlink" Target="https://afinvest.com.br/interno/relatorios/detalhes-de-ativos?id=3417&amp;codativo=TBCR18" TargetMode="External"/><Relationship Id="rId611" Type="http://schemas.openxmlformats.org/officeDocument/2006/relationships/hyperlink" Target="https://afinvest.com.br/interno/relatorios/detalhes-de-ativos?id=8432&amp;codativo=CSANB0" TargetMode="External"/><Relationship Id="rId1034" Type="http://schemas.openxmlformats.org/officeDocument/2006/relationships/hyperlink" Target="https://afinvest.com.br/interno/relatorios/detalhes-de-ativos?id=9179&amp;codativo=LIGH2B" TargetMode="External"/><Relationship Id="rId1241" Type="http://schemas.openxmlformats.org/officeDocument/2006/relationships/hyperlink" Target="https://afinvest.com.br/interno/relatorios/detalhes-de-ativos?id=8994&amp;codativo=SUMI17" TargetMode="External"/><Relationship Id="rId1339" Type="http://schemas.openxmlformats.org/officeDocument/2006/relationships/hyperlink" Target="https://afinvest.com.br/interno/relatorios/detalhes-de-ativos?id=2626&amp;codativo=OMGE13" TargetMode="External"/><Relationship Id="rId250" Type="http://schemas.openxmlformats.org/officeDocument/2006/relationships/hyperlink" Target="https://afinvest.com.br/interno/relatorios/detalhes-de-ativos?id=2710&amp;codativo=Santander%20CashBlack" TargetMode="External"/><Relationship Id="rId488" Type="http://schemas.openxmlformats.org/officeDocument/2006/relationships/hyperlink" Target="https://afinvest.com.br/interno/relatorios/detalhes-de-ativos?id=9425&amp;codativo=MVLV19" TargetMode="External"/><Relationship Id="rId695" Type="http://schemas.openxmlformats.org/officeDocument/2006/relationships/hyperlink" Target="https://afinvest.com.br/interno/relatorios/detalhes-de-ativos?id=1708&amp;codativo=ARTR19" TargetMode="External"/><Relationship Id="rId709" Type="http://schemas.openxmlformats.org/officeDocument/2006/relationships/hyperlink" Target="https://afinvest.com.br/interno/relatorios/detalhes-de-ativos?id=5641&amp;codativo=GSTS14" TargetMode="External"/><Relationship Id="rId916" Type="http://schemas.openxmlformats.org/officeDocument/2006/relationships/hyperlink" Target="https://afinvest.com.br/interno/relatorios/detalhes-de-ativos?id=8352&amp;codativo=LF0024008ZU" TargetMode="External"/><Relationship Id="rId1101" Type="http://schemas.openxmlformats.org/officeDocument/2006/relationships/hyperlink" Target="https://afinvest.com.br/interno/relatorios/detalhes-de-ativos?id=2965&amp;codativo=NTN-B32" TargetMode="External"/><Relationship Id="rId45" Type="http://schemas.openxmlformats.org/officeDocument/2006/relationships/hyperlink" Target="https://afinvest.com.br/interno/relatorios/detalhes-de-ativos?id=153&amp;codativo=LFSN19006KM" TargetMode="External"/><Relationship Id="rId110" Type="http://schemas.openxmlformats.org/officeDocument/2006/relationships/hyperlink" Target="https://afinvest.com.br/interno/relatorios/detalhes-de-ativos?id=6878&amp;codativo=LF002305RFW" TargetMode="External"/><Relationship Id="rId348" Type="http://schemas.openxmlformats.org/officeDocument/2006/relationships/hyperlink" Target="https://afinvest.com.br/interno/relatorios/detalhes-de-ativos?id=7806&amp;codativo=VEBMA4" TargetMode="External"/><Relationship Id="rId555" Type="http://schemas.openxmlformats.org/officeDocument/2006/relationships/hyperlink" Target="https://afinvest.com.br/interno/relatorios/detalhes-de-ativos?id=2877&amp;codativo=HAPV22" TargetMode="External"/><Relationship Id="rId762" Type="http://schemas.openxmlformats.org/officeDocument/2006/relationships/hyperlink" Target="https://afinvest.com.br/interno/relatorios/detalhes-de-ativos?id=3420&amp;codativo=760199" TargetMode="External"/><Relationship Id="rId1185" Type="http://schemas.openxmlformats.org/officeDocument/2006/relationships/hyperlink" Target="https://afinvest.com.br/interno/relatorios/detalhes-de-ativos?id=262&amp;codativo=LFSC19000BT" TargetMode="External"/><Relationship Id="rId194" Type="http://schemas.openxmlformats.org/officeDocument/2006/relationships/hyperlink" Target="https://afinvest.com.br/interno/relatorios/detalhes-de-ativos?id=1417&amp;codativo=DAPAGO30" TargetMode="External"/><Relationship Id="rId208" Type="http://schemas.openxmlformats.org/officeDocument/2006/relationships/hyperlink" Target="https://afinvest.com.br/interno/relatorios/detalhes-de-ativos?id=4281&amp;codativo=DI1JAN26" TargetMode="External"/><Relationship Id="rId415" Type="http://schemas.openxmlformats.org/officeDocument/2006/relationships/hyperlink" Target="https://afinvest.com.br/interno/relatorios/detalhes-de-ativos?id=2968&amp;codativo=JSMLB5" TargetMode="External"/><Relationship Id="rId622" Type="http://schemas.openxmlformats.org/officeDocument/2006/relationships/hyperlink" Target="https://afinvest.com.br/interno/relatorios/detalhes-de-ativos?id=7543&amp;codativo=CRNP11" TargetMode="External"/><Relationship Id="rId1045" Type="http://schemas.openxmlformats.org/officeDocument/2006/relationships/hyperlink" Target="https://afinvest.com.br/interno/relatorios/detalhes-de-ativos?id=2839&amp;codativo=ENGIC5" TargetMode="External"/><Relationship Id="rId1252" Type="http://schemas.openxmlformats.org/officeDocument/2006/relationships/hyperlink" Target="https://afinvest.com.br/interno/relatorios/detalhes-de-ativos?id=9358&amp;codativo=CRTA12" TargetMode="External"/><Relationship Id="rId261" Type="http://schemas.openxmlformats.org/officeDocument/2006/relationships/hyperlink" Target="https://afinvest.com.br/interno/relatorios/detalhes-de-ativos?id=7741&amp;codativo=SANTANDER%20CASH%20BLACK%20X" TargetMode="External"/><Relationship Id="rId499" Type="http://schemas.openxmlformats.org/officeDocument/2006/relationships/hyperlink" Target="https://afinvest.com.br/interno/relatorios/detalhes-de-ativos?id=7539&amp;codativo=LCAMC3" TargetMode="External"/><Relationship Id="rId927" Type="http://schemas.openxmlformats.org/officeDocument/2006/relationships/hyperlink" Target="https://afinvest.com.br/interno/relatorios/detalhes-de-ativos?id=4281&amp;codativo=DI1JAN26" TargetMode="External"/><Relationship Id="rId1112" Type="http://schemas.openxmlformats.org/officeDocument/2006/relationships/hyperlink" Target="https://afinvest.com.br/interno/relatorios/detalhes-de-ativos?id=9383&amp;codativo=CDES11" TargetMode="External"/><Relationship Id="rId56" Type="http://schemas.openxmlformats.org/officeDocument/2006/relationships/hyperlink" Target="https://afinvest.com.br/interno/relatorios/detalhes-de-ativos?id=246&amp;codativo=LFSN1900971" TargetMode="External"/><Relationship Id="rId359" Type="http://schemas.openxmlformats.org/officeDocument/2006/relationships/hyperlink" Target="https://afinvest.com.br/interno/relatorios/detalhes-de-ativos?id=2927&amp;codativo=VBBR24" TargetMode="External"/><Relationship Id="rId566" Type="http://schemas.openxmlformats.org/officeDocument/2006/relationships/hyperlink" Target="https://afinvest.com.br/interno/relatorios/detalhes-de-ativos?id=7270&amp;codativo=CGOS14" TargetMode="External"/><Relationship Id="rId773" Type="http://schemas.openxmlformats.org/officeDocument/2006/relationships/hyperlink" Target="https://afinvest.com.br/interno/relatorios/detalhes-de-ativos?id=2798&amp;codativo=760199" TargetMode="External"/><Relationship Id="rId1196" Type="http://schemas.openxmlformats.org/officeDocument/2006/relationships/hyperlink" Target="https://afinvest.com.br/interno/relatorios/detalhes-de-ativos?id=4281&amp;codativo=DI1JAN26" TargetMode="External"/><Relationship Id="rId121" Type="http://schemas.openxmlformats.org/officeDocument/2006/relationships/hyperlink" Target="https://afinvest.com.br/interno/relatorios/detalhes-de-ativos?id=9459&amp;codativo=LF002400BZO" TargetMode="External"/><Relationship Id="rId219" Type="http://schemas.openxmlformats.org/officeDocument/2006/relationships/hyperlink" Target="https://afinvest.com.br/interno/relatorios/detalhes-de-ativos?id=2677&amp;codativo=DI1JAN29" TargetMode="External"/><Relationship Id="rId426" Type="http://schemas.openxmlformats.org/officeDocument/2006/relationships/hyperlink" Target="https://afinvest.com.br/interno/relatorios/detalhes-de-ativos?id=8398&amp;codativo=ASAIA0" TargetMode="External"/><Relationship Id="rId633" Type="http://schemas.openxmlformats.org/officeDocument/2006/relationships/hyperlink" Target="https://afinvest.com.br/interno/relatorios/detalhes-de-ativos?id=5729&amp;codativo=CSNAA2" TargetMode="External"/><Relationship Id="rId980" Type="http://schemas.openxmlformats.org/officeDocument/2006/relationships/hyperlink" Target="https://afinvest.com.br/interno/relatorios/detalhes-de-ativos?id=8328&amp;codativo=FIDC%20Guardian%20MC%20II%20Sr" TargetMode="External"/><Relationship Id="rId1056" Type="http://schemas.openxmlformats.org/officeDocument/2006/relationships/hyperlink" Target="https://afinvest.com.br/interno/relatorios/detalhes-de-ativos?id=3460&amp;codativo=VTII12" TargetMode="External"/><Relationship Id="rId1263" Type="http://schemas.openxmlformats.org/officeDocument/2006/relationships/hyperlink" Target="https://afinvest.com.br/interno/relatorios/detalhes-de-ativos?id=1712&amp;codativo=BRKP28" TargetMode="External"/><Relationship Id="rId840" Type="http://schemas.openxmlformats.org/officeDocument/2006/relationships/hyperlink" Target="https://afinvest.com.br/interno/relatorios/detalhes-de-ativos?id=1473&amp;codativo=AMER3" TargetMode="External"/><Relationship Id="rId938" Type="http://schemas.openxmlformats.org/officeDocument/2006/relationships/hyperlink" Target="https://afinvest.com.br/interno/relatorios/detalhes-de-ativos?id=2684&amp;codativo=AFHI11" TargetMode="External"/><Relationship Id="rId67" Type="http://schemas.openxmlformats.org/officeDocument/2006/relationships/hyperlink" Target="https://afinvest.com.br/interno/relatorios/detalhes-de-ativos?id=2620&amp;codativo=LFSN1800DZX" TargetMode="External"/><Relationship Id="rId272" Type="http://schemas.openxmlformats.org/officeDocument/2006/relationships/hyperlink" Target="https://afinvest.com.br/interno/relatorios/detalhes-de-ativos?id=7740&amp;codativo=SANTANDER%20CASH%20BLACK%20IX" TargetMode="External"/><Relationship Id="rId577" Type="http://schemas.openxmlformats.org/officeDocument/2006/relationships/hyperlink" Target="https://afinvest.com.br/interno/relatorios/detalhes-de-ativos?id=2839&amp;codativo=ENGIC5" TargetMode="External"/><Relationship Id="rId700" Type="http://schemas.openxmlformats.org/officeDocument/2006/relationships/hyperlink" Target="https://afinvest.com.br/interno/relatorios/detalhes-de-ativos?id=8801&amp;codativo=AMERG2" TargetMode="External"/><Relationship Id="rId1123" Type="http://schemas.openxmlformats.org/officeDocument/2006/relationships/hyperlink" Target="https://afinvest.com.br/interno/relatorios/detalhes-de-ativos?id=1864&amp;codativo=NTEN11" TargetMode="External"/><Relationship Id="rId1330" Type="http://schemas.openxmlformats.org/officeDocument/2006/relationships/hyperlink" Target="https://afinvest.com.br/interno/relatorios/detalhes-de-ativos?id=8398&amp;codativo=ASAIA0" TargetMode="External"/><Relationship Id="rId132" Type="http://schemas.openxmlformats.org/officeDocument/2006/relationships/hyperlink" Target="https://afinvest.com.br/interno/relatorios/detalhes-de-ativos?id=8350&amp;codativo=LF0024007OE" TargetMode="External"/><Relationship Id="rId784" Type="http://schemas.openxmlformats.org/officeDocument/2006/relationships/hyperlink" Target="https://afinvest.com.br/interno/relatorios/detalhes-de-ativos?id=8772&amp;codativo=CDB9248TSCN" TargetMode="External"/><Relationship Id="rId991" Type="http://schemas.openxmlformats.org/officeDocument/2006/relationships/hyperlink" Target="https://afinvest.com.br/interno/relatorios/detalhes-de-ativos?id=7806&amp;codativo=VEBMA4" TargetMode="External"/><Relationship Id="rId1067" Type="http://schemas.openxmlformats.org/officeDocument/2006/relationships/hyperlink" Target="https://afinvest.com.br/interno/relatorios/detalhes-de-ativos?id=3357&amp;codativo=BRKMA6" TargetMode="External"/><Relationship Id="rId437" Type="http://schemas.openxmlformats.org/officeDocument/2006/relationships/hyperlink" Target="https://afinvest.com.br/interno/relatorios/detalhes-de-ativos?id=3175&amp;codativo=SBFC13" TargetMode="External"/><Relationship Id="rId644" Type="http://schemas.openxmlformats.org/officeDocument/2006/relationships/hyperlink" Target="https://afinvest.com.br/interno/relatorios/detalhes-de-ativos?id=8005&amp;codativo=CHSF12" TargetMode="External"/><Relationship Id="rId851" Type="http://schemas.openxmlformats.org/officeDocument/2006/relationships/hyperlink" Target="https://afinvest.com.br/interno/relatorios/detalhes-de-ativos?id=6110&amp;codativo=INBR32" TargetMode="External"/><Relationship Id="rId1274" Type="http://schemas.openxmlformats.org/officeDocument/2006/relationships/hyperlink" Target="https://afinvest.com.br/interno/relatorios/detalhes-de-ativos?id=3192&amp;codativo=AEGPA0" TargetMode="External"/><Relationship Id="rId283" Type="http://schemas.openxmlformats.org/officeDocument/2006/relationships/hyperlink" Target="https://afinvest.com.br/interno/relatorios/detalhes-de-ativos?id=2845&amp;codativo=FIDC%20Red%20Multissetorial" TargetMode="External"/><Relationship Id="rId490" Type="http://schemas.openxmlformats.org/officeDocument/2006/relationships/hyperlink" Target="https://afinvest.com.br/interno/relatorios/detalhes-de-ativos?id=223&amp;codativo=MOVI34" TargetMode="External"/><Relationship Id="rId504" Type="http://schemas.openxmlformats.org/officeDocument/2006/relationships/hyperlink" Target="https://afinvest.com.br/interno/relatorios/detalhes-de-ativos?id=1427&amp;codativo=LIGH1B" TargetMode="External"/><Relationship Id="rId711" Type="http://schemas.openxmlformats.org/officeDocument/2006/relationships/hyperlink" Target="https://afinvest.com.br/interno/relatorios/detalhes-de-ativos?id=315&amp;codativo=TIET19" TargetMode="External"/><Relationship Id="rId949" Type="http://schemas.openxmlformats.org/officeDocument/2006/relationships/hyperlink" Target="https://afinvest.com.br/interno/relatorios/detalhes-de-ativos?id=873&amp;codativo=AF%20GLOBAL%20BONDS%20FI%20RF%20CP%20IE" TargetMode="External"/><Relationship Id="rId1134" Type="http://schemas.openxmlformats.org/officeDocument/2006/relationships/hyperlink" Target="https://afinvest.com.br/interno/relatorios/detalhes-de-ativos?id=7317&amp;codativo=CGOS34" TargetMode="External"/><Relationship Id="rId1341" Type="http://schemas.openxmlformats.org/officeDocument/2006/relationships/hyperlink" Target="https://afinvest.com.br/interno/relatorios/detalhes-de-ativos?id=8875&amp;codativo=NTSD17" TargetMode="External"/><Relationship Id="rId78" Type="http://schemas.openxmlformats.org/officeDocument/2006/relationships/hyperlink" Target="https://afinvest.com.br/interno/relatorios/detalhes-de-ativos?id=3081&amp;codativo=LFSC19005FF" TargetMode="External"/><Relationship Id="rId143" Type="http://schemas.openxmlformats.org/officeDocument/2006/relationships/hyperlink" Target="https://afinvest.com.br/interno/relatorios/detalhes-de-ativos?id=8263&amp;codativo=LF002400EY5" TargetMode="External"/><Relationship Id="rId350" Type="http://schemas.openxmlformats.org/officeDocument/2006/relationships/hyperlink" Target="https://afinvest.com.br/interno/relatorios/detalhes-de-ativos?id=7806&amp;codativo=VEBMA4" TargetMode="External"/><Relationship Id="rId588" Type="http://schemas.openxmlformats.org/officeDocument/2006/relationships/hyperlink" Target="https://afinvest.com.br/interno/relatorios/detalhes-de-ativos?id=6635&amp;codativo=ERDVA2" TargetMode="External"/><Relationship Id="rId795" Type="http://schemas.openxmlformats.org/officeDocument/2006/relationships/hyperlink" Target="https://afinvest.com.br/interno/relatorios/detalhes-de-ativos?id=8852&amp;codativo=CDB924AJYNU" TargetMode="External"/><Relationship Id="rId809" Type="http://schemas.openxmlformats.org/officeDocument/2006/relationships/hyperlink" Target="https://afinvest.com.br/interno/relatorios/detalhes-de-ativos?id=1249&amp;codativo=CAIXA" TargetMode="External"/><Relationship Id="rId1201" Type="http://schemas.openxmlformats.org/officeDocument/2006/relationships/hyperlink" Target="https://afinvest.com.br/interno/relatorios/detalhes-de-ativos?id=2845&amp;codativo=FIDC%20Red%20Multissetorial" TargetMode="External"/><Relationship Id="rId9" Type="http://schemas.openxmlformats.org/officeDocument/2006/relationships/hyperlink" Target="https://afinvest.com.br/interno/relatorios/detalhes-de-ativos?id=821&amp;codativo=LFT%20set%2026" TargetMode="External"/><Relationship Id="rId210" Type="http://schemas.openxmlformats.org/officeDocument/2006/relationships/hyperlink" Target="https://afinvest.com.br/interno/relatorios/detalhes-de-ativos?id=8625&amp;codativo=T10MAR25" TargetMode="External"/><Relationship Id="rId448" Type="http://schemas.openxmlformats.org/officeDocument/2006/relationships/hyperlink" Target="https://afinvest.com.br/interno/relatorios/detalhes-de-ativos?id=1214&amp;codativo=RDCO10" TargetMode="External"/><Relationship Id="rId655" Type="http://schemas.openxmlformats.org/officeDocument/2006/relationships/hyperlink" Target="https://afinvest.com.br/interno/relatorios/detalhes-de-ativos?id=8444&amp;codativo=CAEC22" TargetMode="External"/><Relationship Id="rId862" Type="http://schemas.openxmlformats.org/officeDocument/2006/relationships/hyperlink" Target="https://afinvest.com.br/interno/relatorios/detalhes-de-ativos?id=6896&amp;codativo=TLT%20US" TargetMode="External"/><Relationship Id="rId1078" Type="http://schemas.openxmlformats.org/officeDocument/2006/relationships/hyperlink" Target="https://afinvest.com.br/interno/relatorios/detalhes-de-ativos?id=5671&amp;codativo=CRI%20Vic%20Engenharia%202%C2%AA%20Emiss%C3%A3o" TargetMode="External"/><Relationship Id="rId1285" Type="http://schemas.openxmlformats.org/officeDocument/2006/relationships/hyperlink" Target="https://afinvest.com.br/interno/relatorios/detalhes-de-ativos?id=144&amp;codativo=LFSC190054D" TargetMode="External"/><Relationship Id="rId294" Type="http://schemas.openxmlformats.org/officeDocument/2006/relationships/hyperlink" Target="https://afinvest.com.br/interno/relatorios/detalhes-de-ativos?id=8473&amp;codativo=FIDC%20ICred%20Sr" TargetMode="External"/><Relationship Id="rId308" Type="http://schemas.openxmlformats.org/officeDocument/2006/relationships/hyperlink" Target="https://afinvest.com.br/interno/relatorios/detalhes-de-ativos?id=5743&amp;codativo=FIDC%20FS%20FORTALECE" TargetMode="External"/><Relationship Id="rId515" Type="http://schemas.openxmlformats.org/officeDocument/2006/relationships/hyperlink" Target="https://afinvest.com.br/interno/relatorios/detalhes-de-ativos?id=1427&amp;codativo=LIGH1B" TargetMode="External"/><Relationship Id="rId722" Type="http://schemas.openxmlformats.org/officeDocument/2006/relationships/hyperlink" Target="https://afinvest.com.br/interno/relatorios/detalhes-de-ativos?id=7681&amp;codativo=RRRP14" TargetMode="External"/><Relationship Id="rId1145" Type="http://schemas.openxmlformats.org/officeDocument/2006/relationships/hyperlink" Target="https://afinvest.com.br/interno/relatorios/detalhes-de-ativos?id=8388&amp;codativo=EEELB1" TargetMode="External"/><Relationship Id="rId1352" Type="http://schemas.openxmlformats.org/officeDocument/2006/relationships/hyperlink" Target="https://afinvest.com.br/interno/relatorios/detalhes-de-ativos?id=9151&amp;codativo=AEGE17" TargetMode="External"/><Relationship Id="rId89" Type="http://schemas.openxmlformats.org/officeDocument/2006/relationships/hyperlink" Target="https://afinvest.com.br/interno/relatorios/detalhes-de-ativos?id=2640&amp;codativo=LFSC18002MZ" TargetMode="External"/><Relationship Id="rId154" Type="http://schemas.openxmlformats.org/officeDocument/2006/relationships/hyperlink" Target="https://afinvest.com.br/interno/relatorios/detalhes-de-ativos?id=7998&amp;codativo=LF002400ABF" TargetMode="External"/><Relationship Id="rId361" Type="http://schemas.openxmlformats.org/officeDocument/2006/relationships/hyperlink" Target="https://afinvest.com.br/interno/relatorios/detalhes-de-ativos?id=2927&amp;codativo=VBBR24" TargetMode="External"/><Relationship Id="rId599" Type="http://schemas.openxmlformats.org/officeDocument/2006/relationships/hyperlink" Target="https://afinvest.com.br/interno/relatorios/detalhes-de-ativos?id=1596&amp;codativo=DASAA4" TargetMode="External"/><Relationship Id="rId1005" Type="http://schemas.openxmlformats.org/officeDocument/2006/relationships/hyperlink" Target="https://afinvest.com.br/interno/relatorios/detalhes-de-ativos?id=9445&amp;codativo=VERT19%20(nota%20participativa)" TargetMode="External"/><Relationship Id="rId1212" Type="http://schemas.openxmlformats.org/officeDocument/2006/relationships/hyperlink" Target="https://afinvest.com.br/interno/relatorios/detalhes-de-ativos?id=8877&amp;codativo=FIDC%20Artico%20Sr" TargetMode="External"/><Relationship Id="rId459" Type="http://schemas.openxmlformats.org/officeDocument/2006/relationships/hyperlink" Target="https://afinvest.com.br/interno/relatorios/detalhes-de-ativos?id=3368&amp;codativo=QUAL16" TargetMode="External"/><Relationship Id="rId666" Type="http://schemas.openxmlformats.org/officeDocument/2006/relationships/hyperlink" Target="https://afinvest.com.br/interno/relatorios/detalhes-de-ativos?id=2780&amp;codativo=CBRDB8" TargetMode="External"/><Relationship Id="rId873" Type="http://schemas.openxmlformats.org/officeDocument/2006/relationships/hyperlink" Target="https://afinvest.com.br/interno/relatorios/detalhes-de-ativos?id=3428&amp;codativo=LFSN1800DS5" TargetMode="External"/><Relationship Id="rId1089" Type="http://schemas.openxmlformats.org/officeDocument/2006/relationships/hyperlink" Target="https://afinvest.com.br/interno/relatorios/detalhes-de-ativos?id=8852&amp;codativo=CDB924AJYNS" TargetMode="External"/><Relationship Id="rId1296" Type="http://schemas.openxmlformats.org/officeDocument/2006/relationships/hyperlink" Target="https://afinvest.com.br/interno/relatorios/detalhes-de-ativos?id=3254&amp;codativo=DAPMAI25" TargetMode="External"/><Relationship Id="rId16" Type="http://schemas.openxmlformats.org/officeDocument/2006/relationships/hyperlink" Target="https://afinvest.com.br/interno/relatorios/detalhes-de-ativos?id=402&amp;codativo=LFT%20mar%2025" TargetMode="External"/><Relationship Id="rId221" Type="http://schemas.openxmlformats.org/officeDocument/2006/relationships/hyperlink" Target="https://afinvest.com.br/interno/relatorios/detalhes-de-ativos?id=4281&amp;codativo=DI1JAN26" TargetMode="External"/><Relationship Id="rId319" Type="http://schemas.openxmlformats.org/officeDocument/2006/relationships/hyperlink" Target="https://afinvest.com.br/interno/relatorios/detalhes-de-ativos?id=1220&amp;codativo=FIDC%20SIMPAR" TargetMode="External"/><Relationship Id="rId526" Type="http://schemas.openxmlformats.org/officeDocument/2006/relationships/hyperlink" Target="https://afinvest.com.br/interno/relatorios/detalhes-de-ativos?id=9215&amp;codativo=LIGT11" TargetMode="External"/><Relationship Id="rId1156" Type="http://schemas.openxmlformats.org/officeDocument/2006/relationships/hyperlink" Target="https://afinvest.com.br/interno/relatorios/detalhes-de-ativos?id=8984&amp;codativo=CMGDB1" TargetMode="External"/><Relationship Id="rId1363" Type="http://schemas.openxmlformats.org/officeDocument/2006/relationships/hyperlink" Target="https://afinvest.com.br/interno/relatorios/detalhes-de-ativos?id=2833&amp;codativo=CGBP13" TargetMode="External"/><Relationship Id="rId733" Type="http://schemas.openxmlformats.org/officeDocument/2006/relationships/hyperlink" Target="https://afinvest.com.br/interno/relatorios/detalhes-de-ativos?id=5671&amp;codativo=CRI%20Vic%20Engenharia%202%C2%AA%20Emiss%C3%A3o" TargetMode="External"/><Relationship Id="rId940" Type="http://schemas.openxmlformats.org/officeDocument/2006/relationships/hyperlink" Target="https://afinvest.com.br/interno/relatorios/detalhes-de-ativos?id=3066&amp;codativo=KAPITALO%20K10%20ADVISORY%20FIC%20FIM" TargetMode="External"/><Relationship Id="rId1016" Type="http://schemas.openxmlformats.org/officeDocument/2006/relationships/hyperlink" Target="https://afinvest.com.br/interno/relatorios/detalhes-de-ativos?id=2723&amp;codativo=RDORB9" TargetMode="External"/><Relationship Id="rId165" Type="http://schemas.openxmlformats.org/officeDocument/2006/relationships/hyperlink" Target="https://afinvest.com.br/interno/relatorios/detalhes-de-ativos?id=7998&amp;codativo=LF002400ABI" TargetMode="External"/><Relationship Id="rId372" Type="http://schemas.openxmlformats.org/officeDocument/2006/relationships/hyperlink" Target="https://afinvest.com.br/interno/relatorios/detalhes-de-ativos?id=8807&amp;codativo=VSCF17" TargetMode="External"/><Relationship Id="rId677" Type="http://schemas.openxmlformats.org/officeDocument/2006/relationships/hyperlink" Target="https://afinvest.com.br/interno/relatorios/detalhes-de-ativos?id=3194&amp;codativo=BRKPA0" TargetMode="External"/><Relationship Id="rId800" Type="http://schemas.openxmlformats.org/officeDocument/2006/relationships/hyperlink" Target="https://afinvest.com.br/interno/relatorios/detalhes-de-ativos?id=8577&amp;codativo=CDB724BH6RG" TargetMode="External"/><Relationship Id="rId1223" Type="http://schemas.openxmlformats.org/officeDocument/2006/relationships/hyperlink" Target="https://afinvest.com.br/interno/relatorios/detalhes-de-ativos?id=3417&amp;codativo=TBCR18" TargetMode="External"/><Relationship Id="rId232" Type="http://schemas.openxmlformats.org/officeDocument/2006/relationships/hyperlink" Target="https://afinvest.com.br/interno/relatorios/detalhes-de-ativos?id=4281&amp;codativo=DI1JAN26" TargetMode="External"/><Relationship Id="rId884" Type="http://schemas.openxmlformats.org/officeDocument/2006/relationships/hyperlink" Target="https://afinvest.com.br/interno/relatorios/detalhes-de-ativos?id=2640&amp;codativo=LFSC18002DF" TargetMode="External"/><Relationship Id="rId27" Type="http://schemas.openxmlformats.org/officeDocument/2006/relationships/hyperlink" Target="https://afinvest.com.br/interno/relatorios/detalhes-de-ativos?id=1271&amp;codativo=Provis%C3%A3o" TargetMode="External"/><Relationship Id="rId537" Type="http://schemas.openxmlformats.org/officeDocument/2006/relationships/hyperlink" Target="https://afinvest.com.br/interno/relatorios/detalhes-de-ativos?id=2846&amp;codativo=JSLGA5" TargetMode="External"/><Relationship Id="rId744" Type="http://schemas.openxmlformats.org/officeDocument/2006/relationships/hyperlink" Target="https://afinvest.com.br/interno/relatorios/detalhes-de-ativos?id=9436&amp;codativo=Unigel%20nota%20participativa" TargetMode="External"/><Relationship Id="rId951" Type="http://schemas.openxmlformats.org/officeDocument/2006/relationships/hyperlink" Target="https://afinvest.com.br/interno/relatorios/detalhes-de-ativos?id=1107&amp;codativo=AF%20MINAS" TargetMode="External"/><Relationship Id="rId1167" Type="http://schemas.openxmlformats.org/officeDocument/2006/relationships/hyperlink" Target="https://afinvest.com.br/interno/relatorios/detalhes-de-ativos?id=9568&amp;codativo=CESE32" TargetMode="External"/><Relationship Id="rId1374" Type="http://schemas.openxmlformats.org/officeDocument/2006/relationships/hyperlink" Target="https://afinvest.com.br/interno/relatorios/detalhes-de-ativos?id=5722&amp;codativo=AALR13" TargetMode="External"/><Relationship Id="rId80" Type="http://schemas.openxmlformats.org/officeDocument/2006/relationships/hyperlink" Target="https://afinvest.com.br/interno/relatorios/detalhes-de-ativos?id=2639&amp;codativo=LFSC190054I" TargetMode="External"/><Relationship Id="rId176" Type="http://schemas.openxmlformats.org/officeDocument/2006/relationships/hyperlink" Target="https://afinvest.com.br/interno/relatorios/detalhes-de-ativos?id=8111&amp;codativo=LF002400BZZ" TargetMode="External"/><Relationship Id="rId383" Type="http://schemas.openxmlformats.org/officeDocument/2006/relationships/hyperlink" Target="https://afinvest.com.br/interno/relatorios/detalhes-de-ativos?id=1464&amp;codativo=VAMO23" TargetMode="External"/><Relationship Id="rId590" Type="http://schemas.openxmlformats.org/officeDocument/2006/relationships/hyperlink" Target="https://afinvest.com.br/interno/relatorios/detalhes-de-ativos?id=7268&amp;codativo=ERDVB3" TargetMode="External"/><Relationship Id="rId604" Type="http://schemas.openxmlformats.org/officeDocument/2006/relationships/hyperlink" Target="https://afinvest.com.br/interno/relatorios/detalhes-de-ativos?id=8431&amp;codativo=CSANA0" TargetMode="External"/><Relationship Id="rId811" Type="http://schemas.openxmlformats.org/officeDocument/2006/relationships/hyperlink" Target="https://afinvest.com.br/interno/relatorios/detalhes-de-ativos?id=1249&amp;codativo=CAIXA" TargetMode="External"/><Relationship Id="rId1027" Type="http://schemas.openxmlformats.org/officeDocument/2006/relationships/hyperlink" Target="https://afinvest.com.br/interno/relatorios/detalhes-de-ativos?id=9215&amp;codativo=LIGT11" TargetMode="External"/><Relationship Id="rId1234" Type="http://schemas.openxmlformats.org/officeDocument/2006/relationships/hyperlink" Target="https://afinvest.com.br/interno/relatorios/detalhes-de-ativos?id=3059&amp;codativo=MNRVA1" TargetMode="External"/><Relationship Id="rId243" Type="http://schemas.openxmlformats.org/officeDocument/2006/relationships/hyperlink" Target="https://afinvest.com.br/interno/relatorios/detalhes-de-ativos?id=873&amp;codativo=AF%20GLOBAL%20BONDS%20FI%20RF%20CP%20IE" TargetMode="External"/><Relationship Id="rId450" Type="http://schemas.openxmlformats.org/officeDocument/2006/relationships/hyperlink" Target="https://afinvest.com.br/interno/relatorios/detalhes-de-ativos?id=2723&amp;codativo=RDORB9" TargetMode="External"/><Relationship Id="rId688" Type="http://schemas.openxmlformats.org/officeDocument/2006/relationships/hyperlink" Target="https://afinvest.com.br/interno/relatorios/detalhes-de-ativos?id=3357&amp;codativo=BRKMA6" TargetMode="External"/><Relationship Id="rId895" Type="http://schemas.openxmlformats.org/officeDocument/2006/relationships/hyperlink" Target="https://afinvest.com.br/interno/relatorios/detalhes-de-ativos?id=9459&amp;codativo=LF002400BZO" TargetMode="External"/><Relationship Id="rId909" Type="http://schemas.openxmlformats.org/officeDocument/2006/relationships/hyperlink" Target="https://afinvest.com.br/interno/relatorios/detalhes-de-ativos?id=8578&amp;codativo=LF002400KC0" TargetMode="External"/><Relationship Id="rId1080" Type="http://schemas.openxmlformats.org/officeDocument/2006/relationships/hyperlink" Target="https://afinvest.com.br/interno/relatorios/detalhes-de-ativos?id=1459&amp;codativo=CRA%20Ferroeste%202%C2%AA%20S%C3%A9rie" TargetMode="External"/><Relationship Id="rId1301" Type="http://schemas.openxmlformats.org/officeDocument/2006/relationships/hyperlink" Target="https://afinvest.com.br/interno/relatorios/detalhes-de-ativos?id=873&amp;codativo=AF%20GLOBAL%20BONDS%20FI%20RF%20CP%20IE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64&amp;codativo=LFSC19003W3" TargetMode="External"/><Relationship Id="rId310" Type="http://schemas.openxmlformats.org/officeDocument/2006/relationships/hyperlink" Target="https://afinvest.com.br/interno/relatorios/detalhes-de-ativos?id=5743&amp;codativo=FIDC%20FS%20FORTALECE" TargetMode="External"/><Relationship Id="rId548" Type="http://schemas.openxmlformats.org/officeDocument/2006/relationships/hyperlink" Target="https://afinvest.com.br/interno/relatorios/detalhes-de-ativos?id=5764&amp;codativo=HBSA12" TargetMode="External"/><Relationship Id="rId755" Type="http://schemas.openxmlformats.org/officeDocument/2006/relationships/hyperlink" Target="https://afinvest.com.br/interno/relatorios/detalhes-de-ativos?id=8479&amp;codativo=MOVIBZ00001" TargetMode="External"/><Relationship Id="rId962" Type="http://schemas.openxmlformats.org/officeDocument/2006/relationships/hyperlink" Target="https://afinvest.com.br/interno/relatorios/detalhes-de-ativos?id=7746&amp;codativo=SANTANDER%20CASH%20BLACK%20VII" TargetMode="External"/><Relationship Id="rId1178" Type="http://schemas.openxmlformats.org/officeDocument/2006/relationships/hyperlink" Target="https://afinvest.com.br/interno/relatorios/detalhes-de-ativos?id=192&amp;codativo=LFSN1800CUH" TargetMode="External"/><Relationship Id="rId1385" Type="http://schemas.openxmlformats.org/officeDocument/2006/relationships/hyperlink" Target="https://afinvest.com.br/interno/relatorios/detalhes-de-ativos?id=6827&amp;codativo=CDB323EWULR" TargetMode="External"/><Relationship Id="rId91" Type="http://schemas.openxmlformats.org/officeDocument/2006/relationships/hyperlink" Target="https://afinvest.com.br/interno/relatorios/detalhes-de-ativos?id=243&amp;codativo=LFSC18002A2" TargetMode="External"/><Relationship Id="rId187" Type="http://schemas.openxmlformats.org/officeDocument/2006/relationships/hyperlink" Target="https://afinvest.com.br/interno/relatorios/detalhes-de-ativos?id=7100&amp;codativo=LF002307IJ6" TargetMode="External"/><Relationship Id="rId394" Type="http://schemas.openxmlformats.org/officeDocument/2006/relationships/hyperlink" Target="https://afinvest.com.br/interno/relatorios/detalhes-de-ativos?id=9446&amp;codativo=VERT18%20(nota%20reestruturada)" TargetMode="External"/><Relationship Id="rId408" Type="http://schemas.openxmlformats.org/officeDocument/2006/relationships/hyperlink" Target="https://afinvest.com.br/interno/relatorios/detalhes-de-ativos?id=6795&amp;codativo=TBSP11" TargetMode="External"/><Relationship Id="rId615" Type="http://schemas.openxmlformats.org/officeDocument/2006/relationships/hyperlink" Target="https://afinvest.com.br/interno/relatorios/detalhes-de-ativos?id=2833&amp;codativo=CGBP13" TargetMode="External"/><Relationship Id="rId822" Type="http://schemas.openxmlformats.org/officeDocument/2006/relationships/hyperlink" Target="https://afinvest.com.br/interno/relatorios/detalhes-de-ativos?id=1249&amp;codativo=CAIXA" TargetMode="External"/><Relationship Id="rId1038" Type="http://schemas.openxmlformats.org/officeDocument/2006/relationships/hyperlink" Target="https://afinvest.com.br/interno/relatorios/detalhes-de-ativos?id=2844&amp;codativo=MATD11" TargetMode="External"/><Relationship Id="rId1245" Type="http://schemas.openxmlformats.org/officeDocument/2006/relationships/hyperlink" Target="https://afinvest.com.br/interno/relatorios/detalhes-de-ativos?id=2839&amp;codativo=ENGIC5" TargetMode="External"/><Relationship Id="rId254" Type="http://schemas.openxmlformats.org/officeDocument/2006/relationships/hyperlink" Target="https://afinvest.com.br/interno/relatorios/detalhes-de-ativos?id=7744&amp;codativo=SANTANDER%20CASH%20BLACK%20II" TargetMode="External"/><Relationship Id="rId699" Type="http://schemas.openxmlformats.org/officeDocument/2006/relationships/hyperlink" Target="https://afinvest.com.br/interno/relatorios/detalhes-de-ativos?id=8804&amp;codativo=AMERF2" TargetMode="External"/><Relationship Id="rId1091" Type="http://schemas.openxmlformats.org/officeDocument/2006/relationships/hyperlink" Target="https://afinvest.com.br/interno/relatorios/detalhes-de-ativos?id=8577&amp;codativo=CDB724BH6RG" TargetMode="External"/><Relationship Id="rId1105" Type="http://schemas.openxmlformats.org/officeDocument/2006/relationships/hyperlink" Target="https://afinvest.com.br/interno/relatorios/detalhes-de-ativos?id=9576&amp;codativo=BR0460CTF016" TargetMode="External"/><Relationship Id="rId1312" Type="http://schemas.openxmlformats.org/officeDocument/2006/relationships/hyperlink" Target="https://afinvest.com.br/interno/relatorios/detalhes-de-ativos?id=8007&amp;codativo=FIDC%20CloudWalk%20II" TargetMode="External"/><Relationship Id="rId49" Type="http://schemas.openxmlformats.org/officeDocument/2006/relationships/hyperlink" Target="https://afinvest.com.br/interno/relatorios/detalhes-de-ativos?id=153&amp;codativo=LFSN19006KM" TargetMode="External"/><Relationship Id="rId114" Type="http://schemas.openxmlformats.org/officeDocument/2006/relationships/hyperlink" Target="https://afinvest.com.br/interno/relatorios/detalhes-de-ativos?id=7896&amp;codativo=LF002400951" TargetMode="External"/><Relationship Id="rId461" Type="http://schemas.openxmlformats.org/officeDocument/2006/relationships/hyperlink" Target="https://afinvest.com.br/interno/relatorios/detalhes-de-ativos?id=3368&amp;codativo=QUAL16" TargetMode="External"/><Relationship Id="rId559" Type="http://schemas.openxmlformats.org/officeDocument/2006/relationships/hyperlink" Target="https://afinvest.com.br/interno/relatorios/detalhes-de-ativos?id=9151&amp;codativo=AEGE17" TargetMode="External"/><Relationship Id="rId766" Type="http://schemas.openxmlformats.org/officeDocument/2006/relationships/hyperlink" Target="https://afinvest.com.br/interno/relatorios/detalhes-de-ativos?id=3420&amp;codativo=760199" TargetMode="External"/><Relationship Id="rId1189" Type="http://schemas.openxmlformats.org/officeDocument/2006/relationships/hyperlink" Target="https://afinvest.com.br/interno/relatorios/detalhes-de-ativos?id=2957&amp;codativo=DAPAGO28" TargetMode="External"/><Relationship Id="rId198" Type="http://schemas.openxmlformats.org/officeDocument/2006/relationships/hyperlink" Target="https://afinvest.com.br/interno/relatorios/detalhes-de-ativos?id=940&amp;codativo=DAPAGO26" TargetMode="External"/><Relationship Id="rId321" Type="http://schemas.openxmlformats.org/officeDocument/2006/relationships/hyperlink" Target="https://afinvest.com.br/interno/relatorios/detalhes-de-ativos?id=1220&amp;codativo=FIDC%20SIMPAR" TargetMode="External"/><Relationship Id="rId419" Type="http://schemas.openxmlformats.org/officeDocument/2006/relationships/hyperlink" Target="https://afinvest.com.br/interno/relatorios/detalhes-de-ativos?id=6041&amp;codativo=SIMH16" TargetMode="External"/><Relationship Id="rId626" Type="http://schemas.openxmlformats.org/officeDocument/2006/relationships/hyperlink" Target="https://afinvest.com.br/interno/relatorios/detalhes-de-ativos?id=7260&amp;codativo=PASS12" TargetMode="External"/><Relationship Id="rId973" Type="http://schemas.openxmlformats.org/officeDocument/2006/relationships/hyperlink" Target="https://afinvest.com.br/interno/relatorios/detalhes-de-ativos?id=408&amp;codativo=FIDC%20Sifra%20Plus%20Sr" TargetMode="External"/><Relationship Id="rId1049" Type="http://schemas.openxmlformats.org/officeDocument/2006/relationships/hyperlink" Target="https://afinvest.com.br/interno/relatorios/detalhes-de-ativos?id=8432&amp;codativo=CSANB0" TargetMode="External"/><Relationship Id="rId1256" Type="http://schemas.openxmlformats.org/officeDocument/2006/relationships/hyperlink" Target="https://afinvest.com.br/interno/relatorios/detalhes-de-ativos?id=8504&amp;codativo=CHSF13" TargetMode="External"/><Relationship Id="rId833" Type="http://schemas.openxmlformats.org/officeDocument/2006/relationships/hyperlink" Target="https://afinvest.com.br/interno/relatorios/detalhes-de-ativos?id=838&amp;codativo=MOVI3" TargetMode="External"/><Relationship Id="rId1116" Type="http://schemas.openxmlformats.org/officeDocument/2006/relationships/hyperlink" Target="https://afinvest.com.br/interno/relatorios/detalhes-de-ativos?id=8796&amp;codativo=GASC17" TargetMode="External"/><Relationship Id="rId265" Type="http://schemas.openxmlformats.org/officeDocument/2006/relationships/hyperlink" Target="https://afinvest.com.br/interno/relatorios/detalhes-de-ativos?id=7742&amp;codativo=SANTANDER%20CASH%20BLACK%20V" TargetMode="External"/><Relationship Id="rId472" Type="http://schemas.openxmlformats.org/officeDocument/2006/relationships/hyperlink" Target="https://afinvest.com.br/interno/relatorios/detalhes-de-ativos?id=5840&amp;codativo=ONCO19" TargetMode="External"/><Relationship Id="rId900" Type="http://schemas.openxmlformats.org/officeDocument/2006/relationships/hyperlink" Target="https://afinvest.com.br/interno/relatorios/detalhes-de-ativos?id=8350&amp;codativo=LF0024007OE" TargetMode="External"/><Relationship Id="rId1323" Type="http://schemas.openxmlformats.org/officeDocument/2006/relationships/hyperlink" Target="https://afinvest.com.br/interno/relatorios/detalhes-de-ativos?id=9115&amp;codativo=VALEC0" TargetMode="External"/><Relationship Id="rId125" Type="http://schemas.openxmlformats.org/officeDocument/2006/relationships/hyperlink" Target="https://afinvest.com.br/interno/relatorios/detalhes-de-ativos?id=6058&amp;codativo=LF002200L4W" TargetMode="External"/><Relationship Id="rId332" Type="http://schemas.openxmlformats.org/officeDocument/2006/relationships/hyperlink" Target="https://afinvest.com.br/interno/relatorios/detalhes-de-ativos?id=387&amp;codativo=FIDC%20LF%20I%20SR4" TargetMode="External"/><Relationship Id="rId777" Type="http://schemas.openxmlformats.org/officeDocument/2006/relationships/hyperlink" Target="https://afinvest.com.br/interno/relatorios/detalhes-de-ativos?id=6827&amp;codativo=CDB323EWULR" TargetMode="External"/><Relationship Id="rId984" Type="http://schemas.openxmlformats.org/officeDocument/2006/relationships/hyperlink" Target="https://afinvest.com.br/interno/relatorios/detalhes-de-ativos?id=1220&amp;codativo=FIDC%20SIMPAR" TargetMode="External"/><Relationship Id="rId637" Type="http://schemas.openxmlformats.org/officeDocument/2006/relationships/hyperlink" Target="https://afinvest.com.br/interno/relatorios/detalhes-de-ativos?id=3460&amp;codativo=VTII12" TargetMode="External"/><Relationship Id="rId844" Type="http://schemas.openxmlformats.org/officeDocument/2006/relationships/hyperlink" Target="https://afinvest.com.br/interno/relatorios/detalhes-de-ativos?id=896&amp;codativo=MYPK3" TargetMode="External"/><Relationship Id="rId1267" Type="http://schemas.openxmlformats.org/officeDocument/2006/relationships/hyperlink" Target="https://afinvest.com.br/interno/relatorios/detalhes-de-ativos?id=7942&amp;codativo=BHSA11" TargetMode="External"/><Relationship Id="rId276" Type="http://schemas.openxmlformats.org/officeDocument/2006/relationships/hyperlink" Target="https://afinvest.com.br/interno/relatorios/detalhes-de-ativos?id=7745&amp;codativo=SANTANDER%20CASH%20BLACK%20IV" TargetMode="External"/><Relationship Id="rId483" Type="http://schemas.openxmlformats.org/officeDocument/2006/relationships/hyperlink" Target="https://afinvest.com.br/interno/relatorios/detalhes-de-ativos?id=5686&amp;codativo=NTSD35" TargetMode="External"/><Relationship Id="rId690" Type="http://schemas.openxmlformats.org/officeDocument/2006/relationships/hyperlink" Target="https://afinvest.com.br/interno/relatorios/detalhes-de-ativos?id=5870&amp;codativo=BRKMB8" TargetMode="External"/><Relationship Id="rId704" Type="http://schemas.openxmlformats.org/officeDocument/2006/relationships/hyperlink" Target="https://afinvest.com.br/interno/relatorios/detalhes-de-ativos?id=7040&amp;codativo=ALGTA3" TargetMode="External"/><Relationship Id="rId911" Type="http://schemas.openxmlformats.org/officeDocument/2006/relationships/hyperlink" Target="https://afinvest.com.br/interno/relatorios/detalhes-de-ativos?id=3399&amp;codativo=LF002200IOA" TargetMode="External"/><Relationship Id="rId1127" Type="http://schemas.openxmlformats.org/officeDocument/2006/relationships/hyperlink" Target="https://afinvest.com.br/interno/relatorios/detalhes-de-ativos?id=7168&amp;codativo=MRSAC1" TargetMode="External"/><Relationship Id="rId1334" Type="http://schemas.openxmlformats.org/officeDocument/2006/relationships/hyperlink" Target="https://afinvest.com.br/interno/relatorios/detalhes-de-ativos?id=1214&amp;codativo=RDCO10" TargetMode="External"/><Relationship Id="rId40" Type="http://schemas.openxmlformats.org/officeDocument/2006/relationships/hyperlink" Target="https://afinvest.com.br/interno/relatorios/detalhes-de-ativos?id=8260&amp;codativo=LFSN1800D4X" TargetMode="External"/><Relationship Id="rId136" Type="http://schemas.openxmlformats.org/officeDocument/2006/relationships/hyperlink" Target="https://afinvest.com.br/interno/relatorios/detalhes-de-ativos?id=8803&amp;codativo=LF002400Q0C" TargetMode="External"/><Relationship Id="rId343" Type="http://schemas.openxmlformats.org/officeDocument/2006/relationships/hyperlink" Target="https://afinvest.com.br/interno/relatorios/detalhes-de-ativos?id=8007&amp;codativo=FIDC%20CloudWalk%20II" TargetMode="External"/><Relationship Id="rId550" Type="http://schemas.openxmlformats.org/officeDocument/2006/relationships/hyperlink" Target="https://afinvest.com.br/interno/relatorios/detalhes-de-ativos?id=5764&amp;codativo=HBSA12" TargetMode="External"/><Relationship Id="rId788" Type="http://schemas.openxmlformats.org/officeDocument/2006/relationships/hyperlink" Target="https://afinvest.com.br/interno/relatorios/detalhes-de-ativos?id=8710&amp;codativo=CDB824AAYUA" TargetMode="External"/><Relationship Id="rId995" Type="http://schemas.openxmlformats.org/officeDocument/2006/relationships/hyperlink" Target="https://afinvest.com.br/interno/relatorios/detalhes-de-ativos?id=7864&amp;codativo=BRDT11" TargetMode="External"/><Relationship Id="rId1180" Type="http://schemas.openxmlformats.org/officeDocument/2006/relationships/hyperlink" Target="https://afinvest.com.br/interno/relatorios/detalhes-de-ativos?id=2736&amp;codativo=LFSC19005L3" TargetMode="External"/><Relationship Id="rId203" Type="http://schemas.openxmlformats.org/officeDocument/2006/relationships/hyperlink" Target="https://afinvest.com.br/interno/relatorios/detalhes-de-ativos?id=2957&amp;codativo=DAPAGO28" TargetMode="External"/><Relationship Id="rId648" Type="http://schemas.openxmlformats.org/officeDocument/2006/relationships/hyperlink" Target="https://afinvest.com.br/interno/relatorios/detalhes-de-ativos?id=5638&amp;codativo=COCE18" TargetMode="External"/><Relationship Id="rId855" Type="http://schemas.openxmlformats.org/officeDocument/2006/relationships/hyperlink" Target="https://afinvest.com.br/interno/relatorios/detalhes-de-ativos?id=885&amp;codativo=ANIM3" TargetMode="External"/><Relationship Id="rId1040" Type="http://schemas.openxmlformats.org/officeDocument/2006/relationships/hyperlink" Target="https://afinvest.com.br/interno/relatorios/detalhes-de-ativos?id=212&amp;codativo=HAPV21" TargetMode="External"/><Relationship Id="rId1278" Type="http://schemas.openxmlformats.org/officeDocument/2006/relationships/hyperlink" Target="https://afinvest.com.br/interno/relatorios/detalhes-de-ativos?id=7897&amp;codativo=CRI%20PERNAMBUCO%2035%C2%AA%20(23J1753853)" TargetMode="External"/><Relationship Id="rId287" Type="http://schemas.openxmlformats.org/officeDocument/2006/relationships/hyperlink" Target="https://afinvest.com.br/interno/relatorios/detalhes-de-ativos?id=7680&amp;codativo=FIDC%20Pagbem%20Sr%207" TargetMode="External"/><Relationship Id="rId410" Type="http://schemas.openxmlformats.org/officeDocument/2006/relationships/hyperlink" Target="https://afinvest.com.br/interno/relatorios/detalhes-de-ativos?id=6795&amp;codativo=TBSP11" TargetMode="External"/><Relationship Id="rId494" Type="http://schemas.openxmlformats.org/officeDocument/2006/relationships/hyperlink" Target="https://afinvest.com.br/interno/relatorios/detalhes-de-ativos?id=3059&amp;codativo=MNRVA1" TargetMode="External"/><Relationship Id="rId508" Type="http://schemas.openxmlformats.org/officeDocument/2006/relationships/hyperlink" Target="https://afinvest.com.br/interno/relatorios/detalhes-de-ativos?id=9215&amp;codativo=LIGT11" TargetMode="External"/><Relationship Id="rId715" Type="http://schemas.openxmlformats.org/officeDocument/2006/relationships/hyperlink" Target="https://afinvest.com.br/interno/relatorios/detalhes-de-ativos?id=2693&amp;codativo=AERI12" TargetMode="External"/><Relationship Id="rId922" Type="http://schemas.openxmlformats.org/officeDocument/2006/relationships/hyperlink" Target="https://afinvest.com.br/interno/relatorios/detalhes-de-ativos?id=5818&amp;codativo=LF002200QQO" TargetMode="External"/><Relationship Id="rId1138" Type="http://schemas.openxmlformats.org/officeDocument/2006/relationships/hyperlink" Target="https://afinvest.com.br/interno/relatorios/detalhes-de-ativos?id=8207&amp;codativo=ENEVB0" TargetMode="External"/><Relationship Id="rId1345" Type="http://schemas.openxmlformats.org/officeDocument/2006/relationships/hyperlink" Target="https://afinvest.com.br/interno/relatorios/detalhes-de-ativos?id=1340&amp;codativo=LORTA7" TargetMode="External"/><Relationship Id="rId147" Type="http://schemas.openxmlformats.org/officeDocument/2006/relationships/hyperlink" Target="https://afinvest.com.br/interno/relatorios/detalhes-de-ativos?id=8578&amp;codativo=LF002400KBU" TargetMode="External"/><Relationship Id="rId354" Type="http://schemas.openxmlformats.org/officeDocument/2006/relationships/hyperlink" Target="https://afinvest.com.br/interno/relatorios/detalhes-de-ativos?id=8583&amp;codativo=VIXL18" TargetMode="External"/><Relationship Id="rId799" Type="http://schemas.openxmlformats.org/officeDocument/2006/relationships/hyperlink" Target="https://afinvest.com.br/interno/relatorios/detalhes-de-ativos?id=8887&amp;codativo=CDB%20MERCANTIL%20OUT25" TargetMode="External"/><Relationship Id="rId1191" Type="http://schemas.openxmlformats.org/officeDocument/2006/relationships/hyperlink" Target="https://afinvest.com.br/interno/relatorios/detalhes-de-ativos?id=3090&amp;codativo=DAPMAI35" TargetMode="External"/><Relationship Id="rId1205" Type="http://schemas.openxmlformats.org/officeDocument/2006/relationships/hyperlink" Target="https://afinvest.com.br/interno/relatorios/detalhes-de-ativos?id=3505&amp;codativo=FIDC%20URA%20Agro%20SR" TargetMode="External"/><Relationship Id="rId51" Type="http://schemas.openxmlformats.org/officeDocument/2006/relationships/hyperlink" Target="https://afinvest.com.br/interno/relatorios/detalhes-de-ativos?id=5821&amp;codativo=LFSN2200E75" TargetMode="External"/><Relationship Id="rId561" Type="http://schemas.openxmlformats.org/officeDocument/2006/relationships/hyperlink" Target="https://afinvest.com.br/interno/relatorios/detalhes-de-ativos?id=9151&amp;codativo=AEGE17" TargetMode="External"/><Relationship Id="rId659" Type="http://schemas.openxmlformats.org/officeDocument/2006/relationships/hyperlink" Target="https://afinvest.com.br/interno/relatorios/detalhes-de-ativos?id=2779&amp;codativo=CBRDA8" TargetMode="External"/><Relationship Id="rId866" Type="http://schemas.openxmlformats.org/officeDocument/2006/relationships/hyperlink" Target="https://afinvest.com.br/interno/relatorios/detalhes-de-ativos?id=7956&amp;codativo=LFTjun30" TargetMode="External"/><Relationship Id="rId1289" Type="http://schemas.openxmlformats.org/officeDocument/2006/relationships/hyperlink" Target="https://afinvest.com.br/interno/relatorios/detalhes-de-ativos?id=2957&amp;codativo=DAPAGO28" TargetMode="External"/><Relationship Id="rId214" Type="http://schemas.openxmlformats.org/officeDocument/2006/relationships/hyperlink" Target="https://afinvest.com.br/interno/relatorios/detalhes-de-ativos?id=8625&amp;codativo=T10MAR25" TargetMode="External"/><Relationship Id="rId298" Type="http://schemas.openxmlformats.org/officeDocument/2006/relationships/hyperlink" Target="https://afinvest.com.br/interno/relatorios/detalhes-de-ativos?id=8473&amp;codativo=FIDC%20ICred%20Sr" TargetMode="External"/><Relationship Id="rId421" Type="http://schemas.openxmlformats.org/officeDocument/2006/relationships/hyperlink" Target="https://afinvest.com.br/interno/relatorios/detalhes-de-ativos?id=6041&amp;codativo=SIMH16" TargetMode="External"/><Relationship Id="rId519" Type="http://schemas.openxmlformats.org/officeDocument/2006/relationships/hyperlink" Target="https://afinvest.com.br/interno/relatorios/detalhes-de-ativos?id=1637&amp;codativo=LIGHC6" TargetMode="External"/><Relationship Id="rId1051" Type="http://schemas.openxmlformats.org/officeDocument/2006/relationships/hyperlink" Target="https://afinvest.com.br/interno/relatorios/detalhes-de-ativos?id=2833&amp;codativo=CGBP13" TargetMode="External"/><Relationship Id="rId1149" Type="http://schemas.openxmlformats.org/officeDocument/2006/relationships/hyperlink" Target="https://afinvest.com.br/interno/relatorios/detalhes-de-ativos?id=3041&amp;codativo=CART13" TargetMode="External"/><Relationship Id="rId1356" Type="http://schemas.openxmlformats.org/officeDocument/2006/relationships/hyperlink" Target="https://afinvest.com.br/interno/relatorios/detalhes-de-ativos?id=7269&amp;codativo=ERDVC3" TargetMode="External"/><Relationship Id="rId158" Type="http://schemas.openxmlformats.org/officeDocument/2006/relationships/hyperlink" Target="https://afinvest.com.br/interno/relatorios/detalhes-de-ativos?id=7998&amp;codativo=LF002400ABK" TargetMode="External"/><Relationship Id="rId726" Type="http://schemas.openxmlformats.org/officeDocument/2006/relationships/hyperlink" Target="https://afinvest.com.br/interno/relatorios/detalhes-de-ativos?id=9081&amp;codativo=CRI%20Vic%20Engenharia%201%C2%AA%20Emiss%C3%A3o" TargetMode="External"/><Relationship Id="rId933" Type="http://schemas.openxmlformats.org/officeDocument/2006/relationships/hyperlink" Target="https://afinvest.com.br/interno/relatorios/detalhes-de-ativos?id=395&amp;codativo=DI1JAN27" TargetMode="External"/><Relationship Id="rId1009" Type="http://schemas.openxmlformats.org/officeDocument/2006/relationships/hyperlink" Target="https://afinvest.com.br/interno/relatorios/detalhes-de-ativos?id=6041&amp;codativo=SIMH16" TargetMode="External"/><Relationship Id="rId62" Type="http://schemas.openxmlformats.org/officeDocument/2006/relationships/hyperlink" Target="https://afinvest.com.br/interno/relatorios/detalhes-de-ativos?id=1165&amp;codativo=LFSN1800DS6" TargetMode="External"/><Relationship Id="rId365" Type="http://schemas.openxmlformats.org/officeDocument/2006/relationships/hyperlink" Target="https://afinvest.com.br/interno/relatorios/detalhes-de-ativos?id=3424&amp;codativo=VECS11" TargetMode="External"/><Relationship Id="rId572" Type="http://schemas.openxmlformats.org/officeDocument/2006/relationships/hyperlink" Target="https://afinvest.com.br/interno/relatorios/detalhes-de-ativos?id=7270&amp;codativo=CGOS14" TargetMode="External"/><Relationship Id="rId1216" Type="http://schemas.openxmlformats.org/officeDocument/2006/relationships/hyperlink" Target="https://afinvest.com.br/interno/relatorios/detalhes-de-ativos?id=8807&amp;codativo=VSCF17" TargetMode="External"/><Relationship Id="rId225" Type="http://schemas.openxmlformats.org/officeDocument/2006/relationships/hyperlink" Target="https://afinvest.com.br/interno/relatorios/detalhes-de-ativos?id=2952&amp;codativo=DDIJAN31" TargetMode="External"/><Relationship Id="rId432" Type="http://schemas.openxmlformats.org/officeDocument/2006/relationships/hyperlink" Target="https://afinvest.com.br/interno/relatorios/detalhes-de-ativos?id=8398&amp;codativo=ASAIA0" TargetMode="External"/><Relationship Id="rId877" Type="http://schemas.openxmlformats.org/officeDocument/2006/relationships/hyperlink" Target="https://afinvest.com.br/interno/relatorios/detalhes-de-ativos?id=8439&amp;codativo=LFSN1800DC9" TargetMode="External"/><Relationship Id="rId1062" Type="http://schemas.openxmlformats.org/officeDocument/2006/relationships/hyperlink" Target="https://afinvest.com.br/interno/relatorios/detalhes-de-ativos?id=2780&amp;codativo=CBRDB8" TargetMode="External"/><Relationship Id="rId737" Type="http://schemas.openxmlformats.org/officeDocument/2006/relationships/hyperlink" Target="https://afinvest.com.br/interno/relatorios/detalhes-de-ativos?id=1459&amp;codativo=CRA%20Ferroeste%202%C2%AA%20S%C3%A9rie" TargetMode="External"/><Relationship Id="rId944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1367" Type="http://schemas.openxmlformats.org/officeDocument/2006/relationships/hyperlink" Target="https://afinvest.com.br/interno/relatorios/detalhes-de-ativos?id=3460&amp;codativo=VTII12" TargetMode="External"/><Relationship Id="rId73" Type="http://schemas.openxmlformats.org/officeDocument/2006/relationships/hyperlink" Target="https://afinvest.com.br/interno/relatorios/detalhes-de-ativos?id=7720&amp;codativo=LFSC24000BB" TargetMode="External"/><Relationship Id="rId169" Type="http://schemas.openxmlformats.org/officeDocument/2006/relationships/hyperlink" Target="https://afinvest.com.br/interno/relatorios/detalhes-de-ativos?id=7409&amp;codativo=LF00220095U" TargetMode="External"/><Relationship Id="rId376" Type="http://schemas.openxmlformats.org/officeDocument/2006/relationships/hyperlink" Target="https://afinvest.com.br/interno/relatorios/detalhes-de-ativos?id=1462&amp;codativo=VAMO33" TargetMode="External"/><Relationship Id="rId583" Type="http://schemas.openxmlformats.org/officeDocument/2006/relationships/hyperlink" Target="https://afinvest.com.br/interno/relatorios/detalhes-de-ativos?id=8430&amp;codativo=ENAT14" TargetMode="External"/><Relationship Id="rId790" Type="http://schemas.openxmlformats.org/officeDocument/2006/relationships/hyperlink" Target="https://afinvest.com.br/interno/relatorios/detalhes-de-ativos?id=9175&amp;codativo=CDBC241I1TI" TargetMode="External"/><Relationship Id="rId804" Type="http://schemas.openxmlformats.org/officeDocument/2006/relationships/hyperlink" Target="https://afinvest.com.br/interno/relatorios/detalhes-de-ativos?id=8887&amp;codativo=CDB%20MERCANTIL%20OUT25" TargetMode="External"/><Relationship Id="rId1227" Type="http://schemas.openxmlformats.org/officeDocument/2006/relationships/hyperlink" Target="https://afinvest.com.br/interno/relatorios/detalhes-de-ativos?id=3004&amp;codativo=JSMLA5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1285&amp;codativo=ABSOLUTE%20VERTEX%20II%20FIC%20FIM" TargetMode="External"/><Relationship Id="rId443" Type="http://schemas.openxmlformats.org/officeDocument/2006/relationships/hyperlink" Target="https://afinvest.com.br/interno/relatorios/detalhes-de-ativos?id=3175&amp;codativo=SBFC13" TargetMode="External"/><Relationship Id="rId650" Type="http://schemas.openxmlformats.org/officeDocument/2006/relationships/hyperlink" Target="https://afinvest.com.br/interno/relatorios/detalhes-de-ativos?id=9077&amp;codativo=CTEE29" TargetMode="External"/><Relationship Id="rId888" Type="http://schemas.openxmlformats.org/officeDocument/2006/relationships/hyperlink" Target="https://afinvest.com.br/interno/relatorios/detalhes-de-ativos?id=7896&amp;codativo=LF002400951" TargetMode="External"/><Relationship Id="rId1073" Type="http://schemas.openxmlformats.org/officeDocument/2006/relationships/hyperlink" Target="https://afinvest.com.br/interno/relatorios/detalhes-de-ativos?id=7681&amp;codativo=RRRP14" TargetMode="External"/><Relationship Id="rId1280" Type="http://schemas.openxmlformats.org/officeDocument/2006/relationships/hyperlink" Target="https://afinvest.com.br/interno/relatorios/detalhes-de-ativos?id=2800&amp;codativo=760199" TargetMode="External"/><Relationship Id="rId303" Type="http://schemas.openxmlformats.org/officeDocument/2006/relationships/hyperlink" Target="https://afinvest.com.br/interno/relatorios/detalhes-de-ativos?id=8328&amp;codativo=FIDC%20Guardian%20MC%20II%20Sr" TargetMode="External"/><Relationship Id="rId748" Type="http://schemas.openxmlformats.org/officeDocument/2006/relationships/hyperlink" Target="https://afinvest.com.br/interno/relatorios/detalhes-de-ativos?id=1281&amp;codativo=TUPY31" TargetMode="External"/><Relationship Id="rId955" Type="http://schemas.openxmlformats.org/officeDocument/2006/relationships/hyperlink" Target="https://afinvest.com.br/interno/relatorios/detalhes-de-ativos?id=7740&amp;codativo=SANTANDER%20CASH%20BLACK%20IX" TargetMode="External"/><Relationship Id="rId1140" Type="http://schemas.openxmlformats.org/officeDocument/2006/relationships/hyperlink" Target="https://afinvest.com.br/interno/relatorios/detalhes-de-ativos?id=7320&amp;codativo=ENGIB9" TargetMode="External"/><Relationship Id="rId1378" Type="http://schemas.openxmlformats.org/officeDocument/2006/relationships/hyperlink" Target="https://afinvest.com.br/interno/relatorios/detalhes-de-ativos?id=8804&amp;codativo=AMERF2" TargetMode="External"/><Relationship Id="rId84" Type="http://schemas.openxmlformats.org/officeDocument/2006/relationships/hyperlink" Target="https://afinvest.com.br/interno/relatorios/detalhes-de-ativos?id=3188&amp;codativo=LFSC190054C" TargetMode="External"/><Relationship Id="rId387" Type="http://schemas.openxmlformats.org/officeDocument/2006/relationships/hyperlink" Target="https://afinvest.com.br/interno/relatorios/detalhes-de-ativos?id=8116&amp;codativo=VLIDA0" TargetMode="External"/><Relationship Id="rId510" Type="http://schemas.openxmlformats.org/officeDocument/2006/relationships/hyperlink" Target="https://afinvest.com.br/interno/relatorios/detalhes-de-ativos?id=9179&amp;codativo=LIGH2B" TargetMode="External"/><Relationship Id="rId594" Type="http://schemas.openxmlformats.org/officeDocument/2006/relationships/hyperlink" Target="https://afinvest.com.br/interno/relatorios/detalhes-de-ativos?id=1767&amp;codativo=ECHP11" TargetMode="External"/><Relationship Id="rId608" Type="http://schemas.openxmlformats.org/officeDocument/2006/relationships/hyperlink" Target="https://afinvest.com.br/interno/relatorios/detalhes-de-ativos?id=3187&amp;codativo=CSAN24" TargetMode="External"/><Relationship Id="rId815" Type="http://schemas.openxmlformats.org/officeDocument/2006/relationships/hyperlink" Target="https://afinvest.com.br/interno/relatorios/detalhes-de-ativos?id=1249&amp;codativo=CAIXA" TargetMode="External"/><Relationship Id="rId1238" Type="http://schemas.openxmlformats.org/officeDocument/2006/relationships/hyperlink" Target="https://afinvest.com.br/interno/relatorios/detalhes-de-ativos?id=2846&amp;codativo=JSLGA5" TargetMode="External"/><Relationship Id="rId247" Type="http://schemas.openxmlformats.org/officeDocument/2006/relationships/hyperlink" Target="https://afinvest.com.br/interno/relatorios/detalhes-de-ativos?id=1104&amp;codativo=CASH%20BLUE" TargetMode="External"/><Relationship Id="rId899" Type="http://schemas.openxmlformats.org/officeDocument/2006/relationships/hyperlink" Target="https://afinvest.com.br/interno/relatorios/detalhes-de-ativos?id=8350&amp;codativo=LF0024007OE" TargetMode="External"/><Relationship Id="rId1000" Type="http://schemas.openxmlformats.org/officeDocument/2006/relationships/hyperlink" Target="https://afinvest.com.br/interno/relatorios/detalhes-de-ativos?id=1692&amp;codativo=VAMO22" TargetMode="External"/><Relationship Id="rId1084" Type="http://schemas.openxmlformats.org/officeDocument/2006/relationships/hyperlink" Target="https://afinvest.com.br/interno/relatorios/detalhes-de-ativos?id=8710&amp;codativo=CDB824AAYU7" TargetMode="External"/><Relationship Id="rId1305" Type="http://schemas.openxmlformats.org/officeDocument/2006/relationships/hyperlink" Target="https://afinvest.com.br/interno/relatorios/detalhes-de-ativos?id=8473&amp;codativo=FIDC%20ICred%20Sr" TargetMode="External"/><Relationship Id="rId107" Type="http://schemas.openxmlformats.org/officeDocument/2006/relationships/hyperlink" Target="https://afinvest.com.br/interno/relatorios/detalhes-de-ativos?id=7865&amp;codativo=LFSC24001P5" TargetMode="External"/><Relationship Id="rId454" Type="http://schemas.openxmlformats.org/officeDocument/2006/relationships/hyperlink" Target="https://afinvest.com.br/interno/relatorios/detalhes-de-ativos?id=2723&amp;codativo=RDORB9" TargetMode="External"/><Relationship Id="rId661" Type="http://schemas.openxmlformats.org/officeDocument/2006/relationships/hyperlink" Target="https://afinvest.com.br/interno/relatorios/detalhes-de-ativos?id=2779&amp;codativo=CBRDA8" TargetMode="External"/><Relationship Id="rId759" Type="http://schemas.openxmlformats.org/officeDocument/2006/relationships/hyperlink" Target="https://afinvest.com.br/interno/relatorios/detalhes-de-ativos?id=2611&amp;codativo=CSANBZ%20PERP" TargetMode="External"/><Relationship Id="rId966" Type="http://schemas.openxmlformats.org/officeDocument/2006/relationships/hyperlink" Target="https://afinvest.com.br/interno/relatorios/detalhes-de-ativos?id=7739&amp;codativo=SANTANDER%20CASH%20BLACK%20III" TargetMode="External"/><Relationship Id="rId1291" Type="http://schemas.openxmlformats.org/officeDocument/2006/relationships/hyperlink" Target="https://afinvest.com.br/interno/relatorios/detalhes-de-ativos?id=4099&amp;codativo=DAPAGO32" TargetMode="External"/><Relationship Id="rId1389" Type="http://schemas.openxmlformats.org/officeDocument/2006/relationships/printerSettings" Target="../printerSettings/printerSettings7.bin"/><Relationship Id="rId11" Type="http://schemas.openxmlformats.org/officeDocument/2006/relationships/hyperlink" Target="https://afinvest.com.br/interno/relatorios/detalhes-de-ativos?id=821&amp;codativo=LFT%20set%2026" TargetMode="External"/><Relationship Id="rId314" Type="http://schemas.openxmlformats.org/officeDocument/2006/relationships/hyperlink" Target="https://afinvest.com.br/interno/relatorios/detalhes-de-ativos?id=3505&amp;codativo=FIDC%20URA%20Agro%20SR" TargetMode="External"/><Relationship Id="rId398" Type="http://schemas.openxmlformats.org/officeDocument/2006/relationships/hyperlink" Target="https://afinvest.com.br/interno/relatorios/detalhes-de-ativos?id=9446&amp;codativo=VERT18%20(nota%20reestruturada)" TargetMode="External"/><Relationship Id="rId521" Type="http://schemas.openxmlformats.org/officeDocument/2006/relationships/hyperlink" Target="https://afinvest.com.br/interno/relatorios/detalhes-de-ativos?id=9215&amp;codativo=LIGT11" TargetMode="External"/><Relationship Id="rId619" Type="http://schemas.openxmlformats.org/officeDocument/2006/relationships/hyperlink" Target="https://afinvest.com.br/interno/relatorios/detalhes-de-ativos?id=7543&amp;codativo=CRNP11" TargetMode="External"/><Relationship Id="rId1151" Type="http://schemas.openxmlformats.org/officeDocument/2006/relationships/hyperlink" Target="https://afinvest.com.br/interno/relatorios/detalhes-de-ativos?id=8991&amp;codativo=RSAN26" TargetMode="External"/><Relationship Id="rId1249" Type="http://schemas.openxmlformats.org/officeDocument/2006/relationships/hyperlink" Target="https://afinvest.com.br/interno/relatorios/detalhes-de-ativos?id=7268&amp;codativo=ERDVB3" TargetMode="External"/><Relationship Id="rId95" Type="http://schemas.openxmlformats.org/officeDocument/2006/relationships/hyperlink" Target="https://afinvest.com.br/interno/relatorios/detalhes-de-ativos?id=9039&amp;codativo=LFSC19003FD" TargetMode="External"/><Relationship Id="rId160" Type="http://schemas.openxmlformats.org/officeDocument/2006/relationships/hyperlink" Target="https://afinvest.com.br/interno/relatorios/detalhes-de-ativos?id=7998&amp;codativo=LF002400ABJ" TargetMode="External"/><Relationship Id="rId826" Type="http://schemas.openxmlformats.org/officeDocument/2006/relationships/hyperlink" Target="https://afinvest.com.br/interno/relatorios/detalhes-de-ativos?id=958&amp;codativo=TUPY3" TargetMode="External"/><Relationship Id="rId1011" Type="http://schemas.openxmlformats.org/officeDocument/2006/relationships/hyperlink" Target="https://afinvest.com.br/interno/relatorios/detalhes-de-ativos?id=8398&amp;codativo=ASAIA0" TargetMode="External"/><Relationship Id="rId1109" Type="http://schemas.openxmlformats.org/officeDocument/2006/relationships/hyperlink" Target="https://afinvest.com.br/interno/relatorios/detalhes-de-ativos?id=9579&amp;codativo=BR03UACTF002" TargetMode="External"/><Relationship Id="rId258" Type="http://schemas.openxmlformats.org/officeDocument/2006/relationships/hyperlink" Target="https://afinvest.com.br/interno/relatorios/detalhes-de-ativos?id=7745&amp;codativo=SANTANDER%20CASH%20BLACK%20IV" TargetMode="External"/><Relationship Id="rId465" Type="http://schemas.openxmlformats.org/officeDocument/2006/relationships/hyperlink" Target="https://afinvest.com.br/interno/relatorios/detalhes-de-ativos?id=5906&amp;codativo=PEJA21" TargetMode="External"/><Relationship Id="rId672" Type="http://schemas.openxmlformats.org/officeDocument/2006/relationships/hyperlink" Target="https://afinvest.com.br/interno/relatorios/detalhes-de-ativos?id=5722&amp;codativo=AALR13" TargetMode="External"/><Relationship Id="rId1095" Type="http://schemas.openxmlformats.org/officeDocument/2006/relationships/hyperlink" Target="https://afinvest.com.br/interno/relatorios/detalhes-de-ativos?id=2769&amp;codativo=GOLD11" TargetMode="External"/><Relationship Id="rId1316" Type="http://schemas.openxmlformats.org/officeDocument/2006/relationships/hyperlink" Target="https://afinvest.com.br/interno/relatorios/detalhes-de-ativos?id=8583&amp;codativo=VIXL18" TargetMode="External"/><Relationship Id="rId22" Type="http://schemas.openxmlformats.org/officeDocument/2006/relationships/hyperlink" Target="https://afinvest.com.br/interno/relatorios/detalhes-de-ativos?id=9357&amp;codativo=CDB1256KW6A" TargetMode="External"/><Relationship Id="rId118" Type="http://schemas.openxmlformats.org/officeDocument/2006/relationships/hyperlink" Target="https://afinvest.com.br/interno/relatorios/detalhes-de-ativos?id=6879&amp;codativo=LF002305RG5" TargetMode="External"/><Relationship Id="rId325" Type="http://schemas.openxmlformats.org/officeDocument/2006/relationships/hyperlink" Target="https://afinvest.com.br/interno/relatorios/detalhes-de-ativos?id=9223&amp;codativo=FIDC%20PICPAY%20FGTS%20SR" TargetMode="External"/><Relationship Id="rId532" Type="http://schemas.openxmlformats.org/officeDocument/2006/relationships/hyperlink" Target="https://afinvest.com.br/interno/relatorios/detalhes-de-ativos?id=308&amp;codativo=KLBNA2" TargetMode="External"/><Relationship Id="rId977" Type="http://schemas.openxmlformats.org/officeDocument/2006/relationships/hyperlink" Target="https://afinvest.com.br/interno/relatorios/detalhes-de-ativos?id=7810&amp;codativo=FIDC%20ACR%20Fast" TargetMode="External"/><Relationship Id="rId1162" Type="http://schemas.openxmlformats.org/officeDocument/2006/relationships/hyperlink" Target="https://afinvest.com.br/interno/relatorios/detalhes-de-ativos?id=8033&amp;codativo=RIS424" TargetMode="External"/><Relationship Id="rId171" Type="http://schemas.openxmlformats.org/officeDocument/2006/relationships/hyperlink" Target="https://afinvest.com.br/interno/relatorios/detalhes-de-ativos?id=8111&amp;codativo=LF002400BZZ" TargetMode="External"/><Relationship Id="rId837" Type="http://schemas.openxmlformats.org/officeDocument/2006/relationships/hyperlink" Target="https://afinvest.com.br/interno/relatorios/detalhes-de-ativos?id=7894&amp;codativo=MELK3" TargetMode="External"/><Relationship Id="rId1022" Type="http://schemas.openxmlformats.org/officeDocument/2006/relationships/hyperlink" Target="https://afinvest.com.br/interno/relatorios/detalhes-de-ativos?id=3395&amp;codativo=OGDS11" TargetMode="External"/><Relationship Id="rId269" Type="http://schemas.openxmlformats.org/officeDocument/2006/relationships/hyperlink" Target="https://afinvest.com.br/interno/relatorios/detalhes-de-ativos?id=7746&amp;codativo=SANTANDER%20CASH%20BLACK%20VII" TargetMode="External"/><Relationship Id="rId476" Type="http://schemas.openxmlformats.org/officeDocument/2006/relationships/hyperlink" Target="https://afinvest.com.br/interno/relatorios/detalhes-de-ativos?id=2626&amp;codativo=OMGE13" TargetMode="External"/><Relationship Id="rId683" Type="http://schemas.openxmlformats.org/officeDocument/2006/relationships/hyperlink" Target="https://afinvest.com.br/interno/relatorios/detalhes-de-ativos?id=6410&amp;codativo=BRFS31" TargetMode="External"/><Relationship Id="rId890" Type="http://schemas.openxmlformats.org/officeDocument/2006/relationships/hyperlink" Target="https://afinvest.com.br/interno/relatorios/detalhes-de-ativos?id=6882&amp;codativo=LF002305RGD" TargetMode="External"/><Relationship Id="rId904" Type="http://schemas.openxmlformats.org/officeDocument/2006/relationships/hyperlink" Target="https://afinvest.com.br/interno/relatorios/detalhes-de-ativos?id=8012&amp;codativo=LF002000977" TargetMode="External"/><Relationship Id="rId1327" Type="http://schemas.openxmlformats.org/officeDocument/2006/relationships/hyperlink" Target="https://afinvest.com.br/interno/relatorios/detalhes-de-ativos?id=2918&amp;codativo=SULA29" TargetMode="External"/><Relationship Id="rId33" Type="http://schemas.openxmlformats.org/officeDocument/2006/relationships/hyperlink" Target="https://afinvest.com.br/interno/relatorios/detalhes-de-ativos?id=1271&amp;codativo=Provis%C3%A3o" TargetMode="External"/><Relationship Id="rId129" Type="http://schemas.openxmlformats.org/officeDocument/2006/relationships/hyperlink" Target="https://afinvest.com.br/interno/relatorios/detalhes-de-ativos?id=8351&amp;codativo=LF002400GAO" TargetMode="External"/><Relationship Id="rId336" Type="http://schemas.openxmlformats.org/officeDocument/2006/relationships/hyperlink" Target="https://afinvest.com.br/interno/relatorios/detalhes-de-ativos?id=3409&amp;codativo=FIDC%20Bemol" TargetMode="External"/><Relationship Id="rId543" Type="http://schemas.openxmlformats.org/officeDocument/2006/relationships/hyperlink" Target="https://afinvest.com.br/interno/relatorios/detalhes-de-ativos?id=1168&amp;codativo=IGSN15" TargetMode="External"/><Relationship Id="rId988" Type="http://schemas.openxmlformats.org/officeDocument/2006/relationships/hyperlink" Target="https://afinvest.com.br/interno/relatorios/detalhes-de-ativos?id=9487&amp;codativo=FIDC%20Icred%20INSS" TargetMode="External"/><Relationship Id="rId1173" Type="http://schemas.openxmlformats.org/officeDocument/2006/relationships/hyperlink" Target="https://afinvest.com.br/interno/relatorios/detalhes-de-ativos?id=1271&amp;codativo=Provis%C3%A3o" TargetMode="External"/><Relationship Id="rId1380" Type="http://schemas.openxmlformats.org/officeDocument/2006/relationships/hyperlink" Target="https://afinvest.com.br/interno/relatorios/detalhes-de-ativos?id=2693&amp;codativo=AERI12" TargetMode="External"/><Relationship Id="rId182" Type="http://schemas.openxmlformats.org/officeDocument/2006/relationships/hyperlink" Target="https://afinvest.com.br/interno/relatorios/detalhes-de-ativos?id=5818&amp;codativo=LF002200QQO" TargetMode="External"/><Relationship Id="rId403" Type="http://schemas.openxmlformats.org/officeDocument/2006/relationships/hyperlink" Target="https://afinvest.com.br/interno/relatorios/detalhes-de-ativos?id=9445&amp;codativo=VERT19%20(nota%20participativa)" TargetMode="External"/><Relationship Id="rId750" Type="http://schemas.openxmlformats.org/officeDocument/2006/relationships/hyperlink" Target="https://afinvest.com.br/interno/relatorios/detalhes-de-ativos?id=8711&amp;codativo=USG588" TargetMode="External"/><Relationship Id="rId848" Type="http://schemas.openxmlformats.org/officeDocument/2006/relationships/hyperlink" Target="https://afinvest.com.br/interno/relatorios/detalhes-de-ativos?id=7&amp;codativo=COGN3" TargetMode="External"/><Relationship Id="rId1033" Type="http://schemas.openxmlformats.org/officeDocument/2006/relationships/hyperlink" Target="https://afinvest.com.br/interno/relatorios/detalhes-de-ativos?id=215&amp;codativo=LIGHB6" TargetMode="External"/><Relationship Id="rId487" Type="http://schemas.openxmlformats.org/officeDocument/2006/relationships/hyperlink" Target="https://afinvest.com.br/interno/relatorios/detalhes-de-ativos?id=9425&amp;codativo=MVLV19" TargetMode="External"/><Relationship Id="rId610" Type="http://schemas.openxmlformats.org/officeDocument/2006/relationships/hyperlink" Target="https://afinvest.com.br/interno/relatorios/detalhes-de-ativos?id=8431&amp;codativo=CSANA0" TargetMode="External"/><Relationship Id="rId694" Type="http://schemas.openxmlformats.org/officeDocument/2006/relationships/hyperlink" Target="https://afinvest.com.br/interno/relatorios/detalhes-de-ativos?id=7942&amp;codativo=BHSA11" TargetMode="External"/><Relationship Id="rId708" Type="http://schemas.openxmlformats.org/officeDocument/2006/relationships/hyperlink" Target="https://afinvest.com.br/interno/relatorios/detalhes-de-ativos?id=7040&amp;codativo=ALGTA3" TargetMode="External"/><Relationship Id="rId915" Type="http://schemas.openxmlformats.org/officeDocument/2006/relationships/hyperlink" Target="https://afinvest.com.br/interno/relatorios/detalhes-de-ativos?id=7998&amp;codativo=LF002400ABL" TargetMode="External"/><Relationship Id="rId1240" Type="http://schemas.openxmlformats.org/officeDocument/2006/relationships/hyperlink" Target="https://afinvest.com.br/interno/relatorios/detalhes-de-ativos?id=5764&amp;codativo=HBSA12" TargetMode="External"/><Relationship Id="rId1338" Type="http://schemas.openxmlformats.org/officeDocument/2006/relationships/hyperlink" Target="https://afinvest.com.br/interno/relatorios/detalhes-de-ativos?id=5840&amp;codativo=ONCO19" TargetMode="External"/><Relationship Id="rId347" Type="http://schemas.openxmlformats.org/officeDocument/2006/relationships/hyperlink" Target="https://afinvest.com.br/interno/relatorios/detalhes-de-ativos?id=8877&amp;codativo=FIDC%20Artico%20Sr" TargetMode="External"/><Relationship Id="rId999" Type="http://schemas.openxmlformats.org/officeDocument/2006/relationships/hyperlink" Target="https://afinvest.com.br/interno/relatorios/detalhes-de-ativos?id=8807&amp;codativo=VSCF17" TargetMode="External"/><Relationship Id="rId1100" Type="http://schemas.openxmlformats.org/officeDocument/2006/relationships/hyperlink" Target="https://afinvest.com.br/interno/relatorios/detalhes-de-ativos?id=361&amp;codativo=NTN-B28" TargetMode="External"/><Relationship Id="rId1184" Type="http://schemas.openxmlformats.org/officeDocument/2006/relationships/hyperlink" Target="https://afinvest.com.br/interno/relatorios/detalhes-de-ativos?id=3459&amp;codativo=LFSC18001VE" TargetMode="External"/><Relationship Id="rId44" Type="http://schemas.openxmlformats.org/officeDocument/2006/relationships/hyperlink" Target="https://afinvest.com.br/interno/relatorios/detalhes-de-ativos?id=153&amp;codativo=LFSN19006KN" TargetMode="External"/><Relationship Id="rId554" Type="http://schemas.openxmlformats.org/officeDocument/2006/relationships/hyperlink" Target="https://afinvest.com.br/interno/relatorios/detalhes-de-ativos?id=2877&amp;codativo=HAPV22" TargetMode="External"/><Relationship Id="rId761" Type="http://schemas.openxmlformats.org/officeDocument/2006/relationships/hyperlink" Target="https://afinvest.com.br/interno/relatorios/detalhes-de-ativos?id=2251&amp;codativo=BCOLO27" TargetMode="External"/><Relationship Id="rId859" Type="http://schemas.openxmlformats.org/officeDocument/2006/relationships/hyperlink" Target="https://afinvest.com.br/interno/relatorios/detalhes-de-ativos?id=8523&amp;codativo=AMER11" TargetMode="External"/><Relationship Id="rId193" Type="http://schemas.openxmlformats.org/officeDocument/2006/relationships/hyperlink" Target="https://afinvest.com.br/interno/relatorios/detalhes-de-ativos?id=3254&amp;codativo=DAPMAI25" TargetMode="External"/><Relationship Id="rId207" Type="http://schemas.openxmlformats.org/officeDocument/2006/relationships/hyperlink" Target="https://afinvest.com.br/interno/relatorios/detalhes-de-ativos?id=2677&amp;codativo=DI1JAN29" TargetMode="External"/><Relationship Id="rId414" Type="http://schemas.openxmlformats.org/officeDocument/2006/relationships/hyperlink" Target="https://afinvest.com.br/interno/relatorios/detalhes-de-ativos?id=2918&amp;codativo=SULA29" TargetMode="External"/><Relationship Id="rId498" Type="http://schemas.openxmlformats.org/officeDocument/2006/relationships/hyperlink" Target="https://afinvest.com.br/interno/relatorios/detalhes-de-ativos?id=2933&amp;codativo=MSGT13" TargetMode="External"/><Relationship Id="rId621" Type="http://schemas.openxmlformats.org/officeDocument/2006/relationships/hyperlink" Target="https://afinvest.com.br/interno/relatorios/detalhes-de-ativos?id=7543&amp;codativo=CRNP11" TargetMode="External"/><Relationship Id="rId1044" Type="http://schemas.openxmlformats.org/officeDocument/2006/relationships/hyperlink" Target="https://afinvest.com.br/interno/relatorios/detalhes-de-ativos?id=8876&amp;codativo=CGOS18" TargetMode="External"/><Relationship Id="rId1251" Type="http://schemas.openxmlformats.org/officeDocument/2006/relationships/hyperlink" Target="https://afinvest.com.br/interno/relatorios/detalhes-de-ativos?id=3364&amp;codativo=CPLD37" TargetMode="External"/><Relationship Id="rId1349" Type="http://schemas.openxmlformats.org/officeDocument/2006/relationships/hyperlink" Target="https://afinvest.com.br/interno/relatorios/detalhes-de-ativos?id=2844&amp;codativo=MATD11" TargetMode="External"/><Relationship Id="rId260" Type="http://schemas.openxmlformats.org/officeDocument/2006/relationships/hyperlink" Target="https://afinvest.com.br/interno/relatorios/detalhes-de-ativos?id=7746&amp;codativo=SANTANDER%20CASH%20BLACK%20VII" TargetMode="External"/><Relationship Id="rId719" Type="http://schemas.openxmlformats.org/officeDocument/2006/relationships/hyperlink" Target="https://afinvest.com.br/interno/relatorios/detalhes-de-ativos?id=2808&amp;codativo=AEGP19" TargetMode="External"/><Relationship Id="rId926" Type="http://schemas.openxmlformats.org/officeDocument/2006/relationships/hyperlink" Target="https://afinvest.com.br/interno/relatorios/detalhes-de-ativos?id=3254&amp;codativo=DAPMAI25" TargetMode="External"/><Relationship Id="rId1111" Type="http://schemas.openxmlformats.org/officeDocument/2006/relationships/hyperlink" Target="https://afinvest.com.br/interno/relatorios/detalhes-de-ativos?id=9572&amp;codativo=BR0BHCCTF046" TargetMode="External"/><Relationship Id="rId55" Type="http://schemas.openxmlformats.org/officeDocument/2006/relationships/hyperlink" Target="https://afinvest.com.br/interno/relatorios/detalhes-de-ativos?id=7958&amp;codativo=LFSN19009YU" TargetMode="External"/><Relationship Id="rId120" Type="http://schemas.openxmlformats.org/officeDocument/2006/relationships/hyperlink" Target="https://afinvest.com.br/interno/relatorios/detalhes-de-ativos?id=7896&amp;codativo=LF002400951" TargetMode="External"/><Relationship Id="rId358" Type="http://schemas.openxmlformats.org/officeDocument/2006/relationships/hyperlink" Target="https://afinvest.com.br/interno/relatorios/detalhes-de-ativos?id=2721&amp;codativo=VIXL14" TargetMode="External"/><Relationship Id="rId565" Type="http://schemas.openxmlformats.org/officeDocument/2006/relationships/hyperlink" Target="https://afinvest.com.br/interno/relatorios/detalhes-de-ativos?id=8876&amp;codativo=CGOS18" TargetMode="External"/><Relationship Id="rId772" Type="http://schemas.openxmlformats.org/officeDocument/2006/relationships/hyperlink" Target="https://afinvest.com.br/interno/relatorios/detalhes-de-ativos?id=3420&amp;codativo=760199" TargetMode="External"/><Relationship Id="rId1195" Type="http://schemas.openxmlformats.org/officeDocument/2006/relationships/hyperlink" Target="https://afinvest.com.br/interno/relatorios/detalhes-de-ativos?id=940&amp;codativo=DAPAGO26" TargetMode="External"/><Relationship Id="rId1209" Type="http://schemas.openxmlformats.org/officeDocument/2006/relationships/hyperlink" Target="https://afinvest.com.br/interno/relatorios/detalhes-de-ativos?id=387&amp;codativo=FIDC%20LF%20I%20SR4" TargetMode="External"/><Relationship Id="rId218" Type="http://schemas.openxmlformats.org/officeDocument/2006/relationships/hyperlink" Target="https://afinvest.com.br/interno/relatorios/detalhes-de-ativos?id=2842&amp;codativo=DDIJAN27" TargetMode="External"/><Relationship Id="rId425" Type="http://schemas.openxmlformats.org/officeDocument/2006/relationships/hyperlink" Target="https://afinvest.com.br/interno/relatorios/detalhes-de-ativos?id=1410&amp;codativo=ASAI22" TargetMode="External"/><Relationship Id="rId632" Type="http://schemas.openxmlformats.org/officeDocument/2006/relationships/hyperlink" Target="https://afinvest.com.br/interno/relatorios/detalhes-de-ativos?id=3155&amp;codativo=CSNAA1" TargetMode="External"/><Relationship Id="rId1055" Type="http://schemas.openxmlformats.org/officeDocument/2006/relationships/hyperlink" Target="https://afinvest.com.br/interno/relatorios/detalhes-de-ativos?id=5729&amp;codativo=CSNAA2" TargetMode="External"/><Relationship Id="rId1262" Type="http://schemas.openxmlformats.org/officeDocument/2006/relationships/hyperlink" Target="https://afinvest.com.br/interno/relatorios/detalhes-de-ativos?id=9256&amp;codativo=EQPA18" TargetMode="External"/><Relationship Id="rId271" Type="http://schemas.openxmlformats.org/officeDocument/2006/relationships/hyperlink" Target="https://afinvest.com.br/interno/relatorios/detalhes-de-ativos?id=7744&amp;codativo=SANTANDER%20CASH%20BLACK%20II" TargetMode="External"/><Relationship Id="rId937" Type="http://schemas.openxmlformats.org/officeDocument/2006/relationships/hyperlink" Target="https://afinvest.com.br/interno/relatorios/detalhes-de-ativos?id=4120&amp;codativo=DAPMAI27" TargetMode="External"/><Relationship Id="rId1122" Type="http://schemas.openxmlformats.org/officeDocument/2006/relationships/hyperlink" Target="https://afinvest.com.br/interno/relatorios/detalhes-de-ativos?id=3468&amp;codativo=PEJA11" TargetMode="External"/><Relationship Id="rId66" Type="http://schemas.openxmlformats.org/officeDocument/2006/relationships/hyperlink" Target="https://afinvest.com.br/interno/relatorios/detalhes-de-ativos?id=1133&amp;codativo=LFSN1800DXV" TargetMode="External"/><Relationship Id="rId131" Type="http://schemas.openxmlformats.org/officeDocument/2006/relationships/hyperlink" Target="https://afinvest.com.br/interno/relatorios/detalhes-de-ativos?id=8351&amp;codativo=LF002400GAO" TargetMode="External"/><Relationship Id="rId369" Type="http://schemas.openxmlformats.org/officeDocument/2006/relationships/hyperlink" Target="https://afinvest.com.br/interno/relatorios/detalhes-de-ativos?id=8807&amp;codativo=VSCF17" TargetMode="External"/><Relationship Id="rId576" Type="http://schemas.openxmlformats.org/officeDocument/2006/relationships/hyperlink" Target="https://afinvest.com.br/interno/relatorios/detalhes-de-ativos?id=2839&amp;codativo=ENGIC5" TargetMode="External"/><Relationship Id="rId783" Type="http://schemas.openxmlformats.org/officeDocument/2006/relationships/hyperlink" Target="https://afinvest.com.br/interno/relatorios/detalhes-de-ativos?id=8772&amp;codativo=CDB9248TSCO" TargetMode="External"/><Relationship Id="rId990" Type="http://schemas.openxmlformats.org/officeDocument/2006/relationships/hyperlink" Target="https://afinvest.com.br/interno/relatorios/detalhes-de-ativos?id=8877&amp;codativo=FIDC%20Artico%20Sr" TargetMode="External"/><Relationship Id="rId229" Type="http://schemas.openxmlformats.org/officeDocument/2006/relationships/hyperlink" Target="https://afinvest.com.br/interno/relatorios/detalhes-de-ativos?id=2677&amp;codativo=DI1JAN29" TargetMode="External"/><Relationship Id="rId436" Type="http://schemas.openxmlformats.org/officeDocument/2006/relationships/hyperlink" Target="https://afinvest.com.br/interno/relatorios/detalhes-de-ativos?id=1420&amp;codativo=SBFC12" TargetMode="External"/><Relationship Id="rId643" Type="http://schemas.openxmlformats.org/officeDocument/2006/relationships/hyperlink" Target="https://afinvest.com.br/interno/relatorios/detalhes-de-ativos?id=8005&amp;codativo=CHSF12" TargetMode="External"/><Relationship Id="rId1066" Type="http://schemas.openxmlformats.org/officeDocument/2006/relationships/hyperlink" Target="https://afinvest.com.br/interno/relatorios/detalhes-de-ativos?id=6410&amp;codativo=BRFS31" TargetMode="External"/><Relationship Id="rId1273" Type="http://schemas.openxmlformats.org/officeDocument/2006/relationships/hyperlink" Target="https://afinvest.com.br/interno/relatorios/detalhes-de-ativos?id=2693&amp;codativo=AERI12" TargetMode="External"/><Relationship Id="rId850" Type="http://schemas.openxmlformats.org/officeDocument/2006/relationships/hyperlink" Target="https://afinvest.com.br/interno/relatorios/detalhes-de-ativos?id=5741&amp;codativo=BMEF11" TargetMode="External"/><Relationship Id="rId948" Type="http://schemas.openxmlformats.org/officeDocument/2006/relationships/hyperlink" Target="https://afinvest.com.br/interno/relatorios/detalhes-de-ativos?id=343&amp;codativo=GERAES" TargetMode="External"/><Relationship Id="rId1133" Type="http://schemas.openxmlformats.org/officeDocument/2006/relationships/hyperlink" Target="https://afinvest.com.br/interno/relatorios/detalhes-de-ativos?id=3431&amp;codativo=GBSP11" TargetMode="External"/><Relationship Id="rId77" Type="http://schemas.openxmlformats.org/officeDocument/2006/relationships/hyperlink" Target="https://afinvest.com.br/interno/relatorios/detalhes-de-ativos?id=144&amp;codativo=LFSC190054D" TargetMode="External"/><Relationship Id="rId282" Type="http://schemas.openxmlformats.org/officeDocument/2006/relationships/hyperlink" Target="https://afinvest.com.br/interno/relatorios/detalhes-de-ativos?id=2845&amp;codativo=FIDC%20Red%20Multissetorial" TargetMode="External"/><Relationship Id="rId503" Type="http://schemas.openxmlformats.org/officeDocument/2006/relationships/hyperlink" Target="https://afinvest.com.br/interno/relatorios/detalhes-de-ativos?id=3082&amp;codativo=LORTB9" TargetMode="External"/><Relationship Id="rId587" Type="http://schemas.openxmlformats.org/officeDocument/2006/relationships/hyperlink" Target="https://afinvest.com.br/interno/relatorios/detalhes-de-ativos?id=7268&amp;codativo=ERDVB3" TargetMode="External"/><Relationship Id="rId710" Type="http://schemas.openxmlformats.org/officeDocument/2006/relationships/hyperlink" Target="https://afinvest.com.br/interno/relatorios/detalhes-de-ativos?id=1700&amp;codativo=TIET29" TargetMode="External"/><Relationship Id="rId808" Type="http://schemas.openxmlformats.org/officeDocument/2006/relationships/hyperlink" Target="https://afinvest.com.br/interno/relatorios/detalhes-de-ativos?id=1249&amp;codativo=CAIXA" TargetMode="External"/><Relationship Id="rId1340" Type="http://schemas.openxmlformats.org/officeDocument/2006/relationships/hyperlink" Target="https://afinvest.com.br/interno/relatorios/detalhes-de-ativos?id=3395&amp;codativo=OGDS11" TargetMode="External"/><Relationship Id="rId8" Type="http://schemas.openxmlformats.org/officeDocument/2006/relationships/hyperlink" Target="https://afinvest.com.br/interno/relatorios/detalhes-de-ativos?id=7956&amp;codativo=LFTjun30" TargetMode="External"/><Relationship Id="rId142" Type="http://schemas.openxmlformats.org/officeDocument/2006/relationships/hyperlink" Target="https://afinvest.com.br/interno/relatorios/detalhes-de-ativos?id=8263&amp;codativo=LF002400EY5" TargetMode="External"/><Relationship Id="rId447" Type="http://schemas.openxmlformats.org/officeDocument/2006/relationships/hyperlink" Target="https://afinvest.com.br/interno/relatorios/detalhes-de-ativos?id=1214&amp;codativo=RDCO10" TargetMode="External"/><Relationship Id="rId794" Type="http://schemas.openxmlformats.org/officeDocument/2006/relationships/hyperlink" Target="https://afinvest.com.br/interno/relatorios/detalhes-de-ativos?id=9175&amp;codativo=CDBC241I1TG" TargetMode="External"/><Relationship Id="rId1077" Type="http://schemas.openxmlformats.org/officeDocument/2006/relationships/hyperlink" Target="https://afinvest.com.br/interno/relatorios/detalhes-de-ativos?id=7897&amp;codativo=CRI%20PERNAMBUCO%2035%C2%AA%20(23J1753853)" TargetMode="External"/><Relationship Id="rId1200" Type="http://schemas.openxmlformats.org/officeDocument/2006/relationships/hyperlink" Target="https://afinvest.com.br/interno/relatorios/detalhes-de-ativos?id=408&amp;codativo=FIDC%20Sifra%20Plus%20Sr" TargetMode="External"/><Relationship Id="rId654" Type="http://schemas.openxmlformats.org/officeDocument/2006/relationships/hyperlink" Target="https://afinvest.com.br/interno/relatorios/detalhes-de-ativos?id=8444&amp;codativo=CAEC22" TargetMode="External"/><Relationship Id="rId861" Type="http://schemas.openxmlformats.org/officeDocument/2006/relationships/hyperlink" Target="https://afinvest.com.br/interno/relatorios/detalhes-de-ativos?id=6895&amp;codativo=TIP%20US" TargetMode="External"/><Relationship Id="rId959" Type="http://schemas.openxmlformats.org/officeDocument/2006/relationships/hyperlink" Target="https://afinvest.com.br/interno/relatorios/detalhes-de-ativos?id=7742&amp;codativo=SANTANDER%20CASH%20BLACK%20V" TargetMode="External"/><Relationship Id="rId1284" Type="http://schemas.openxmlformats.org/officeDocument/2006/relationships/hyperlink" Target="https://afinvest.com.br/interno/relatorios/detalhes-de-ativos?id=7720&amp;codativo=LFSC24000BB" TargetMode="External"/><Relationship Id="rId293" Type="http://schemas.openxmlformats.org/officeDocument/2006/relationships/hyperlink" Target="https://afinvest.com.br/interno/relatorios/detalhes-de-ativos?id=7810&amp;codativo=FIDC%20ACR%20Fast" TargetMode="External"/><Relationship Id="rId307" Type="http://schemas.openxmlformats.org/officeDocument/2006/relationships/hyperlink" Target="https://afinvest.com.br/interno/relatorios/detalhes-de-ativos?id=5743&amp;codativo=FIDC%20FS%20FORTALECE" TargetMode="External"/><Relationship Id="rId514" Type="http://schemas.openxmlformats.org/officeDocument/2006/relationships/hyperlink" Target="https://afinvest.com.br/interno/relatorios/detalhes-de-ativos?id=9179&amp;codativo=LIGH2B" TargetMode="External"/><Relationship Id="rId721" Type="http://schemas.openxmlformats.org/officeDocument/2006/relationships/hyperlink" Target="https://afinvest.com.br/interno/relatorios/detalhes-de-ativos?id=7681&amp;codativo=RRRP14" TargetMode="External"/><Relationship Id="rId1144" Type="http://schemas.openxmlformats.org/officeDocument/2006/relationships/hyperlink" Target="https://afinvest.com.br/interno/relatorios/detalhes-de-ativos?id=8512&amp;codativo=ERDVB4" TargetMode="External"/><Relationship Id="rId1351" Type="http://schemas.openxmlformats.org/officeDocument/2006/relationships/hyperlink" Target="https://afinvest.com.br/interno/relatorios/detalhes-de-ativos?id=8393&amp;codativo=FBRI13" TargetMode="External"/><Relationship Id="rId88" Type="http://schemas.openxmlformats.org/officeDocument/2006/relationships/hyperlink" Target="https://afinvest.com.br/interno/relatorios/detalhes-de-ativos?id=2640&amp;codativo=LFSC18002MT" TargetMode="External"/><Relationship Id="rId153" Type="http://schemas.openxmlformats.org/officeDocument/2006/relationships/hyperlink" Target="https://afinvest.com.br/interno/relatorios/detalhes-de-ativos?id=8352&amp;codativo=LF0024008ZU" TargetMode="External"/><Relationship Id="rId360" Type="http://schemas.openxmlformats.org/officeDocument/2006/relationships/hyperlink" Target="https://afinvest.com.br/interno/relatorios/detalhes-de-ativos?id=2927&amp;codativo=VBBR24" TargetMode="External"/><Relationship Id="rId598" Type="http://schemas.openxmlformats.org/officeDocument/2006/relationships/hyperlink" Target="https://afinvest.com.br/interno/relatorios/detalhes-de-ativos?id=1596&amp;codativo=DASAA4" TargetMode="External"/><Relationship Id="rId819" Type="http://schemas.openxmlformats.org/officeDocument/2006/relationships/hyperlink" Target="https://afinvest.com.br/interno/relatorios/detalhes-de-ativos?id=1249&amp;codativo=CAIXA" TargetMode="External"/><Relationship Id="rId1004" Type="http://schemas.openxmlformats.org/officeDocument/2006/relationships/hyperlink" Target="https://afinvest.com.br/interno/relatorios/detalhes-de-ativos?id=9446&amp;codativo=VERT18%20(nota%20reestruturada)" TargetMode="External"/><Relationship Id="rId1211" Type="http://schemas.openxmlformats.org/officeDocument/2006/relationships/hyperlink" Target="https://afinvest.com.br/interno/relatorios/detalhes-de-ativos?id=8007&amp;codativo=FIDC%20CloudWalk%20II" TargetMode="External"/><Relationship Id="rId220" Type="http://schemas.openxmlformats.org/officeDocument/2006/relationships/hyperlink" Target="https://afinvest.com.br/interno/relatorios/detalhes-de-ativos?id=940&amp;codativo=DAPAGO26" TargetMode="External"/><Relationship Id="rId458" Type="http://schemas.openxmlformats.org/officeDocument/2006/relationships/hyperlink" Target="https://afinvest.com.br/interno/relatorios/detalhes-de-ativos?id=3368&amp;codativo=QUAL16" TargetMode="External"/><Relationship Id="rId665" Type="http://schemas.openxmlformats.org/officeDocument/2006/relationships/hyperlink" Target="https://afinvest.com.br/interno/relatorios/detalhes-de-ativos?id=2779&amp;codativo=CBRDA8" TargetMode="External"/><Relationship Id="rId872" Type="http://schemas.openxmlformats.org/officeDocument/2006/relationships/hyperlink" Target="https://afinvest.com.br/interno/relatorios/detalhes-de-ativos?id=1271&amp;codativo=Provis%C3%A3o" TargetMode="External"/><Relationship Id="rId1088" Type="http://schemas.openxmlformats.org/officeDocument/2006/relationships/hyperlink" Target="https://afinvest.com.br/interno/relatorios/detalhes-de-ativos?id=9175&amp;codativo=CDBC241I1TH" TargetMode="External"/><Relationship Id="rId1295" Type="http://schemas.openxmlformats.org/officeDocument/2006/relationships/hyperlink" Target="https://afinvest.com.br/interno/relatorios/detalhes-de-ativos?id=4120&amp;codativo=DAPMAI27" TargetMode="External"/><Relationship Id="rId1309" Type="http://schemas.openxmlformats.org/officeDocument/2006/relationships/hyperlink" Target="https://afinvest.com.br/interno/relatorios/detalhes-de-ativos?id=1220&amp;codativo=FIDC%20SIMPAR" TargetMode="External"/><Relationship Id="rId15" Type="http://schemas.openxmlformats.org/officeDocument/2006/relationships/hyperlink" Target="https://afinvest.com.br/interno/relatorios/detalhes-de-ativos?id=7956&amp;codativo=LFTjun30" TargetMode="External"/><Relationship Id="rId318" Type="http://schemas.openxmlformats.org/officeDocument/2006/relationships/hyperlink" Target="https://afinvest.com.br/interno/relatorios/detalhes-de-ativos?id=3505&amp;codativo=FIDC%20URA%20Agro%20SR" TargetMode="External"/><Relationship Id="rId525" Type="http://schemas.openxmlformats.org/officeDocument/2006/relationships/hyperlink" Target="https://afinvest.com.br/interno/relatorios/detalhes-de-ativos?id=1427&amp;codativo=LIGH1B" TargetMode="External"/><Relationship Id="rId732" Type="http://schemas.openxmlformats.org/officeDocument/2006/relationships/hyperlink" Target="https://afinvest.com.br/interno/relatorios/detalhes-de-ativos?id=5671&amp;codativo=CRI%20Vic%20Engenharia%202%C2%AA%20Emiss%C3%A3o" TargetMode="External"/><Relationship Id="rId1155" Type="http://schemas.openxmlformats.org/officeDocument/2006/relationships/hyperlink" Target="https://afinvest.com.br/interno/relatorios/detalhes-de-ativos?id=7030&amp;codativo=ELET14" TargetMode="External"/><Relationship Id="rId1362" Type="http://schemas.openxmlformats.org/officeDocument/2006/relationships/hyperlink" Target="https://afinvest.com.br/interno/relatorios/detalhes-de-ativos?id=3364&amp;codativo=CPLD37" TargetMode="External"/><Relationship Id="rId99" Type="http://schemas.openxmlformats.org/officeDocument/2006/relationships/hyperlink" Target="https://afinvest.com.br/interno/relatorios/detalhes-de-ativos?id=262&amp;codativo=LFSC19000BP" TargetMode="External"/><Relationship Id="rId164" Type="http://schemas.openxmlformats.org/officeDocument/2006/relationships/hyperlink" Target="https://afinvest.com.br/interno/relatorios/detalhes-de-ativos?id=8352&amp;codativo=LF0024008ZU" TargetMode="External"/><Relationship Id="rId371" Type="http://schemas.openxmlformats.org/officeDocument/2006/relationships/hyperlink" Target="https://afinvest.com.br/interno/relatorios/detalhes-de-ativos?id=8807&amp;codativo=VSCF17" TargetMode="External"/><Relationship Id="rId1015" Type="http://schemas.openxmlformats.org/officeDocument/2006/relationships/hyperlink" Target="https://afinvest.com.br/interno/relatorios/detalhes-de-ativos?id=1214&amp;codativo=RDCO10" TargetMode="External"/><Relationship Id="rId1222" Type="http://schemas.openxmlformats.org/officeDocument/2006/relationships/hyperlink" Target="https://afinvest.com.br/interno/relatorios/detalhes-de-ativos?id=9445&amp;codativo=VERT19%20(nota%20participativa)" TargetMode="External"/><Relationship Id="rId469" Type="http://schemas.openxmlformats.org/officeDocument/2006/relationships/hyperlink" Target="https://afinvest.com.br/interno/relatorios/detalhes-de-ativos?id=5840&amp;codativo=ONCO19" TargetMode="External"/><Relationship Id="rId676" Type="http://schemas.openxmlformats.org/officeDocument/2006/relationships/hyperlink" Target="https://afinvest.com.br/interno/relatorios/detalhes-de-ativos?id=7030&amp;codativo=ELET14" TargetMode="External"/><Relationship Id="rId883" Type="http://schemas.openxmlformats.org/officeDocument/2006/relationships/hyperlink" Target="https://afinvest.com.br/interno/relatorios/detalhes-de-ativos?id=2640&amp;codativo=LFSC18002MY" TargetMode="External"/><Relationship Id="rId1099" Type="http://schemas.openxmlformats.org/officeDocument/2006/relationships/hyperlink" Target="https://afinvest.com.br/interno/relatorios/detalhes-de-ativos?id=347&amp;codativo=NTN-B30" TargetMode="External"/><Relationship Id="rId26" Type="http://schemas.openxmlformats.org/officeDocument/2006/relationships/hyperlink" Target="https://afinvest.com.br/interno/relatorios/detalhes-de-ativos?id=1271&amp;codativo=Provis%C3%A3o" TargetMode="External"/><Relationship Id="rId231" Type="http://schemas.openxmlformats.org/officeDocument/2006/relationships/hyperlink" Target="https://afinvest.com.br/interno/relatorios/detalhes-de-ativos?id=940&amp;codativo=DAPAGO26" TargetMode="External"/><Relationship Id="rId329" Type="http://schemas.openxmlformats.org/officeDocument/2006/relationships/hyperlink" Target="https://afinvest.com.br/interno/relatorios/detalhes-de-ativos?id=387&amp;codativo=FIDC%20LF%20I%20SR4" TargetMode="External"/><Relationship Id="rId536" Type="http://schemas.openxmlformats.org/officeDocument/2006/relationships/hyperlink" Target="https://afinvest.com.br/interno/relatorios/detalhes-de-ativos?id=2846&amp;codativo=JSLGA5" TargetMode="External"/><Relationship Id="rId1166" Type="http://schemas.openxmlformats.org/officeDocument/2006/relationships/hyperlink" Target="https://afinvest.com.br/interno/relatorios/detalhes-de-ativos?id=9570&amp;codativo=SBSPE3" TargetMode="External"/><Relationship Id="rId1373" Type="http://schemas.openxmlformats.org/officeDocument/2006/relationships/hyperlink" Target="https://afinvest.com.br/interno/relatorios/detalhes-de-ativos?id=2779&amp;codativo=CBRDA8" TargetMode="External"/><Relationship Id="rId175" Type="http://schemas.openxmlformats.org/officeDocument/2006/relationships/hyperlink" Target="https://afinvest.com.br/interno/relatorios/detalhes-de-ativos?id=5818&amp;codativo=LF002200QQO" TargetMode="External"/><Relationship Id="rId743" Type="http://schemas.openxmlformats.org/officeDocument/2006/relationships/hyperlink" Target="https://afinvest.com.br/interno/relatorios/detalhes-de-ativos?id=9443&amp;codativo=Unigel%20nota%20dinheiro%20novo" TargetMode="External"/><Relationship Id="rId950" Type="http://schemas.openxmlformats.org/officeDocument/2006/relationships/hyperlink" Target="https://afinvest.com.br/interno/relatorios/detalhes-de-ativos?id=873&amp;codativo=AF%20GLOBAL%20BONDS%20FI%20RF%20CP%20IE" TargetMode="External"/><Relationship Id="rId1026" Type="http://schemas.openxmlformats.org/officeDocument/2006/relationships/hyperlink" Target="https://afinvest.com.br/interno/relatorios/detalhes-de-ativos?id=215&amp;codativo=LIGHB6" TargetMode="External"/><Relationship Id="rId382" Type="http://schemas.openxmlformats.org/officeDocument/2006/relationships/hyperlink" Target="https://afinvest.com.br/interno/relatorios/detalhes-de-ativos?id=1463&amp;codativo=VAMO13" TargetMode="External"/><Relationship Id="rId603" Type="http://schemas.openxmlformats.org/officeDocument/2006/relationships/hyperlink" Target="https://afinvest.com.br/interno/relatorios/detalhes-de-ativos?id=3187&amp;codativo=CSAN24" TargetMode="External"/><Relationship Id="rId687" Type="http://schemas.openxmlformats.org/officeDocument/2006/relationships/hyperlink" Target="https://afinvest.com.br/interno/relatorios/detalhes-de-ativos?id=3357&amp;codativo=BRKMA6" TargetMode="External"/><Relationship Id="rId810" Type="http://schemas.openxmlformats.org/officeDocument/2006/relationships/hyperlink" Target="https://afinvest.com.br/interno/relatorios/detalhes-de-ativos?id=1249&amp;codativo=CAIXA" TargetMode="External"/><Relationship Id="rId908" Type="http://schemas.openxmlformats.org/officeDocument/2006/relationships/hyperlink" Target="https://afinvest.com.br/interno/relatorios/detalhes-de-ativos?id=8263&amp;codativo=LF002400EY5" TargetMode="External"/><Relationship Id="rId1233" Type="http://schemas.openxmlformats.org/officeDocument/2006/relationships/hyperlink" Target="https://afinvest.com.br/interno/relatorios/detalhes-de-ativos?id=2766&amp;codativo=MOVI37" TargetMode="External"/><Relationship Id="rId242" Type="http://schemas.openxmlformats.org/officeDocument/2006/relationships/hyperlink" Target="https://afinvest.com.br/interno/relatorios/detalhes-de-ativos?id=873&amp;codativo=AF%20GLOBAL%20BONDS%20FI%20RF%20CP%20IE" TargetMode="External"/><Relationship Id="rId894" Type="http://schemas.openxmlformats.org/officeDocument/2006/relationships/hyperlink" Target="https://afinvest.com.br/interno/relatorios/detalhes-de-ativos?id=9459&amp;codativo=LF002400BZO" TargetMode="External"/><Relationship Id="rId1177" Type="http://schemas.openxmlformats.org/officeDocument/2006/relationships/hyperlink" Target="https://afinvest.com.br/interno/relatorios/detalhes-de-ativos?id=7958&amp;codativo=LFSN19009YU" TargetMode="External"/><Relationship Id="rId1300" Type="http://schemas.openxmlformats.org/officeDocument/2006/relationships/hyperlink" Target="https://afinvest.com.br/interno/relatorios/detalhes-de-ativos?id=343&amp;codativo=GERAES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262&amp;codativo=LFSC19000BR" TargetMode="External"/><Relationship Id="rId547" Type="http://schemas.openxmlformats.org/officeDocument/2006/relationships/hyperlink" Target="https://afinvest.com.br/interno/relatorios/detalhes-de-ativos?id=2844&amp;codativo=MATD11" TargetMode="External"/><Relationship Id="rId754" Type="http://schemas.openxmlformats.org/officeDocument/2006/relationships/hyperlink" Target="https://afinvest.com.br/interno/relatorios/detalhes-de-ativos?id=8479&amp;codativo=USL65266AC91" TargetMode="External"/><Relationship Id="rId961" Type="http://schemas.openxmlformats.org/officeDocument/2006/relationships/hyperlink" Target="https://afinvest.com.br/interno/relatorios/detalhes-de-ativos?id=7747&amp;codativo=SANTANDER%20CASH%20BLACK%20VI" TargetMode="External"/><Relationship Id="rId1384" Type="http://schemas.openxmlformats.org/officeDocument/2006/relationships/hyperlink" Target="https://afinvest.com.br/interno/relatorios/detalhes-de-ativos?id=2800&amp;codativo=760199" TargetMode="External"/><Relationship Id="rId90" Type="http://schemas.openxmlformats.org/officeDocument/2006/relationships/hyperlink" Target="https://afinvest.com.br/interno/relatorios/detalhes-de-ativos?id=243&amp;codativo=LFSC18002A6" TargetMode="External"/><Relationship Id="rId186" Type="http://schemas.openxmlformats.org/officeDocument/2006/relationships/hyperlink" Target="https://afinvest.com.br/interno/relatorios/detalhes-de-ativos?id=7100&amp;codativo=LF002307IJ6" TargetMode="External"/><Relationship Id="rId393" Type="http://schemas.openxmlformats.org/officeDocument/2006/relationships/hyperlink" Target="https://afinvest.com.br/interno/relatorios/detalhes-de-ativos?id=9445&amp;codativo=VERT19%20(nota%20participativa)" TargetMode="External"/><Relationship Id="rId407" Type="http://schemas.openxmlformats.org/officeDocument/2006/relationships/hyperlink" Target="https://afinvest.com.br/interno/relatorios/detalhes-de-ativos?id=6795&amp;codativo=TBSP11" TargetMode="External"/><Relationship Id="rId614" Type="http://schemas.openxmlformats.org/officeDocument/2006/relationships/hyperlink" Target="https://afinvest.com.br/interno/relatorios/detalhes-de-ativos?id=2833&amp;codativo=CGBP13" TargetMode="External"/><Relationship Id="rId821" Type="http://schemas.openxmlformats.org/officeDocument/2006/relationships/hyperlink" Target="https://afinvest.com.br/interno/relatorios/detalhes-de-ativos?id=1249&amp;codativo=CAIXA" TargetMode="External"/><Relationship Id="rId1037" Type="http://schemas.openxmlformats.org/officeDocument/2006/relationships/hyperlink" Target="https://afinvest.com.br/interno/relatorios/detalhes-de-ativos?id=2829&amp;codativo=ITSA24" TargetMode="External"/><Relationship Id="rId1244" Type="http://schemas.openxmlformats.org/officeDocument/2006/relationships/hyperlink" Target="https://afinvest.com.br/interno/relatorios/detalhes-de-ativos?id=8876&amp;codativo=CGOS18" TargetMode="External"/><Relationship Id="rId253" Type="http://schemas.openxmlformats.org/officeDocument/2006/relationships/hyperlink" Target="https://afinvest.com.br/interno/relatorios/detalhes-de-ativos?id=7743&amp;codativo=SANTANDER%20CASH%20BLACK%20VIII" TargetMode="External"/><Relationship Id="rId460" Type="http://schemas.openxmlformats.org/officeDocument/2006/relationships/hyperlink" Target="https://afinvest.com.br/interno/relatorios/detalhes-de-ativos?id=3368&amp;codativo=QUAL16" TargetMode="External"/><Relationship Id="rId698" Type="http://schemas.openxmlformats.org/officeDocument/2006/relationships/hyperlink" Target="https://afinvest.com.br/interno/relatorios/detalhes-de-ativos?id=8804&amp;codativo=AMERF2" TargetMode="External"/><Relationship Id="rId919" Type="http://schemas.openxmlformats.org/officeDocument/2006/relationships/hyperlink" Target="https://afinvest.com.br/interno/relatorios/detalhes-de-ativos?id=7445&amp;codativo=LF002308DXP" TargetMode="External"/><Relationship Id="rId1090" Type="http://schemas.openxmlformats.org/officeDocument/2006/relationships/hyperlink" Target="https://afinvest.com.br/interno/relatorios/detalhes-de-ativos?id=8577&amp;codativo=CDB724BH6RG" TargetMode="External"/><Relationship Id="rId1104" Type="http://schemas.openxmlformats.org/officeDocument/2006/relationships/hyperlink" Target="https://afinvest.com.br/interno/relatorios/detalhes-de-ativos?id=9578&amp;codativo=BRREDCCTF053" TargetMode="External"/><Relationship Id="rId1311" Type="http://schemas.openxmlformats.org/officeDocument/2006/relationships/hyperlink" Target="https://afinvest.com.br/interno/relatorios/detalhes-de-ativos?id=387&amp;codativo=FIDC%20LF%20I%20SR4" TargetMode="External"/><Relationship Id="rId48" Type="http://schemas.openxmlformats.org/officeDocument/2006/relationships/hyperlink" Target="https://afinvest.com.br/interno/relatorios/detalhes-de-ativos?id=153&amp;codativo=LFSN19006KM" TargetMode="External"/><Relationship Id="rId113" Type="http://schemas.openxmlformats.org/officeDocument/2006/relationships/hyperlink" Target="https://afinvest.com.br/interno/relatorios/detalhes-de-ativos?id=6979&amp;codativo=LF002305RGL" TargetMode="External"/><Relationship Id="rId320" Type="http://schemas.openxmlformats.org/officeDocument/2006/relationships/hyperlink" Target="https://afinvest.com.br/interno/relatorios/detalhes-de-ativos?id=1220&amp;codativo=FIDC%20SIMPAR" TargetMode="External"/><Relationship Id="rId558" Type="http://schemas.openxmlformats.org/officeDocument/2006/relationships/hyperlink" Target="https://afinvest.com.br/interno/relatorios/detalhes-de-ativos?id=2877&amp;codativo=HAPV22" TargetMode="External"/><Relationship Id="rId765" Type="http://schemas.openxmlformats.org/officeDocument/2006/relationships/hyperlink" Target="https://afinvest.com.br/interno/relatorios/detalhes-de-ativos?id=2800&amp;codativo=760199" TargetMode="External"/><Relationship Id="rId972" Type="http://schemas.openxmlformats.org/officeDocument/2006/relationships/hyperlink" Target="https://afinvest.com.br/interno/relatorios/detalhes-de-ativos?id=7741&amp;codativo=SANTANDER%20CASH%20BLACK%20X" TargetMode="External"/><Relationship Id="rId1188" Type="http://schemas.openxmlformats.org/officeDocument/2006/relationships/hyperlink" Target="https://afinvest.com.br/interno/relatorios/detalhes-de-ativos?id=4100&amp;codativo=DAPAGO4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7673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363</v>
      </c>
      <c r="G6" s="94">
        <f ca="1">_xll.BDP(E6&amp;" Corp","YLD_YTM_BID", )</f>
        <v>1.7174430602946684</v>
      </c>
    </row>
    <row r="7" spans="1:11" ht="15.75" thickBot="1" x14ac:dyDescent="0.3">
      <c r="D7" s="19" t="s">
        <v>75</v>
      </c>
      <c r="E7" s="22" t="s">
        <v>366</v>
      </c>
      <c r="F7" s="32" t="s">
        <v>364</v>
      </c>
      <c r="G7" s="95">
        <f ca="1">_xll.BDP(E6&amp;" Corp","YLD_YTM_ASK", )</f>
        <v>1.6308843228042953</v>
      </c>
    </row>
    <row r="8" spans="1:11" x14ac:dyDescent="0.25">
      <c r="D8" s="19" t="s">
        <v>367</v>
      </c>
      <c r="E8" s="96">
        <f ca="1">_xll.BDP(E6&amp;" Corp","px_last_actual",)</f>
        <v>1044.125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1.6875127804449901</v>
      </c>
      <c r="I9" s="1"/>
    </row>
    <row r="10" spans="1:11" x14ac:dyDescent="0.25">
      <c r="D10" s="19" t="s">
        <v>76</v>
      </c>
      <c r="E10" s="29">
        <f ca="1">G11/_xll.BDP($E6&amp;" Corp","PAR_AMT")</f>
        <v>1.042609704</v>
      </c>
      <c r="F10" s="24" t="s">
        <v>68</v>
      </c>
      <c r="G10" s="26">
        <f ca="1">VLOOKUP(ROUND(TODAY()+(G9*256),0),'Base CDI'!$S:$T,2,1)</f>
        <v>14.827912224662612</v>
      </c>
      <c r="I10" s="1"/>
    </row>
    <row r="11" spans="1:11" x14ac:dyDescent="0.25">
      <c r="D11" s="19" t="s">
        <v>77</v>
      </c>
      <c r="E11" s="33">
        <f ca="1">E3*(G12-G11)</f>
        <v>100588.68708199973</v>
      </c>
      <c r="F11" s="24" t="s">
        <v>72</v>
      </c>
      <c r="G11" s="26">
        <f ca="1">_xll.BDP(E6&amp;" Corp","YAS_BOND_PX","YAS_BOND_YLD="&amp;E7)</f>
        <v>1042.609704</v>
      </c>
      <c r="I11" s="5"/>
    </row>
    <row r="12" spans="1:11" ht="15.75" thickBot="1" x14ac:dyDescent="0.3">
      <c r="D12" s="20" t="s">
        <v>365</v>
      </c>
      <c r="E12" s="92">
        <f ca="1">G11/G12-1</f>
        <v>-1.2417539408099643E-2</v>
      </c>
      <c r="F12" s="27" t="s">
        <v>73</v>
      </c>
      <c r="G12" s="41">
        <f ca="1">_xll.BDP(E6&amp;" Corp","YAS_BOND_PX","YAS_BOND_YLD="&amp;LEFT(E8,1)&amp;"."&amp;RIGHT(E8,4))</f>
        <v>1055.7191379999999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H13" sqref="H13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7" t="s">
        <v>334</v>
      </c>
      <c r="B1" s="166" t="s">
        <v>484</v>
      </c>
      <c r="C1" s="166" t="s">
        <v>431</v>
      </c>
      <c r="D1" s="166" t="s">
        <v>430</v>
      </c>
      <c r="E1" s="166" t="s">
        <v>434</v>
      </c>
      <c r="F1" s="166" t="s">
        <v>350</v>
      </c>
      <c r="G1" s="166" t="s">
        <v>895</v>
      </c>
      <c r="H1" s="166" t="s">
        <v>485</v>
      </c>
      <c r="K1" s="197" t="s">
        <v>1</v>
      </c>
      <c r="L1" s="166" t="s">
        <v>431</v>
      </c>
      <c r="M1" s="166" t="s">
        <v>430</v>
      </c>
      <c r="N1" s="166" t="s">
        <v>433</v>
      </c>
      <c r="O1" s="166" t="s">
        <v>432</v>
      </c>
      <c r="P1" s="166" t="s">
        <v>350</v>
      </c>
      <c r="Q1" s="166" t="s">
        <v>895</v>
      </c>
    </row>
    <row r="2" spans="1:17" x14ac:dyDescent="0.25">
      <c r="A2" s="202" t="s">
        <v>142</v>
      </c>
      <c r="B2" s="196">
        <f ca="1">IFERROR(SUMIF(Extranet!$D:$H,Futuros!A2,Extranet!$H:$H),0)</f>
        <v>0</v>
      </c>
      <c r="C2" s="194">
        <f>SUMIFS(Estratégia!$F:$F,Estratégia!$D:$D,Futuros!$A2,Estratégia!$E:$E,Futuros!C$1)</f>
        <v>0</v>
      </c>
      <c r="D2" s="194">
        <f>SUMIFS(Estratégia!F:F,Estratégia!D:D,Futuros!$A2,Estratégia!E:E,Futuros!D$1)</f>
        <v>0</v>
      </c>
      <c r="E2" s="194">
        <f>SUMIFS(Estratégia!$F:$F,Estratégia!$D:$D,Futuros!$A2,Estratégia!$E:$E,Futuros!E$1)</f>
        <v>0</v>
      </c>
      <c r="F2" s="194">
        <f>SUMIFS(Estratégia!$F:$F,Estratégia!$D:$D,Futuros!$A2,Estratégia!$E:$E,Futuros!F$1)</f>
        <v>0</v>
      </c>
      <c r="G2" s="194">
        <f>SUMIFS(Estratégia!$F:$F,Estratégia!$D:$D,Futuros!$A2,Estratégia!$E:$E,Futuros!G$1)</f>
        <v>0</v>
      </c>
      <c r="H2" s="195">
        <f t="shared" ref="H2:H20" ca="1" si="0">SUM(C2:G2)-B2</f>
        <v>0</v>
      </c>
      <c r="K2" s="198" t="s">
        <v>100</v>
      </c>
      <c r="L2" s="196">
        <f>SUMIFS(Estratégia!$F:$F,Estratégia!$C:$C,$K2,Estratégia!$E:$E,Futuros!L$1)</f>
        <v>8</v>
      </c>
      <c r="M2" s="194">
        <f>SUMIFS(Estratégia!$F:$F,Estratégia!$C:$C,$K2,Estratégia!$E:$E,Futuros!M$1)</f>
        <v>-58</v>
      </c>
      <c r="N2" s="194">
        <f>SUMIFS(Estratégia!$F:$F,Estratégia!$C:$C,$K2,Estratégia!$E:$E,Futuros!N$1)</f>
        <v>0</v>
      </c>
      <c r="O2" s="194">
        <f>SUMIFS(Estratégia!$F:$F,Estratégia!$C:$C,$K2,Estratégia!$E:$E,Futuros!O$1)</f>
        <v>0</v>
      </c>
      <c r="P2" s="194">
        <f>SUMIFS(Estratégia!$F:$F,Estratégia!$C:$C,$K2,Estratégia!$E:$E,Futuros!P$1)</f>
        <v>0</v>
      </c>
      <c r="Q2" s="194">
        <f>SUMIFS(Estratégia!$F:$F,Estratégia!$C:$C,$K2,Estratégia!$E:$E,Futuros!Q$1)</f>
        <v>0</v>
      </c>
    </row>
    <row r="3" spans="1:17" x14ac:dyDescent="0.25">
      <c r="A3" s="202" t="s">
        <v>479</v>
      </c>
      <c r="B3" s="196">
        <f ca="1">IFERROR(SUMIF(Extranet!$D:$H,Futuros!A3,Extranet!$H:$H),0)</f>
        <v>-28</v>
      </c>
      <c r="C3" s="194">
        <f>SUMIFS(Estratégia!$F:$F,Estratégia!$D:$D,Futuros!$A3,Estratégia!$E:$E,Futuros!C$1)</f>
        <v>-28</v>
      </c>
      <c r="D3" s="194">
        <f>SUMIFS(Estratégia!F:F,Estratégia!D:D,Futuros!$A3,Estratégia!E:E,Futuros!D$1)</f>
        <v>0</v>
      </c>
      <c r="E3" s="194">
        <f>SUMIFS(Estratégia!$F:$F,Estratégia!$D:$D,Futuros!$A3,Estratégia!$E:$E,Futuros!E$1)</f>
        <v>0</v>
      </c>
      <c r="F3" s="194">
        <f>SUMIFS(Estratégia!$F:$F,Estratégia!$D:$D,Futuros!$A3,Estratégia!$E:$E,Futuros!F$1)</f>
        <v>0</v>
      </c>
      <c r="G3" s="194">
        <f>SUMIFS(Estratégia!$F:$F,Estratégia!$D:$D,Futuros!$A3,Estratégia!$E:$E,Futuros!G$1)</f>
        <v>0</v>
      </c>
      <c r="H3" s="195">
        <f t="shared" ca="1" si="0"/>
        <v>0</v>
      </c>
      <c r="K3" s="199" t="s">
        <v>108</v>
      </c>
      <c r="L3" s="196">
        <f>SUMIFS(Estratégia!$F:$F,Estratégia!$C:$C,$K3,Estratégia!$E:$E,Futuros!L$1)</f>
        <v>-7</v>
      </c>
      <c r="M3" s="194">
        <f>SUMIFS(Estratégia!$F:$F,Estratégia!$C:$C,$K3,Estratégia!$E:$E,Futuros!M$1)</f>
        <v>-52</v>
      </c>
      <c r="N3" s="194">
        <f>SUMIFS(Estratégia!$F:$F,Estratégia!$C:$C,$K3,Estratégia!$E:$E,Futuros!N$1)</f>
        <v>0</v>
      </c>
      <c r="O3" s="194">
        <f>SUMIFS(Estratégia!$F:$F,Estratégia!$C:$C,$K3,Estratégia!$E:$E,Futuros!O$1)</f>
        <v>0</v>
      </c>
      <c r="P3" s="194">
        <f>SUMIFS(Estratégia!$F:$F,Estratégia!$C:$C,$K3,Estratégia!$E:$E,Futuros!P$1)</f>
        <v>0</v>
      </c>
      <c r="Q3" s="194">
        <f>SUMIFS(Estratégia!$F:$F,Estratégia!$C:$C,$K3,Estratégia!$E:$E,Futuros!Q$1)</f>
        <v>0</v>
      </c>
    </row>
    <row r="4" spans="1:17" x14ac:dyDescent="0.25">
      <c r="A4" s="202" t="s">
        <v>143</v>
      </c>
      <c r="B4" s="196">
        <f ca="1">IFERROR(SUMIF(Extranet!$D:$H,Futuros!A4,Extranet!$H:$H),0)</f>
        <v>13</v>
      </c>
      <c r="C4" s="194">
        <f>SUMIFS(Estratégia!$F:$F,Estratégia!$D:$D,Futuros!$A4,Estratégia!$E:$E,Futuros!C$1)</f>
        <v>13</v>
      </c>
      <c r="D4" s="194">
        <f>SUMIFS(Estratégia!F:F,Estratégia!D:D,Futuros!$A4,Estratégia!E:E,Futuros!D$1)</f>
        <v>0</v>
      </c>
      <c r="E4" s="194">
        <f>SUMIFS(Estratégia!$F:$F,Estratégia!$D:$D,Futuros!$A4,Estratégia!$E:$E,Futuros!E$1)</f>
        <v>0</v>
      </c>
      <c r="F4" s="194">
        <f>SUMIFS(Estratégia!$F:$F,Estratégia!$D:$D,Futuros!$A4,Estratégia!$E:$E,Futuros!F$1)</f>
        <v>0</v>
      </c>
      <c r="G4" s="194">
        <f>SUMIFS(Estratégia!$F:$F,Estratégia!$D:$D,Futuros!$A4,Estratégia!$E:$E,Futuros!G$1)</f>
        <v>0</v>
      </c>
      <c r="H4" s="195">
        <f t="shared" ca="1" si="0"/>
        <v>0</v>
      </c>
      <c r="K4" s="199" t="s">
        <v>304</v>
      </c>
      <c r="L4" s="196">
        <f>SUMIFS(Estratégia!$F:$F,Estratégia!$C:$C,$K4,Estratégia!$E:$E,Futuros!L$1)</f>
        <v>0</v>
      </c>
      <c r="M4" s="194">
        <f>SUMIFS(Estratégia!$F:$F,Estratégia!$C:$C,$K4,Estratégia!$E:$E,Futuros!M$1)</f>
        <v>0</v>
      </c>
      <c r="N4" s="194">
        <f>SUMIFS(Estratégia!$F:$F,Estratégia!$C:$C,$K4,Estratégia!$E:$E,Futuros!N$1)</f>
        <v>0</v>
      </c>
      <c r="O4" s="194">
        <f>SUMIFS(Estratégia!$F:$F,Estratégia!$C:$C,$K4,Estratégia!$E:$E,Futuros!O$1)</f>
        <v>0</v>
      </c>
      <c r="P4" s="194">
        <f>SUMIFS(Estratégia!$F:$F,Estratégia!$C:$C,$K4,Estratégia!$E:$E,Futuros!P$1)</f>
        <v>0</v>
      </c>
      <c r="Q4" s="194">
        <f>SUMIFS(Estratégia!$F:$F,Estratégia!$C:$C,$K4,Estratégia!$E:$E,Futuros!Q$1)</f>
        <v>0</v>
      </c>
    </row>
    <row r="5" spans="1:17" x14ac:dyDescent="0.25">
      <c r="A5" s="202" t="s">
        <v>302</v>
      </c>
      <c r="B5" s="196">
        <f ca="1">IFERROR(SUMIF(Extranet!$D:$H,Futuros!A5,Extranet!$H:$H),0)</f>
        <v>0</v>
      </c>
      <c r="C5" s="194">
        <f>SUMIFS(Estratégia!$F:$F,Estratégia!$D:$D,Futuros!$A5,Estratégia!$E:$E,Futuros!C$1)</f>
        <v>0</v>
      </c>
      <c r="D5" s="194">
        <f>SUMIFS(Estratégia!F:F,Estratégia!D:D,Futuros!$A5,Estratégia!E:E,Futuros!D$1)</f>
        <v>0</v>
      </c>
      <c r="E5" s="194">
        <f>SUMIFS(Estratégia!$F:$F,Estratégia!$D:$D,Futuros!$A5,Estratégia!$E:$E,Futuros!E$1)</f>
        <v>0</v>
      </c>
      <c r="F5" s="194">
        <f>SUMIFS(Estratégia!$F:$F,Estratégia!$D:$D,Futuros!$A5,Estratégia!$E:$E,Futuros!F$1)</f>
        <v>0</v>
      </c>
      <c r="G5" s="194">
        <f>SUMIFS(Estratégia!$F:$F,Estratégia!$D:$D,Futuros!$A5,Estratégia!$E:$E,Futuros!G$1)</f>
        <v>0</v>
      </c>
      <c r="H5" s="195">
        <f t="shared" ca="1" si="0"/>
        <v>0</v>
      </c>
      <c r="K5" s="199" t="s">
        <v>106</v>
      </c>
      <c r="L5" s="196">
        <f>SUMIFS(Estratégia!$F:$F,Estratégia!$C:$C,$K5,Estratégia!$E:$E,Futuros!L$1)</f>
        <v>0</v>
      </c>
      <c r="M5" s="194">
        <f>SUMIFS(Estratégia!$F:$F,Estratégia!$C:$C,$K5,Estratégia!$E:$E,Futuros!M$1)</f>
        <v>0</v>
      </c>
      <c r="N5" s="194">
        <f>SUMIFS(Estratégia!$F:$F,Estratégia!$C:$C,$K5,Estratégia!$E:$E,Futuros!N$1)</f>
        <v>0</v>
      </c>
      <c r="O5" s="194">
        <f>SUMIFS(Estratégia!$F:$F,Estratégia!$C:$C,$K5,Estratégia!$E:$E,Futuros!O$1)</f>
        <v>0</v>
      </c>
      <c r="P5" s="194">
        <f>SUMIFS(Estratégia!$F:$F,Estratégia!$C:$C,$K5,Estratégia!$E:$E,Futuros!P$1)</f>
        <v>0</v>
      </c>
      <c r="Q5" s="194">
        <f>SUMIFS(Estratégia!$F:$F,Estratégia!$C:$C,$K5,Estratégia!$E:$E,Futuros!Q$1)</f>
        <v>0</v>
      </c>
    </row>
    <row r="6" spans="1:17" x14ac:dyDescent="0.25">
      <c r="A6" s="202" t="s">
        <v>202</v>
      </c>
      <c r="B6" s="196">
        <f ca="1">IFERROR(SUMIF(Extranet!$D:$H,Futuros!A6,Extranet!$H:$H),0)</f>
        <v>-28</v>
      </c>
      <c r="C6" s="194">
        <f>SUMIFS(Estratégia!$F:$F,Estratégia!$D:$D,Futuros!$A6,Estratégia!$E:$E,Futuros!C$1)</f>
        <v>34</v>
      </c>
      <c r="D6" s="194">
        <f>SUMIFS(Estratégia!F:F,Estratégia!D:D,Futuros!$A6,Estratégia!E:E,Futuros!D$1)</f>
        <v>0</v>
      </c>
      <c r="E6" s="194">
        <f>SUMIFS(Estratégia!$F:$F,Estratégia!$D:$D,Futuros!$A6,Estratégia!$E:$E,Futuros!E$1)</f>
        <v>-62</v>
      </c>
      <c r="F6" s="194">
        <f>SUMIFS(Estratégia!$F:$F,Estratégia!$D:$D,Futuros!$A6,Estratégia!$E:$E,Futuros!F$1)</f>
        <v>0</v>
      </c>
      <c r="G6" s="194">
        <f>SUMIFS(Estratégia!$F:$F,Estratégia!$D:$D,Futuros!$A6,Estratégia!$E:$E,Futuros!G$1)</f>
        <v>0</v>
      </c>
      <c r="H6" s="195">
        <f t="shared" ca="1" si="0"/>
        <v>0</v>
      </c>
      <c r="K6" s="199" t="s">
        <v>101</v>
      </c>
      <c r="L6" s="196">
        <f>SUMIFS(Estratégia!$F:$F,Estratégia!$C:$C,$K6,Estratégia!$E:$E,Futuros!L$1)</f>
        <v>0</v>
      </c>
      <c r="M6" s="194">
        <f>SUMIFS(Estratégia!$F:$F,Estratégia!$C:$C,$K6,Estratégia!$E:$E,Futuros!M$1)</f>
        <v>0</v>
      </c>
      <c r="N6" s="194">
        <f>SUMIFS(Estratégia!$F:$F,Estratégia!$C:$C,$K6,Estratégia!$E:$E,Futuros!N$1)</f>
        <v>0</v>
      </c>
      <c r="O6" s="194">
        <f>SUMIFS(Estratégia!$F:$F,Estratégia!$C:$C,$K6,Estratégia!$E:$E,Futuros!O$1)</f>
        <v>0</v>
      </c>
      <c r="P6" s="194">
        <f>SUMIFS(Estratégia!$F:$F,Estratégia!$C:$C,$K6,Estratégia!$E:$E,Futuros!P$1)</f>
        <v>0</v>
      </c>
      <c r="Q6" s="194">
        <f>SUMIFS(Estratégia!$F:$F,Estratégia!$C:$C,$K6,Estratégia!$E:$E,Futuros!Q$1)</f>
        <v>0</v>
      </c>
    </row>
    <row r="7" spans="1:17" x14ac:dyDescent="0.25">
      <c r="A7" s="202" t="s">
        <v>480</v>
      </c>
      <c r="B7" s="196">
        <f ca="1">IFERROR(SUMIF(Extranet!$D:$H,Futuros!A7,Extranet!$H:$H),0)</f>
        <v>0</v>
      </c>
      <c r="C7" s="194">
        <f>SUMIFS(Estratégia!$F:$F,Estratégia!$D:$D,Futuros!$A7,Estratégia!$E:$E,Futuros!C$1)</f>
        <v>0</v>
      </c>
      <c r="D7" s="194">
        <f>SUMIFS(Estratégia!F:F,Estratégia!D:D,Futuros!$A7,Estratégia!E:E,Futuros!D$1)</f>
        <v>0</v>
      </c>
      <c r="E7" s="194">
        <f>SUMIFS(Estratégia!$F:$F,Estratégia!$D:$D,Futuros!$A7,Estratégia!$E:$E,Futuros!E$1)</f>
        <v>0</v>
      </c>
      <c r="F7" s="194">
        <f>SUMIFS(Estratégia!$F:$F,Estratégia!$D:$D,Futuros!$A7,Estratégia!$E:$E,Futuros!F$1)</f>
        <v>0</v>
      </c>
      <c r="G7" s="194">
        <f>SUMIFS(Estratégia!$F:$F,Estratégia!$D:$D,Futuros!$A7,Estratégia!$E:$E,Futuros!G$1)</f>
        <v>0</v>
      </c>
      <c r="H7" s="195">
        <f t="shared" ca="1" si="0"/>
        <v>0</v>
      </c>
      <c r="K7" s="199" t="s">
        <v>102</v>
      </c>
      <c r="L7" s="196">
        <f>SUMIFS(Estratégia!$F:$F,Estratégia!$C:$C,$K7,Estratégia!$E:$E,Futuros!L$1)</f>
        <v>0</v>
      </c>
      <c r="M7" s="194">
        <f>SUMIFS(Estratégia!$F:$F,Estratégia!$C:$C,$K7,Estratégia!$E:$E,Futuros!M$1)</f>
        <v>0</v>
      </c>
      <c r="N7" s="194">
        <f>SUMIFS(Estratégia!$F:$F,Estratégia!$C:$C,$K7,Estratégia!$E:$E,Futuros!N$1)</f>
        <v>0</v>
      </c>
      <c r="O7" s="194">
        <f>SUMIFS(Estratégia!$F:$F,Estratégia!$C:$C,$K7,Estratégia!$E:$E,Futuros!O$1)</f>
        <v>0</v>
      </c>
      <c r="P7" s="194">
        <f>SUMIFS(Estratégia!$F:$F,Estratégia!$C:$C,$K7,Estratégia!$E:$E,Futuros!P$1)</f>
        <v>0</v>
      </c>
      <c r="Q7" s="194">
        <f>SUMIFS(Estratégia!$F:$F,Estratégia!$C:$C,$K7,Estratégia!$E:$E,Futuros!Q$1)</f>
        <v>0</v>
      </c>
    </row>
    <row r="8" spans="1:17" x14ac:dyDescent="0.25">
      <c r="A8" s="202" t="s">
        <v>481</v>
      </c>
      <c r="B8" s="196">
        <f ca="1">IFERROR(SUMIF(Extranet!$D:$H,Futuros!A8,Extranet!$H:$H),0)</f>
        <v>0</v>
      </c>
      <c r="C8" s="194">
        <f>SUMIFS(Estratégia!$F:$F,Estratégia!$D:$D,Futuros!$A8,Estratégia!$E:$E,Futuros!C$1)</f>
        <v>0</v>
      </c>
      <c r="D8" s="194">
        <f>SUMIFS(Estratégia!F:F,Estratégia!D:D,Futuros!$A8,Estratégia!E:E,Futuros!D$1)</f>
        <v>0</v>
      </c>
      <c r="E8" s="194">
        <f>SUMIFS(Estratégia!$F:$F,Estratégia!$D:$D,Futuros!$A8,Estratégia!$E:$E,Futuros!E$1)</f>
        <v>0</v>
      </c>
      <c r="F8" s="194">
        <f>SUMIFS(Estratégia!$F:$F,Estratégia!$D:$D,Futuros!$A8,Estratégia!$E:$E,Futuros!F$1)</f>
        <v>0</v>
      </c>
      <c r="G8" s="194">
        <f>SUMIFS(Estratégia!$F:$F,Estratégia!$D:$D,Futuros!$A8,Estratégia!$E:$E,Futuros!G$1)</f>
        <v>0</v>
      </c>
      <c r="H8" s="195">
        <f t="shared" ca="1" si="0"/>
        <v>0</v>
      </c>
      <c r="K8" s="199" t="s">
        <v>109</v>
      </c>
      <c r="L8" s="196">
        <f>SUMIFS(Estratégia!$F:$F,Estratégia!$C:$C,$K8,Estratégia!$E:$E,Futuros!L$1)</f>
        <v>11</v>
      </c>
      <c r="M8" s="194">
        <f>SUMIFS(Estratégia!$F:$F,Estratégia!$C:$C,$K8,Estratégia!$E:$E,Futuros!M$1)</f>
        <v>0</v>
      </c>
      <c r="N8" s="194">
        <f>SUMIFS(Estratégia!$F:$F,Estratégia!$C:$C,$K8,Estratégia!$E:$E,Futuros!N$1)</f>
        <v>0</v>
      </c>
      <c r="O8" s="194">
        <f>SUMIFS(Estratégia!$F:$F,Estratégia!$C:$C,$K8,Estratégia!$E:$E,Futuros!O$1)</f>
        <v>0</v>
      </c>
      <c r="P8" s="194">
        <f>SUMIFS(Estratégia!$F:$F,Estratégia!$C:$C,$K8,Estratégia!$E:$E,Futuros!P$1)</f>
        <v>1</v>
      </c>
      <c r="Q8" s="194">
        <f>SUMIFS(Estratégia!$F:$F,Estratégia!$C:$C,$K8,Estratégia!$E:$E,Futuros!Q$1)</f>
        <v>0</v>
      </c>
    </row>
    <row r="9" spans="1:17" x14ac:dyDescent="0.25">
      <c r="A9" s="202" t="s">
        <v>482</v>
      </c>
      <c r="B9" s="196">
        <f ca="1">IFERROR(SUMIF(Extranet!$D:$H,Futuros!A9,Extranet!$H:$H),0)</f>
        <v>0</v>
      </c>
      <c r="C9" s="194">
        <f>SUMIFS(Estratégia!$F:$F,Estratégia!$D:$D,Futuros!$A9,Estratégia!$E:$E,Futuros!C$1)</f>
        <v>0</v>
      </c>
      <c r="D9" s="194">
        <f>SUMIFS(Estratégia!F:F,Estratégia!D:D,Futuros!$A9,Estratégia!E:E,Futuros!D$1)</f>
        <v>0</v>
      </c>
      <c r="E9" s="194">
        <f>SUMIFS(Estratégia!$F:$F,Estratégia!$D:$D,Futuros!$A9,Estratégia!$E:$E,Futuros!E$1)</f>
        <v>0</v>
      </c>
      <c r="F9" s="194">
        <f>SUMIFS(Estratégia!$F:$F,Estratégia!$D:$D,Futuros!$A9,Estratégia!$E:$E,Futuros!F$1)</f>
        <v>0</v>
      </c>
      <c r="G9" s="194">
        <f>SUMIFS(Estratégia!$F:$F,Estratégia!$D:$D,Futuros!$A9,Estratégia!$E:$E,Futuros!G$1)</f>
        <v>0</v>
      </c>
      <c r="H9" s="195">
        <f t="shared" ca="1" si="0"/>
        <v>0</v>
      </c>
      <c r="K9" s="200" t="s">
        <v>107</v>
      </c>
      <c r="L9" s="196">
        <f>SUMIFS(Estratégia!$F:$F,Estratégia!$C:$C,$K9,Estratégia!$E:$E,Futuros!L$1)</f>
        <v>0</v>
      </c>
      <c r="M9" s="194">
        <f>SUMIFS(Estratégia!$F:$F,Estratégia!$C:$C,$K9,Estratégia!$E:$E,Futuros!M$1)</f>
        <v>0</v>
      </c>
      <c r="N9" s="194">
        <f>SUMIFS(Estratégia!$F:$F,Estratégia!$C:$C,$K9,Estratégia!$E:$E,Futuros!N$1)</f>
        <v>0</v>
      </c>
      <c r="O9" s="194">
        <f>SUMIFS(Estratégia!$F:$F,Estratégia!$C:$C,$K9,Estratégia!$E:$E,Futuros!O$1)</f>
        <v>0</v>
      </c>
      <c r="P9" s="194">
        <f>SUMIFS(Estratégia!$F:$F,Estratégia!$C:$C,$K9,Estratégia!$E:$E,Futuros!P$1)</f>
        <v>0</v>
      </c>
      <c r="Q9" s="194">
        <f>SUMIFS(Estratégia!$F:$F,Estratégia!$C:$C,$K9,Estratégia!$E:$E,Futuros!Q$1)</f>
        <v>0</v>
      </c>
    </row>
    <row r="10" spans="1:17" x14ac:dyDescent="0.25">
      <c r="A10" s="202" t="s">
        <v>483</v>
      </c>
      <c r="B10" s="196">
        <f ca="1">IFERROR(SUMIF(Extranet!$D:$H,Futuros!A10,Extranet!$H:$H),0)</f>
        <v>0</v>
      </c>
      <c r="C10" s="194">
        <f>SUMIFS(Estratégia!$F:$F,Estratégia!$D:$D,Futuros!$A10,Estratégia!$E:$E,Futuros!C$1)</f>
        <v>0</v>
      </c>
      <c r="D10" s="194">
        <f>SUMIFS(Estratégia!F:F,Estratégia!D:D,Futuros!$A10,Estratégia!E:E,Futuros!D$1)</f>
        <v>0</v>
      </c>
      <c r="E10" s="194">
        <f>SUMIFS(Estratégia!$F:$F,Estratégia!$D:$D,Futuros!$A10,Estratégia!$E:$E,Futuros!E$1)</f>
        <v>0</v>
      </c>
      <c r="F10" s="194">
        <f>SUMIFS(Estratégia!$F:$F,Estratégia!$D:$D,Futuros!$A10,Estratégia!$E:$E,Futuros!F$1)</f>
        <v>0</v>
      </c>
      <c r="G10" s="194">
        <f>SUMIFS(Estratégia!$F:$F,Estratégia!$D:$D,Futuros!$A10,Estratégia!$E:$E,Futuros!G$1)</f>
        <v>0</v>
      </c>
      <c r="H10" s="195">
        <f t="shared" ca="1" si="0"/>
        <v>0</v>
      </c>
      <c r="K10" s="199" t="s">
        <v>110</v>
      </c>
      <c r="L10" s="196">
        <f>SUMIFS(Estratégia!$F:$F,Estratégia!$C:$C,$K10,Estratégia!$E:$E,Futuros!L$1)</f>
        <v>0</v>
      </c>
      <c r="M10" s="194">
        <f>SUMIFS(Estratégia!$F:$F,Estratégia!$C:$C,$K10,Estratégia!$E:$E,Futuros!M$1)</f>
        <v>0</v>
      </c>
      <c r="N10" s="194">
        <f>SUMIFS(Estratégia!$F:$F,Estratégia!$C:$C,$K10,Estratégia!$E:$E,Futuros!N$1)</f>
        <v>0</v>
      </c>
      <c r="O10" s="194">
        <f>SUMIFS(Estratégia!$F:$F,Estratégia!$C:$C,$K10,Estratégia!$E:$E,Futuros!O$1)</f>
        <v>0</v>
      </c>
      <c r="P10" s="194">
        <f>SUMIFS(Estratégia!$F:$F,Estratégia!$C:$C,$K10,Estratégia!$E:$E,Futuros!P$1)</f>
        <v>0</v>
      </c>
      <c r="Q10" s="194">
        <f>SUMIFS(Estratégia!$F:$F,Estratégia!$C:$C,$K10,Estratégia!$E:$E,Futuros!Q$1)</f>
        <v>0</v>
      </c>
    </row>
    <row r="11" spans="1:17" x14ac:dyDescent="0.25">
      <c r="A11" s="202" t="s">
        <v>115</v>
      </c>
      <c r="B11" s="196">
        <f ca="1">IFERROR(SUMIF(Extranet!$D:$H,Futuros!A11,Extranet!$H:$H),0)</f>
        <v>0</v>
      </c>
      <c r="C11" s="194">
        <f>SUMIFS(Estratégia!$F:$F,Estratégia!$D:$D,Futuros!$A11,Estratégia!$E:$E,Futuros!C$1)</f>
        <v>0</v>
      </c>
      <c r="D11" s="194">
        <f>SUMIFS(Estratégia!F:F,Estratégia!D:D,Futuros!$A11,Estratégia!E:E,Futuros!D$1)</f>
        <v>0</v>
      </c>
      <c r="E11" s="194">
        <f>SUMIFS(Estratégia!$F:$F,Estratégia!$D:$D,Futuros!$A11,Estratégia!$E:$E,Futuros!E$1)</f>
        <v>0</v>
      </c>
      <c r="F11" s="194">
        <f>SUMIFS(Estratégia!$F:$F,Estratégia!$D:$D,Futuros!$A11,Estratégia!$E:$E,Futuros!F$1)</f>
        <v>0</v>
      </c>
      <c r="G11" s="194">
        <f>SUMIFS(Estratégia!$F:$F,Estratégia!$D:$D,Futuros!$A11,Estratégia!$E:$E,Futuros!G$1)</f>
        <v>0</v>
      </c>
      <c r="H11" s="195">
        <f t="shared" ca="1" si="0"/>
        <v>0</v>
      </c>
      <c r="K11" s="199" t="s">
        <v>359</v>
      </c>
      <c r="L11" s="196">
        <f>SUMIFS(Estratégia!$F:$F,Estratégia!$C:$C,$K11,Estratégia!$E:$E,Futuros!L$1)</f>
        <v>0</v>
      </c>
      <c r="M11" s="194">
        <f>SUMIFS(Estratégia!$F:$F,Estratégia!$C:$C,$K11,Estratégia!$E:$E,Futuros!M$1)</f>
        <v>0</v>
      </c>
      <c r="N11" s="194">
        <f>SUMIFS(Estratégia!$F:$F,Estratégia!$C:$C,$K11,Estratégia!$E:$E,Futuros!N$1)</f>
        <v>0</v>
      </c>
      <c r="O11" s="194">
        <f>SUMIFS(Estratégia!$F:$F,Estratégia!$C:$C,$K11,Estratégia!$E:$E,Futuros!O$1)</f>
        <v>0</v>
      </c>
      <c r="P11" s="194">
        <f>SUMIFS(Estratégia!$F:$F,Estratégia!$C:$C,$K11,Estratégia!$E:$E,Futuros!P$1)</f>
        <v>0</v>
      </c>
      <c r="Q11" s="194">
        <f>SUMIFS(Estratégia!$F:$F,Estratégia!$C:$C,$K11,Estratégia!$E:$E,Futuros!Q$1)</f>
        <v>0</v>
      </c>
    </row>
    <row r="12" spans="1:17" x14ac:dyDescent="0.25">
      <c r="A12" s="202" t="s">
        <v>178</v>
      </c>
      <c r="B12" s="196">
        <f ca="1">IFERROR(SUMIF(Extranet!$D:$H,Futuros!A12,Extranet!$H:$H),0)</f>
        <v>0</v>
      </c>
      <c r="C12" s="194">
        <f>SUMIFS(Estratégia!$F:$F,Estratégia!$D:$D,Futuros!$A12,Estratégia!$E:$E,Futuros!C$1)</f>
        <v>0</v>
      </c>
      <c r="D12" s="194">
        <f>SUMIFS(Estratégia!F:F,Estratégia!D:D,Futuros!$A12,Estratégia!E:E,Futuros!D$1)</f>
        <v>0</v>
      </c>
      <c r="E12" s="194">
        <f>SUMIFS(Estratégia!$F:$F,Estratégia!$D:$D,Futuros!$A12,Estratégia!$E:$E,Futuros!E$1)</f>
        <v>0</v>
      </c>
      <c r="F12" s="194">
        <f>SUMIFS(Estratégia!$F:$F,Estratégia!$D:$D,Futuros!$A12,Estratégia!$E:$E,Futuros!F$1)</f>
        <v>0</v>
      </c>
      <c r="G12" s="194">
        <f>SUMIFS(Estratégia!$F:$F,Estratégia!$D:$D,Futuros!$A12,Estratégia!$E:$E,Futuros!G$1)</f>
        <v>0</v>
      </c>
      <c r="H12" s="195">
        <f t="shared" ca="1" si="0"/>
        <v>0</v>
      </c>
      <c r="K12" s="199" t="s">
        <v>284</v>
      </c>
      <c r="L12" s="196">
        <f>SUMIFS(Estratégia!$F:$F,Estratégia!$C:$C,$K12,Estratégia!$E:$E,Futuros!L$1)</f>
        <v>10</v>
      </c>
      <c r="M12" s="194">
        <f>SUMIFS(Estratégia!$F:$F,Estratégia!$C:$C,$K12,Estratégia!$E:$E,Futuros!M$1)</f>
        <v>-30</v>
      </c>
      <c r="N12" s="194">
        <f>SUMIFS(Estratégia!$F:$F,Estratégia!$C:$C,$K12,Estratégia!$E:$E,Futuros!N$1)</f>
        <v>0</v>
      </c>
      <c r="O12" s="194">
        <f>SUMIFS(Estratégia!$F:$F,Estratégia!$C:$C,$K12,Estratégia!$E:$E,Futuros!O$1)</f>
        <v>0</v>
      </c>
      <c r="P12" s="194">
        <f>SUMIFS(Estratégia!$F:$F,Estratégia!$C:$C,$K12,Estratégia!$E:$E,Futuros!P$1)</f>
        <v>45</v>
      </c>
      <c r="Q12" s="194">
        <f>SUMIFS(Estratégia!$F:$F,Estratégia!$C:$C,$K12,Estratégia!$E:$E,Futuros!Q$1)</f>
        <v>-1</v>
      </c>
    </row>
    <row r="13" spans="1:17" x14ac:dyDescent="0.25">
      <c r="A13" s="202" t="s">
        <v>177</v>
      </c>
      <c r="B13" s="196">
        <f ca="1">IFERROR(SUMIF(Extranet!$D:$H,Futuros!A13,Extranet!$H:$H),0)</f>
        <v>-120</v>
      </c>
      <c r="C13" s="194">
        <f>SUMIFS(Estratégia!$F:$F,Estratégia!$D:$D,Futuros!$A13,Estratégia!$E:$E,Futuros!C$1)</f>
        <v>0</v>
      </c>
      <c r="D13" s="194">
        <f>SUMIFS(Estratégia!F:F,Estratégia!D:D,Futuros!$A13,Estratégia!E:E,Futuros!D$1)</f>
        <v>-104</v>
      </c>
      <c r="E13" s="194">
        <f>SUMIFS(Estratégia!$F:$F,Estratégia!$D:$D,Futuros!$A13,Estratégia!$E:$E,Futuros!E$1)</f>
        <v>0</v>
      </c>
      <c r="F13" s="194">
        <f>SUMIFS(Estratégia!$F:$F,Estratégia!$D:$D,Futuros!$A13,Estratégia!$E:$E,Futuros!F$1)</f>
        <v>6</v>
      </c>
      <c r="G13" s="194">
        <f>SUMIFS(Estratégia!$F:$F,Estratégia!$D:$D,Futuros!$A13,Estratégia!$E:$E,Futuros!G$1)</f>
        <v>0</v>
      </c>
      <c r="H13" s="195">
        <f t="shared" ca="1" si="0"/>
        <v>22</v>
      </c>
      <c r="K13" s="199" t="s">
        <v>362</v>
      </c>
      <c r="L13" s="196">
        <f>SUMIFS(Estratégia!$F:$F,Estratégia!$C:$C,$K13,Estratégia!$E:$E,Futuros!L$1)</f>
        <v>0</v>
      </c>
      <c r="M13" s="194">
        <f>SUMIFS(Estratégia!$F:$F,Estratégia!$C:$C,$K13,Estratégia!$E:$E,Futuros!M$1)</f>
        <v>0</v>
      </c>
      <c r="N13" s="194">
        <f>SUMIFS(Estratégia!$F:$F,Estratégia!$C:$C,$K13,Estratégia!$E:$E,Futuros!N$1)</f>
        <v>0</v>
      </c>
      <c r="O13" s="194">
        <f>SUMIFS(Estratégia!$F:$F,Estratégia!$C:$C,$K13,Estratégia!$E:$E,Futuros!O$1)</f>
        <v>0</v>
      </c>
      <c r="P13" s="194">
        <f>SUMIFS(Estratégia!$F:$F,Estratégia!$C:$C,$K13,Estratégia!$E:$E,Futuros!P$1)</f>
        <v>0</v>
      </c>
      <c r="Q13" s="194">
        <f>SUMIFS(Estratégia!$F:$F,Estratégia!$C:$C,$K13,Estratégia!$E:$E,Futuros!Q$1)</f>
        <v>0</v>
      </c>
    </row>
    <row r="14" spans="1:17" x14ac:dyDescent="0.25">
      <c r="A14" s="202" t="s">
        <v>116</v>
      </c>
      <c r="B14" s="196">
        <f ca="1">IFERROR(SUMIF(Extranet!$D:$H,Futuros!A14,Extranet!$H:$H),0)</f>
        <v>7</v>
      </c>
      <c r="C14" s="194">
        <f>SUMIFS(Estratégia!$F:$F,Estratégia!$D:$D,Futuros!$A14,Estratégia!$E:$E,Futuros!C$1)</f>
        <v>0</v>
      </c>
      <c r="D14" s="194">
        <f>SUMIFS(Estratégia!F:F,Estratégia!D:D,Futuros!$A14,Estratégia!E:E,Futuros!D$1)</f>
        <v>-40</v>
      </c>
      <c r="E14" s="194">
        <f>SUMIFS(Estratégia!$F:$F,Estratégia!$D:$D,Futuros!$A14,Estratégia!$E:$E,Futuros!E$1)</f>
        <v>0</v>
      </c>
      <c r="F14" s="194">
        <f>SUMIFS(Estratégia!$F:$F,Estratégia!$D:$D,Futuros!$A14,Estratégia!$E:$E,Futuros!F$1)</f>
        <v>47</v>
      </c>
      <c r="G14" s="194">
        <f>SUMIFS(Estratégia!$F:$F,Estratégia!$D:$D,Futuros!$A14,Estratégia!$E:$E,Futuros!G$1)</f>
        <v>0</v>
      </c>
      <c r="H14" s="195">
        <f t="shared" ca="1" si="0"/>
        <v>0</v>
      </c>
      <c r="K14" s="199" t="s">
        <v>358</v>
      </c>
      <c r="L14" s="196">
        <f>SUMIFS(Estratégia!$F:$F,Estratégia!$C:$C,$K14,Estratégia!$E:$E,Futuros!L$1)</f>
        <v>0</v>
      </c>
      <c r="M14" s="194">
        <f>SUMIFS(Estratégia!$F:$F,Estratégia!$C:$C,$K14,Estratégia!$E:$E,Futuros!M$1)</f>
        <v>-9</v>
      </c>
      <c r="N14" s="194">
        <f>SUMIFS(Estratégia!$F:$F,Estratégia!$C:$C,$K14,Estratégia!$E:$E,Futuros!N$1)</f>
        <v>0</v>
      </c>
      <c r="O14" s="194">
        <f>SUMIFS(Estratégia!$F:$F,Estratégia!$C:$C,$K14,Estratégia!$E:$E,Futuros!O$1)</f>
        <v>0</v>
      </c>
      <c r="P14" s="194">
        <f>SUMIFS(Estratégia!$F:$F,Estratégia!$C:$C,$K14,Estratégia!$E:$E,Futuros!P$1)</f>
        <v>12</v>
      </c>
      <c r="Q14" s="194">
        <f>SUMIFS(Estratégia!$F:$F,Estratégia!$C:$C,$K14,Estratégia!$E:$E,Futuros!Q$1)</f>
        <v>0</v>
      </c>
    </row>
    <row r="15" spans="1:17" x14ac:dyDescent="0.25">
      <c r="A15" s="202" t="s">
        <v>319</v>
      </c>
      <c r="B15" s="196">
        <f ca="1">IFERROR(SUMIF(Extranet!$D:$H,Futuros!A15,Extranet!$H:$H),0)</f>
        <v>-42</v>
      </c>
      <c r="C15" s="194">
        <f>SUMIFS(Estratégia!$F:$F,Estratégia!$D:$D,Futuros!$A15,Estratégia!$E:$E,Futuros!C$1)</f>
        <v>0</v>
      </c>
      <c r="D15" s="194">
        <f>SUMIFS(Estratégia!F:F,Estratégia!D:D,Futuros!$A15,Estratégia!E:E,Futuros!D$1)</f>
        <v>-75</v>
      </c>
      <c r="E15" s="194">
        <f>SUMIFS(Estratégia!$F:$F,Estratégia!$D:$D,Futuros!$A15,Estratégia!$E:$E,Futuros!E$1)</f>
        <v>0</v>
      </c>
      <c r="F15" s="194">
        <f>SUMIFS(Estratégia!$F:$F,Estratégia!$D:$D,Futuros!$A15,Estratégia!$E:$E,Futuros!F$1)</f>
        <v>33</v>
      </c>
      <c r="G15" s="194">
        <f>SUMIFS(Estratégia!$F:$F,Estratégia!$D:$D,Futuros!$A15,Estratégia!$E:$E,Futuros!G$1)</f>
        <v>0</v>
      </c>
      <c r="H15" s="195">
        <f t="shared" ca="1" si="0"/>
        <v>0</v>
      </c>
      <c r="K15" s="200" t="s">
        <v>357</v>
      </c>
      <c r="L15" s="196">
        <f>SUMIFS(Estratégia!$F:$F,Estratégia!$C:$C,$K15,Estratégia!$E:$E,Futuros!L$1)</f>
        <v>-23</v>
      </c>
      <c r="M15" s="194">
        <f>SUMIFS(Estratégia!$F:$F,Estratégia!$C:$C,$K15,Estratégia!$E:$E,Futuros!M$1)</f>
        <v>-40</v>
      </c>
      <c r="N15" s="194">
        <f>SUMIFS(Estratégia!$F:$F,Estratégia!$C:$C,$K15,Estratégia!$E:$E,Futuros!N$1)</f>
        <v>0</v>
      </c>
      <c r="O15" s="194">
        <f>SUMIFS(Estratégia!$F:$F,Estratégia!$C:$C,$K15,Estratégia!$E:$E,Futuros!O$1)</f>
        <v>0</v>
      </c>
      <c r="P15" s="194">
        <f>SUMIFS(Estratégia!$F:$F,Estratégia!$C:$C,$K15,Estratégia!$E:$E,Futuros!P$1)</f>
        <v>4</v>
      </c>
      <c r="Q15" s="194">
        <f>SUMIFS(Estratégia!$F:$F,Estratégia!$C:$C,$K15,Estratégia!$E:$E,Futuros!Q$1)</f>
        <v>-4</v>
      </c>
    </row>
    <row r="16" spans="1:17" x14ac:dyDescent="0.25">
      <c r="A16" s="202" t="s">
        <v>179</v>
      </c>
      <c r="B16" s="196">
        <f ca="1">IFERROR(SUMIF(Extranet!$D:$H,Futuros!A16,Extranet!$H:$H),0)</f>
        <v>-235</v>
      </c>
      <c r="C16" s="194">
        <f>SUMIFS(Estratégia!$F:$F,Estratégia!$D:$D,Futuros!$A16,Estratégia!$E:$E,Futuros!C$1)</f>
        <v>0</v>
      </c>
      <c r="D16" s="194">
        <f>SUMIFS(Estratégia!F:F,Estratégia!D:D,Futuros!$A16,Estratégia!E:E,Futuros!D$1)</f>
        <v>-236</v>
      </c>
      <c r="E16" s="194">
        <f>SUMIFS(Estratégia!$F:$F,Estratégia!$D:$D,Futuros!$A16,Estratégia!$E:$E,Futuros!E$1)</f>
        <v>0</v>
      </c>
      <c r="F16" s="194">
        <f>SUMIFS(Estratégia!$F:$F,Estratégia!$D:$D,Futuros!$A16,Estratégia!$E:$E,Futuros!F$1)</f>
        <v>1</v>
      </c>
      <c r="G16" s="194">
        <f>SUMIFS(Estratégia!$F:$F,Estratégia!$D:$D,Futuros!$A16,Estratégia!$E:$E,Futuros!G$1)</f>
        <v>0</v>
      </c>
      <c r="H16" s="195">
        <f t="shared" ca="1" si="0"/>
        <v>0</v>
      </c>
      <c r="K16" s="199" t="s">
        <v>246</v>
      </c>
      <c r="L16" s="196">
        <f>SUMIFS(Estratégia!$F:$F,Estratégia!$C:$C,$K16,Estratégia!$E:$E,Futuros!L$1)</f>
        <v>0</v>
      </c>
      <c r="M16" s="194">
        <f>SUMIFS(Estratégia!$F:$F,Estratégia!$C:$C,$K16,Estratégia!$E:$E,Futuros!M$1)</f>
        <v>-21</v>
      </c>
      <c r="N16" s="194">
        <f>SUMIFS(Estratégia!$F:$F,Estratégia!$C:$C,$K16,Estratégia!$E:$E,Futuros!N$1)</f>
        <v>0</v>
      </c>
      <c r="O16" s="194">
        <f>SUMIFS(Estratégia!$F:$F,Estratégia!$C:$C,$K16,Estratégia!$E:$E,Futuros!O$1)</f>
        <v>0</v>
      </c>
      <c r="P16" s="194">
        <f>SUMIFS(Estratégia!$F:$F,Estratégia!$C:$C,$K16,Estratégia!$E:$E,Futuros!P$1)</f>
        <v>271</v>
      </c>
      <c r="Q16" s="194">
        <f>SUMIFS(Estratégia!$F:$F,Estratégia!$C:$C,$K16,Estratégia!$E:$E,Futuros!Q$1)</f>
        <v>0</v>
      </c>
    </row>
    <row r="17" spans="1:17" x14ac:dyDescent="0.25">
      <c r="A17" s="202" t="s">
        <v>180</v>
      </c>
      <c r="B17" s="196">
        <f ca="1">IFERROR(SUMIF(Extranet!$D:$H,Futuros!A17,Extranet!$H:$H),0)</f>
        <v>-338</v>
      </c>
      <c r="C17" s="194">
        <f>SUMIFS(Estratégia!$F:$F,Estratégia!$D:$D,Futuros!$A17,Estratégia!$E:$E,Futuros!C$1)</f>
        <v>0</v>
      </c>
      <c r="D17" s="194">
        <f>SUMIFS(Estratégia!F:F,Estratégia!D:D,Futuros!$A17,Estratégia!E:E,Futuros!D$1)</f>
        <v>-338</v>
      </c>
      <c r="E17" s="194">
        <f>SUMIFS(Estratégia!$F:$F,Estratégia!$D:$D,Futuros!$A17,Estratégia!$E:$E,Futuros!E$1)</f>
        <v>0</v>
      </c>
      <c r="F17" s="194">
        <f>SUMIFS(Estratégia!$F:$F,Estratégia!$D:$D,Futuros!$A17,Estratégia!$E:$E,Futuros!F$1)</f>
        <v>0</v>
      </c>
      <c r="G17" s="194">
        <f>SUMIFS(Estratégia!$F:$F,Estratégia!$D:$D,Futuros!$A17,Estratégia!$E:$E,Futuros!G$1)</f>
        <v>0</v>
      </c>
      <c r="H17" s="195">
        <f t="shared" ca="1" si="0"/>
        <v>0</v>
      </c>
      <c r="K17" s="200" t="s">
        <v>356</v>
      </c>
      <c r="L17" s="196">
        <f>SUMIFS(Estratégia!$F:$F,Estratégia!$C:$C,$K17,Estratégia!$E:$E,Futuros!L$1)</f>
        <v>0</v>
      </c>
      <c r="M17" s="194">
        <f>SUMIFS(Estratégia!$F:$F,Estratégia!$C:$C,$K17,Estratégia!$E:$E,Futuros!M$1)</f>
        <v>0</v>
      </c>
      <c r="N17" s="194">
        <f>SUMIFS(Estratégia!$F:$F,Estratégia!$C:$C,$K17,Estratégia!$E:$E,Futuros!N$1)</f>
        <v>0</v>
      </c>
      <c r="O17" s="194">
        <f>SUMIFS(Estratégia!$F:$F,Estratégia!$C:$C,$K17,Estratégia!$E:$E,Futuros!O$1)</f>
        <v>0</v>
      </c>
      <c r="P17" s="194">
        <f>SUMIFS(Estratégia!$F:$F,Estratégia!$C:$C,$K17,Estratégia!$E:$E,Futuros!P$1)</f>
        <v>0</v>
      </c>
      <c r="Q17" s="194">
        <f>SUMIFS(Estratégia!$F:$F,Estratégia!$C:$C,$K17,Estratégia!$E:$E,Futuros!Q$1)</f>
        <v>0</v>
      </c>
    </row>
    <row r="18" spans="1:17" ht="15.75" thickBot="1" x14ac:dyDescent="0.3">
      <c r="A18" s="202" t="s">
        <v>451</v>
      </c>
      <c r="B18" s="196">
        <f ca="1">IFERROR(SUMIF(Extranet!$D:$H,Futuros!A18,Extranet!$H:$H),0)</f>
        <v>-86</v>
      </c>
      <c r="C18" s="194">
        <f>SUMIFS(Estratégia!$F:$F,Estratégia!$D:$D,Futuros!$A18,Estratégia!$E:$E,Futuros!C$1)</f>
        <v>0</v>
      </c>
      <c r="D18" s="194">
        <f>SUMIFS(Estratégia!F:F,Estratégia!D:D,Futuros!$A18,Estratégia!E:E,Futuros!D$1)</f>
        <v>-89</v>
      </c>
      <c r="E18" s="194">
        <f>SUMIFS(Estratégia!$F:$F,Estratégia!$D:$D,Futuros!$A18,Estratégia!$E:$E,Futuros!E$1)</f>
        <v>0</v>
      </c>
      <c r="F18" s="194">
        <f>SUMIFS(Estratégia!$F:$F,Estratégia!$D:$D,Futuros!$A18,Estratégia!$E:$E,Futuros!F$1)</f>
        <v>3</v>
      </c>
      <c r="G18" s="194">
        <f>SUMIFS(Estratégia!$F:$F,Estratégia!$D:$D,Futuros!$A18,Estratégia!$E:$E,Futuros!G$1)</f>
        <v>0</v>
      </c>
      <c r="H18" s="195">
        <f t="shared" ca="1" si="0"/>
        <v>0</v>
      </c>
      <c r="K18" s="201" t="s">
        <v>361</v>
      </c>
      <c r="L18" s="196">
        <f>SUMIFS(Estratégia!$F:$F,Estratégia!$C:$C,$K18,Estratégia!$E:$E,Futuros!L$1)</f>
        <v>0</v>
      </c>
      <c r="M18" s="194">
        <f>SUMIFS(Estratégia!$F:$F,Estratégia!$C:$C,$K18,Estratégia!$E:$E,Futuros!M$1)</f>
        <v>0</v>
      </c>
      <c r="N18" s="194">
        <f>SUMIFS(Estratégia!$F:$F,Estratégia!$C:$C,$K18,Estratégia!$E:$E,Futuros!N$1)</f>
        <v>0</v>
      </c>
      <c r="O18" s="194">
        <f>SUMIFS(Estratégia!$F:$F,Estratégia!$C:$C,$K18,Estratégia!$E:$E,Futuros!O$1)</f>
        <v>0</v>
      </c>
      <c r="P18" s="194">
        <f>SUMIFS(Estratégia!$F:$F,Estratégia!$C:$C,$K18,Estratégia!$E:$E,Futuros!P$1)</f>
        <v>0</v>
      </c>
      <c r="Q18" s="194">
        <f>SUMIFS(Estratégia!$F:$F,Estratégia!$C:$C,$K18,Estratégia!$E:$E,Futuros!Q$1)</f>
        <v>0</v>
      </c>
    </row>
    <row r="19" spans="1:17" x14ac:dyDescent="0.25">
      <c r="A19" s="202" t="s">
        <v>183</v>
      </c>
      <c r="B19" s="196">
        <f ca="1">IFERROR(SUMIF(Extranet!$D:$H,Futuros!A19,Extranet!$H:$H),0)</f>
        <v>-48</v>
      </c>
      <c r="C19" s="194">
        <f>SUMIFS(Estratégia!$F:$F,Estratégia!$D:$D,Futuros!$A19,Estratégia!$E:$E,Futuros!C$1)</f>
        <v>0</v>
      </c>
      <c r="D19" s="194">
        <f>SUMIFS(Estratégia!F:F,Estratégia!D:D,Futuros!$A19,Estratégia!E:E,Futuros!D$1)</f>
        <v>-55</v>
      </c>
      <c r="E19" s="194">
        <f>SUMIFS(Estratégia!$F:$F,Estratégia!$D:$D,Futuros!$A19,Estratégia!$E:$E,Futuros!E$1)</f>
        <v>0</v>
      </c>
      <c r="F19" s="194">
        <f>SUMIFS(Estratégia!$F:$F,Estratégia!$D:$D,Futuros!$A19,Estratégia!$E:$E,Futuros!F$1)</f>
        <v>7</v>
      </c>
      <c r="G19" s="194">
        <f>SUMIFS(Estratégia!$F:$F,Estratégia!$D:$D,Futuros!$A19,Estratégia!$E:$E,Futuros!G$1)</f>
        <v>0</v>
      </c>
      <c r="H19" s="195">
        <f t="shared" ca="1" si="0"/>
        <v>0</v>
      </c>
    </row>
    <row r="20" spans="1:17" ht="15.75" thickBot="1" x14ac:dyDescent="0.3">
      <c r="A20" s="203" t="s">
        <v>184</v>
      </c>
      <c r="B20" s="196">
        <f ca="1">IFERROR(SUMIF(Extranet!$D:$H,Futuros!A20,Extranet!$H:$H),0)</f>
        <v>-113</v>
      </c>
      <c r="C20" s="194">
        <f>SUMIFS(Estratégia!$F:$F,Estratégia!$D:$D,Futuros!$A20,Estratégia!$E:$E,Futuros!C$1)</f>
        <v>0</v>
      </c>
      <c r="D20" s="194">
        <f>SUMIFS(Estratégia!F:F,Estratégia!D:D,Futuros!$A20,Estratégia!E:E,Futuros!D$1)</f>
        <v>-113</v>
      </c>
      <c r="E20" s="194">
        <f>SUMIFS(Estratégia!$F:$F,Estratégia!$D:$D,Futuros!$A20,Estratégia!$E:$E,Futuros!E$1)</f>
        <v>0</v>
      </c>
      <c r="F20" s="194">
        <f>SUMIFS(Estratégia!$F:$F,Estratégia!$D:$D,Futuros!$A20,Estratégia!$E:$E,Futuros!F$1)</f>
        <v>0</v>
      </c>
      <c r="G20" s="194">
        <f>SUMIFS(Estratégia!$F:$F,Estratégia!$D:$D,Futuros!$A20,Estratégia!$E:$E,Futuros!G$1)</f>
        <v>0</v>
      </c>
      <c r="H20" s="195">
        <f t="shared" ca="1" si="0"/>
        <v>0</v>
      </c>
    </row>
    <row r="34" spans="6:6" x14ac:dyDescent="0.25">
      <c r="F34" s="191"/>
    </row>
    <row r="35" spans="6:6" x14ac:dyDescent="0.25">
      <c r="F35" s="19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A6" sqref="A6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45715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26/02/2025</v>
      </c>
      <c r="C3" s="144"/>
      <c r="D3" s="17"/>
      <c r="F3" t="s">
        <v>60</v>
      </c>
      <c r="G3" t="s">
        <v>60</v>
      </c>
      <c r="H3" s="11" t="str">
        <f ca="1">d_1</f>
        <v>26/02/2025</v>
      </c>
      <c r="I3" s="4">
        <f ca="1">_xll.BDP(G3,"LAST_PRICE")</f>
        <v>13.15</v>
      </c>
      <c r="J3" s="4">
        <f ca="1">_xll.BDP(G3,"YEST_LAST_TRADE",,)</f>
        <v>13.15</v>
      </c>
      <c r="K3" s="4">
        <f ca="1">_xll.BDP(G3,"PX_CLOSE_2D",,)</f>
        <v>13.15</v>
      </c>
      <c r="L3" s="4">
        <f ca="1"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 ca="1"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25/02/2025</v>
      </c>
      <c r="C4" s="167"/>
      <c r="D4" s="1"/>
      <c r="F4" t="s">
        <v>1153</v>
      </c>
      <c r="G4" t="s">
        <v>1155</v>
      </c>
      <c r="H4" s="10">
        <f ca="1">VALUE(_xll.BDP(F4,"FUT_DLV_DT_LAST",,))</f>
        <v>45748</v>
      </c>
      <c r="I4" s="4">
        <f ca="1">_xll.BDP(F4,"LAST_PRICE")</f>
        <v>13.539</v>
      </c>
      <c r="J4" s="4">
        <f ca="1">_xll.BDP(F4,"PX_SETTLE",,)</f>
        <v>13.525</v>
      </c>
      <c r="K4" s="4">
        <f ca="1">_xll.BDP(F4,"PX_CLOSE_2D",,)</f>
        <v>13.504</v>
      </c>
      <c r="L4" s="4">
        <f t="shared" ref="L4" ca="1" si="0">+I4-J4</f>
        <v>1.3999999999999346E-2</v>
      </c>
      <c r="M4" s="71">
        <f ca="1">_xll.BDP(F4,"FUT_CNV_RISK_FRSK",,)</f>
        <v>0.72622989831143059</v>
      </c>
      <c r="P4" t="s">
        <v>83</v>
      </c>
      <c r="Q4" s="35">
        <f ca="1">hoje</f>
        <v>45715</v>
      </c>
      <c r="X4">
        <v>252</v>
      </c>
      <c r="Y4">
        <v>4.1764000000000001</v>
      </c>
      <c r="AB4" s="36">
        <v>45222</v>
      </c>
      <c r="AC4">
        <v>39</v>
      </c>
      <c r="AD4">
        <f ca="1"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84">
        <f ca="1">_xll.BDP(G3,"PX_LAST")/100</f>
        <v>0.13150000000000001</v>
      </c>
      <c r="C5" s="204"/>
      <c r="D5" s="213"/>
      <c r="F5" t="s">
        <v>1154</v>
      </c>
      <c r="G5" t="s">
        <v>1156</v>
      </c>
      <c r="H5" s="10">
        <f ca="1">VALUE(_xll.BDP(F5,"FUT_DLV_DT_LAST",,))</f>
        <v>45779</v>
      </c>
      <c r="I5" s="4">
        <f ca="1">_xll.BDP(F5,"LAST_PRICE")</f>
        <v>13.861000000000001</v>
      </c>
      <c r="J5" s="4">
        <f ca="1">_xll.BDP(F5,"PX_SETTLE",,)</f>
        <v>13.843</v>
      </c>
      <c r="K5" s="4">
        <f ca="1">_xll.BDP(F5,"PX_CLOSE_2D",,)</f>
        <v>13.815</v>
      </c>
      <c r="L5" s="4">
        <f t="shared" ref="L5" ca="1" si="1">+I5-J5</f>
        <v>1.8000000000000682E-2</v>
      </c>
      <c r="M5" s="71">
        <f ca="1">_xll.BDP(F5,"FUT_CNV_RISK_FRSK",,)</f>
        <v>1.3990452676516725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 ca="1"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5">
        <f ca="1">(1+B5)^(1/252)-1</f>
        <v>4.9037490119197003E-4</v>
      </c>
      <c r="C6" s="146"/>
      <c r="D6" s="144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14.27</v>
      </c>
      <c r="J6" s="4">
        <f ca="1">_xll.BDP(F6,"PX_SETTLE",,)</f>
        <v>14.241</v>
      </c>
      <c r="K6" s="4">
        <f ca="1">_xll.BDP(F6,"PX_CLOSE_2D",,)</f>
        <v>14.164</v>
      </c>
      <c r="L6" s="4">
        <f t="shared" ref="L6:L16" ca="1" si="2">+I6-J6</f>
        <v>2.8999999999999915E-2</v>
      </c>
      <c r="M6" s="71">
        <f ca="1">_xll.BDP(F6,"FUT_CNV_RISK_FRSK",,)</f>
        <v>2.7266545751554077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 ca="1"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379</v>
      </c>
      <c r="B7" s="34">
        <f ca="1">_xll.BDP("BMFXTWO Index","PX_LAST")</f>
        <v>5.7874999999999996</v>
      </c>
      <c r="C7" s="144"/>
      <c r="D7" s="222"/>
      <c r="F7" t="s">
        <v>58</v>
      </c>
      <c r="G7" t="s">
        <v>479</v>
      </c>
      <c r="H7" s="10">
        <f ca="1">VALUE(_xll.BDP(F7,"FUT_DLV_DT_LAST",,))</f>
        <v>46024</v>
      </c>
      <c r="I7" s="4">
        <f ca="1">_xll.BDP(F7,"LAST_PRICE")</f>
        <v>14.795</v>
      </c>
      <c r="J7" s="4">
        <f ca="1">_xll.BDP(F7,"PX_SETTLE",,)</f>
        <v>14.744</v>
      </c>
      <c r="K7" s="4">
        <f ca="1">_xll.BDP(F7,"PX_CLOSE_2D",,)</f>
        <v>14.587999999999999</v>
      </c>
      <c r="L7" s="4">
        <f t="shared" ca="1" si="2"/>
        <v>5.1000000000000156E-2</v>
      </c>
      <c r="M7" s="71">
        <f ca="1">_xll.BDP(F7,"FUT_CNV_RISK_FRSK",,)</f>
        <v>6.5247838974755723</v>
      </c>
      <c r="P7" s="340" t="s">
        <v>90</v>
      </c>
      <c r="Q7" s="341"/>
      <c r="S7" s="340" t="s">
        <v>94</v>
      </c>
      <c r="T7" s="342"/>
      <c r="U7" s="343"/>
      <c r="X7">
        <v>630</v>
      </c>
      <c r="Y7">
        <v>4.7157999999999998</v>
      </c>
      <c r="AB7" s="36">
        <v>45314</v>
      </c>
      <c r="AC7">
        <v>101</v>
      </c>
      <c r="AD7">
        <f ca="1"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23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14.875</v>
      </c>
      <c r="J8" s="4">
        <f ca="1">_xll.BDP(F8,"PX_SETTLE",,)</f>
        <v>14.829000000000001</v>
      </c>
      <c r="K8" s="4">
        <f ca="1">_xll.BDP(F8,"PX_CLOSE_2D",,)</f>
        <v>14.605</v>
      </c>
      <c r="L8" s="4">
        <f t="shared" ca="1" si="2"/>
        <v>4.5999999999999375E-2</v>
      </c>
      <c r="M8" s="71">
        <f ca="1">_xll.BDP(F8,"FUT_CNV_RISK_FRSK",,)</f>
        <v>9.601556564681232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 ca="1"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14.77</v>
      </c>
      <c r="J9" s="4">
        <f ca="1">_xll.BDP(F9,"PX_SETTLE",,)</f>
        <v>14.74</v>
      </c>
      <c r="K9" s="4">
        <f ca="1">_xll.BDP(F9,"PX_CLOSE_2D",,)</f>
        <v>14.472</v>
      </c>
      <c r="L9" s="4">
        <f t="shared" ca="1" si="2"/>
        <v>2.9999999999999361E-2</v>
      </c>
      <c r="M9" s="71">
        <f ca="1">_xll.BDP(F9,"FUT_CNV_RISK_FRSK",,)</f>
        <v>12.390179270914814</v>
      </c>
      <c r="P9" s="36">
        <f ca="1">_xll.BDH(Q2,Q8:Q8,Q3,Q4,"Dir=V","Dts=S","Sort=A","Quote=C","QtTyp=P","Days=T",CONCATENATE("Per=c",Q5),"DtFmt=D","UseDPDF=Y",CONCATENATE("FX=",Q6),"cols=2;rows=7696")</f>
        <v>34519</v>
      </c>
      <c r="Q9">
        <v>1</v>
      </c>
      <c r="S9" s="42">
        <f ca="1">hoje</f>
        <v>45715</v>
      </c>
      <c r="T9" s="43">
        <f ca="1">_xll.BInterpol('Base CDI'!$H$4:$H$28,'Base CDI'!$J$4:$J$29,S9,"Cubic","Extrapolate=Linear","MultiX=Average","Skip=True","Sort=True")</f>
        <v>13.186483870967743</v>
      </c>
      <c r="U9" s="43">
        <f ca="1">_xll.BInterpol('Base CDI'!$H$4:$H$28,'Base CDI'!$I$4:$I$29,S9,"Cubic","Extrapolate=Linear","MultiX=Average","Skip=True","Sort=True")</f>
        <v>13.196225806451611</v>
      </c>
      <c r="X9">
        <v>882</v>
      </c>
      <c r="Y9">
        <v>5.0185000000000004</v>
      </c>
      <c r="AB9" s="36">
        <v>45372</v>
      </c>
      <c r="AC9">
        <v>141</v>
      </c>
      <c r="AD9">
        <f ca="1"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254859.94420210962</v>
      </c>
      <c r="F10" t="s">
        <v>55</v>
      </c>
      <c r="G10" t="s">
        <v>302</v>
      </c>
      <c r="H10" s="10">
        <f ca="1">VALUE(_xll.BDP(F10,"FUT_DLV_DT_LAST",,))</f>
        <v>46755</v>
      </c>
      <c r="I10" s="4">
        <f ca="1">_xll.BDP(F10,"LAST_PRICE")</f>
        <v>14.685</v>
      </c>
      <c r="J10" s="4">
        <f ca="1">_xll.BDP(F10,"PX_SETTLE",,)</f>
        <v>14.65</v>
      </c>
      <c r="K10" s="4">
        <f ca="1">_xll.BDP(F10,"PX_CLOSE_2D",,)</f>
        <v>14.348000000000001</v>
      </c>
      <c r="L10" s="4">
        <f t="shared" ca="1" si="2"/>
        <v>3.5000000000000142E-2</v>
      </c>
      <c r="M10" s="71">
        <f ca="1">_xll.BDP(F10,"FUT_CNV_RISK_FRSK",,)</f>
        <v>16.730752105198917</v>
      </c>
      <c r="P10" s="10">
        <v>34520</v>
      </c>
      <c r="Q10">
        <v>1.0039800000000001</v>
      </c>
      <c r="S10" s="42">
        <f ca="1">S9+1</f>
        <v>45716</v>
      </c>
      <c r="T10" s="43">
        <f ca="1">_xll.BInterpol('Base CDI'!$H$4:$H$28,'Base CDI'!$J$4:$J$29,S10,"Cubic","Extrapolate=Linear","MultiX=Average","Skip=True","Sort=True")</f>
        <v>13.196741935483871</v>
      </c>
      <c r="U10" s="43">
        <f ca="1">_xll.BInterpol('Base CDI'!$H$4:$H$28,'Base CDI'!$I$4:$I$29,S10,"Cubic","Extrapolate=Linear","MultiX=Average","Skip=True","Sort=True")</f>
        <v>13.206612903225805</v>
      </c>
      <c r="X10" s="188">
        <v>1008</v>
      </c>
      <c r="Y10">
        <v>5.1406999999999998</v>
      </c>
      <c r="AB10" s="36">
        <v>45405</v>
      </c>
      <c r="AC10">
        <v>163</v>
      </c>
      <c r="AD10">
        <f ca="1"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278392002.18000001</v>
      </c>
      <c r="D11" s="9">
        <f t="shared" ca="1" si="3"/>
        <v>136516.45056165219</v>
      </c>
      <c r="F11" t="s">
        <v>54</v>
      </c>
      <c r="G11" t="s">
        <v>202</v>
      </c>
      <c r="H11" s="10">
        <f ca="1">VALUE(_xll.BDP(F11,"FUT_DLV_DT_LAST",,))</f>
        <v>47120</v>
      </c>
      <c r="I11" s="4">
        <f ca="1">_xll.BDP(F11,"LAST_PRICE")</f>
        <v>14.725</v>
      </c>
      <c r="J11" s="4">
        <f ca="1">_xll.BDP(F11,"PX_SETTLE",,)</f>
        <v>14.69</v>
      </c>
      <c r="K11" s="4">
        <f ca="1">_xll.BDP(F11,"PX_CLOSE_2D",,)</f>
        <v>14.398999999999999</v>
      </c>
      <c r="L11" s="4">
        <f t="shared" ca="1" si="2"/>
        <v>3.5000000000000142E-2</v>
      </c>
      <c r="M11" s="71">
        <f ca="1">_xll.BDP(F11,"FUT_CNV_RISK_FRSK",,)</f>
        <v>19.680442177654186</v>
      </c>
      <c r="P11" s="10">
        <v>34521</v>
      </c>
      <c r="Q11">
        <v>1.0079959999999999</v>
      </c>
      <c r="S11" s="42">
        <f t="shared" ref="S11:S74" ca="1" si="5">S10+1</f>
        <v>45717</v>
      </c>
      <c r="T11" s="43">
        <f ca="1">_xll.BInterpol('Base CDI'!$H$4:$H$28,'Base CDI'!$J$4:$J$29,S11,"Cubic","Extrapolate=Linear","MultiX=Average","Skip=True","Sort=True")</f>
        <v>13.207000000000001</v>
      </c>
      <c r="U11" s="43">
        <f ca="1">_xll.BInterpol('Base CDI'!$H$4:$H$28,'Base CDI'!$I$4:$I$29,S11,"Cubic","Extrapolate=Linear","MultiX=Average","Skip=True","Sort=True")</f>
        <v>13.216999999999999</v>
      </c>
      <c r="X11" s="188">
        <v>1134</v>
      </c>
      <c r="Y11">
        <v>5.2413999999999996</v>
      </c>
      <c r="AB11" s="36">
        <v>45433</v>
      </c>
      <c r="AC11">
        <v>182</v>
      </c>
      <c r="AD11">
        <f ca="1"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466</v>
      </c>
      <c r="B12" s="14" t="s">
        <v>466</v>
      </c>
      <c r="C12" s="8">
        <f t="shared" ca="1" si="4"/>
        <v>4320964.33</v>
      </c>
      <c r="D12" s="8">
        <f t="shared" ca="1" si="3"/>
        <v>2118.8924563777769</v>
      </c>
      <c r="F12" t="s">
        <v>53</v>
      </c>
      <c r="G12" t="s">
        <v>480</v>
      </c>
      <c r="H12" s="10">
        <f ca="1">VALUE(_xll.BDP(F12,"FUT_DLV_DT_LAST",,))</f>
        <v>47485</v>
      </c>
      <c r="I12" s="4">
        <f ca="1">_xll.BDP(F12,"LAST_PRICE")</f>
        <v>14.795</v>
      </c>
      <c r="J12" s="4">
        <f ca="1">_xll.BDP(F12,"PX_SETTLE",,)</f>
        <v>14.747999999999999</v>
      </c>
      <c r="K12" s="4">
        <f ca="1">_xll.BDP(F12,"PX_CLOSE_2D",,)</f>
        <v>14.484</v>
      </c>
      <c r="L12" s="4">
        <f t="shared" ca="1" si="2"/>
        <v>4.7000000000000597E-2</v>
      </c>
      <c r="M12" s="71">
        <f ca="1">_xll.BDP(F12,"FUT_CNV_RISK_FRSK",,)</f>
        <v>21.56377969829191</v>
      </c>
      <c r="P12" s="10">
        <v>34522</v>
      </c>
      <c r="Q12">
        <v>1.0120279999999999</v>
      </c>
      <c r="S12" s="42">
        <f t="shared" ca="1" si="5"/>
        <v>45718</v>
      </c>
      <c r="T12" s="43">
        <f ca="1">_xll.BInterpol('Base CDI'!$H$4:$H$28,'Base CDI'!$J$4:$J$29,S12,"Cubic","Extrapolate=Linear","MultiX=Average","Skip=True","Sort=True")</f>
        <v>13.21725806451613</v>
      </c>
      <c r="U12" s="43">
        <f ca="1">_xll.BInterpol('Base CDI'!$H$4:$H$28,'Base CDI'!$I$4:$I$29,S12,"Cubic","Extrapolate=Linear","MultiX=Average","Skip=True","Sort=True")</f>
        <v>13.227387096774192</v>
      </c>
      <c r="X12" s="188">
        <v>1260</v>
      </c>
      <c r="Y12">
        <v>5.3226000000000004</v>
      </c>
      <c r="AB12" s="36">
        <v>45464</v>
      </c>
      <c r="AC12">
        <v>204</v>
      </c>
      <c r="AD12">
        <f ca="1"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988</v>
      </c>
      <c r="B13" s="15" t="s">
        <v>27</v>
      </c>
      <c r="C13" s="9">
        <v>98332719.590000004</v>
      </c>
      <c r="D13" s="9">
        <f t="shared" ca="1" si="3"/>
        <v>48219.897652883948</v>
      </c>
      <c r="F13" t="s">
        <v>52</v>
      </c>
      <c r="G13" t="s">
        <v>481</v>
      </c>
      <c r="H13" s="10">
        <f ca="1">VALUE(_xll.BDP(F13,"FUT_DLV_DT_LAST",,))</f>
        <v>47850</v>
      </c>
      <c r="I13" s="4">
        <f ca="1">_xll.BDP(F13,"LAST_PRICE")</f>
        <v>14.82</v>
      </c>
      <c r="J13" s="4">
        <f ca="1">_xll.BDP(F13,"PX_SETTLE",,)</f>
        <v>14.757</v>
      </c>
      <c r="K13" s="4">
        <f ca="1">_xll.BDP(F13,"PX_CLOSE_2D",,)</f>
        <v>14.526</v>
      </c>
      <c r="L13" s="4">
        <f t="shared" ca="1" si="2"/>
        <v>6.3000000000000611E-2</v>
      </c>
      <c r="M13" s="71">
        <f ca="1">_xll.BDP(F13,"FUT_CNV_RISK_FRSK",,)</f>
        <v>22.660699616419151</v>
      </c>
      <c r="P13" s="10">
        <v>34523</v>
      </c>
      <c r="Q13">
        <v>1.016046</v>
      </c>
      <c r="S13" s="42">
        <f t="shared" ca="1" si="5"/>
        <v>45719</v>
      </c>
      <c r="T13" s="43">
        <f ca="1">_xll.BInterpol('Base CDI'!$H$4:$H$28,'Base CDI'!$J$4:$J$29,S13,"Cubic","Extrapolate=Linear","MultiX=Average","Skip=True","Sort=True")</f>
        <v>13.227516129032258</v>
      </c>
      <c r="U13" s="43">
        <f ca="1">_xll.BInterpol('Base CDI'!$H$4:$H$28,'Base CDI'!$I$4:$I$29,S13,"Cubic","Extrapolate=Linear","MultiX=Average","Skip=True","Sort=True")</f>
        <v>13.237774193548386</v>
      </c>
      <c r="X13" s="188">
        <v>1386</v>
      </c>
      <c r="Y13">
        <v>5.3869999999999996</v>
      </c>
      <c r="AB13" s="36">
        <v>45496</v>
      </c>
      <c r="AC13">
        <v>226</v>
      </c>
      <c r="AD13">
        <f ca="1"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29325138.82</v>
      </c>
      <c r="D14" s="8">
        <f t="shared" ca="1" si="3"/>
        <v>14380.312051298304</v>
      </c>
      <c r="F14" t="s">
        <v>51</v>
      </c>
      <c r="G14" t="s">
        <v>482</v>
      </c>
      <c r="H14" s="10">
        <f ca="1">VALUE(_xll.BDP(F14,"FUT_DLV_DT_LAST",,))</f>
        <v>48582</v>
      </c>
      <c r="I14" s="4">
        <f ca="1">_xll.BDP(F14,"LAST_PRICE")</f>
        <v>14.81</v>
      </c>
      <c r="J14" s="4">
        <f ca="1">_xll.BDP(F14,"PX_SETTLE",,)</f>
        <v>14.733000000000001</v>
      </c>
      <c r="K14" s="4">
        <f ca="1">_xll.BDP(F14,"PX_CLOSE_2D",,)</f>
        <v>14.547000000000001</v>
      </c>
      <c r="L14" s="4">
        <f t="shared" ca="1" si="2"/>
        <v>7.6999999999999957E-2</v>
      </c>
      <c r="M14" s="71">
        <f ca="1">_xll.BDP(F14,"FUT_CNV_RISK_FRSK",,)</f>
        <v>23.153474124203058</v>
      </c>
      <c r="P14" s="10">
        <v>34526</v>
      </c>
      <c r="Q14">
        <v>1.019998</v>
      </c>
      <c r="S14" s="42">
        <f t="shared" ca="1" si="5"/>
        <v>45720</v>
      </c>
      <c r="T14" s="43">
        <f ca="1">_xll.BInterpol('Base CDI'!$H$4:$H$28,'Base CDI'!$J$4:$J$29,S14,"Cubic","Extrapolate=Linear","MultiX=Average","Skip=True","Sort=True")</f>
        <v>13.237774193548388</v>
      </c>
      <c r="U14" s="43">
        <f ca="1">_xll.BInterpol('Base CDI'!$H$4:$H$28,'Base CDI'!$I$4:$I$29,S14,"Cubic","Extrapolate=Linear","MultiX=Average","Skip=True","Sort=True")</f>
        <v>13.24816129032258</v>
      </c>
      <c r="X14" s="188">
        <v>1512</v>
      </c>
      <c r="Y14">
        <v>5.4371999999999998</v>
      </c>
      <c r="AB14" s="36">
        <v>45525</v>
      </c>
      <c r="AC14">
        <v>247</v>
      </c>
      <c r="AD14">
        <f ca="1"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32305183.170000002</v>
      </c>
      <c r="D15" s="8">
        <f t="shared" ca="1" si="3"/>
        <v>15841.651004977244</v>
      </c>
      <c r="F15" t="s">
        <v>50</v>
      </c>
      <c r="G15" t="s">
        <v>483</v>
      </c>
      <c r="H15" s="10">
        <f ca="1">VALUE(_xll.BDP(F15,"FUT_DLV_DT_LAST",,))</f>
        <v>49311</v>
      </c>
      <c r="I15" s="4">
        <f ca="1">_xll.BDP(F15,"LAST_PRICE")</f>
        <v>14.75</v>
      </c>
      <c r="J15" s="4">
        <f ca="1">_xll.BDP(F15,"PX_SETTLE",,)</f>
        <v>14.677</v>
      </c>
      <c r="K15" s="4">
        <f ca="1">_xll.BDP(F15,"PX_CLOSE_2D",,)</f>
        <v>14.515000000000001</v>
      </c>
      <c r="L15" s="4">
        <f t="shared" ca="1" si="2"/>
        <v>7.3000000000000398E-2</v>
      </c>
      <c r="M15" s="71">
        <f ca="1">_xll.BDP(F15,"FUT_CNV_RISK_FRSK",,)</f>
        <v>22.194173291805782</v>
      </c>
      <c r="P15" s="10">
        <v>34527</v>
      </c>
      <c r="Q15">
        <v>1.02383</v>
      </c>
      <c r="S15" s="42">
        <f t="shared" ca="1" si="5"/>
        <v>45721</v>
      </c>
      <c r="T15" s="43">
        <f ca="1">_xll.BInterpol('Base CDI'!$H$4:$H$28,'Base CDI'!$J$4:$J$29,S15,"Cubic","Extrapolate=Linear","MultiX=Average","Skip=True","Sort=True")</f>
        <v>13.248032258064518</v>
      </c>
      <c r="U15" s="43">
        <f ca="1">_xll.BInterpol('Base CDI'!$H$4:$H$28,'Base CDI'!$I$4:$I$29,S15,"Cubic","Extrapolate=Linear","MultiX=Average","Skip=True","Sort=True")</f>
        <v>13.258548387096774</v>
      </c>
      <c r="X15" s="188">
        <v>1638</v>
      </c>
      <c r="Y15">
        <v>5.4760999999999997</v>
      </c>
      <c r="AB15" s="36">
        <v>45558</v>
      </c>
      <c r="AC15">
        <v>270</v>
      </c>
      <c r="AD15">
        <f ca="1"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1072</v>
      </c>
      <c r="B16" s="15" t="s">
        <v>29</v>
      </c>
      <c r="C16" s="9">
        <f t="shared" ca="1" si="4"/>
        <v>46220007.200000003</v>
      </c>
      <c r="D16" s="9">
        <f t="shared" ca="1" si="3"/>
        <v>22665.131463792146</v>
      </c>
      <c r="F16" t="s">
        <v>301</v>
      </c>
      <c r="G16" t="s">
        <v>736</v>
      </c>
      <c r="H16" s="10">
        <f ca="1">VALUE(_xll.BDP(F16,"FUT_DLV_DT_LAST",,))</f>
        <v>50042</v>
      </c>
      <c r="I16" s="4">
        <f ca="1">_xll.BDP(F16,"LAST_PRICE")</f>
        <v>14.565</v>
      </c>
      <c r="J16" s="4">
        <f ca="1">_xll.BDP(F16,"PX_SETTLE",,)</f>
        <v>14.565</v>
      </c>
      <c r="K16" s="4">
        <f ca="1">_xll.BDP(F16,"PX_CLOSE_2D",,)</f>
        <v>14.403</v>
      </c>
      <c r="L16" s="4">
        <f t="shared" ca="1" si="2"/>
        <v>0</v>
      </c>
      <c r="M16" s="71">
        <f ca="1">_xll.BDP(F16,"FUT_CNV_RISK_FRSK",,)</f>
        <v>20.745724193649949</v>
      </c>
      <c r="P16" s="10">
        <v>34528</v>
      </c>
      <c r="Q16">
        <v>1.02772</v>
      </c>
      <c r="S16" s="42">
        <f t="shared" ca="1" si="5"/>
        <v>45722</v>
      </c>
      <c r="T16" s="43">
        <f ca="1">_xll.BInterpol('Base CDI'!$H$4:$H$28,'Base CDI'!$J$4:$J$29,S16,"Cubic","Extrapolate=Linear","MultiX=Average","Skip=True","Sort=True")</f>
        <v>13.258290322580645</v>
      </c>
      <c r="U16" s="43">
        <f ca="1">_xll.BInterpol('Base CDI'!$H$4:$H$28,'Base CDI'!$I$4:$I$29,S16,"Cubic","Extrapolate=Linear","MultiX=Average","Skip=True","Sort=True")</f>
        <v>13.268935483870967</v>
      </c>
      <c r="X16" s="188">
        <v>1764</v>
      </c>
      <c r="Y16">
        <v>5.5058999999999996</v>
      </c>
      <c r="AB16" s="36">
        <v>45587</v>
      </c>
      <c r="AC16">
        <v>291</v>
      </c>
      <c r="AD16">
        <f ca="1"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1073</v>
      </c>
      <c r="B17" s="14" t="s">
        <v>30</v>
      </c>
      <c r="C17" s="8">
        <f t="shared" ca="1" si="4"/>
        <v>31196621.34</v>
      </c>
      <c r="D17" s="8">
        <f t="shared" ca="1" si="3"/>
        <v>15298.040107125804</v>
      </c>
      <c r="H17" s="3"/>
      <c r="P17" s="10">
        <v>34529</v>
      </c>
      <c r="Q17">
        <v>1.0316289999999999</v>
      </c>
      <c r="S17" s="42">
        <f t="shared" ca="1" si="5"/>
        <v>45723</v>
      </c>
      <c r="T17" s="43">
        <f ca="1">_xll.BInterpol('Base CDI'!$H$4:$H$28,'Base CDI'!$J$4:$J$29,S17,"Cubic","Extrapolate=Linear","MultiX=Average","Skip=True","Sort=True")</f>
        <v>13.268548387096775</v>
      </c>
      <c r="U17" s="43">
        <f ca="1">_xll.BInterpol('Base CDI'!$H$4:$H$28,'Base CDI'!$I$4:$I$29,S17,"Cubic","Extrapolate=Linear","MultiX=Average","Skip=True","Sort=True")</f>
        <v>13.279322580645161</v>
      </c>
      <c r="X17" s="188">
        <v>1890</v>
      </c>
      <c r="Y17">
        <v>5.5285000000000002</v>
      </c>
      <c r="AB17" s="36">
        <v>45617</v>
      </c>
      <c r="AC17">
        <v>312</v>
      </c>
      <c r="AD17">
        <f ca="1"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284</v>
      </c>
      <c r="B18" s="14" t="s">
        <v>355</v>
      </c>
      <c r="C18" s="8">
        <f t="shared" ca="1" si="4"/>
        <v>195323108.12</v>
      </c>
      <c r="D18" s="8">
        <f ca="1">C18*cdi_diario</f>
        <v>95781.549844853478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45724</v>
      </c>
      <c r="T18" s="43">
        <f ca="1">_xll.BInterpol('Base CDI'!$H$4:$H$28,'Base CDI'!$J$4:$J$29,S18,"Cubic","Extrapolate=Linear","MultiX=Average","Skip=True","Sort=True")</f>
        <v>13.278806451612905</v>
      </c>
      <c r="U18" s="43">
        <f ca="1">_xll.BInterpol('Base CDI'!$H$4:$H$28,'Base CDI'!$I$4:$I$29,S18,"Cubic","Extrapolate=Linear","MultiX=Average","Skip=True","Sort=True")</f>
        <v>13.289709677419355</v>
      </c>
      <c r="X18" s="188">
        <v>2016</v>
      </c>
      <c r="Y18">
        <v>5.5453999999999999</v>
      </c>
      <c r="AB18" s="36">
        <v>45649</v>
      </c>
      <c r="AC18">
        <v>334</v>
      </c>
      <c r="AD18">
        <f ca="1"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362</v>
      </c>
      <c r="B19" s="15" t="s">
        <v>303</v>
      </c>
      <c r="C19" s="9">
        <f t="shared" ca="1" si="4"/>
        <v>601791.31999999995</v>
      </c>
      <c r="D19" s="9">
        <f t="shared" ca="1" si="3"/>
        <v>295.10335908318518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45725</v>
      </c>
      <c r="T19" s="43">
        <f ca="1">_xll.BInterpol('Base CDI'!$H$4:$H$28,'Base CDI'!$J$4:$J$29,S19,"Cubic","Extrapolate=Linear","MultiX=Average","Skip=True","Sort=True")</f>
        <v>13.289064516129033</v>
      </c>
      <c r="U19" s="43">
        <f ca="1">_xll.BInterpol('Base CDI'!$H$4:$H$28,'Base CDI'!$I$4:$I$29,S19,"Cubic","Extrapolate=Linear","MultiX=Average","Skip=True","Sort=True")</f>
        <v>13.300096774193548</v>
      </c>
      <c r="X19" s="188">
        <v>2142</v>
      </c>
      <c r="Y19">
        <v>5.5578000000000003</v>
      </c>
      <c r="AB19" s="36">
        <v>45678</v>
      </c>
      <c r="AC19">
        <v>353</v>
      </c>
      <c r="AD19">
        <f ca="1"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358</v>
      </c>
      <c r="B20" s="14" t="s">
        <v>298</v>
      </c>
      <c r="C20" s="8">
        <f t="shared" ca="1" si="4"/>
        <v>37219130.039999999</v>
      </c>
      <c r="D20" s="8">
        <f t="shared" ca="1" si="3"/>
        <v>18251.327215816083</v>
      </c>
      <c r="F20" s="38">
        <v>46395</v>
      </c>
      <c r="G20" s="41">
        <f ca="1">_xll.BInterpol('Base CDI'!$H$3:$H$29,'Base CDI'!$J$3:$J$30,F20,"Cubic","Extrapolate=Linear","MultiX=Average","Skip=True","Sort=True")</f>
        <v>14.737848065006666</v>
      </c>
      <c r="L20" s="4"/>
      <c r="P20" s="10">
        <v>34534</v>
      </c>
      <c r="Q20">
        <v>1.0424960000000001</v>
      </c>
      <c r="S20" s="42">
        <f t="shared" ca="1" si="5"/>
        <v>45726</v>
      </c>
      <c r="T20" s="43">
        <f ca="1">_xll.BInterpol('Base CDI'!$H$4:$H$28,'Base CDI'!$J$4:$J$29,S20,"Cubic","Extrapolate=Linear","MultiX=Average","Skip=True","Sort=True")</f>
        <v>13.299322580645162</v>
      </c>
      <c r="U20" s="43">
        <f ca="1">_xll.BInterpol('Base CDI'!$H$4:$H$28,'Base CDI'!$I$4:$I$29,S20,"Cubic","Extrapolate=Linear","MultiX=Average","Skip=True","Sort=True")</f>
        <v>13.31048387096774</v>
      </c>
      <c r="X20" s="188">
        <v>2268</v>
      </c>
      <c r="Y20">
        <v>5.5669000000000004</v>
      </c>
      <c r="AB20" s="36">
        <v>45709</v>
      </c>
      <c r="AC20">
        <v>376</v>
      </c>
      <c r="AD20">
        <f ca="1"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357</v>
      </c>
      <c r="B21" s="15" t="s">
        <v>244</v>
      </c>
      <c r="C21" s="9">
        <f t="shared" ca="1" si="4"/>
        <v>245084409.52000001</v>
      </c>
      <c r="D21" s="9">
        <f t="shared" ca="1" si="3"/>
        <v>120183.24310206232</v>
      </c>
      <c r="H21" s="10"/>
      <c r="L21" s="4"/>
      <c r="P21" s="10">
        <v>34535</v>
      </c>
      <c r="Q21">
        <v>1.0460160000000001</v>
      </c>
      <c r="S21" s="42">
        <f t="shared" ca="1" si="5"/>
        <v>45727</v>
      </c>
      <c r="T21" s="43">
        <f ca="1">_xll.BInterpol('Base CDI'!$H$4:$H$28,'Base CDI'!$J$4:$J$29,S21,"Cubic","Extrapolate=Linear","MultiX=Average","Skip=True","Sort=True")</f>
        <v>13.30958064516129</v>
      </c>
      <c r="U21" s="43">
        <f ca="1">_xll.BInterpol('Base CDI'!$H$4:$H$28,'Base CDI'!$I$4:$I$29,S21,"Cubic","Extrapolate=Linear","MultiX=Average","Skip=True","Sort=True")</f>
        <v>13.320870967741934</v>
      </c>
    </row>
    <row r="22" spans="1:30" x14ac:dyDescent="0.25">
      <c r="A22" s="2" t="s">
        <v>246</v>
      </c>
      <c r="B22" s="14" t="s">
        <v>245</v>
      </c>
      <c r="C22" s="9">
        <v>11781242.34</v>
      </c>
      <c r="D22" s="8">
        <f ca="1">C22*cdi_diario</f>
        <v>5777.2255483961535</v>
      </c>
      <c r="H22" s="10"/>
      <c r="L22" s="4"/>
      <c r="P22" s="10">
        <v>34536</v>
      </c>
      <c r="Q22">
        <v>1.049534</v>
      </c>
      <c r="S22" s="42">
        <f t="shared" ca="1" si="5"/>
        <v>45728</v>
      </c>
      <c r="T22" s="43">
        <f ca="1">_xll.BInterpol('Base CDI'!$H$4:$H$28,'Base CDI'!$J$4:$J$29,S22,"Cubic","Extrapolate=Linear","MultiX=Average","Skip=True","Sort=True")</f>
        <v>13.31983870967742</v>
      </c>
      <c r="U22" s="43">
        <f ca="1">_xll.BInterpol('Base CDI'!$H$4:$H$28,'Base CDI'!$I$4:$I$29,S22,"Cubic","Extrapolate=Linear","MultiX=Average","Skip=True","Sort=True")</f>
        <v>13.331258064516128</v>
      </c>
    </row>
    <row r="23" spans="1:30" x14ac:dyDescent="0.25">
      <c r="A23" s="2" t="s">
        <v>1150</v>
      </c>
      <c r="B23" s="14" t="s">
        <v>1157</v>
      </c>
      <c r="C23" s="8">
        <f ca="1">VLOOKUP(A23,$A$37:$B$67,2,0)</f>
        <v>41191129.619999997</v>
      </c>
      <c r="D23" s="8">
        <f t="shared" ca="1" si="3"/>
        <v>20199.096117393128</v>
      </c>
      <c r="H23" s="10"/>
      <c r="L23" s="4"/>
      <c r="P23" s="10">
        <v>34537</v>
      </c>
      <c r="Q23">
        <v>1.0524340000000001</v>
      </c>
      <c r="S23" s="42">
        <f t="shared" ca="1" si="5"/>
        <v>45729</v>
      </c>
      <c r="T23" s="43">
        <f ca="1">_xll.BInterpol('Base CDI'!$H$4:$H$28,'Base CDI'!$J$4:$J$29,S23,"Cubic","Extrapolate=Linear","MultiX=Average","Skip=True","Sort=True")</f>
        <v>13.330096774193549</v>
      </c>
      <c r="U23" s="43">
        <f ca="1">_xll.BInterpol('Base CDI'!$H$4:$H$28,'Base CDI'!$I$4:$I$29,S23,"Cubic","Extrapolate=Linear","MultiX=Average","Skip=True","Sort=True")</f>
        <v>13.341645161290321</v>
      </c>
    </row>
    <row r="24" spans="1:30" x14ac:dyDescent="0.25">
      <c r="A24" s="2" t="s">
        <v>299</v>
      </c>
      <c r="B24" s="14" t="s">
        <v>299</v>
      </c>
      <c r="C24" s="8">
        <f ca="1">VLOOKUP(A24,$A$37:$B$67,2,0)</f>
        <v>216905646.31999999</v>
      </c>
      <c r="D24" s="8">
        <f ca="1">C24*cdi_diario</f>
        <v>106365.08488215039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45730</v>
      </c>
      <c r="T24" s="43">
        <f ca="1">_xll.BInterpol('Base CDI'!$H$4:$H$28,'Base CDI'!$J$4:$J$29,S24,"Cubic","Extrapolate=Linear","MultiX=Average","Skip=True","Sort=True")</f>
        <v>13.340354838709677</v>
      </c>
      <c r="U24" s="43">
        <f ca="1">_xll.BInterpol('Base CDI'!$H$4:$H$28,'Base CDI'!$I$4:$I$29,S24,"Cubic","Extrapolate=Linear","MultiX=Average","Skip=True","Sort=True")</f>
        <v>13.352032258064515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45731</v>
      </c>
      <c r="T25" s="43">
        <f ca="1">_xll.BInterpol('Base CDI'!$H$4:$H$28,'Base CDI'!$J$4:$J$29,S25,"Cubic","Extrapolate=Linear","MultiX=Average","Skip=True","Sort=True")</f>
        <v>13.350612903225807</v>
      </c>
      <c r="U25" s="43">
        <f ca="1">_xll.BInterpol('Base CDI'!$H$4:$H$28,'Base CDI'!$I$4:$I$29,S25,"Cubic","Extrapolate=Linear","MultiX=Average","Skip=True","Sort=True")</f>
        <v>13.362419354838709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45732</v>
      </c>
      <c r="T26" s="43">
        <f ca="1">_xll.BInterpol('Base CDI'!$H$4:$H$28,'Base CDI'!$J$4:$J$29,S26,"Cubic","Extrapolate=Linear","MultiX=Average","Skip=True","Sort=True")</f>
        <v>13.360870967741937</v>
      </c>
      <c r="U26" s="43">
        <f ca="1">_xll.BInterpol('Base CDI'!$H$4:$H$28,'Base CDI'!$I$4:$I$29,S26,"Cubic","Extrapolate=Linear","MultiX=Average","Skip=True","Sort=True")</f>
        <v>13.372806451612902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45733</v>
      </c>
      <c r="T27" s="43">
        <f ca="1">_xll.BInterpol('Base CDI'!$H$4:$H$28,'Base CDI'!$J$4:$J$29,S27,"Cubic","Extrapolate=Linear","MultiX=Average","Skip=True","Sort=True")</f>
        <v>13.371129032258064</v>
      </c>
      <c r="U27" s="43">
        <f ca="1">_xll.BInterpol('Base CDI'!$H$4:$H$28,'Base CDI'!$I$4:$I$29,S27,"Cubic","Extrapolate=Linear","MultiX=Average","Skip=True","Sort=True")</f>
        <v>13.383193548387096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45734</v>
      </c>
      <c r="T28" s="43">
        <f ca="1">_xll.BInterpol('Base CDI'!$H$4:$H$28,'Base CDI'!$J$4:$J$29,S28,"Cubic","Extrapolate=Linear","MultiX=Average","Skip=True","Sort=True")</f>
        <v>13.381387096774194</v>
      </c>
      <c r="U28" s="43">
        <f ca="1">_xll.BInterpol('Base CDI'!$H$4:$H$28,'Base CDI'!$I$4:$I$29,S28,"Cubic","Extrapolate=Linear","MultiX=Average","Skip=True","Sort=True")</f>
        <v>13.39358064516129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45735</v>
      </c>
      <c r="T29" s="43">
        <f ca="1">_xll.BInterpol('Base CDI'!$H$4:$H$28,'Base CDI'!$J$4:$J$29,S29,"Cubic","Extrapolate=Linear","MultiX=Average","Skip=True","Sort=True")</f>
        <v>13.391645161290324</v>
      </c>
      <c r="U29" s="43">
        <f ca="1">_xll.BInterpol('Base CDI'!$H$4:$H$28,'Base CDI'!$I$4:$I$29,S29,"Cubic","Extrapolate=Linear","MultiX=Average","Skip=True","Sort=True")</f>
        <v>13.403967741935483</v>
      </c>
    </row>
    <row r="30" spans="1:30" ht="15.75" thickBot="1" x14ac:dyDescent="0.3">
      <c r="H30"/>
      <c r="L30" s="4"/>
      <c r="M30" s="4"/>
      <c r="P30" s="10">
        <v>34548</v>
      </c>
      <c r="Q30">
        <v>1.0687420000000001</v>
      </c>
      <c r="S30" s="42">
        <f t="shared" ca="1" si="5"/>
        <v>45736</v>
      </c>
      <c r="T30" s="43">
        <f ca="1">_xll.BInterpol('Base CDI'!$H$4:$H$28,'Base CDI'!$J$4:$J$29,S30,"Cubic","Extrapolate=Linear","MultiX=Average","Skip=True","Sort=True")</f>
        <v>13.401903225806452</v>
      </c>
      <c r="U30" s="43">
        <f ca="1">_xll.BInterpol('Base CDI'!$H$4:$H$28,'Base CDI'!$I$4:$I$29,S30,"Cubic","Extrapolate=Linear","MultiX=Average","Skip=True","Sort=True")</f>
        <v>13.414354838709677</v>
      </c>
    </row>
    <row r="31" spans="1:30" ht="15.75" thickBot="1" x14ac:dyDescent="0.3">
      <c r="C31" s="1"/>
      <c r="F31" s="148" t="s">
        <v>791</v>
      </c>
      <c r="G31" s="147" t="s">
        <v>792</v>
      </c>
      <c r="H31" s="147"/>
      <c r="P31" s="10">
        <v>34549</v>
      </c>
      <c r="Q31">
        <v>1.070705</v>
      </c>
      <c r="S31" s="42">
        <f t="shared" ca="1" si="5"/>
        <v>45737</v>
      </c>
      <c r="T31" s="43">
        <f ca="1">_xll.BInterpol('Base CDI'!$H$4:$H$28,'Base CDI'!$J$4:$J$29,S31,"Cubic","Extrapolate=Linear","MultiX=Average","Skip=True","Sort=True")</f>
        <v>13.412161290322581</v>
      </c>
      <c r="U31" s="43">
        <f ca="1">_xll.BInterpol('Base CDI'!$H$4:$H$28,'Base CDI'!$I$4:$I$29,S31,"Cubic","Extrapolate=Linear","MultiX=Average","Skip=True","Sort=True")</f>
        <v>13.424741935483871</v>
      </c>
    </row>
    <row r="32" spans="1:30" ht="15.75" thickBot="1" x14ac:dyDescent="0.3">
      <c r="F32" s="151" t="s">
        <v>790</v>
      </c>
      <c r="G32" s="151" t="s">
        <v>791</v>
      </c>
      <c r="H32" s="151" t="s">
        <v>792</v>
      </c>
      <c r="P32" s="10">
        <v>34550</v>
      </c>
      <c r="Q32">
        <v>1.072678</v>
      </c>
      <c r="S32" s="42">
        <f t="shared" ca="1" si="5"/>
        <v>45738</v>
      </c>
      <c r="T32" s="43">
        <f ca="1">_xll.BInterpol('Base CDI'!$H$4:$H$28,'Base CDI'!$J$4:$J$29,S32,"Cubic","Extrapolate=Linear","MultiX=Average","Skip=True","Sort=True")</f>
        <v>13.422419354838711</v>
      </c>
      <c r="U32" s="43">
        <f ca="1">_xll.BInterpol('Base CDI'!$H$4:$H$28,'Base CDI'!$I$4:$I$29,S32,"Cubic","Extrapolate=Linear","MultiX=Average","Skip=True","Sort=True")</f>
        <v>13.435129032258065</v>
      </c>
    </row>
    <row r="33" spans="1:21" ht="16.5" thickTop="1" thickBot="1" x14ac:dyDescent="0.3">
      <c r="F33" s="151" t="s">
        <v>790</v>
      </c>
      <c r="G33" s="151" t="s">
        <v>791</v>
      </c>
      <c r="H33" s="151" t="s">
        <v>792</v>
      </c>
      <c r="P33" s="10">
        <v>34551</v>
      </c>
      <c r="Q33">
        <v>1.0746519999999999</v>
      </c>
      <c r="S33" s="42">
        <f t="shared" ca="1" si="5"/>
        <v>45739</v>
      </c>
      <c r="T33" s="43">
        <f ca="1">_xll.BInterpol('Base CDI'!$H$4:$H$28,'Base CDI'!$J$4:$J$29,S33,"Cubic","Extrapolate=Linear","MultiX=Average","Skip=True","Sort=True")</f>
        <v>13.432677419354839</v>
      </c>
      <c r="U33" s="43">
        <f ca="1">_xll.BInterpol('Base CDI'!$H$4:$H$28,'Base CDI'!$I$4:$I$29,S33,"Cubic","Extrapolate=Linear","MultiX=Average","Skip=True","Sort=True")</f>
        <v>13.445516129032258</v>
      </c>
    </row>
    <row r="34" spans="1:21" ht="16.5" thickTop="1" thickBot="1" x14ac:dyDescent="0.3">
      <c r="F34" s="257">
        <v>11040338.84</v>
      </c>
      <c r="G34" s="148">
        <v>11051797.66</v>
      </c>
      <c r="H34" s="147" t="s">
        <v>165</v>
      </c>
      <c r="P34" s="10">
        <v>34554</v>
      </c>
      <c r="Q34">
        <v>1.076525</v>
      </c>
      <c r="S34" s="42">
        <f t="shared" ca="1" si="5"/>
        <v>45740</v>
      </c>
      <c r="T34" s="43">
        <f ca="1">_xll.BInterpol('Base CDI'!$H$4:$H$28,'Base CDI'!$J$4:$J$29,S34,"Cubic","Extrapolate=Linear","MultiX=Average","Skip=True","Sort=True")</f>
        <v>13.442935483870968</v>
      </c>
      <c r="U34" s="43">
        <f ca="1">_xll.BInterpol('Base CDI'!$H$4:$H$28,'Base CDI'!$I$4:$I$29,S34,"Cubic","Extrapolate=Linear","MultiX=Average","Skip=True","Sort=True")</f>
        <v>13.455903225806452</v>
      </c>
    </row>
    <row r="35" spans="1:21" ht="15.75" thickBot="1" x14ac:dyDescent="0.3">
      <c r="F35" s="148">
        <v>11735505.439999999</v>
      </c>
      <c r="G35" s="259">
        <v>10441655.09</v>
      </c>
      <c r="H35" s="259">
        <v>4412388.13</v>
      </c>
      <c r="P35" s="10">
        <v>34555</v>
      </c>
      <c r="Q35">
        <v>1.0784309999999999</v>
      </c>
      <c r="S35" s="42">
        <f t="shared" ca="1" si="5"/>
        <v>45741</v>
      </c>
      <c r="T35" s="43">
        <f ca="1">_xll.BInterpol('Base CDI'!$H$4:$H$28,'Base CDI'!$J$4:$J$29,S35,"Cubic","Extrapolate=Linear","MultiX=Average","Skip=True","Sort=True")</f>
        <v>13.453193548387096</v>
      </c>
      <c r="U35" s="43">
        <f ca="1">_xll.BInterpol('Base CDI'!$H$4:$H$28,'Base CDI'!$I$4:$I$29,S35,"Cubic","Extrapolate=Linear","MultiX=Average","Skip=True","Sort=True")</f>
        <v>13.466290322580644</v>
      </c>
    </row>
    <row r="36" spans="1:21" ht="15.75" thickBot="1" x14ac:dyDescent="0.3">
      <c r="A36" s="149" t="s">
        <v>407</v>
      </c>
      <c r="B36" s="150">
        <v>45503</v>
      </c>
      <c r="C36" s="151" t="s">
        <v>787</v>
      </c>
      <c r="D36" s="151" t="s">
        <v>788</v>
      </c>
      <c r="E36" s="151" t="s">
        <v>789</v>
      </c>
      <c r="F36" s="148">
        <v>6447427.0700000003</v>
      </c>
      <c r="G36" s="257">
        <v>4046136.07</v>
      </c>
      <c r="H36" s="259" t="s">
        <v>165</v>
      </c>
      <c r="P36" s="10">
        <v>34556</v>
      </c>
      <c r="Q36">
        <v>1.0803430000000001</v>
      </c>
      <c r="S36" s="42">
        <f t="shared" ca="1" si="5"/>
        <v>45742</v>
      </c>
      <c r="T36" s="43">
        <f ca="1">_xll.BInterpol('Base CDI'!$H$4:$H$28,'Base CDI'!$J$4:$J$29,S36,"Cubic","Extrapolate=Linear","MultiX=Average","Skip=True","Sort=True")</f>
        <v>13.463451612903226</v>
      </c>
      <c r="U36" s="43">
        <f ca="1">_xll.BInterpol('Base CDI'!$H$4:$H$28,'Base CDI'!$I$4:$I$29,S36,"Cubic","Extrapolate=Linear","MultiX=Average","Skip=True","Sort=True")</f>
        <v>13.476677419354838</v>
      </c>
    </row>
    <row r="37" spans="1:21" ht="16.5" thickTop="1" thickBot="1" x14ac:dyDescent="0.3">
      <c r="A37" s="258" t="s">
        <v>246</v>
      </c>
      <c r="B37" s="148">
        <v>11959522.140000001</v>
      </c>
      <c r="C37" s="148">
        <v>11685691.35</v>
      </c>
      <c r="D37" s="148">
        <v>11739400.060000001</v>
      </c>
      <c r="E37" s="148">
        <v>12162841.42</v>
      </c>
      <c r="F37" s="148">
        <v>42176504.049999997</v>
      </c>
      <c r="G37" s="259">
        <v>25813770.719999999</v>
      </c>
      <c r="H37" s="259">
        <v>12403297.140000001</v>
      </c>
      <c r="P37" s="10">
        <v>34557</v>
      </c>
      <c r="Q37">
        <v>1.0822590000000001</v>
      </c>
      <c r="S37" s="42">
        <f t="shared" ca="1" si="5"/>
        <v>45743</v>
      </c>
      <c r="T37" s="43">
        <f ca="1">_xll.BInterpol('Base CDI'!$H$4:$H$28,'Base CDI'!$J$4:$J$29,S37,"Cubic","Extrapolate=Linear","MultiX=Average","Skip=True","Sort=True")</f>
        <v>13.473709677419356</v>
      </c>
      <c r="U37" s="43">
        <f ca="1">_xll.BInterpol('Base CDI'!$H$4:$H$28,'Base CDI'!$I$4:$I$29,S37,"Cubic","Extrapolate=Linear","MultiX=Average","Skip=True","Sort=True")</f>
        <v>13.487064516129031</v>
      </c>
    </row>
    <row r="38" spans="1:21" ht="15.75" thickBot="1" x14ac:dyDescent="0.3">
      <c r="A38" s="258" t="s">
        <v>466</v>
      </c>
      <c r="B38" s="257">
        <v>4320964.33</v>
      </c>
      <c r="C38" s="257">
        <v>4446062.9800000004</v>
      </c>
      <c r="D38" s="257">
        <v>4399632.5999999996</v>
      </c>
      <c r="E38" s="148">
        <v>5154091.34</v>
      </c>
      <c r="F38" s="148">
        <v>12589956.560000001</v>
      </c>
      <c r="G38" s="148">
        <v>6056385.0499999998</v>
      </c>
      <c r="H38" s="147" t="s">
        <v>165</v>
      </c>
      <c r="P38" s="10">
        <v>34558</v>
      </c>
      <c r="Q38">
        <v>1.0841780000000001</v>
      </c>
      <c r="S38" s="42">
        <f t="shared" ca="1" si="5"/>
        <v>45744</v>
      </c>
      <c r="T38" s="43">
        <f ca="1">_xll.BInterpol('Base CDI'!$H$4:$H$28,'Base CDI'!$J$4:$J$29,S38,"Cubic","Extrapolate=Linear","MultiX=Average","Skip=True","Sort=True")</f>
        <v>13.483967741935484</v>
      </c>
      <c r="U38" s="43">
        <f ca="1">_xll.BInterpol('Base CDI'!$H$4:$H$28,'Base CDI'!$I$4:$I$29,S38,"Cubic","Extrapolate=Linear","MultiX=Average","Skip=True","Sort=True")</f>
        <v>13.497451612903225</v>
      </c>
    </row>
    <row r="39" spans="1:21" ht="15.75" thickBot="1" x14ac:dyDescent="0.3">
      <c r="A39" s="258" t="s">
        <v>500</v>
      </c>
      <c r="B39" s="259">
        <v>44804508.590000004</v>
      </c>
      <c r="C39" s="259">
        <v>44361690.280000001</v>
      </c>
      <c r="D39" s="148">
        <v>43880023.640000001</v>
      </c>
      <c r="E39" s="148">
        <v>44449583.399999999</v>
      </c>
      <c r="F39" s="259">
        <v>24859253.350000001</v>
      </c>
      <c r="G39" s="259">
        <v>22115569.940000001</v>
      </c>
      <c r="H39" s="147" t="s">
        <v>165</v>
      </c>
      <c r="P39" s="10">
        <v>34561</v>
      </c>
      <c r="Q39">
        <v>1.0861050000000001</v>
      </c>
      <c r="S39" s="42">
        <f t="shared" ca="1" si="5"/>
        <v>45745</v>
      </c>
      <c r="T39" s="43">
        <f ca="1">_xll.BInterpol('Base CDI'!$H$4:$H$28,'Base CDI'!$J$4:$J$29,S39,"Cubic","Extrapolate=Linear","MultiX=Average","Skip=True","Sort=True")</f>
        <v>13.494225806451613</v>
      </c>
      <c r="U39" s="43">
        <f ca="1">_xll.BInterpol('Base CDI'!$H$4:$H$28,'Base CDI'!$I$4:$I$29,S39,"Cubic","Extrapolate=Linear","MultiX=Average","Skip=True","Sort=True")</f>
        <v>13.507838709677419</v>
      </c>
    </row>
    <row r="40" spans="1:21" ht="15.75" thickBot="1" x14ac:dyDescent="0.3">
      <c r="A40" s="258" t="s">
        <v>969</v>
      </c>
      <c r="B40" s="257">
        <v>10031889.449999999</v>
      </c>
      <c r="C40" s="148">
        <v>11182852.08</v>
      </c>
      <c r="D40" s="148">
        <v>10952402.43</v>
      </c>
      <c r="E40" s="148">
        <v>14048353.99</v>
      </c>
      <c r="F40" s="148" t="s">
        <v>165</v>
      </c>
      <c r="G40" s="148" t="s">
        <v>165</v>
      </c>
      <c r="H40" s="259" t="s">
        <v>165</v>
      </c>
      <c r="P40" s="10">
        <v>34562</v>
      </c>
      <c r="Q40">
        <v>1.0880270000000001</v>
      </c>
      <c r="S40" s="42">
        <f t="shared" ca="1" si="5"/>
        <v>45746</v>
      </c>
      <c r="T40" s="43">
        <f ca="1">_xll.BInterpol('Base CDI'!$H$4:$H$28,'Base CDI'!$J$4:$J$29,S40,"Cubic","Extrapolate=Linear","MultiX=Average","Skip=True","Sort=True")</f>
        <v>13.504483870967743</v>
      </c>
      <c r="U40" s="43">
        <f ca="1">_xll.BInterpol('Base CDI'!$H$4:$H$28,'Base CDI'!$I$4:$I$29,S40,"Cubic","Extrapolate=Linear","MultiX=Average","Skip=True","Sort=True")</f>
        <v>13.518225806451612</v>
      </c>
    </row>
    <row r="41" spans="1:21" ht="15.75" thickBot="1" x14ac:dyDescent="0.3">
      <c r="A41" s="258" t="s">
        <v>361</v>
      </c>
      <c r="B41" s="148">
        <v>1476319.11</v>
      </c>
      <c r="C41" s="148">
        <v>1475402.76</v>
      </c>
      <c r="D41" s="148">
        <v>1481234.53</v>
      </c>
      <c r="E41" s="148">
        <v>26221288.309999999</v>
      </c>
      <c r="F41" s="259">
        <v>70791495.370000005</v>
      </c>
      <c r="G41" s="259">
        <v>65296029.259999998</v>
      </c>
      <c r="H41" s="259">
        <v>57910645.289999999</v>
      </c>
      <c r="P41" s="10">
        <v>34563</v>
      </c>
      <c r="Q41">
        <v>1.0899380000000001</v>
      </c>
      <c r="S41" s="42">
        <f t="shared" ca="1" si="5"/>
        <v>45747</v>
      </c>
      <c r="T41" s="43">
        <f ca="1">_xll.BInterpol('Base CDI'!$H$4:$H$28,'Base CDI'!$J$4:$J$29,S41,"Cubic","Extrapolate=Linear","MultiX=Average","Skip=True","Sort=True")</f>
        <v>13.514741935483871</v>
      </c>
      <c r="U41" s="43">
        <f ca="1">_xll.BInterpol('Base CDI'!$H$4:$H$28,'Base CDI'!$I$4:$I$29,S41,"Cubic","Extrapolate=Linear","MultiX=Average","Skip=True","Sort=True")</f>
        <v>13.528612903225806</v>
      </c>
    </row>
    <row r="42" spans="1:21" ht="15.75" thickBot="1" x14ac:dyDescent="0.3">
      <c r="A42" s="258" t="s">
        <v>949</v>
      </c>
      <c r="B42" s="148">
        <v>99634402.950000003</v>
      </c>
      <c r="C42" s="148">
        <v>98796977.439999998</v>
      </c>
      <c r="D42" s="148">
        <v>97835789.159999996</v>
      </c>
      <c r="E42" s="259">
        <v>164518607.34</v>
      </c>
      <c r="F42" s="147" t="s">
        <v>165</v>
      </c>
      <c r="G42" s="147" t="s">
        <v>165</v>
      </c>
      <c r="H42" s="147" t="s">
        <v>165</v>
      </c>
      <c r="P42" s="10">
        <v>34564</v>
      </c>
      <c r="Q42">
        <v>1.091853</v>
      </c>
      <c r="S42" s="42">
        <f t="shared" ca="1" si="5"/>
        <v>45748</v>
      </c>
      <c r="T42" s="43">
        <f ca="1">_xll.BInterpol('Base CDI'!$H$4:$H$28,'Base CDI'!$J$4:$J$29,S42,"Cubic","Extrapolate=Linear","MultiX=Average","Skip=True","Sort=True")</f>
        <v>13.525</v>
      </c>
      <c r="U42" s="43">
        <f ca="1">_xll.BInterpol('Base CDI'!$H$4:$H$28,'Base CDI'!$I$4:$I$29,S42,"Cubic","Extrapolate=Linear","MultiX=Average","Skip=True","Sort=True")</f>
        <v>13.539</v>
      </c>
    </row>
    <row r="43" spans="1:21" ht="15.75" thickBot="1" x14ac:dyDescent="0.3">
      <c r="A43" s="258" t="s">
        <v>106</v>
      </c>
      <c r="B43" s="148">
        <v>449572.78</v>
      </c>
      <c r="C43" s="148">
        <v>438491.47</v>
      </c>
      <c r="D43" s="148">
        <v>508934.21</v>
      </c>
      <c r="E43" s="148">
        <v>2507396.35</v>
      </c>
      <c r="F43" s="257" t="s">
        <v>165</v>
      </c>
      <c r="G43" s="148" t="s">
        <v>165</v>
      </c>
      <c r="H43" s="259" t="s">
        <v>165</v>
      </c>
      <c r="P43" s="10">
        <v>34565</v>
      </c>
      <c r="Q43">
        <v>1.0937749999999999</v>
      </c>
      <c r="S43" s="42">
        <f t="shared" ca="1" si="5"/>
        <v>45749</v>
      </c>
      <c r="T43" s="43">
        <f ca="1">_xll.BInterpol('Base CDI'!$H$4:$H$28,'Base CDI'!$J$4:$J$29,S43,"Cubic","Extrapolate=Linear","MultiX=Average","Skip=True","Sort=True")</f>
        <v>13.535821866938514</v>
      </c>
      <c r="U43" s="43">
        <f ca="1">_xll.BInterpol('Base CDI'!$H$4:$H$28,'Base CDI'!$I$4:$I$29,S43,"Cubic","Extrapolate=Linear","MultiX=Average","Skip=True","Sort=True")</f>
        <v>13.549940493248277</v>
      </c>
    </row>
    <row r="44" spans="1:21" ht="15.75" thickBot="1" x14ac:dyDescent="0.3">
      <c r="A44" s="258" t="s">
        <v>988</v>
      </c>
      <c r="B44" s="148">
        <v>120181685.53</v>
      </c>
      <c r="C44" s="148">
        <v>118906418.01000001</v>
      </c>
      <c r="D44" s="259">
        <v>117812091.26000001</v>
      </c>
      <c r="E44" s="259">
        <v>72132067.700000003</v>
      </c>
      <c r="F44" s="148">
        <v>42501754.200000003</v>
      </c>
      <c r="G44" s="257">
        <v>44333352.229999997</v>
      </c>
      <c r="H44" s="259">
        <v>39297484.75</v>
      </c>
      <c r="P44" s="10">
        <v>34568</v>
      </c>
      <c r="Q44">
        <v>1.0956999999999999</v>
      </c>
      <c r="S44" s="42">
        <f t="shared" ca="1" si="5"/>
        <v>45750</v>
      </c>
      <c r="T44" s="43">
        <f ca="1">_xll.BInterpol('Base CDI'!$H$4:$H$28,'Base CDI'!$J$4:$J$29,S44,"Cubic","Extrapolate=Linear","MultiX=Average","Skip=True","Sort=True")</f>
        <v>13.546640210111889</v>
      </c>
      <c r="U44" s="43">
        <f ca="1">_xll.BInterpol('Base CDI'!$H$4:$H$28,'Base CDI'!$I$4:$I$29,S44,"Cubic","Extrapolate=Linear","MultiX=Average","Skip=True","Sort=True")</f>
        <v>13.560877527768589</v>
      </c>
    </row>
    <row r="45" spans="1:21" ht="15.75" thickBot="1" x14ac:dyDescent="0.3">
      <c r="A45" s="258" t="s">
        <v>968</v>
      </c>
      <c r="B45" s="148">
        <v>117667337.87</v>
      </c>
      <c r="C45" s="148">
        <v>116656020.06</v>
      </c>
      <c r="D45" s="148">
        <v>115486327.66</v>
      </c>
      <c r="E45" s="259">
        <v>147411640.37</v>
      </c>
      <c r="F45" s="257" t="s">
        <v>165</v>
      </c>
      <c r="G45" s="148" t="s">
        <v>165</v>
      </c>
      <c r="H45" s="259" t="s">
        <v>165</v>
      </c>
      <c r="P45" s="10">
        <v>34569</v>
      </c>
      <c r="Q45">
        <v>1.097628</v>
      </c>
      <c r="S45" s="42">
        <f t="shared" ca="1" si="5"/>
        <v>45751</v>
      </c>
      <c r="T45" s="43">
        <f ca="1">_xll.BInterpol('Base CDI'!$H$4:$H$28,'Base CDI'!$J$4:$J$29,S45,"Cubic","Extrapolate=Linear","MultiX=Average","Skip=True","Sort=True")</f>
        <v>13.557451505754983</v>
      </c>
      <c r="U45" s="43">
        <f ca="1">_xll.BInterpol('Base CDI'!$H$4:$H$28,'Base CDI'!$I$4:$I$29,S45,"Cubic","Extrapolate=Linear","MultiX=Average","Skip=True","Sort=True")</f>
        <v>13.571807644832978</v>
      </c>
    </row>
    <row r="46" spans="1:21" ht="15.75" thickBot="1" x14ac:dyDescent="0.3">
      <c r="A46" s="258" t="s">
        <v>1075</v>
      </c>
      <c r="B46" s="148">
        <v>1642499.07</v>
      </c>
      <c r="C46" s="148">
        <v>1627602.08</v>
      </c>
      <c r="D46" s="148">
        <v>1661845.63</v>
      </c>
      <c r="E46" s="148">
        <v>44947562.950000003</v>
      </c>
      <c r="F46" s="257">
        <v>80750992.700000003</v>
      </c>
      <c r="G46" s="148">
        <v>58837004.689999998</v>
      </c>
      <c r="H46" s="259">
        <v>107926873.79000001</v>
      </c>
      <c r="P46" s="10">
        <v>34570</v>
      </c>
      <c r="Q46">
        <v>1.099553</v>
      </c>
      <c r="S46" s="42">
        <f t="shared" ca="1" si="5"/>
        <v>45752</v>
      </c>
      <c r="T46" s="43">
        <f ca="1">_xll.BInterpol('Base CDI'!$H$4:$H$28,'Base CDI'!$J$4:$J$29,S46,"Cubic","Extrapolate=Linear","MultiX=Average","Skip=True","Sort=True")</f>
        <v>13.56825223010266</v>
      </c>
      <c r="U46" s="43">
        <f ca="1">_xll.BInterpol('Base CDI'!$H$4:$H$28,'Base CDI'!$I$4:$I$29,S46,"Cubic","Extrapolate=Linear","MultiX=Average","Skip=True","Sort=True")</f>
        <v>13.582727385713476</v>
      </c>
    </row>
    <row r="47" spans="1:21" ht="15.75" thickBot="1" x14ac:dyDescent="0.3">
      <c r="A47" s="258" t="s">
        <v>1072</v>
      </c>
      <c r="B47" s="257">
        <v>46220007.200000003</v>
      </c>
      <c r="C47" s="148">
        <v>45782346.109999999</v>
      </c>
      <c r="D47" s="148">
        <v>45384874.439999998</v>
      </c>
      <c r="E47" s="257">
        <v>25504959.539999999</v>
      </c>
      <c r="F47" s="257">
        <v>378795654.66000003</v>
      </c>
      <c r="G47" s="148">
        <v>668195860.16999996</v>
      </c>
      <c r="H47" s="259">
        <v>648641490.21000004</v>
      </c>
      <c r="P47" s="10">
        <v>34571</v>
      </c>
      <c r="Q47">
        <v>1.10148</v>
      </c>
      <c r="S47" s="42">
        <f t="shared" ca="1" si="5"/>
        <v>45753</v>
      </c>
      <c r="T47" s="43">
        <f ca="1">_xll.BInterpol('Base CDI'!$H$4:$H$28,'Base CDI'!$J$4:$J$29,S47,"Cubic","Extrapolate=Linear","MultiX=Average","Skip=True","Sort=True")</f>
        <v>13.579038859389774</v>
      </c>
      <c r="U47" s="43">
        <f ca="1">_xll.BInterpol('Base CDI'!$H$4:$H$28,'Base CDI'!$I$4:$I$29,S47,"Cubic","Extrapolate=Linear","MultiX=Average","Skip=True","Sort=True")</f>
        <v>13.593633291682123</v>
      </c>
    </row>
    <row r="48" spans="1:21" ht="15.75" thickBot="1" x14ac:dyDescent="0.3">
      <c r="A48" s="258" t="s">
        <v>104</v>
      </c>
      <c r="B48" s="257">
        <v>30841970.719999999</v>
      </c>
      <c r="C48" s="148">
        <v>29998831.34</v>
      </c>
      <c r="D48" s="148">
        <v>30574941.280000001</v>
      </c>
      <c r="E48" s="257">
        <v>54359104.670000002</v>
      </c>
      <c r="F48" s="148">
        <v>241737512.56999999</v>
      </c>
      <c r="G48" s="148">
        <v>514004672.05000001</v>
      </c>
      <c r="H48" s="259">
        <v>312850950.62</v>
      </c>
      <c r="P48" s="10">
        <v>34572</v>
      </c>
      <c r="Q48">
        <v>1.1034120000000001</v>
      </c>
      <c r="S48" s="42">
        <f t="shared" ca="1" si="5"/>
        <v>45754</v>
      </c>
      <c r="T48" s="43">
        <f ca="1">_xll.BInterpol('Base CDI'!$H$4:$H$28,'Base CDI'!$J$4:$J$29,S48,"Cubic","Extrapolate=Linear","MultiX=Average","Skip=True","Sort=True")</f>
        <v>13.589807869851191</v>
      </c>
      <c r="U48" s="43">
        <f ca="1">_xll.BInterpol('Base CDI'!$H$4:$H$28,'Base CDI'!$I$4:$I$29,S48,"Cubic","Extrapolate=Linear","MultiX=Average","Skip=True","Sort=True")</f>
        <v>13.604521904010955</v>
      </c>
    </row>
    <row r="49" spans="1:21" ht="15.75" thickBot="1" x14ac:dyDescent="0.3">
      <c r="A49" s="258" t="s">
        <v>100</v>
      </c>
      <c r="B49" s="148">
        <v>515060281.70999998</v>
      </c>
      <c r="C49" s="257">
        <v>525271264.66000003</v>
      </c>
      <c r="D49" s="148">
        <v>521875817.17000002</v>
      </c>
      <c r="E49" s="257">
        <v>423201105.25999999</v>
      </c>
      <c r="F49" s="148">
        <v>27115527.940000001</v>
      </c>
      <c r="G49" s="148">
        <v>46114938.359999999</v>
      </c>
      <c r="H49" s="259">
        <v>69878768.989999995</v>
      </c>
      <c r="P49" s="10">
        <v>34575</v>
      </c>
      <c r="Q49">
        <v>1.1053500000000001</v>
      </c>
      <c r="S49" s="42">
        <f t="shared" ca="1" si="5"/>
        <v>45755</v>
      </c>
      <c r="T49" s="43">
        <f ca="1">_xll.BInterpol('Base CDI'!$H$4:$H$28,'Base CDI'!$J$4:$J$29,S49,"Cubic","Extrapolate=Linear","MultiX=Average","Skip=True","Sort=True")</f>
        <v>13.600555737721766</v>
      </c>
      <c r="U49" s="43">
        <f ca="1">_xll.BInterpol('Base CDI'!$H$4:$H$28,'Base CDI'!$I$4:$I$29,S49,"Cubic","Extrapolate=Linear","MultiX=Average","Skip=True","Sort=True")</f>
        <v>13.615389763972008</v>
      </c>
    </row>
    <row r="50" spans="1:21" ht="15.75" thickBot="1" x14ac:dyDescent="0.3">
      <c r="A50" s="258" t="s">
        <v>108</v>
      </c>
      <c r="B50" s="148">
        <v>278392002.18000001</v>
      </c>
      <c r="C50" s="148">
        <v>277466204.58999997</v>
      </c>
      <c r="D50" s="148">
        <v>287151770.51999998</v>
      </c>
      <c r="E50" s="257">
        <v>259531702.65000001</v>
      </c>
      <c r="F50" s="259">
        <v>214244959.19</v>
      </c>
      <c r="G50" s="259">
        <v>245981035.61000001</v>
      </c>
      <c r="H50" s="259">
        <v>92564610.959999993</v>
      </c>
      <c r="P50" s="10">
        <v>34576</v>
      </c>
      <c r="Q50">
        <v>1.107288</v>
      </c>
      <c r="S50" s="42">
        <f t="shared" ca="1" si="5"/>
        <v>45756</v>
      </c>
      <c r="T50" s="43">
        <f ca="1">_xll.BInterpol('Base CDI'!$H$4:$H$28,'Base CDI'!$J$4:$J$29,S50,"Cubic","Extrapolate=Linear","MultiX=Average","Skip=True","Sort=True")</f>
        <v>13.611278939236364</v>
      </c>
      <c r="U50" s="43">
        <f ca="1">_xll.BInterpol('Base CDI'!$H$4:$H$28,'Base CDI'!$I$4:$I$29,S50,"Cubic","Extrapolate=Linear","MultiX=Average","Skip=True","Sort=True")</f>
        <v>13.626233412837319</v>
      </c>
    </row>
    <row r="51" spans="1:21" ht="15.75" thickBot="1" x14ac:dyDescent="0.3">
      <c r="A51" s="258" t="s">
        <v>101</v>
      </c>
      <c r="B51" s="148">
        <v>29325138.82</v>
      </c>
      <c r="C51" s="148">
        <v>28835749.280000001</v>
      </c>
      <c r="D51" s="148">
        <v>29620372.559999999</v>
      </c>
      <c r="E51" s="148">
        <v>29953986.329999998</v>
      </c>
      <c r="F51" s="148">
        <v>169093458.72</v>
      </c>
      <c r="G51" s="148">
        <v>125014608.41</v>
      </c>
      <c r="H51" s="259">
        <v>66779143.979999997</v>
      </c>
      <c r="P51" s="10">
        <v>34577</v>
      </c>
      <c r="Q51">
        <v>1.109226</v>
      </c>
      <c r="S51" s="42">
        <f t="shared" ca="1" si="5"/>
        <v>45757</v>
      </c>
      <c r="T51" s="43">
        <f ca="1">_xll.BInterpol('Base CDI'!$H$4:$H$28,'Base CDI'!$J$4:$J$29,S51,"Cubic","Extrapolate=Linear","MultiX=Average","Skip=True","Sort=True")</f>
        <v>13.62197395062984</v>
      </c>
      <c r="U51" s="43">
        <f ca="1">_xll.BInterpol('Base CDI'!$H$4:$H$28,'Base CDI'!$I$4:$I$29,S51,"Cubic","Extrapolate=Linear","MultiX=Average","Skip=True","Sort=True")</f>
        <v>13.637049391878927</v>
      </c>
    </row>
    <row r="52" spans="1:21" ht="15.75" thickBot="1" x14ac:dyDescent="0.3">
      <c r="A52" s="258" t="s">
        <v>357</v>
      </c>
      <c r="B52" s="148">
        <v>245084409.52000001</v>
      </c>
      <c r="C52" s="148">
        <v>242541373.16999999</v>
      </c>
      <c r="D52" s="148">
        <v>240706075.31</v>
      </c>
      <c r="E52" s="148">
        <v>233070624.19</v>
      </c>
      <c r="F52" s="148" t="s">
        <v>165</v>
      </c>
      <c r="G52" s="148" t="s">
        <v>165</v>
      </c>
      <c r="H52" s="147" t="s">
        <v>165</v>
      </c>
      <c r="P52" s="10">
        <v>34578</v>
      </c>
      <c r="Q52">
        <v>1.1111930000000001</v>
      </c>
      <c r="S52" s="42">
        <f t="shared" ca="1" si="5"/>
        <v>45758</v>
      </c>
      <c r="T52" s="43">
        <f ca="1">_xll.BInterpol('Base CDI'!$H$4:$H$28,'Base CDI'!$J$4:$J$29,S52,"Cubic","Extrapolate=Linear","MultiX=Average","Skip=True","Sort=True")</f>
        <v>13.63263724813706</v>
      </c>
      <c r="U52" s="43">
        <f ca="1">_xll.BInterpol('Base CDI'!$H$4:$H$28,'Base CDI'!$I$4:$I$29,S52,"Cubic","Extrapolate=Linear","MultiX=Average","Skip=True","Sort=True")</f>
        <v>13.647834242368868</v>
      </c>
    </row>
    <row r="53" spans="1:21" ht="15.75" thickBot="1" x14ac:dyDescent="0.3">
      <c r="A53" s="258" t="s">
        <v>284</v>
      </c>
      <c r="B53" s="257">
        <v>195323108.12</v>
      </c>
      <c r="C53" s="148">
        <v>193266647.22</v>
      </c>
      <c r="D53" s="148">
        <v>191541119.13999999</v>
      </c>
      <c r="E53" s="148">
        <v>179475516.19</v>
      </c>
      <c r="F53" s="148">
        <v>2644779.37</v>
      </c>
      <c r="G53" s="148" t="s">
        <v>165</v>
      </c>
      <c r="H53" s="147" t="s">
        <v>165</v>
      </c>
      <c r="P53" s="10">
        <v>34579</v>
      </c>
      <c r="Q53">
        <v>1.1131409999999999</v>
      </c>
      <c r="S53" s="42">
        <f t="shared" ca="1" si="5"/>
        <v>45759</v>
      </c>
      <c r="T53" s="43">
        <f ca="1">_xll.BInterpol('Base CDI'!$H$4:$H$28,'Base CDI'!$J$4:$J$29,S53,"Cubic","Extrapolate=Linear","MultiX=Average","Skip=True","Sort=True")</f>
        <v>13.643265307992879</v>
      </c>
      <c r="U53" s="43">
        <f ca="1">_xll.BInterpol('Base CDI'!$H$4:$H$28,'Base CDI'!$I$4:$I$29,S53,"Cubic","Extrapolate=Linear","MultiX=Average","Skip=True","Sort=True")</f>
        <v>13.65858450557918</v>
      </c>
    </row>
    <row r="54" spans="1:21" ht="15.75" thickBot="1" x14ac:dyDescent="0.3">
      <c r="A54" s="258" t="s">
        <v>1150</v>
      </c>
      <c r="B54" s="148">
        <v>41191129.619999997</v>
      </c>
      <c r="C54" s="148">
        <v>40823255.700000003</v>
      </c>
      <c r="D54" s="148">
        <v>40376869.479999997</v>
      </c>
      <c r="E54" s="148" t="s">
        <v>165</v>
      </c>
      <c r="F54" s="257">
        <v>34765583.280000001</v>
      </c>
      <c r="G54" s="257">
        <v>30517860.170000002</v>
      </c>
      <c r="H54" s="259" t="s">
        <v>165</v>
      </c>
      <c r="P54" s="10">
        <v>34582</v>
      </c>
      <c r="Q54">
        <v>1.115119</v>
      </c>
      <c r="S54" s="42">
        <f t="shared" ca="1" si="5"/>
        <v>45760</v>
      </c>
      <c r="T54" s="43">
        <f ca="1">_xll.BInterpol('Base CDI'!$H$4:$H$28,'Base CDI'!$J$4:$J$29,S54,"Cubic","Extrapolate=Linear","MultiX=Average","Skip=True","Sort=True")</f>
        <v>13.65385460643216</v>
      </c>
      <c r="U54" s="43">
        <f ca="1">_xll.BInterpol('Base CDI'!$H$4:$H$28,'Base CDI'!$I$4:$I$29,S54,"Cubic","Extrapolate=Linear","MultiX=Average","Skip=True","Sort=True")</f>
        <v>13.669296722781896</v>
      </c>
    </row>
    <row r="55" spans="1:21" ht="15.75" thickBot="1" x14ac:dyDescent="0.3">
      <c r="A55" s="258" t="s">
        <v>793</v>
      </c>
      <c r="B55" s="148">
        <v>2230873.66</v>
      </c>
      <c r="C55" s="148">
        <v>1851755.96</v>
      </c>
      <c r="D55" s="148">
        <v>2004425.07</v>
      </c>
      <c r="E55" s="148">
        <v>3322808.08</v>
      </c>
      <c r="F55" s="148">
        <v>194194351.34999999</v>
      </c>
      <c r="G55" s="148">
        <v>170715381.36000001</v>
      </c>
      <c r="H55" s="259">
        <v>102266134</v>
      </c>
      <c r="I55" s="258"/>
      <c r="P55" s="10">
        <v>34583</v>
      </c>
      <c r="Q55">
        <v>1.117111</v>
      </c>
      <c r="S55" s="42">
        <f t="shared" ca="1" si="5"/>
        <v>45761</v>
      </c>
      <c r="T55" s="43">
        <f ca="1">_xll.BInterpol('Base CDI'!$H$4:$H$28,'Base CDI'!$J$4:$J$29,S55,"Cubic","Extrapolate=Linear","MultiX=Average","Skip=True","Sort=True")</f>
        <v>13.664401619689761</v>
      </c>
      <c r="U55" s="43">
        <f ca="1">_xll.BInterpol('Base CDI'!$H$4:$H$28,'Base CDI'!$I$4:$I$29,S55,"Cubic","Extrapolate=Linear","MultiX=Average","Skip=True","Sort=True")</f>
        <v>13.679967435249058</v>
      </c>
    </row>
    <row r="56" spans="1:21" ht="15.75" thickBot="1" x14ac:dyDescent="0.3">
      <c r="A56" s="258" t="s">
        <v>358</v>
      </c>
      <c r="B56" s="148">
        <v>37219130.039999999</v>
      </c>
      <c r="C56" s="148">
        <v>36807430.799999997</v>
      </c>
      <c r="D56" s="148">
        <v>36458545.670000002</v>
      </c>
      <c r="E56" s="148">
        <v>35819838.240000002</v>
      </c>
      <c r="F56" s="148">
        <v>14642270.310000001</v>
      </c>
      <c r="G56" s="148">
        <v>13058476.310000001</v>
      </c>
      <c r="H56" s="147" t="s">
        <v>165</v>
      </c>
      <c r="I56" s="258"/>
      <c r="P56" s="10">
        <v>34585</v>
      </c>
      <c r="Q56">
        <v>1.1191070000000001</v>
      </c>
      <c r="S56" s="42">
        <f t="shared" ca="1" si="5"/>
        <v>45762</v>
      </c>
      <c r="T56" s="43">
        <f ca="1">_xll.BInterpol('Base CDI'!$H$4:$H$28,'Base CDI'!$J$4:$J$29,S56,"Cubic","Extrapolate=Linear","MultiX=Average","Skip=True","Sort=True")</f>
        <v>13.674902824000544</v>
      </c>
      <c r="U56" s="43">
        <f ca="1">_xll.BInterpol('Base CDI'!$H$4:$H$28,'Base CDI'!$I$4:$I$29,S56,"Cubic","Extrapolate=Linear","MultiX=Average","Skip=True","Sort=True")</f>
        <v>13.6905931842527</v>
      </c>
    </row>
    <row r="57" spans="1:21" ht="15.75" thickBot="1" x14ac:dyDescent="0.3">
      <c r="A57" s="258" t="s">
        <v>299</v>
      </c>
      <c r="B57" s="148">
        <v>216905646.31999999</v>
      </c>
      <c r="C57" s="148">
        <v>214619475.94</v>
      </c>
      <c r="D57" s="148">
        <v>213110062.13</v>
      </c>
      <c r="E57" s="148">
        <v>206881015.56999999</v>
      </c>
      <c r="F57" s="257">
        <v>59087789.960000001</v>
      </c>
      <c r="G57" s="257">
        <v>87211844.329999998</v>
      </c>
      <c r="H57" s="259">
        <v>119586614.69</v>
      </c>
      <c r="I57" s="258"/>
      <c r="P57" s="10">
        <v>34586</v>
      </c>
      <c r="Q57">
        <v>1.1211139999999999</v>
      </c>
      <c r="S57" s="42">
        <f t="shared" ca="1" si="5"/>
        <v>45763</v>
      </c>
      <c r="T57" s="43">
        <f ca="1">_xll.BInterpol('Base CDI'!$H$4:$H$28,'Base CDI'!$J$4:$J$29,S57,"Cubic","Extrapolate=Linear","MultiX=Average","Skip=True","Sort=True")</f>
        <v>13.685354695599369</v>
      </c>
      <c r="U57" s="43">
        <f ca="1">_xll.BInterpol('Base CDI'!$H$4:$H$28,'Base CDI'!$I$4:$I$29,S57,"Cubic","Extrapolate=Linear","MultiX=Average","Skip=True","Sort=True")</f>
        <v>13.701170511064859</v>
      </c>
    </row>
    <row r="58" spans="1:21" ht="15.75" thickBot="1" x14ac:dyDescent="0.3">
      <c r="A58" s="258" t="s">
        <v>362</v>
      </c>
      <c r="B58" s="148">
        <v>601791.31999999995</v>
      </c>
      <c r="C58" s="148">
        <v>602183.6</v>
      </c>
      <c r="D58" s="148">
        <v>611946.78</v>
      </c>
      <c r="E58" s="148">
        <v>15354187.960000001</v>
      </c>
      <c r="F58" s="148">
        <v>30567224.629999999</v>
      </c>
      <c r="G58" s="148">
        <v>27460865.809999999</v>
      </c>
      <c r="H58" s="259">
        <v>24584695.640000001</v>
      </c>
      <c r="I58" s="258"/>
      <c r="P58" s="10">
        <v>34589</v>
      </c>
      <c r="Q58">
        <v>1.1231169999999999</v>
      </c>
      <c r="S58" s="42">
        <f t="shared" ca="1" si="5"/>
        <v>45764</v>
      </c>
      <c r="T58" s="43">
        <f ca="1">_xll.BInterpol('Base CDI'!$H$4:$H$28,'Base CDI'!$J$4:$J$29,S58,"Cubic","Extrapolate=Linear","MultiX=Average","Skip=True","Sort=True")</f>
        <v>13.695753710721092</v>
      </c>
      <c r="U58" s="43">
        <f ca="1">_xll.BInterpol('Base CDI'!$H$4:$H$28,'Base CDI'!$I$4:$I$29,S58,"Cubic","Extrapolate=Linear","MultiX=Average","Skip=True","Sort=True")</f>
        <v>13.711695956957573</v>
      </c>
    </row>
    <row r="59" spans="1:21" ht="15.75" thickBot="1" x14ac:dyDescent="0.3">
      <c r="A59" s="258" t="s">
        <v>109</v>
      </c>
      <c r="B59" s="148">
        <v>32305183.170000002</v>
      </c>
      <c r="C59" s="148">
        <v>32014130.539999999</v>
      </c>
      <c r="D59" s="148">
        <v>31866470.879999999</v>
      </c>
      <c r="E59" s="148">
        <v>30784833.190000001</v>
      </c>
      <c r="F59" s="148" t="s">
        <v>165</v>
      </c>
      <c r="G59" s="148" t="s">
        <v>165</v>
      </c>
      <c r="H59" s="147" t="s">
        <v>165</v>
      </c>
      <c r="I59" s="258"/>
      <c r="P59" s="10">
        <v>34590</v>
      </c>
      <c r="Q59">
        <v>1.125127</v>
      </c>
      <c r="S59" s="42">
        <f t="shared" ca="1" si="5"/>
        <v>45765</v>
      </c>
      <c r="T59" s="43">
        <f ca="1">_xll.BInterpol('Base CDI'!$H$4:$H$28,'Base CDI'!$J$4:$J$29,S59,"Cubic","Extrapolate=Linear","MultiX=Average","Skip=True","Sort=True")</f>
        <v>13.70609634560058</v>
      </c>
      <c r="U59" s="43">
        <f ca="1">_xll.BInterpol('Base CDI'!$H$4:$H$28,'Base CDI'!$I$4:$I$29,S59,"Cubic","Extrapolate=Linear","MultiX=Average","Skip=True","Sort=True")</f>
        <v>13.722166063202879</v>
      </c>
    </row>
    <row r="60" spans="1:21" ht="15.75" thickBot="1" x14ac:dyDescent="0.3">
      <c r="A60" s="258" t="s">
        <v>1076</v>
      </c>
      <c r="B60" s="148">
        <v>1849067.31</v>
      </c>
      <c r="C60" s="148">
        <v>1779591.23</v>
      </c>
      <c r="D60" s="148">
        <v>1767638.99</v>
      </c>
      <c r="E60" s="148">
        <v>32034090.350000001</v>
      </c>
      <c r="F60" s="257">
        <v>1658742000.72</v>
      </c>
      <c r="G60" s="257">
        <v>2165215445.6300001</v>
      </c>
      <c r="H60" s="259">
        <v>1659103098.1900001</v>
      </c>
      <c r="I60" s="258"/>
      <c r="P60" s="10">
        <v>34591</v>
      </c>
      <c r="Q60">
        <v>1.1271530000000001</v>
      </c>
      <c r="S60" s="42">
        <f t="shared" ca="1" si="5"/>
        <v>45766</v>
      </c>
      <c r="T60" s="43">
        <f ca="1">_xll.BInterpol('Base CDI'!$H$4:$H$28,'Base CDI'!$J$4:$J$29,S60,"Cubic","Extrapolate=Linear","MultiX=Average","Skip=True","Sort=True")</f>
        <v>13.716379076472688</v>
      </c>
      <c r="U60" s="43">
        <f ca="1">_xll.BInterpol('Base CDI'!$H$4:$H$28,'Base CDI'!$I$4:$I$29,S60,"Cubic","Extrapolate=Linear","MultiX=Average","Skip=True","Sort=True")</f>
        <v>13.732577371072814</v>
      </c>
    </row>
    <row r="61" spans="1:21" ht="15.75" thickBot="1" x14ac:dyDescent="0.3">
      <c r="A61" s="258" t="s">
        <v>1073</v>
      </c>
      <c r="B61" s="148">
        <v>31196621.34</v>
      </c>
      <c r="C61" s="148">
        <v>30905039.73</v>
      </c>
      <c r="D61" s="148">
        <v>30753866.719999999</v>
      </c>
      <c r="E61" s="148" t="s">
        <v>165</v>
      </c>
      <c r="P61" s="10">
        <v>34592</v>
      </c>
      <c r="Q61">
        <v>1.129189</v>
      </c>
      <c r="S61" s="42">
        <f t="shared" ca="1" si="5"/>
        <v>45767</v>
      </c>
      <c r="T61" s="43">
        <f ca="1">_xll.BInterpol('Base CDI'!$H$4:$H$28,'Base CDI'!$J$4:$J$29,S61,"Cubic","Extrapolate=Linear","MultiX=Average","Skip=True","Sort=True")</f>
        <v>13.726598379572279</v>
      </c>
      <c r="U61" s="43">
        <f ca="1">_xll.BInterpol('Base CDI'!$H$4:$H$28,'Base CDI'!$I$4:$I$29,S61,"Cubic","Extrapolate=Linear","MultiX=Average","Skip=True","Sort=True")</f>
        <v>13.742926421839416</v>
      </c>
    </row>
    <row r="62" spans="1:21" x14ac:dyDescent="0.25">
      <c r="A62" s="258" t="s">
        <v>159</v>
      </c>
      <c r="B62" s="148">
        <v>2115915062.8699999</v>
      </c>
      <c r="C62" s="148">
        <v>2112142488.3800001</v>
      </c>
      <c r="D62" s="148">
        <v>2109562477.3199999</v>
      </c>
      <c r="E62" s="148">
        <v>2062847205.3900001</v>
      </c>
      <c r="P62" s="10">
        <v>34593</v>
      </c>
      <c r="Q62">
        <v>1.1312219999999999</v>
      </c>
      <c r="S62" s="42">
        <f t="shared" ca="1" si="5"/>
        <v>45768</v>
      </c>
      <c r="T62" s="43">
        <f ca="1">_xll.BInterpol('Base CDI'!$H$4:$H$28,'Base CDI'!$J$4:$J$29,S62,"Cubic","Extrapolate=Linear","MultiX=Average","Skip=True","Sort=True")</f>
        <v>13.73675073113421</v>
      </c>
      <c r="U62" s="43">
        <f ca="1">_xll.BInterpol('Base CDI'!$H$4:$H$28,'Base CDI'!$I$4:$I$29,S62,"Cubic","Extrapolate=Linear","MultiX=Average","Skip=True","Sort=True")</f>
        <v>13.753209756774718</v>
      </c>
    </row>
    <row r="63" spans="1:21" x14ac:dyDescent="0.25">
      <c r="A63" t="s">
        <v>980</v>
      </c>
      <c r="B63" s="190"/>
      <c r="C63" s="190"/>
      <c r="D63" s="190"/>
      <c r="E63" s="190"/>
      <c r="P63" s="10">
        <v>34596</v>
      </c>
      <c r="Q63">
        <v>1.133254</v>
      </c>
      <c r="S63" s="42">
        <f t="shared" ca="1" si="5"/>
        <v>45769</v>
      </c>
      <c r="T63" s="43">
        <f ca="1">_xll.BInterpol('Base CDI'!$H$4:$H$28,'Base CDI'!$J$4:$J$29,S63,"Cubic","Extrapolate=Linear","MultiX=Average","Skip=True","Sort=True")</f>
        <v>13.746832607393344</v>
      </c>
      <c r="U63" s="43">
        <f ca="1">_xll.BInterpol('Base CDI'!$H$4:$H$28,'Base CDI'!$I$4:$I$29,S63,"Cubic","Extrapolate=Linear","MultiX=Average","Skip=True","Sort=True")</f>
        <v>13.76342391715076</v>
      </c>
    </row>
    <row r="64" spans="1:21" x14ac:dyDescent="0.25">
      <c r="P64" s="10">
        <v>34597</v>
      </c>
      <c r="Q64">
        <v>1.135286</v>
      </c>
      <c r="S64" s="42">
        <f t="shared" ca="1" si="5"/>
        <v>45770</v>
      </c>
      <c r="T64" s="43">
        <f ca="1">_xll.BInterpol('Base CDI'!$H$4:$H$28,'Base CDI'!$J$4:$J$29,S64,"Cubic","Extrapolate=Linear","MultiX=Average","Skip=True","Sort=True")</f>
        <v>13.75684048458454</v>
      </c>
      <c r="U64" s="43">
        <f ca="1">_xll.BInterpol('Base CDI'!$H$4:$H$28,'Base CDI'!$I$4:$I$29,S64,"Cubic","Extrapolate=Linear","MultiX=Average","Skip=True","Sort=True")</f>
        <v>13.77356544423958</v>
      </c>
    </row>
    <row r="65" spans="1:21" x14ac:dyDescent="0.25">
      <c r="A65" t="e">
        <f ca="1">- A cor e A seta determinam se o valor do patrimônio aumentou ou diminuiu em relação ao período dá coluna anterior.</f>
        <v>#NAME?</v>
      </c>
      <c r="P65" s="10">
        <v>34598</v>
      </c>
      <c r="Q65">
        <v>1.1373219999999999</v>
      </c>
      <c r="S65" s="42">
        <f t="shared" ca="1" si="5"/>
        <v>45771</v>
      </c>
      <c r="T65" s="43">
        <f ca="1">_xll.BInterpol('Base CDI'!$H$4:$H$28,'Base CDI'!$J$4:$J$29,S65,"Cubic","Extrapolate=Linear","MultiX=Average","Skip=True","Sort=True")</f>
        <v>13.766770838942657</v>
      </c>
      <c r="U65" s="43">
        <f ca="1">_xll.BInterpol('Base CDI'!$H$4:$H$28,'Base CDI'!$I$4:$I$29,S65,"Cubic","Extrapolate=Linear","MultiX=Average","Skip=True","Sort=True")</f>
        <v>13.783630879313213</v>
      </c>
    </row>
    <row r="66" spans="1:21" x14ac:dyDescent="0.25">
      <c r="P66" s="10">
        <v>34599</v>
      </c>
      <c r="Q66">
        <v>1.139362</v>
      </c>
      <c r="S66" s="42">
        <f t="shared" ca="1" si="5"/>
        <v>45772</v>
      </c>
      <c r="T66" s="43">
        <f ca="1">_xll.BInterpol('Base CDI'!$H$4:$H$28,'Base CDI'!$J$4:$J$29,S66,"Cubic","Extrapolate=Linear","MultiX=Average","Skip=True","Sort=True")</f>
        <v>13.776620146702557</v>
      </c>
      <c r="U66" s="43">
        <f ca="1">_xll.BInterpol('Base CDI'!$H$4:$H$28,'Base CDI'!$I$4:$I$29,S66,"Cubic","Extrapolate=Linear","MultiX=Average","Skip=True","Sort=True")</f>
        <v>13.793616763643696</v>
      </c>
    </row>
    <row r="67" spans="1:21" x14ac:dyDescent="0.25">
      <c r="P67" s="10">
        <v>34600</v>
      </c>
      <c r="Q67">
        <v>1.141405</v>
      </c>
      <c r="S67" s="42">
        <f t="shared" ca="1" si="5"/>
        <v>45773</v>
      </c>
      <c r="T67" s="43">
        <f ca="1">_xll.BInterpol('Base CDI'!$H$4:$H$28,'Base CDI'!$J$4:$J$29,S67,"Cubic","Extrapolate=Linear","MultiX=Average","Skip=True","Sort=True")</f>
        <v>13.786384884099098</v>
      </c>
      <c r="U67" s="43">
        <f ca="1">_xll.BInterpol('Base CDI'!$H$4:$H$28,'Base CDI'!$I$4:$I$29,S67,"Cubic","Extrapolate=Linear","MultiX=Average","Skip=True","Sort=True")</f>
        <v>13.803519638503067</v>
      </c>
    </row>
    <row r="68" spans="1:21" x14ac:dyDescent="0.25">
      <c r="P68" s="10">
        <v>34603</v>
      </c>
      <c r="Q68">
        <v>1.143448</v>
      </c>
      <c r="S68" s="42">
        <f t="shared" ca="1" si="5"/>
        <v>45774</v>
      </c>
      <c r="T68" s="43">
        <f ca="1">_xll.BInterpol('Base CDI'!$H$4:$H$28,'Base CDI'!$J$4:$J$29,S68,"Cubic","Extrapolate=Linear","MultiX=Average","Skip=True","Sort=True")</f>
        <v>13.796061527367142</v>
      </c>
      <c r="U68" s="43">
        <f ca="1">_xll.BInterpol('Base CDI'!$H$4:$H$28,'Base CDI'!$I$4:$I$29,S68,"Cubic","Extrapolate=Linear","MultiX=Average","Skip=True","Sort=True")</f>
        <v>13.813336045163362</v>
      </c>
    </row>
    <row r="69" spans="1:21" x14ac:dyDescent="0.25">
      <c r="P69" s="10">
        <v>34604</v>
      </c>
      <c r="Q69">
        <v>1.1454949999999999</v>
      </c>
      <c r="S69" s="42">
        <f t="shared" ca="1" si="5"/>
        <v>45775</v>
      </c>
      <c r="T69" s="43">
        <f ca="1">_xll.BInterpol('Base CDI'!$H$4:$H$28,'Base CDI'!$J$4:$J$29,S69,"Cubic","Extrapolate=Linear","MultiX=Average","Skip=True","Sort=True")</f>
        <v>13.805646552741548</v>
      </c>
      <c r="U69" s="43">
        <f ca="1">_xll.BInterpol('Base CDI'!$H$4:$H$28,'Base CDI'!$I$4:$I$29,S69,"Cubic","Extrapolate=Linear","MultiX=Average","Skip=True","Sort=True")</f>
        <v>13.823062524896619</v>
      </c>
    </row>
    <row r="70" spans="1:21" x14ac:dyDescent="0.25">
      <c r="P70" s="10">
        <v>34605</v>
      </c>
      <c r="Q70">
        <v>1.1475569999999999</v>
      </c>
      <c r="S70" s="42">
        <f t="shared" ca="1" si="5"/>
        <v>45776</v>
      </c>
      <c r="T70" s="43">
        <f ca="1">_xll.BInterpol('Base CDI'!$H$4:$H$28,'Base CDI'!$J$4:$J$29,S70,"Cubic","Extrapolate=Linear","MultiX=Average","Skip=True","Sort=True")</f>
        <v>13.815136436457177</v>
      </c>
      <c r="U70" s="43">
        <f ca="1">_xll.BInterpol('Base CDI'!$H$4:$H$28,'Base CDI'!$I$4:$I$29,S70,"Cubic","Extrapolate=Linear","MultiX=Average","Skip=True","Sort=True")</f>
        <v>13.832695618974874</v>
      </c>
    </row>
    <row r="71" spans="1:21" x14ac:dyDescent="0.25">
      <c r="P71" s="10">
        <v>34606</v>
      </c>
      <c r="Q71">
        <v>1.1496230000000001</v>
      </c>
      <c r="S71" s="42">
        <f t="shared" ca="1" si="5"/>
        <v>45777</v>
      </c>
      <c r="T71" s="43">
        <f ca="1">_xll.BInterpol('Base CDI'!$H$4:$H$28,'Base CDI'!$J$4:$J$29,S71,"Cubic","Extrapolate=Linear","MultiX=Average","Skip=True","Sort=True")</f>
        <v>13.82452765474889</v>
      </c>
      <c r="U71" s="43">
        <f ca="1">_xll.BInterpol('Base CDI'!$H$4:$H$28,'Base CDI'!$I$4:$I$29,S71,"Cubic","Extrapolate=Linear","MultiX=Average","Skip=True","Sort=True")</f>
        <v>13.842231868670165</v>
      </c>
    </row>
    <row r="72" spans="1:21" x14ac:dyDescent="0.25">
      <c r="P72" s="10">
        <v>34607</v>
      </c>
      <c r="Q72">
        <v>1.1516960000000001</v>
      </c>
      <c r="S72" s="42">
        <f t="shared" ca="1" si="5"/>
        <v>45778</v>
      </c>
      <c r="T72" s="43">
        <f ca="1">_xll.BInterpol('Base CDI'!$H$4:$H$28,'Base CDI'!$J$4:$J$29,S72,"Cubic","Extrapolate=Linear","MultiX=Average","Skip=True","Sort=True")</f>
        <v>13.833816683851543</v>
      </c>
      <c r="U72" s="43">
        <f ca="1">_xll.BInterpol('Base CDI'!$H$4:$H$28,'Base CDI'!$I$4:$I$29,S72,"Cubic","Extrapolate=Linear","MultiX=Average","Skip=True","Sort=True")</f>
        <v>13.851667815254528</v>
      </c>
    </row>
    <row r="73" spans="1:21" x14ac:dyDescent="0.25">
      <c r="P73" s="10">
        <v>34611</v>
      </c>
      <c r="Q73">
        <v>1.153934</v>
      </c>
      <c r="S73" s="42">
        <f t="shared" ca="1" si="5"/>
        <v>45779</v>
      </c>
      <c r="T73" s="43">
        <f ca="1">_xll.BInterpol('Base CDI'!$H$4:$H$28,'Base CDI'!$J$4:$J$29,S73,"Cubic","Extrapolate=Linear","MultiX=Average","Skip=True","Sort=True")</f>
        <v>13.843</v>
      </c>
      <c r="U73" s="43">
        <f ca="1">_xll.BInterpol('Base CDI'!$H$4:$H$28,'Base CDI'!$I$4:$I$29,S73,"Cubic","Extrapolate=Linear","MultiX=Average","Skip=True","Sort=True")</f>
        <v>13.861000000000001</v>
      </c>
    </row>
    <row r="74" spans="1:21" x14ac:dyDescent="0.25">
      <c r="P74" s="10">
        <v>34612</v>
      </c>
      <c r="Q74">
        <v>1.156096</v>
      </c>
      <c r="S74" s="42">
        <f t="shared" ca="1" si="5"/>
        <v>45780</v>
      </c>
      <c r="T74" s="43">
        <f ca="1">_xll.BInterpol('Base CDI'!$H$4:$H$28,'Base CDI'!$J$4:$J$29,S74,"Cubic","Extrapolate=Linear","MultiX=Average","Skip=True","Sort=True")</f>
        <v>13.852074883709374</v>
      </c>
      <c r="U74" s="43">
        <f ca="1">_xll.BInterpol('Base CDI'!$H$4:$H$28,'Base CDI'!$I$4:$I$29,S74,"Cubic","Extrapolate=Linear","MultiX=Average","Skip=True","Sort=True")</f>
        <v>13.870225750114601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45781</v>
      </c>
      <c r="T75" s="43">
        <f ca="1">_xll.BInterpol('Base CDI'!$H$4:$H$28,'Base CDI'!$J$4:$J$29,S75,"Cubic","Extrapolate=Linear","MultiX=Average","Skip=True","Sort=True")</f>
        <v>13.861041832615793</v>
      </c>
      <c r="U75" s="43">
        <f ca="1">_xll.BInterpol('Base CDI'!$H$4:$H$28,'Base CDI'!$I$4:$I$29,S75,"Cubic","Extrapolate=Linear","MultiX=Average","Skip=True","Sort=True")</f>
        <v>13.879345536550273</v>
      </c>
    </row>
    <row r="76" spans="1:21" x14ac:dyDescent="0.25">
      <c r="P76" s="10">
        <v>34614</v>
      </c>
      <c r="Q76">
        <v>1.1604699999999999</v>
      </c>
      <c r="S76" s="42">
        <f t="shared" ca="1" si="6"/>
        <v>45782</v>
      </c>
      <c r="T76" s="43">
        <f ca="1">_xll.BInterpol('Base CDI'!$H$4:$H$28,'Base CDI'!$J$4:$J$29,S76,"Cubic","Extrapolate=Linear","MultiX=Average","Skip=True","Sort=True")</f>
        <v>13.869902148635646</v>
      </c>
      <c r="U76" s="43">
        <f ca="1">_xll.BInterpol('Base CDI'!$H$4:$H$28,'Base CDI'!$I$4:$I$29,S76,"Cubic","Extrapolate=Linear","MultiX=Average","Skip=True","Sort=True")</f>
        <v>13.888360616194944</v>
      </c>
    </row>
    <row r="77" spans="1:21" x14ac:dyDescent="0.25">
      <c r="P77" s="10">
        <v>34617</v>
      </c>
      <c r="Q77">
        <v>1.162663</v>
      </c>
      <c r="S77" s="42">
        <f t="shared" ca="1" si="6"/>
        <v>45783</v>
      </c>
      <c r="T77" s="43">
        <f ca="1">_xll.BInterpol('Base CDI'!$H$4:$H$28,'Base CDI'!$J$4:$J$29,S77,"Cubic","Extrapolate=Linear","MultiX=Average","Skip=True","Sort=True")</f>
        <v>13.878657133685312</v>
      </c>
      <c r="U77" s="43">
        <f ca="1">_xll.BInterpol('Base CDI'!$H$4:$H$28,'Base CDI'!$I$4:$I$29,S77,"Cubic","Extrapolate=Linear","MultiX=Average","Skip=True","Sort=True")</f>
        <v>13.897272245936541</v>
      </c>
    </row>
    <row r="78" spans="1:21" x14ac:dyDescent="0.25">
      <c r="P78" s="10">
        <v>34618</v>
      </c>
      <c r="Q78">
        <v>1.164849</v>
      </c>
      <c r="S78" s="42">
        <f t="shared" ca="1" si="6"/>
        <v>45784</v>
      </c>
      <c r="T78" s="43">
        <f ca="1">_xll.BInterpol('Base CDI'!$H$4:$H$28,'Base CDI'!$J$4:$J$29,S78,"Cubic","Extrapolate=Linear","MultiX=Average","Skip=True","Sort=True")</f>
        <v>13.887308089681179</v>
      </c>
      <c r="U78" s="43">
        <f ca="1">_xll.BInterpol('Base CDI'!$H$4:$H$28,'Base CDI'!$I$4:$I$29,S78,"Cubic","Extrapolate=Linear","MultiX=Average","Skip=True","Sort=True")</f>
        <v>13.906081682662986</v>
      </c>
    </row>
    <row r="79" spans="1:21" x14ac:dyDescent="0.25">
      <c r="P79" s="10">
        <v>34620</v>
      </c>
      <c r="Q79">
        <v>1.1670389999999999</v>
      </c>
      <c r="S79" s="42">
        <f t="shared" ca="1" si="6"/>
        <v>45785</v>
      </c>
      <c r="T79" s="43">
        <f ca="1">_xll.BInterpol('Base CDI'!$H$4:$H$28,'Base CDI'!$J$4:$J$29,S79,"Cubic","Extrapolate=Linear","MultiX=Average","Skip=True","Sort=True")</f>
        <v>13.895856318539629</v>
      </c>
      <c r="U79" s="43">
        <f ca="1">_xll.BInterpol('Base CDI'!$H$4:$H$28,'Base CDI'!$I$4:$I$29,S79,"Cubic","Extrapolate=Linear","MultiX=Average","Skip=True","Sort=True")</f>
        <v>13.914790183262207</v>
      </c>
    </row>
    <row r="80" spans="1:21" x14ac:dyDescent="0.25">
      <c r="P80" s="10">
        <v>34621</v>
      </c>
      <c r="Q80">
        <v>1.1692370000000001</v>
      </c>
      <c r="S80" s="42">
        <f t="shared" ca="1" si="6"/>
        <v>45786</v>
      </c>
      <c r="T80" s="43">
        <f ca="1">_xll.BInterpol('Base CDI'!$H$4:$H$28,'Base CDI'!$J$4:$J$29,S80,"Cubic","Extrapolate=Linear","MultiX=Average","Skip=True","Sort=True")</f>
        <v>13.904303122177046</v>
      </c>
      <c r="U80" s="43">
        <f ca="1">_xll.BInterpol('Base CDI'!$H$4:$H$28,'Base CDI'!$I$4:$I$29,S80,"Cubic","Extrapolate=Linear","MultiX=Average","Skip=True","Sort=True")</f>
        <v>13.923399004622132</v>
      </c>
    </row>
    <row r="81" spans="16:21" x14ac:dyDescent="0.25">
      <c r="P81" s="10">
        <v>34624</v>
      </c>
      <c r="Q81">
        <v>1.1714389999999999</v>
      </c>
      <c r="S81" s="42">
        <f t="shared" ca="1" si="6"/>
        <v>45787</v>
      </c>
      <c r="T81" s="43">
        <f ca="1">_xll.BInterpol('Base CDI'!$H$4:$H$28,'Base CDI'!$J$4:$J$29,S81,"Cubic","Extrapolate=Linear","MultiX=Average","Skip=True","Sort=True")</f>
        <v>13.912649802509815</v>
      </c>
      <c r="U81" s="43">
        <f ca="1">_xll.BInterpol('Base CDI'!$H$4:$H$28,'Base CDI'!$I$4:$I$29,S81,"Cubic","Extrapolate=Linear","MultiX=Average","Skip=True","Sort=True")</f>
        <v>13.931909403630684</v>
      </c>
    </row>
    <row r="82" spans="16:21" x14ac:dyDescent="0.25">
      <c r="P82" s="10">
        <v>34625</v>
      </c>
      <c r="Q82">
        <v>1.1736409999999999</v>
      </c>
      <c r="S82" s="42">
        <f t="shared" ca="1" si="6"/>
        <v>45788</v>
      </c>
      <c r="T82" s="43">
        <f ca="1">_xll.BInterpol('Base CDI'!$H$4:$H$28,'Base CDI'!$J$4:$J$29,S82,"Cubic","Extrapolate=Linear","MultiX=Average","Skip=True","Sort=True")</f>
        <v>13.920897661454319</v>
      </c>
      <c r="U82" s="43">
        <f ca="1">_xll.BInterpol('Base CDI'!$H$4:$H$28,'Base CDI'!$I$4:$I$29,S82,"Cubic","Extrapolate=Linear","MultiX=Average","Skip=True","Sort=True")</f>
        <v>13.94032263717579</v>
      </c>
    </row>
    <row r="83" spans="16:21" x14ac:dyDescent="0.25">
      <c r="P83" s="10">
        <v>34626</v>
      </c>
      <c r="Q83">
        <v>1.1758470000000001</v>
      </c>
      <c r="S83" s="42">
        <f t="shared" ca="1" si="6"/>
        <v>45789</v>
      </c>
      <c r="T83" s="43">
        <f ca="1">_xll.BInterpol('Base CDI'!$H$4:$H$28,'Base CDI'!$J$4:$J$29,S83,"Cubic","Extrapolate=Linear","MultiX=Average","Skip=True","Sort=True")</f>
        <v>13.929048000926944</v>
      </c>
      <c r="U83" s="43">
        <f ca="1">_xll.BInterpol('Base CDI'!$H$4:$H$28,'Base CDI'!$I$4:$I$29,S83,"Cubic","Extrapolate=Linear","MultiX=Average","Skip=True","Sort=True")</f>
        <v>13.948639962145375</v>
      </c>
    </row>
    <row r="84" spans="16:21" x14ac:dyDescent="0.25">
      <c r="P84" s="10">
        <v>34627</v>
      </c>
      <c r="Q84">
        <v>1.1780619999999999</v>
      </c>
      <c r="S84" s="42">
        <f t="shared" ca="1" si="6"/>
        <v>45790</v>
      </c>
      <c r="T84" s="43">
        <f ca="1">_xll.BInterpol('Base CDI'!$H$4:$H$28,'Base CDI'!$J$4:$J$29,S84,"Cubic","Extrapolate=Linear","MultiX=Average","Skip=True","Sort=True")</f>
        <v>13.937102122844072</v>
      </c>
      <c r="U84" s="43">
        <f ca="1">_xll.BInterpol('Base CDI'!$H$4:$H$28,'Base CDI'!$I$4:$I$29,S84,"Cubic","Extrapolate=Linear","MultiX=Average","Skip=True","Sort=True")</f>
        <v>13.956862635427367</v>
      </c>
    </row>
    <row r="85" spans="16:21" x14ac:dyDescent="0.25">
      <c r="P85" s="10">
        <v>34628</v>
      </c>
      <c r="Q85">
        <v>1.1802809999999999</v>
      </c>
      <c r="S85" s="42">
        <f t="shared" ca="1" si="6"/>
        <v>45791</v>
      </c>
      <c r="T85" s="43">
        <f ca="1">_xll.BInterpol('Base CDI'!$H$4:$H$28,'Base CDI'!$J$4:$J$29,S85,"Cubic","Extrapolate=Linear","MultiX=Average","Skip=True","Sort=True")</f>
        <v>13.945061329122089</v>
      </c>
      <c r="U85" s="43">
        <f ca="1">_xll.BInterpol('Base CDI'!$H$4:$H$28,'Base CDI'!$I$4:$I$29,S85,"Cubic","Extrapolate=Linear","MultiX=Average","Skip=True","Sort=True")</f>
        <v>13.964991913909691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45792</v>
      </c>
      <c r="T86" s="43">
        <f ca="1">_xll.BInterpol('Base CDI'!$H$4:$H$28,'Base CDI'!$J$4:$J$29,S86,"Cubic","Extrapolate=Linear","MultiX=Average","Skip=True","Sort=True")</f>
        <v>13.952926921677378</v>
      </c>
      <c r="U86" s="43">
        <f ca="1">_xll.BInterpol('Base CDI'!$H$4:$H$28,'Base CDI'!$I$4:$I$29,S86,"Cubic","Extrapolate=Linear","MultiX=Average","Skip=True","Sort=True")</f>
        <v>13.973029054480271</v>
      </c>
    </row>
    <row r="87" spans="16:21" x14ac:dyDescent="0.25">
      <c r="P87" s="10">
        <v>34632</v>
      </c>
      <c r="Q87">
        <v>1.184734</v>
      </c>
      <c r="S87" s="42">
        <f t="shared" ca="1" si="6"/>
        <v>45793</v>
      </c>
      <c r="T87" s="43">
        <f ca="1">_xll.BInterpol('Base CDI'!$H$4:$H$28,'Base CDI'!$J$4:$J$29,S87,"Cubic","Extrapolate=Linear","MultiX=Average","Skip=True","Sort=True")</f>
        <v>13.960700202426322</v>
      </c>
      <c r="U87" s="43">
        <f ca="1">_xll.BInterpol('Base CDI'!$H$4:$H$28,'Base CDI'!$I$4:$I$29,S87,"Cubic","Extrapolate=Linear","MultiX=Average","Skip=True","Sort=True")</f>
        <v>13.980975314027036</v>
      </c>
    </row>
    <row r="88" spans="16:21" x14ac:dyDescent="0.25">
      <c r="P88" s="10">
        <v>34633</v>
      </c>
      <c r="Q88">
        <v>1.1869700000000001</v>
      </c>
      <c r="S88" s="42">
        <f t="shared" ca="1" si="6"/>
        <v>45794</v>
      </c>
      <c r="T88" s="43">
        <f ca="1">_xll.BInterpol('Base CDI'!$H$4:$H$28,'Base CDI'!$J$4:$J$29,S88,"Cubic","Extrapolate=Linear","MultiX=Average","Skip=True","Sort=True")</f>
        <v>13.968382473285308</v>
      </c>
      <c r="U88" s="43">
        <f ca="1">_xll.BInterpol('Base CDI'!$H$4:$H$28,'Base CDI'!$I$4:$I$29,S88,"Cubic","Extrapolate=Linear","MultiX=Average","Skip=True","Sort=True")</f>
        <v>13.988831949437911</v>
      </c>
    </row>
    <row r="89" spans="16:21" x14ac:dyDescent="0.25">
      <c r="P89" s="10">
        <v>34634</v>
      </c>
      <c r="Q89">
        <v>1.189209</v>
      </c>
      <c r="S89" s="42">
        <f t="shared" ca="1" si="6"/>
        <v>45795</v>
      </c>
      <c r="T89" s="43">
        <f ca="1">_xll.BInterpol('Base CDI'!$H$4:$H$28,'Base CDI'!$J$4:$J$29,S89,"Cubic","Extrapolate=Linear","MultiX=Average","Skip=True","Sort=True")</f>
        <v>13.975975036170718</v>
      </c>
      <c r="U89" s="43">
        <f ca="1">_xll.BInterpol('Base CDI'!$H$4:$H$28,'Base CDI'!$I$4:$I$29,S89,"Cubic","Extrapolate=Linear","MultiX=Average","Skip=True","Sort=True")</f>
        <v>13.99660021760082</v>
      </c>
    </row>
    <row r="90" spans="16:21" x14ac:dyDescent="0.25">
      <c r="P90" s="10">
        <v>34635</v>
      </c>
      <c r="Q90">
        <v>1.191457</v>
      </c>
      <c r="S90" s="42">
        <f t="shared" ca="1" si="6"/>
        <v>45796</v>
      </c>
      <c r="T90" s="43">
        <f ca="1">_xll.BInterpol('Base CDI'!$H$4:$H$28,'Base CDI'!$J$4:$J$29,S90,"Cubic","Extrapolate=Linear","MultiX=Average","Skip=True","Sort=True")</f>
        <v>13.983479192998937</v>
      </c>
      <c r="U90" s="43">
        <f ca="1">_xll.BInterpol('Base CDI'!$H$4:$H$28,'Base CDI'!$I$4:$I$29,S90,"Cubic","Extrapolate=Linear","MultiX=Average","Skip=True","Sort=True")</f>
        <v>14.004281375403693</v>
      </c>
    </row>
    <row r="91" spans="16:21" x14ac:dyDescent="0.25">
      <c r="P91" s="10">
        <v>34638</v>
      </c>
      <c r="Q91">
        <v>1.193705</v>
      </c>
      <c r="S91" s="42">
        <f t="shared" ca="1" si="6"/>
        <v>45797</v>
      </c>
      <c r="T91" s="43">
        <f ca="1">_xll.BInterpol('Base CDI'!$H$4:$H$28,'Base CDI'!$J$4:$J$29,S91,"Cubic","Extrapolate=Linear","MultiX=Average","Skip=True","Sort=True")</f>
        <v>13.990896245686349</v>
      </c>
      <c r="U91" s="43">
        <f ca="1">_xll.BInterpol('Base CDI'!$H$4:$H$28,'Base CDI'!$I$4:$I$29,S91,"Cubic","Extrapolate=Linear","MultiX=Average","Skip=True","Sort=True")</f>
        <v>14.011876679734451</v>
      </c>
    </row>
    <row r="92" spans="16:21" x14ac:dyDescent="0.25">
      <c r="P92" s="10">
        <v>34639</v>
      </c>
      <c r="Q92">
        <v>1.1961079999999999</v>
      </c>
      <c r="S92" s="42">
        <f t="shared" ca="1" si="6"/>
        <v>45798</v>
      </c>
      <c r="T92" s="43">
        <f ca="1">_xll.BInterpol('Base CDI'!$H$4:$H$28,'Base CDI'!$J$4:$J$29,S92,"Cubic","Extrapolate=Linear","MultiX=Average","Skip=True","Sort=True")</f>
        <v>13.998227496149337</v>
      </c>
      <c r="U92" s="43">
        <f ca="1">_xll.BInterpol('Base CDI'!$H$4:$H$28,'Base CDI'!$I$4:$I$29,S92,"Cubic","Extrapolate=Linear","MultiX=Average","Skip=True","Sort=True")</f>
        <v>14.019387387481025</v>
      </c>
    </row>
    <row r="93" spans="16:21" x14ac:dyDescent="0.25">
      <c r="P93" s="10">
        <v>34641</v>
      </c>
      <c r="Q93">
        <v>1.198528</v>
      </c>
      <c r="S93" s="42">
        <f t="shared" ca="1" si="6"/>
        <v>45799</v>
      </c>
      <c r="T93" s="43">
        <f ca="1">_xll.BInterpol('Base CDI'!$H$4:$H$28,'Base CDI'!$J$4:$J$29,S93,"Cubic","Extrapolate=Linear","MultiX=Average","Skip=True","Sort=True")</f>
        <v>14.005474246304287</v>
      </c>
      <c r="U93" s="43">
        <f ca="1">_xll.BInterpol('Base CDI'!$H$4:$H$28,'Base CDI'!$I$4:$I$29,S93,"Cubic","Extrapolate=Linear","MultiX=Average","Skip=True","Sort=True")</f>
        <v>14.026814755531337</v>
      </c>
    </row>
    <row r="94" spans="16:21" x14ac:dyDescent="0.25">
      <c r="P94" s="10">
        <v>34642</v>
      </c>
      <c r="Q94">
        <v>1.2009529999999999</v>
      </c>
      <c r="S94" s="42">
        <f t="shared" ca="1" si="6"/>
        <v>45800</v>
      </c>
      <c r="T94" s="43">
        <f ca="1">_xll.BInterpol('Base CDI'!$H$4:$H$28,'Base CDI'!$J$4:$J$29,S94,"Cubic","Extrapolate=Linear","MultiX=Average","Skip=True","Sort=True")</f>
        <v>14.012637798067582</v>
      </c>
      <c r="U94" s="43">
        <f ca="1">_xll.BInterpol('Base CDI'!$H$4:$H$28,'Base CDI'!$I$4:$I$29,S94,"Cubic","Extrapolate=Linear","MultiX=Average","Skip=True","Sort=True")</f>
        <v>14.034160040773314</v>
      </c>
    </row>
    <row r="95" spans="16:21" x14ac:dyDescent="0.25">
      <c r="P95" s="10">
        <v>34645</v>
      </c>
      <c r="Q95">
        <v>1.203387</v>
      </c>
      <c r="S95" s="42">
        <f t="shared" ca="1" si="6"/>
        <v>45801</v>
      </c>
      <c r="T95" s="43">
        <f ca="1">_xll.BInterpol('Base CDI'!$H$4:$H$28,'Base CDI'!$J$4:$J$29,S95,"Cubic","Extrapolate=Linear","MultiX=Average","Skip=True","Sort=True")</f>
        <v>14.019719453355606</v>
      </c>
      <c r="U95" s="43">
        <f ca="1">_xll.BInterpol('Base CDI'!$H$4:$H$28,'Base CDI'!$I$4:$I$29,S95,"Cubic","Extrapolate=Linear","MultiX=Average","Skip=True","Sort=True")</f>
        <v>14.041424500094882</v>
      </c>
    </row>
    <row r="96" spans="16:21" x14ac:dyDescent="0.25">
      <c r="P96" s="10">
        <v>34646</v>
      </c>
      <c r="Q96">
        <v>1.205838</v>
      </c>
      <c r="S96" s="42">
        <f t="shared" ca="1" si="6"/>
        <v>45802</v>
      </c>
      <c r="T96" s="43">
        <f ca="1">_xll.BInterpol('Base CDI'!$H$4:$H$28,'Base CDI'!$J$4:$J$29,S96,"Cubic","Extrapolate=Linear","MultiX=Average","Skip=True","Sort=True")</f>
        <v>14.026720514084742</v>
      </c>
      <c r="U96" s="43">
        <f ca="1">_xll.BInterpol('Base CDI'!$H$4:$H$28,'Base CDI'!$I$4:$I$29,S96,"Cubic","Extrapolate=Linear","MultiX=Average","Skip=True","Sort=True")</f>
        <v>14.048609390383968</v>
      </c>
    </row>
    <row r="97" spans="16:21" x14ac:dyDescent="0.25">
      <c r="P97" s="10">
        <v>34647</v>
      </c>
      <c r="Q97">
        <v>1.2082980000000001</v>
      </c>
      <c r="S97" s="42">
        <f t="shared" ca="1" si="6"/>
        <v>45803</v>
      </c>
      <c r="T97" s="43">
        <f ca="1">_xll.BInterpol('Base CDI'!$H$4:$H$28,'Base CDI'!$J$4:$J$29,S97,"Cubic","Extrapolate=Linear","MultiX=Average","Skip=True","Sort=True")</f>
        <v>14.033642282171378</v>
      </c>
      <c r="U97" s="43">
        <f ca="1">_xll.BInterpol('Base CDI'!$H$4:$H$28,'Base CDI'!$I$4:$I$29,S97,"Cubic","Extrapolate=Linear","MultiX=Average","Skip=True","Sort=True")</f>
        <v>14.055715968528498</v>
      </c>
    </row>
    <row r="98" spans="16:21" x14ac:dyDescent="0.25">
      <c r="P98" s="10">
        <v>34648</v>
      </c>
      <c r="Q98">
        <v>1.2107669999999999</v>
      </c>
      <c r="S98" s="42">
        <f t="shared" ca="1" si="6"/>
        <v>45804</v>
      </c>
      <c r="T98" s="43">
        <f ca="1">_xll.BInterpol('Base CDI'!$H$4:$H$28,'Base CDI'!$J$4:$J$29,S98,"Cubic","Extrapolate=Linear","MultiX=Average","Skip=True","Sort=True")</f>
        <v>14.040486059531894</v>
      </c>
      <c r="U98" s="43">
        <f ca="1">_xll.BInterpol('Base CDI'!$H$4:$H$28,'Base CDI'!$I$4:$I$29,S98,"Cubic","Extrapolate=Linear","MultiX=Average","Skip=True","Sort=True")</f>
        <v>14.062745491416395</v>
      </c>
    </row>
    <row r="99" spans="16:21" x14ac:dyDescent="0.25">
      <c r="P99" s="10">
        <v>34649</v>
      </c>
      <c r="Q99">
        <v>1.2132369999999999</v>
      </c>
      <c r="S99" s="42">
        <f t="shared" ca="1" si="6"/>
        <v>45805</v>
      </c>
      <c r="T99" s="43">
        <f ca="1">_xll.BInterpol('Base CDI'!$H$4:$H$28,'Base CDI'!$J$4:$J$29,S99,"Cubic","Extrapolate=Linear","MultiX=Average","Skip=True","Sort=True")</f>
        <v>14.047253148082676</v>
      </c>
      <c r="U99" s="43">
        <f ca="1">_xll.BInterpol('Base CDI'!$H$4:$H$28,'Base CDI'!$I$4:$I$29,S99,"Cubic","Extrapolate=Linear","MultiX=Average","Skip=True","Sort=True")</f>
        <v>14.069699215935589</v>
      </c>
    </row>
    <row r="100" spans="16:21" x14ac:dyDescent="0.25">
      <c r="P100" s="10">
        <v>34652</v>
      </c>
      <c r="Q100">
        <v>1.2157</v>
      </c>
      <c r="S100" s="42">
        <f t="shared" ca="1" si="6"/>
        <v>45806</v>
      </c>
      <c r="T100" s="43">
        <f ca="1">_xll.BInterpol('Base CDI'!$H$4:$H$28,'Base CDI'!$J$4:$J$29,S100,"Cubic","Extrapolate=Linear","MultiX=Average","Skip=True","Sort=True")</f>
        <v>14.053944849740109</v>
      </c>
      <c r="U100" s="43">
        <f ca="1">_xll.BInterpol('Base CDI'!$H$4:$H$28,'Base CDI'!$I$4:$I$29,S100,"Cubic","Extrapolate=Linear","MultiX=Average","Skip=True","Sort=True")</f>
        <v>14.076578398974004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45807</v>
      </c>
      <c r="T101" s="43">
        <f ca="1">_xll.BInterpol('Base CDI'!$H$4:$H$28,'Base CDI'!$J$4:$J$29,S101,"Cubic","Extrapolate=Linear","MultiX=Average","Skip=True","Sort=True")</f>
        <v>14.060562466420576</v>
      </c>
      <c r="U101" s="43">
        <f ca="1">_xll.BInterpol('Base CDI'!$H$4:$H$28,'Base CDI'!$I$4:$I$29,S101,"Cubic","Extrapolate=Linear","MultiX=Average","Skip=True","Sort=True")</f>
        <v>14.083384297419565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45808</v>
      </c>
      <c r="T102" s="43">
        <f ca="1">_xll.BInterpol('Base CDI'!$H$4:$H$28,'Base CDI'!$J$4:$J$29,S102,"Cubic","Extrapolate=Linear","MultiX=Average","Skip=True","Sort=True")</f>
        <v>14.06710730004046</v>
      </c>
      <c r="U102" s="43">
        <f ca="1">_xll.BInterpol('Base CDI'!$H$4:$H$28,'Base CDI'!$I$4:$I$29,S102,"Cubic","Extrapolate=Linear","MultiX=Average","Skip=True","Sort=True")</f>
        <v>14.090118168160199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45809</v>
      </c>
      <c r="T103" s="43">
        <f ca="1">_xll.BInterpol('Base CDI'!$H$4:$H$28,'Base CDI'!$J$4:$J$29,S103,"Cubic","Extrapolate=Linear","MultiX=Average","Skip=True","Sort=True")</f>
        <v>14.073580652516146</v>
      </c>
      <c r="U103" s="43">
        <f ca="1">_xll.BInterpol('Base CDI'!$H$4:$H$28,'Base CDI'!$I$4:$I$29,S103,"Cubic","Extrapolate=Linear","MultiX=Average","Skip=True","Sort=True")</f>
        <v>14.096781268083832</v>
      </c>
    </row>
    <row r="104" spans="16:21" x14ac:dyDescent="0.25">
      <c r="P104" s="10">
        <v>34659</v>
      </c>
      <c r="Q104">
        <v>1.225597</v>
      </c>
      <c r="S104" s="42">
        <f t="shared" ca="1" si="6"/>
        <v>45810</v>
      </c>
      <c r="T104" s="43">
        <f ca="1">_xll.BInterpol('Base CDI'!$H$4:$H$28,'Base CDI'!$J$4:$J$29,S104,"Cubic","Extrapolate=Linear","MultiX=Average","Skip=True","Sort=True")</f>
        <v>14.079983825764019</v>
      </c>
      <c r="U104" s="43">
        <f ca="1">_xll.BInterpol('Base CDI'!$H$4:$H$28,'Base CDI'!$I$4:$I$29,S104,"Cubic","Extrapolate=Linear","MultiX=Average","Skip=True","Sort=True")</f>
        <v>14.103374854078391</v>
      </c>
    </row>
    <row r="105" spans="16:21" x14ac:dyDescent="0.25">
      <c r="P105" s="10">
        <v>34660</v>
      </c>
      <c r="Q105">
        <v>1.228081</v>
      </c>
      <c r="S105" s="42">
        <f t="shared" ca="1" si="6"/>
        <v>45811</v>
      </c>
      <c r="T105" s="43">
        <f ca="1">_xll.BInterpol('Base CDI'!$H$4:$H$28,'Base CDI'!$J$4:$J$29,S105,"Cubic","Extrapolate=Linear","MultiX=Average","Skip=True","Sort=True")</f>
        <v>14.086318121700463</v>
      </c>
      <c r="U105" s="43">
        <f ca="1">_xll.BInterpol('Base CDI'!$H$4:$H$28,'Base CDI'!$I$4:$I$29,S105,"Cubic","Extrapolate=Linear","MultiX=Average","Skip=True","Sort=True")</f>
        <v>14.109900183031799</v>
      </c>
    </row>
    <row r="106" spans="16:21" x14ac:dyDescent="0.25">
      <c r="P106" s="10">
        <v>34661</v>
      </c>
      <c r="Q106">
        <v>1.230566</v>
      </c>
      <c r="S106" s="42">
        <f t="shared" ca="1" si="6"/>
        <v>45812</v>
      </c>
      <c r="T106" s="43">
        <f ca="1">_xll.BInterpol('Base CDI'!$H$4:$H$28,'Base CDI'!$J$4:$J$29,S106,"Cubic","Extrapolate=Linear","MultiX=Average","Skip=True","Sort=True")</f>
        <v>14.092584842241861</v>
      </c>
      <c r="U106" s="43">
        <f ca="1">_xll.BInterpol('Base CDI'!$H$4:$H$28,'Base CDI'!$I$4:$I$29,S106,"Cubic","Extrapolate=Linear","MultiX=Average","Skip=True","Sort=True")</f>
        <v>14.116358511831985</v>
      </c>
    </row>
    <row r="107" spans="16:21" x14ac:dyDescent="0.25">
      <c r="P107" s="10">
        <v>34662</v>
      </c>
      <c r="Q107">
        <v>1.233052</v>
      </c>
      <c r="S107" s="42">
        <f t="shared" ca="1" si="6"/>
        <v>45813</v>
      </c>
      <c r="T107" s="43">
        <f ca="1">_xll.BInterpol('Base CDI'!$H$4:$H$28,'Base CDI'!$J$4:$J$29,S107,"Cubic","Extrapolate=Linear","MultiX=Average","Skip=True","Sort=True")</f>
        <v>14.098785289304598</v>
      </c>
      <c r="U107" s="43">
        <f ca="1">_xll.BInterpol('Base CDI'!$H$4:$H$28,'Base CDI'!$I$4:$I$29,S107,"Cubic","Extrapolate=Linear","MultiX=Average","Skip=True","Sort=True")</f>
        <v>14.122751097366873</v>
      </c>
    </row>
    <row r="108" spans="16:21" x14ac:dyDescent="0.25">
      <c r="P108" s="10">
        <v>34663</v>
      </c>
      <c r="Q108">
        <v>1.235538</v>
      </c>
      <c r="S108" s="42">
        <f t="shared" ca="1" si="6"/>
        <v>45814</v>
      </c>
      <c r="T108" s="43">
        <f ca="1">_xll.BInterpol('Base CDI'!$H$4:$H$28,'Base CDI'!$J$4:$J$29,S108,"Cubic","Extrapolate=Linear","MultiX=Average","Skip=True","Sort=True")</f>
        <v>14.104920764805057</v>
      </c>
      <c r="U108" s="43">
        <f ca="1">_xll.BInterpol('Base CDI'!$H$4:$H$28,'Base CDI'!$I$4:$I$29,S108,"Cubic","Extrapolate=Linear","MultiX=Average","Skip=True","Sort=True")</f>
        <v>14.129079196524389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45815</v>
      </c>
      <c r="T109" s="43">
        <f ca="1">_xll.BInterpol('Base CDI'!$H$4:$H$28,'Base CDI'!$J$4:$J$29,S109,"Cubic","Extrapolate=Linear","MultiX=Average","Skip=True","Sort=True")</f>
        <v>14.110992570659624</v>
      </c>
      <c r="U109" s="43">
        <f ca="1">_xll.BInterpol('Base CDI'!$H$4:$H$28,'Base CDI'!$I$4:$I$29,S109,"Cubic","Extrapolate=Linear","MultiX=Average","Skip=True","Sort=True")</f>
        <v>14.135344066192459</v>
      </c>
    </row>
    <row r="110" spans="16:21" x14ac:dyDescent="0.25">
      <c r="P110" s="10">
        <v>34667</v>
      </c>
      <c r="Q110">
        <v>1.240518</v>
      </c>
      <c r="S110" s="42">
        <f t="shared" ca="1" si="6"/>
        <v>45816</v>
      </c>
      <c r="T110" s="43">
        <f ca="1">_xll.BInterpol('Base CDI'!$H$4:$H$28,'Base CDI'!$J$4:$J$29,S110,"Cubic","Extrapolate=Linear","MultiX=Average","Skip=True","Sort=True")</f>
        <v>14.117002008784681</v>
      </c>
      <c r="U110" s="43">
        <f ca="1">_xll.BInterpol('Base CDI'!$H$4:$H$28,'Base CDI'!$I$4:$I$29,S110,"Cubic","Extrapolate=Linear","MultiX=Average","Skip=True","Sort=True")</f>
        <v>14.141546963259012</v>
      </c>
    </row>
    <row r="111" spans="16:21" x14ac:dyDescent="0.25">
      <c r="P111" s="10">
        <v>34668</v>
      </c>
      <c r="Q111">
        <v>1.242991</v>
      </c>
      <c r="S111" s="42">
        <f t="shared" ca="1" si="6"/>
        <v>45817</v>
      </c>
      <c r="T111" s="43">
        <f ca="1">_xll.BInterpol('Base CDI'!$H$4:$H$28,'Base CDI'!$J$4:$J$29,S111,"Cubic","Extrapolate=Linear","MultiX=Average","Skip=True","Sort=True")</f>
        <v>14.122950381096613</v>
      </c>
      <c r="U111" s="43">
        <f ca="1">_xll.BInterpol('Base CDI'!$H$4:$H$28,'Base CDI'!$I$4:$I$29,S111,"Cubic","Extrapolate=Linear","MultiX=Average","Skip=True","Sort=True")</f>
        <v>14.14768914461197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45818</v>
      </c>
      <c r="T112" s="43">
        <f ca="1">_xll.BInterpol('Base CDI'!$H$4:$H$28,'Base CDI'!$J$4:$J$29,S112,"Cubic","Extrapolate=Linear","MultiX=Average","Skip=True","Sort=True")</f>
        <v>14.128838989511806</v>
      </c>
      <c r="U112" s="43">
        <f ca="1">_xll.BInterpol('Base CDI'!$H$4:$H$28,'Base CDI'!$I$4:$I$29,S112,"Cubic","Extrapolate=Linear","MultiX=Average","Skip=True","Sort=True")</f>
        <v>14.153771867139261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45819</v>
      </c>
      <c r="T113" s="43">
        <f ca="1">_xll.BInterpol('Base CDI'!$H$4:$H$28,'Base CDI'!$J$4:$J$29,S113,"Cubic","Extrapolate=Linear","MultiX=Average","Skip=True","Sort=True")</f>
        <v>14.134669135946641</v>
      </c>
      <c r="U113" s="43">
        <f ca="1">_xll.BInterpol('Base CDI'!$H$4:$H$28,'Base CDI'!$I$4:$I$29,S113,"Cubic","Extrapolate=Linear","MultiX=Average","Skip=True","Sort=True")</f>
        <v>14.159796387728809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45820</v>
      </c>
      <c r="T114" s="43">
        <f ca="1">_xll.BInterpol('Base CDI'!$H$4:$H$28,'Base CDI'!$J$4:$J$29,S114,"Cubic","Extrapolate=Linear","MultiX=Average","Skip=True","Sort=True")</f>
        <v>14.140442122317504</v>
      </c>
      <c r="U114" s="43">
        <f ca="1">_xll.BInterpol('Base CDI'!$H$4:$H$28,'Base CDI'!$I$4:$I$29,S114,"Cubic","Extrapolate=Linear","MultiX=Average","Skip=True","Sort=True")</f>
        <v>14.165763963268542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45821</v>
      </c>
      <c r="T115" s="43">
        <f ca="1">_xll.BInterpol('Base CDI'!$H$4:$H$28,'Base CDI'!$J$4:$J$29,S115,"Cubic","Extrapolate=Linear","MultiX=Average","Skip=True","Sort=True")</f>
        <v>14.146159250540778</v>
      </c>
      <c r="U115" s="43">
        <f ca="1">_xll.BInterpol('Base CDI'!$H$4:$H$28,'Base CDI'!$I$4:$I$29,S115,"Cubic","Extrapolate=Linear","MultiX=Average","Skip=True","Sort=True")</f>
        <v>14.171675850646386</v>
      </c>
    </row>
    <row r="116" spans="16:21" x14ac:dyDescent="0.25">
      <c r="P116" s="10">
        <v>34675</v>
      </c>
      <c r="Q116">
        <v>1.254327</v>
      </c>
      <c r="S116" s="42">
        <f t="shared" ca="1" si="6"/>
        <v>45822</v>
      </c>
      <c r="T116" s="43">
        <f ca="1">_xll.BInterpol('Base CDI'!$H$4:$H$28,'Base CDI'!$J$4:$J$29,S116,"Cubic","Extrapolate=Linear","MultiX=Average","Skip=True","Sort=True")</f>
        <v>14.151821822532847</v>
      </c>
      <c r="U116" s="43">
        <f ca="1">_xll.BInterpol('Base CDI'!$H$4:$H$28,'Base CDI'!$I$4:$I$29,S116,"Cubic","Extrapolate=Linear","MultiX=Average","Skip=True","Sort=True")</f>
        <v>14.177533306750266</v>
      </c>
    </row>
    <row r="117" spans="16:21" x14ac:dyDescent="0.25">
      <c r="P117" s="10">
        <v>34676</v>
      </c>
      <c r="Q117">
        <v>1.256526</v>
      </c>
      <c r="S117" s="42">
        <f t="shared" ca="1" si="6"/>
        <v>45823</v>
      </c>
      <c r="T117" s="43">
        <f ca="1">_xll.BInterpol('Base CDI'!$H$4:$H$28,'Base CDI'!$J$4:$J$29,S117,"Cubic","Extrapolate=Linear","MultiX=Average","Skip=True","Sort=True")</f>
        <v>14.157431140210099</v>
      </c>
      <c r="U117" s="43">
        <f ca="1">_xll.BInterpol('Base CDI'!$H$4:$H$28,'Base CDI'!$I$4:$I$29,S117,"Cubic","Extrapolate=Linear","MultiX=Average","Skip=True","Sort=True")</f>
        <v>14.183337588468108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45824</v>
      </c>
      <c r="T118" s="43">
        <f ca="1">_xll.BInterpol('Base CDI'!$H$4:$H$28,'Base CDI'!$J$4:$J$29,S118,"Cubic","Extrapolate=Linear","MultiX=Average","Skip=True","Sort=True")</f>
        <v>14.162988505488912</v>
      </c>
      <c r="U118" s="43">
        <f ca="1">_xll.BInterpol('Base CDI'!$H$4:$H$28,'Base CDI'!$I$4:$I$29,S118,"Cubic","Extrapolate=Linear","MultiX=Average","Skip=True","Sort=True")</f>
        <v>14.189089952687837</v>
      </c>
    </row>
    <row r="119" spans="16:21" x14ac:dyDescent="0.25">
      <c r="P119" s="10">
        <v>34680</v>
      </c>
      <c r="Q119">
        <v>1.260928</v>
      </c>
      <c r="S119" s="42">
        <f t="shared" ca="1" si="6"/>
        <v>45825</v>
      </c>
      <c r="T119" s="43">
        <f ca="1">_xll.BInterpol('Base CDI'!$H$4:$H$28,'Base CDI'!$J$4:$J$29,S119,"Cubic","Extrapolate=Linear","MultiX=Average","Skip=True","Sort=True")</f>
        <v>14.168495220285674</v>
      </c>
      <c r="U119" s="43">
        <f ca="1">_xll.BInterpol('Base CDI'!$H$4:$H$28,'Base CDI'!$I$4:$I$29,S119,"Cubic","Extrapolate=Linear","MultiX=Average","Skip=True","Sort=True")</f>
        <v>14.194791656297381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45826</v>
      </c>
      <c r="T120" s="43">
        <f ca="1">_xll.BInterpol('Base CDI'!$H$4:$H$28,'Base CDI'!$J$4:$J$29,S120,"Cubic","Extrapolate=Linear","MultiX=Average","Skip=True","Sort=True")</f>
        <v>14.173952586516769</v>
      </c>
      <c r="U120" s="43">
        <f ca="1">_xll.BInterpol('Base CDI'!$H$4:$H$28,'Base CDI'!$I$4:$I$29,S120,"Cubic","Extrapolate=Linear","MultiX=Average","Skip=True","Sort=True")</f>
        <v>14.200443956184666</v>
      </c>
    </row>
    <row r="121" spans="16:21" x14ac:dyDescent="0.25">
      <c r="P121" s="10">
        <v>34682</v>
      </c>
      <c r="Q121">
        <v>1.265336</v>
      </c>
      <c r="S121" s="42">
        <f t="shared" ca="1" si="6"/>
        <v>45827</v>
      </c>
      <c r="T121" s="43">
        <f ca="1">_xll.BInterpol('Base CDI'!$H$4:$H$28,'Base CDI'!$J$4:$J$29,S121,"Cubic","Extrapolate=Linear","MultiX=Average","Skip=True","Sort=True")</f>
        <v>14.179361906098579</v>
      </c>
      <c r="U121" s="43">
        <f ca="1">_xll.BInterpol('Base CDI'!$H$4:$H$28,'Base CDI'!$I$4:$I$29,S121,"Cubic","Extrapolate=Linear","MultiX=Average","Skip=True","Sort=True")</f>
        <v>14.206048109237615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45828</v>
      </c>
      <c r="T122" s="43">
        <f ca="1">_xll.BInterpol('Base CDI'!$H$4:$H$28,'Base CDI'!$J$4:$J$29,S122,"Cubic","Extrapolate=Linear","MultiX=Average","Skip=True","Sort=True")</f>
        <v>14.184724480947491</v>
      </c>
      <c r="U122" s="43">
        <f ca="1">_xll.BInterpol('Base CDI'!$H$4:$H$28,'Base CDI'!$I$4:$I$29,S122,"Cubic","Extrapolate=Linear","MultiX=Average","Skip=True","Sort=True")</f>
        <v>14.211605372344156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45829</v>
      </c>
      <c r="T123" s="43">
        <f ca="1">_xll.BInterpol('Base CDI'!$H$4:$H$28,'Base CDI'!$J$4:$J$29,S123,"Cubic","Extrapolate=Linear","MultiX=Average","Skip=True","Sort=True")</f>
        <v>14.190041612979886</v>
      </c>
      <c r="U123" s="43">
        <f ca="1">_xll.BInterpol('Base CDI'!$H$4:$H$28,'Base CDI'!$I$4:$I$29,S123,"Cubic","Extrapolate=Linear","MultiX=Average","Skip=True","Sort=True")</f>
        <v>14.217117002392216</v>
      </c>
    </row>
    <row r="124" spans="16:21" x14ac:dyDescent="0.25">
      <c r="P124" s="10">
        <v>34687</v>
      </c>
      <c r="Q124">
        <v>1.271712</v>
      </c>
      <c r="S124" s="42">
        <f t="shared" ca="1" si="6"/>
        <v>45830</v>
      </c>
      <c r="T124" s="43">
        <f ca="1">_xll.BInterpol('Base CDI'!$H$4:$H$28,'Base CDI'!$J$4:$J$29,S124,"Cubic","Extrapolate=Linear","MultiX=Average","Skip=True","Sort=True")</f>
        <v>14.19531460411215</v>
      </c>
      <c r="U124" s="43">
        <f ca="1">_xll.BInterpol('Base CDI'!$H$4:$H$28,'Base CDI'!$I$4:$I$29,S124,"Cubic","Extrapolate=Linear","MultiX=Average","Skip=True","Sort=True")</f>
        <v>14.22258425626972</v>
      </c>
    </row>
    <row r="125" spans="16:21" x14ac:dyDescent="0.25">
      <c r="P125" s="10">
        <v>34688</v>
      </c>
      <c r="Q125">
        <v>1.273814</v>
      </c>
      <c r="S125" s="42">
        <f t="shared" ca="1" si="6"/>
        <v>45831</v>
      </c>
      <c r="T125" s="43">
        <f ca="1">_xll.BInterpol('Base CDI'!$H$4:$H$28,'Base CDI'!$J$4:$J$29,S125,"Cubic","Extrapolate=Linear","MultiX=Average","Skip=True","Sort=True")</f>
        <v>14.200544756260667</v>
      </c>
      <c r="U125" s="43">
        <f ca="1">_xll.BInterpol('Base CDI'!$H$4:$H$28,'Base CDI'!$I$4:$I$29,S125,"Cubic","Extrapolate=Linear","MultiX=Average","Skip=True","Sort=True")</f>
        <v>14.228008390864593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45832</v>
      </c>
      <c r="T126" s="43">
        <f ca="1">_xll.BInterpol('Base CDI'!$H$4:$H$28,'Base CDI'!$J$4:$J$29,S126,"Cubic","Extrapolate=Linear","MultiX=Average","Skip=True","Sort=True")</f>
        <v>14.205733371341822</v>
      </c>
      <c r="U126" s="43">
        <f ca="1">_xll.BInterpol('Base CDI'!$H$4:$H$28,'Base CDI'!$I$4:$I$29,S126,"Cubic","Extrapolate=Linear","MultiX=Average","Skip=True","Sort=True")</f>
        <v>14.23339066306476</v>
      </c>
    </row>
    <row r="127" spans="16:21" x14ac:dyDescent="0.25">
      <c r="P127" s="10">
        <v>34690</v>
      </c>
      <c r="Q127">
        <v>1.278043</v>
      </c>
      <c r="S127" s="42">
        <f t="shared" ca="1" si="6"/>
        <v>45833</v>
      </c>
      <c r="T127" s="43">
        <f ca="1">_xll.BInterpol('Base CDI'!$H$4:$H$28,'Base CDI'!$J$4:$J$29,S127,"Cubic","Extrapolate=Linear","MultiX=Average","Skip=True","Sort=True")</f>
        <v>14.210881751271996</v>
      </c>
      <c r="U127" s="43">
        <f ca="1">_xll.BInterpol('Base CDI'!$H$4:$H$28,'Base CDI'!$I$4:$I$29,S127,"Cubic","Extrapolate=Linear","MultiX=Average","Skip=True","Sort=True")</f>
        <v>14.238732329758152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45834</v>
      </c>
      <c r="T128" s="43">
        <f ca="1">_xll.BInterpol('Base CDI'!$H$4:$H$28,'Base CDI'!$J$4:$J$29,S128,"Cubic","Extrapolate=Linear","MultiX=Average","Skip=True","Sort=True")</f>
        <v>14.215991197967577</v>
      </c>
      <c r="U128" s="43">
        <f ca="1">_xll.BInterpol('Base CDI'!$H$4:$H$28,'Base CDI'!$I$4:$I$29,S128,"Cubic","Extrapolate=Linear","MultiX=Average","Skip=True","Sort=True")</f>
        <v>14.24403464783269</v>
      </c>
    </row>
    <row r="129" spans="16:21" x14ac:dyDescent="0.25">
      <c r="P129" s="10">
        <v>34694</v>
      </c>
      <c r="Q129">
        <v>1.282311</v>
      </c>
      <c r="S129" s="42">
        <f t="shared" ca="1" si="6"/>
        <v>45835</v>
      </c>
      <c r="T129" s="43">
        <f ca="1">_xll.BInterpol('Base CDI'!$H$4:$H$28,'Base CDI'!$J$4:$J$29,S129,"Cubic","Extrapolate=Linear","MultiX=Average","Skip=True","Sort=True")</f>
        <v>14.221063013344946</v>
      </c>
      <c r="U129" s="43">
        <f ca="1">_xll.BInterpol('Base CDI'!$H$4:$H$28,'Base CDI'!$I$4:$I$29,S129,"Cubic","Extrapolate=Linear","MultiX=Average","Skip=True","Sort=True")</f>
        <v>14.249298874176301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45836</v>
      </c>
      <c r="T130" s="43">
        <f ca="1">_xll.BInterpol('Base CDI'!$H$4:$H$28,'Base CDI'!$J$4:$J$29,S130,"Cubic","Extrapolate=Linear","MultiX=Average","Skip=True","Sort=True")</f>
        <v>14.226098499320489</v>
      </c>
      <c r="U130" s="43">
        <f ca="1">_xll.BInterpol('Base CDI'!$H$4:$H$28,'Base CDI'!$I$4:$I$29,S130,"Cubic","Extrapolate=Linear","MultiX=Average","Skip=True","Sort=True")</f>
        <v>14.254526265676912</v>
      </c>
    </row>
    <row r="131" spans="16:21" x14ac:dyDescent="0.25">
      <c r="P131" s="10">
        <v>34696</v>
      </c>
      <c r="Q131">
        <v>1.286627</v>
      </c>
      <c r="S131" s="42">
        <f t="shared" ca="1" si="6"/>
        <v>45837</v>
      </c>
      <c r="T131" s="43">
        <f ca="1">_xll.BInterpol('Base CDI'!$H$4:$H$28,'Base CDI'!$J$4:$J$29,S131,"Cubic","Extrapolate=Linear","MultiX=Average","Skip=True","Sort=True")</f>
        <v>14.231098957810589</v>
      </c>
      <c r="U131" s="43">
        <f ca="1">_xll.BInterpol('Base CDI'!$H$4:$H$28,'Base CDI'!$I$4:$I$29,S131,"Cubic","Extrapolate=Linear","MultiX=Average","Skip=True","Sort=True")</f>
        <v>14.259718079222447</v>
      </c>
    </row>
    <row r="132" spans="16:21" x14ac:dyDescent="0.25">
      <c r="P132" s="10">
        <v>34697</v>
      </c>
      <c r="Q132">
        <v>1.288789</v>
      </c>
      <c r="S132" s="42">
        <f t="shared" ca="1" si="6"/>
        <v>45838</v>
      </c>
      <c r="T132" s="43">
        <f ca="1">_xll.BInterpol('Base CDI'!$H$4:$H$28,'Base CDI'!$J$4:$J$29,S132,"Cubic","Extrapolate=Linear","MultiX=Average","Skip=True","Sort=True")</f>
        <v>14.236065690731632</v>
      </c>
      <c r="U132" s="43">
        <f ca="1">_xll.BInterpol('Base CDI'!$H$4:$H$28,'Base CDI'!$I$4:$I$29,S132,"Cubic","Extrapolate=Linear","MultiX=Average","Skip=True","Sort=True")</f>
        <v>14.264875571700834</v>
      </c>
    </row>
    <row r="133" spans="16:21" x14ac:dyDescent="0.25">
      <c r="P133" s="10">
        <v>34698</v>
      </c>
      <c r="Q133">
        <v>1.290915</v>
      </c>
      <c r="S133" s="42">
        <f t="shared" ca="1" si="6"/>
        <v>45839</v>
      </c>
      <c r="T133" s="43">
        <f ca="1">_xll.BInterpol('Base CDI'!$H$4:$H$28,'Base CDI'!$J$4:$J$29,S133,"Cubic","Extrapolate=Linear","MultiX=Average","Skip=True","Sort=True")</f>
        <v>14.241</v>
      </c>
      <c r="U133" s="43">
        <f ca="1">_xll.BInterpol('Base CDI'!$H$4:$H$28,'Base CDI'!$I$4:$I$29,S133,"Cubic","Extrapolate=Linear","MultiX=Average","Skip=True","Sort=True")</f>
        <v>14.27</v>
      </c>
    </row>
    <row r="134" spans="16:21" x14ac:dyDescent="0.25">
      <c r="P134" s="10">
        <v>34701</v>
      </c>
      <c r="Q134">
        <v>1.293045</v>
      </c>
      <c r="S134" s="42">
        <f t="shared" ca="1" si="6"/>
        <v>45840</v>
      </c>
      <c r="T134" s="43">
        <f ca="1">_xll.BInterpol('Base CDI'!$H$4:$H$28,'Base CDI'!$J$4:$J$29,S134,"Cubic","Extrapolate=Linear","MultiX=Average","Skip=True","Sort=True")</f>
        <v>14.24590299038964</v>
      </c>
      <c r="U134" s="43">
        <f ca="1">_xll.BInterpol('Base CDI'!$H$4:$H$28,'Base CDI'!$I$4:$I$29,S134,"Cubic","Extrapolate=Linear","MultiX=Average","Skip=True","Sort=True")</f>
        <v>14.275092431152467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45841</v>
      </c>
      <c r="T135" s="43">
        <f ca="1">_xll.BInterpol('Base CDI'!$H$4:$H$28,'Base CDI'!$J$4:$J$29,S135,"Cubic","Extrapolate=Linear","MultiX=Average","Skip=True","Sort=True")</f>
        <v>14.250774978104747</v>
      </c>
      <c r="U135" s="43">
        <f ca="1">_xll.BInterpol('Base CDI'!$H$4:$H$28,'Base CDI'!$I$4:$I$29,S135,"Cubic","Extrapolate=Linear","MultiX=Average","Skip=True","Sort=True")</f>
        <v>14.280153172769156</v>
      </c>
    </row>
    <row r="136" spans="16:21" x14ac:dyDescent="0.25">
      <c r="P136" s="10">
        <v>34703</v>
      </c>
      <c r="Q136">
        <v>1.297169</v>
      </c>
      <c r="S136" s="42">
        <f t="shared" ca="1" si="6"/>
        <v>45842</v>
      </c>
      <c r="T136" s="43">
        <f ca="1">_xll.BInterpol('Base CDI'!$H$4:$H$28,'Base CDI'!$J$4:$J$29,S136,"Cubic","Extrapolate=Linear","MultiX=Average","Skip=True","Sort=True")</f>
        <v>14.255616082207082</v>
      </c>
      <c r="U136" s="43">
        <f ca="1">_xll.BInterpol('Base CDI'!$H$4:$H$28,'Base CDI'!$I$4:$I$29,S136,"Cubic","Extrapolate=Linear","MultiX=Average","Skip=True","Sort=True")</f>
        <v>14.285182342605589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45843</v>
      </c>
      <c r="T137" s="43">
        <f ca="1">_xll.BInterpol('Base CDI'!$H$4:$H$28,'Base CDI'!$J$4:$J$29,S137,"Cubic","Extrapolate=Linear","MultiX=Average","Skip=True","Sort=True")</f>
        <v>14.2604264217584</v>
      </c>
      <c r="U137" s="43">
        <f ca="1">_xll.BInterpol('Base CDI'!$H$4:$H$28,'Base CDI'!$I$4:$I$29,S137,"Cubic","Extrapolate=Linear","MultiX=Average","Skip=True","Sort=True")</f>
        <v>14.290180058417285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45844</v>
      </c>
      <c r="T138" s="43">
        <f ca="1">_xll.BInterpol('Base CDI'!$H$4:$H$28,'Base CDI'!$J$4:$J$29,S138,"Cubic","Extrapolate=Linear","MultiX=Average","Skip=True","Sort=True")</f>
        <v>14.26520611582046</v>
      </c>
      <c r="U138" s="43">
        <f ca="1">_xll.BInterpol('Base CDI'!$H$4:$H$28,'Base CDI'!$I$4:$I$29,S138,"Cubic","Extrapolate=Linear","MultiX=Average","Skip=True","Sort=True")</f>
        <v>14.295146437959762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45845</v>
      </c>
      <c r="T139" s="43">
        <f ca="1">_xll.BInterpol('Base CDI'!$H$4:$H$28,'Base CDI'!$J$4:$J$29,S139,"Cubic","Extrapolate=Linear","MultiX=Average","Skip=True","Sort=True")</f>
        <v>14.269955283455019</v>
      </c>
      <c r="U139" s="43">
        <f ca="1">_xll.BInterpol('Base CDI'!$H$4:$H$28,'Base CDI'!$I$4:$I$29,S139,"Cubic","Extrapolate=Linear","MultiX=Average","Skip=True","Sort=True")</f>
        <v>14.300081598988541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45846</v>
      </c>
      <c r="T140" s="43">
        <f ca="1">_xll.BInterpol('Base CDI'!$H$4:$H$28,'Base CDI'!$J$4:$J$29,S140,"Cubic","Extrapolate=Linear","MultiX=Average","Skip=True","Sort=True")</f>
        <v>14.274674043723838</v>
      </c>
      <c r="U140" s="43">
        <f ca="1">_xll.BInterpol('Base CDI'!$H$4:$H$28,'Base CDI'!$I$4:$I$29,S140,"Cubic","Extrapolate=Linear","MultiX=Average","Skip=True","Sort=True")</f>
        <v>14.304985659259142</v>
      </c>
    </row>
    <row r="141" spans="16:21" x14ac:dyDescent="0.25">
      <c r="P141" s="10">
        <v>34710</v>
      </c>
      <c r="Q141">
        <v>1.307401</v>
      </c>
      <c r="S141" s="42">
        <f t="shared" ca="1" si="7"/>
        <v>45847</v>
      </c>
      <c r="T141" s="43">
        <f ca="1">_xll.BInterpol('Base CDI'!$H$4:$H$28,'Base CDI'!$J$4:$J$29,S141,"Cubic","Extrapolate=Linear","MultiX=Average","Skip=True","Sort=True")</f>
        <v>14.279362515688673</v>
      </c>
      <c r="U141" s="43">
        <f ca="1">_xll.BInterpol('Base CDI'!$H$4:$H$28,'Base CDI'!$I$4:$I$29,S141,"Cubic","Extrapolate=Linear","MultiX=Average","Skip=True","Sort=True")</f>
        <v>14.309858736527085</v>
      </c>
    </row>
    <row r="142" spans="16:21" x14ac:dyDescent="0.25">
      <c r="P142" s="10">
        <v>34711</v>
      </c>
      <c r="Q142">
        <v>1.309388</v>
      </c>
      <c r="S142" s="42">
        <f t="shared" ca="1" si="7"/>
        <v>45848</v>
      </c>
      <c r="T142" s="43">
        <f ca="1">_xll.BInterpol('Base CDI'!$H$4:$H$28,'Base CDI'!$J$4:$J$29,S142,"Cubic","Extrapolate=Linear","MultiX=Average","Skip=True","Sort=True")</f>
        <v>14.284020818411282</v>
      </c>
      <c r="U142" s="43">
        <f ca="1">_xll.BInterpol('Base CDI'!$H$4:$H$28,'Base CDI'!$I$4:$I$29,S142,"Cubic","Extrapolate=Linear","MultiX=Average","Skip=True","Sort=True")</f>
        <v>14.314700948547889</v>
      </c>
    </row>
    <row r="143" spans="16:21" x14ac:dyDescent="0.25">
      <c r="P143" s="10">
        <v>34712</v>
      </c>
      <c r="Q143">
        <v>1.311396</v>
      </c>
      <c r="S143" s="42">
        <f t="shared" ca="1" si="7"/>
        <v>45849</v>
      </c>
      <c r="T143" s="43">
        <f ca="1">_xll.BInterpol('Base CDI'!$H$4:$H$28,'Base CDI'!$J$4:$J$29,S143,"Cubic","Extrapolate=Linear","MultiX=Average","Skip=True","Sort=True")</f>
        <v>14.288649070953422</v>
      </c>
      <c r="U143" s="43">
        <f ca="1">_xll.BInterpol('Base CDI'!$H$4:$H$28,'Base CDI'!$I$4:$I$29,S143,"Cubic","Extrapolate=Linear","MultiX=Average","Skip=True","Sort=True")</f>
        <v>14.319512413077074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45850</v>
      </c>
      <c r="T144" s="43">
        <f ca="1">_xll.BInterpol('Base CDI'!$H$4:$H$28,'Base CDI'!$J$4:$J$29,S144,"Cubic","Extrapolate=Linear","MultiX=Average","Skip=True","Sort=True")</f>
        <v>14.293247392376854</v>
      </c>
      <c r="U144" s="43">
        <f ca="1">_xll.BInterpol('Base CDI'!$H$4:$H$28,'Base CDI'!$I$4:$I$29,S144,"Cubic","Extrapolate=Linear","MultiX=Average","Skip=True","Sort=True")</f>
        <v>14.324293247870161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45851</v>
      </c>
      <c r="T145" s="43">
        <f ca="1">_xll.BInterpol('Base CDI'!$H$4:$H$28,'Base CDI'!$J$4:$J$29,S145,"Cubic","Extrapolate=Linear","MultiX=Average","Skip=True","Sort=True")</f>
        <v>14.297815901743334</v>
      </c>
      <c r="U145" s="43">
        <f ca="1">_xll.BInterpol('Base CDI'!$H$4:$H$28,'Base CDI'!$I$4:$I$29,S145,"Cubic","Extrapolate=Linear","MultiX=Average","Skip=True","Sort=True")</f>
        <v>14.329043570682666</v>
      </c>
    </row>
    <row r="146" spans="16:21" x14ac:dyDescent="0.25">
      <c r="P146" s="10">
        <v>34717</v>
      </c>
      <c r="Q146">
        <v>1.317464</v>
      </c>
      <c r="S146" s="42">
        <f t="shared" ca="1" si="7"/>
        <v>45852</v>
      </c>
      <c r="T146" s="43">
        <f ca="1">_xll.BInterpol('Base CDI'!$H$4:$H$28,'Base CDI'!$J$4:$J$29,S146,"Cubic","Extrapolate=Linear","MultiX=Average","Skip=True","Sort=True")</f>
        <v>14.302354718114621</v>
      </c>
      <c r="U146" s="43">
        <f ca="1">_xll.BInterpol('Base CDI'!$H$4:$H$28,'Base CDI'!$I$4:$I$29,S146,"Cubic","Extrapolate=Linear","MultiX=Average","Skip=True","Sort=True")</f>
        <v>14.333763499270113</v>
      </c>
    </row>
    <row r="147" spans="16:21" x14ac:dyDescent="0.25">
      <c r="P147" s="10">
        <v>34718</v>
      </c>
      <c r="Q147">
        <v>1.319493</v>
      </c>
      <c r="S147" s="42">
        <f t="shared" ca="1" si="7"/>
        <v>45853</v>
      </c>
      <c r="T147" s="43">
        <f ca="1">_xll.BInterpol('Base CDI'!$H$4:$H$28,'Base CDI'!$J$4:$J$29,S147,"Cubic","Extrapolate=Linear","MultiX=Average","Skip=True","Sort=True")</f>
        <v>14.306863960552473</v>
      </c>
      <c r="U147" s="43">
        <f ca="1">_xll.BInterpol('Base CDI'!$H$4:$H$28,'Base CDI'!$I$4:$I$29,S147,"Cubic","Extrapolate=Linear","MultiX=Average","Skip=True","Sort=True")</f>
        <v>14.33845315138802</v>
      </c>
    </row>
    <row r="148" spans="16:21" x14ac:dyDescent="0.25">
      <c r="P148" s="10">
        <v>34719</v>
      </c>
      <c r="Q148">
        <v>1.321534</v>
      </c>
      <c r="S148" s="42">
        <f t="shared" ca="1" si="7"/>
        <v>45854</v>
      </c>
      <c r="T148" s="43">
        <f ca="1">_xll.BInterpol('Base CDI'!$H$4:$H$28,'Base CDI'!$J$4:$J$29,S148,"Cubic","Extrapolate=Linear","MultiX=Average","Skip=True","Sort=True")</f>
        <v>14.311343748118647</v>
      </c>
      <c r="U148" s="43">
        <f ca="1">_xll.BInterpol('Base CDI'!$H$4:$H$28,'Base CDI'!$I$4:$I$29,S148,"Cubic","Extrapolate=Linear","MultiX=Average","Skip=True","Sort=True")</f>
        <v>14.343112644791907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45855</v>
      </c>
      <c r="T149" s="43">
        <f ca="1">_xll.BInterpol('Base CDI'!$H$4:$H$28,'Base CDI'!$J$4:$J$29,S149,"Cubic","Extrapolate=Linear","MultiX=Average","Skip=True","Sort=True")</f>
        <v>14.315794199874903</v>
      </c>
      <c r="U149" s="43">
        <f ca="1">_xll.BInterpol('Base CDI'!$H$4:$H$28,'Base CDI'!$I$4:$I$29,S149,"Cubic","Extrapolate=Linear","MultiX=Average","Skip=True","Sort=True")</f>
        <v>14.347742097237292</v>
      </c>
    </row>
    <row r="150" spans="16:21" x14ac:dyDescent="0.25">
      <c r="P150" s="10">
        <v>34723</v>
      </c>
      <c r="Q150">
        <v>1.32559</v>
      </c>
      <c r="S150" s="42">
        <f t="shared" ca="1" si="7"/>
        <v>45856</v>
      </c>
      <c r="T150" s="43">
        <f ca="1">_xll.BInterpol('Base CDI'!$H$4:$H$28,'Base CDI'!$J$4:$J$29,S150,"Cubic","Extrapolate=Linear","MultiX=Average","Skip=True","Sort=True")</f>
        <v>14.320215434882996</v>
      </c>
      <c r="U150" s="43">
        <f ca="1">_xll.BInterpol('Base CDI'!$H$4:$H$28,'Base CDI'!$I$4:$I$29,S150,"Cubic","Extrapolate=Linear","MultiX=Average","Skip=True","Sort=True")</f>
        <v>14.352341626479697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45857</v>
      </c>
      <c r="T151" s="43">
        <f ca="1">_xll.BInterpol('Base CDI'!$H$4:$H$28,'Base CDI'!$J$4:$J$29,S151,"Cubic","Extrapolate=Linear","MultiX=Average","Skip=True","Sort=True")</f>
        <v>14.324607572204686</v>
      </c>
      <c r="U151" s="43">
        <f ca="1">_xll.BInterpol('Base CDI'!$H$4:$H$28,'Base CDI'!$I$4:$I$29,S151,"Cubic","Extrapolate=Linear","MultiX=Average","Skip=True","Sort=True")</f>
        <v>14.356911350274641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45858</v>
      </c>
      <c r="T152" s="43">
        <f ca="1">_xll.BInterpol('Base CDI'!$H$4:$H$28,'Base CDI'!$J$4:$J$29,S152,"Cubic","Extrapolate=Linear","MultiX=Average","Skip=True","Sort=True")</f>
        <v>14.328970730901732</v>
      </c>
      <c r="U152" s="43">
        <f ca="1">_xll.BInterpol('Base CDI'!$H$4:$H$28,'Base CDI'!$I$4:$I$29,S152,"Cubic","Extrapolate=Linear","MultiX=Average","Skip=True","Sort=True")</f>
        <v>14.361451386377645</v>
      </c>
    </row>
    <row r="153" spans="16:21" x14ac:dyDescent="0.25">
      <c r="P153" s="10">
        <v>34726</v>
      </c>
      <c r="Q153">
        <v>1.331599</v>
      </c>
      <c r="S153" s="42">
        <f t="shared" ca="1" si="7"/>
        <v>45859</v>
      </c>
      <c r="T153" s="43">
        <f ca="1">_xll.BInterpol('Base CDI'!$H$4:$H$28,'Base CDI'!$J$4:$J$29,S153,"Cubic","Extrapolate=Linear","MultiX=Average","Skip=True","Sort=True")</f>
        <v>14.333305030035891</v>
      </c>
      <c r="U153" s="43">
        <f ca="1">_xll.BInterpol('Base CDI'!$H$4:$H$28,'Base CDI'!$I$4:$I$29,S153,"Cubic","Extrapolate=Linear","MultiX=Average","Skip=True","Sort=True")</f>
        <v>14.365961852544226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45860</v>
      </c>
      <c r="T154" s="43">
        <f ca="1">_xll.BInterpol('Base CDI'!$H$4:$H$28,'Base CDI'!$J$4:$J$29,S154,"Cubic","Extrapolate=Linear","MultiX=Average","Skip=True","Sort=True")</f>
        <v>14.33761058866892</v>
      </c>
      <c r="U154" s="43">
        <f ca="1">_xll.BInterpol('Base CDI'!$H$4:$H$28,'Base CDI'!$I$4:$I$29,S154,"Cubic","Extrapolate=Linear","MultiX=Average","Skip=True","Sort=True")</f>
        <v>14.370442866529906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45861</v>
      </c>
      <c r="T155" s="43">
        <f ca="1">_xll.BInterpol('Base CDI'!$H$4:$H$28,'Base CDI'!$J$4:$J$29,S155,"Cubic","Extrapolate=Linear","MultiX=Average","Skip=True","Sort=True")</f>
        <v>14.341887525862578</v>
      </c>
      <c r="U155" s="43">
        <f ca="1">_xll.BInterpol('Base CDI'!$H$4:$H$28,'Base CDI'!$I$4:$I$29,S155,"Cubic","Extrapolate=Linear","MultiX=Average","Skip=True","Sort=True")</f>
        <v>14.374894546090204</v>
      </c>
    </row>
    <row r="156" spans="16:21" x14ac:dyDescent="0.25">
      <c r="P156" s="10">
        <v>34731</v>
      </c>
      <c r="Q156">
        <v>1.337979</v>
      </c>
      <c r="S156" s="42">
        <f t="shared" ca="1" si="7"/>
        <v>45862</v>
      </c>
      <c r="T156" s="43">
        <f ca="1">_xll.BInterpol('Base CDI'!$H$4:$H$28,'Base CDI'!$J$4:$J$29,S156,"Cubic","Extrapolate=Linear","MultiX=Average","Skip=True","Sort=True")</f>
        <v>14.346135960678625</v>
      </c>
      <c r="U156" s="43">
        <f ca="1">_xll.BInterpol('Base CDI'!$H$4:$H$28,'Base CDI'!$I$4:$I$29,S156,"Cubic","Extrapolate=Linear","MultiX=Average","Skip=True","Sort=True")</f>
        <v>14.379317008980641</v>
      </c>
    </row>
    <row r="157" spans="16:21" x14ac:dyDescent="0.25">
      <c r="P157" s="10">
        <v>34732</v>
      </c>
      <c r="Q157">
        <v>1.34036</v>
      </c>
      <c r="S157" s="42">
        <f t="shared" ca="1" si="7"/>
        <v>45863</v>
      </c>
      <c r="T157" s="43">
        <f ca="1">_xll.BInterpol('Base CDI'!$H$4:$H$28,'Base CDI'!$J$4:$J$29,S157,"Cubic","Extrapolate=Linear","MultiX=Average","Skip=True","Sort=True")</f>
        <v>14.350356012178816</v>
      </c>
      <c r="U157" s="43">
        <f ca="1">_xll.BInterpol('Base CDI'!$H$4:$H$28,'Base CDI'!$I$4:$I$29,S157,"Cubic","Extrapolate=Linear","MultiX=Average","Skip=True","Sort=True")</f>
        <v>14.383710372956733</v>
      </c>
    </row>
    <row r="158" spans="16:21" x14ac:dyDescent="0.25">
      <c r="P158" s="10">
        <v>34733</v>
      </c>
      <c r="Q158">
        <v>1.342746</v>
      </c>
      <c r="S158" s="42">
        <f t="shared" ca="1" si="7"/>
        <v>45864</v>
      </c>
      <c r="T158" s="43">
        <f ca="1">_xll.BInterpol('Base CDI'!$H$4:$H$28,'Base CDI'!$J$4:$J$29,S158,"Cubic","Extrapolate=Linear","MultiX=Average","Skip=True","Sort=True")</f>
        <v>14.35454779942491</v>
      </c>
      <c r="U158" s="43">
        <f ca="1">_xll.BInterpol('Base CDI'!$H$4:$H$28,'Base CDI'!$I$4:$I$29,S158,"Cubic","Extrapolate=Linear","MultiX=Average","Skip=True","Sort=True")</f>
        <v>14.388074755774005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45865</v>
      </c>
      <c r="T159" s="43">
        <f ca="1">_xll.BInterpol('Base CDI'!$H$4:$H$28,'Base CDI'!$J$4:$J$29,S159,"Cubic","Extrapolate=Linear","MultiX=Average","Skip=True","Sort=True")</f>
        <v>14.358711441478667</v>
      </c>
      <c r="U159" s="43">
        <f ca="1">_xll.BInterpol('Base CDI'!$H$4:$H$28,'Base CDI'!$I$4:$I$29,S159,"Cubic","Extrapolate=Linear","MultiX=Average","Skip=True","Sort=True")</f>
        <v>14.392410275187972</v>
      </c>
    </row>
    <row r="160" spans="16:21" x14ac:dyDescent="0.25">
      <c r="P160" s="10">
        <v>34737</v>
      </c>
      <c r="Q160">
        <v>1.347548</v>
      </c>
      <c r="S160" s="42">
        <f t="shared" ca="1" si="7"/>
        <v>45866</v>
      </c>
      <c r="T160" s="43">
        <f ca="1">_xll.BInterpol('Base CDI'!$H$4:$H$28,'Base CDI'!$J$4:$J$29,S160,"Cubic","Extrapolate=Linear","MultiX=Average","Skip=True","Sort=True")</f>
        <v>14.362847057401842</v>
      </c>
      <c r="U160" s="43">
        <f ca="1">_xll.BInterpol('Base CDI'!$H$4:$H$28,'Base CDI'!$I$4:$I$29,S160,"Cubic","Extrapolate=Linear","MultiX=Average","Skip=True","Sort=True")</f>
        <v>14.396717048954157</v>
      </c>
    </row>
    <row r="161" spans="16:21" x14ac:dyDescent="0.25">
      <c r="P161" s="10">
        <v>34738</v>
      </c>
      <c r="Q161">
        <v>1.349961</v>
      </c>
      <c r="S161" s="42">
        <f t="shared" ca="1" si="7"/>
        <v>45867</v>
      </c>
      <c r="T161" s="43">
        <f ca="1">_xll.BInterpol('Base CDI'!$H$4:$H$28,'Base CDI'!$J$4:$J$29,S161,"Cubic","Extrapolate=Linear","MultiX=Average","Skip=True","Sort=True")</f>
        <v>14.366954766256194</v>
      </c>
      <c r="U161" s="43">
        <f ca="1">_xll.BInterpol('Base CDI'!$H$4:$H$28,'Base CDI'!$I$4:$I$29,S161,"Cubic","Extrapolate=Linear","MultiX=Average","Skip=True","Sort=True")</f>
        <v>14.400995194828077</v>
      </c>
    </row>
    <row r="162" spans="16:21" x14ac:dyDescent="0.25">
      <c r="P162" s="10">
        <v>34739</v>
      </c>
      <c r="Q162">
        <v>1.352373</v>
      </c>
      <c r="S162" s="42">
        <f t="shared" ca="1" si="7"/>
        <v>45868</v>
      </c>
      <c r="T162" s="43">
        <f ca="1">_xll.BInterpol('Base CDI'!$H$4:$H$28,'Base CDI'!$J$4:$J$29,S162,"Cubic","Extrapolate=Linear","MultiX=Average","Skip=True","Sort=True")</f>
        <v>14.371034687103482</v>
      </c>
      <c r="U162" s="43">
        <f ca="1">_xll.BInterpol('Base CDI'!$H$4:$H$28,'Base CDI'!$I$4:$I$29,S162,"Cubic","Extrapolate=Linear","MultiX=Average","Skip=True","Sort=True")</f>
        <v>14.405244830565255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45869</v>
      </c>
      <c r="T163" s="43">
        <f ca="1">_xll.BInterpol('Base CDI'!$H$4:$H$28,'Base CDI'!$J$4:$J$29,S163,"Cubic","Extrapolate=Linear","MultiX=Average","Skip=True","Sort=True")</f>
        <v>14.375086939005463</v>
      </c>
      <c r="U163" s="43">
        <f ca="1">_xll.BInterpol('Base CDI'!$H$4:$H$28,'Base CDI'!$I$4:$I$29,S163,"Cubic","Extrapolate=Linear","MultiX=Average","Skip=True","Sort=True")</f>
        <v>14.409466073921209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45870</v>
      </c>
      <c r="T164" s="43">
        <f ca="1">_xll.BInterpol('Base CDI'!$H$4:$H$28,'Base CDI'!$J$4:$J$29,S164,"Cubic","Extrapolate=Linear","MultiX=Average","Skip=True","Sort=True")</f>
        <v>14.379111641023897</v>
      </c>
      <c r="U164" s="43">
        <f ca="1">_xll.BInterpol('Base CDI'!$H$4:$H$28,'Base CDI'!$I$4:$I$29,S164,"Cubic","Extrapolate=Linear","MultiX=Average","Skip=True","Sort=True")</f>
        <v>14.413659042651458</v>
      </c>
    </row>
    <row r="165" spans="16:21" x14ac:dyDescent="0.25">
      <c r="P165" s="10">
        <v>34744</v>
      </c>
      <c r="Q165">
        <v>1.359666</v>
      </c>
      <c r="S165" s="42">
        <f t="shared" ca="1" si="7"/>
        <v>45871</v>
      </c>
      <c r="T165" s="43">
        <f ca="1">_xll.BInterpol('Base CDI'!$H$4:$H$28,'Base CDI'!$J$4:$J$29,S165,"Cubic","Extrapolate=Linear","MultiX=Average","Skip=True","Sort=True")</f>
        <v>14.383108912220539</v>
      </c>
      <c r="U165" s="43">
        <f ca="1">_xll.BInterpol('Base CDI'!$H$4:$H$28,'Base CDI'!$I$4:$I$29,S165,"Cubic","Extrapolate=Linear","MultiX=Average","Skip=True","Sort=True")</f>
        <v>14.417823854511523</v>
      </c>
    </row>
    <row r="166" spans="16:21" x14ac:dyDescent="0.25">
      <c r="P166" s="10">
        <v>34745</v>
      </c>
      <c r="Q166">
        <v>1.362109</v>
      </c>
      <c r="S166" s="42">
        <f t="shared" ca="1" si="7"/>
        <v>45872</v>
      </c>
      <c r="T166" s="43">
        <f ca="1">_xll.BInterpol('Base CDI'!$H$4:$H$28,'Base CDI'!$J$4:$J$29,S166,"Cubic","Extrapolate=Linear","MultiX=Average","Skip=True","Sort=True")</f>
        <v>14.387078871657151</v>
      </c>
      <c r="U166" s="43">
        <f ca="1">_xll.BInterpol('Base CDI'!$H$4:$H$28,'Base CDI'!$I$4:$I$29,S166,"Cubic","Extrapolate=Linear","MultiX=Average","Skip=True","Sort=True")</f>
        <v>14.421960627256924</v>
      </c>
    </row>
    <row r="167" spans="16:21" x14ac:dyDescent="0.25">
      <c r="P167" s="10">
        <v>34746</v>
      </c>
      <c r="Q167">
        <v>1.364552</v>
      </c>
      <c r="S167" s="42">
        <f t="shared" ca="1" si="7"/>
        <v>45873</v>
      </c>
      <c r="T167" s="43">
        <f ca="1">_xll.BInterpol('Base CDI'!$H$4:$H$28,'Base CDI'!$J$4:$J$29,S167,"Cubic","Extrapolate=Linear","MultiX=Average","Skip=True","Sort=True")</f>
        <v>14.391021638395488</v>
      </c>
      <c r="U167" s="43">
        <f ca="1">_xll.BInterpol('Base CDI'!$H$4:$H$28,'Base CDI'!$I$4:$I$29,S167,"Cubic","Extrapolate=Linear","MultiX=Average","Skip=True","Sort=True")</f>
        <v>14.42606947864318</v>
      </c>
    </row>
    <row r="168" spans="16:21" x14ac:dyDescent="0.25">
      <c r="P168" s="10">
        <v>34747</v>
      </c>
      <c r="Q168">
        <v>1.367008</v>
      </c>
      <c r="S168" s="42">
        <f t="shared" ca="1" si="7"/>
        <v>45874</v>
      </c>
      <c r="T168" s="43">
        <f ca="1">_xll.BInterpol('Base CDI'!$H$4:$H$28,'Base CDI'!$J$4:$J$29,S168,"Cubic","Extrapolate=Linear","MultiX=Average","Skip=True","Sort=True")</f>
        <v>14.394937331497308</v>
      </c>
      <c r="U168" s="43">
        <f ca="1">_xll.BInterpol('Base CDI'!$H$4:$H$28,'Base CDI'!$I$4:$I$29,S168,"Cubic","Extrapolate=Linear","MultiX=Average","Skip=True","Sort=True")</f>
        <v>14.430150526425809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45875</v>
      </c>
      <c r="T169" s="43">
        <f ca="1">_xll.BInterpol('Base CDI'!$H$4:$H$28,'Base CDI'!$J$4:$J$29,S169,"Cubic","Extrapolate=Linear","MultiX=Average","Skip=True","Sort=True")</f>
        <v>14.39882607002437</v>
      </c>
      <c r="U169" s="43">
        <f ca="1">_xll.BInterpol('Base CDI'!$H$4:$H$28,'Base CDI'!$I$4:$I$29,S169,"Cubic","Extrapolate=Linear","MultiX=Average","Skip=True","Sort=True")</f>
        <v>14.434203888360335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45876</v>
      </c>
      <c r="T170" s="43">
        <f ca="1">_xll.BInterpol('Base CDI'!$H$4:$H$28,'Base CDI'!$J$4:$J$29,S170,"Cubic","Extrapolate=Linear","MultiX=Average","Skip=True","Sort=True")</f>
        <v>14.402687973038432</v>
      </c>
      <c r="U170" s="43">
        <f ca="1">_xll.BInterpol('Base CDI'!$H$4:$H$28,'Base CDI'!$I$4:$I$29,S170,"Cubic","Extrapolate=Linear","MultiX=Average","Skip=True","Sort=True")</f>
        <v>14.438229682202275</v>
      </c>
    </row>
    <row r="171" spans="16:21" x14ac:dyDescent="0.25">
      <c r="P171" s="10">
        <v>34752</v>
      </c>
      <c r="Q171">
        <v>1.374403</v>
      </c>
      <c r="S171" s="42">
        <f t="shared" ca="1" si="7"/>
        <v>45877</v>
      </c>
      <c r="T171" s="43">
        <f ca="1">_xll.BInterpol('Base CDI'!$H$4:$H$28,'Base CDI'!$J$4:$J$29,S171,"Cubic","Extrapolate=Linear","MultiX=Average","Skip=True","Sort=True")</f>
        <v>14.406523159601253</v>
      </c>
      <c r="U171" s="43">
        <f ca="1">_xll.BInterpol('Base CDI'!$H$4:$H$28,'Base CDI'!$I$4:$I$29,S171,"Cubic","Extrapolate=Linear","MultiX=Average","Skip=True","Sort=True")</f>
        <v>14.442228025707147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45878</v>
      </c>
      <c r="T172" s="43">
        <f ca="1">_xll.BInterpol('Base CDI'!$H$4:$H$28,'Base CDI'!$J$4:$J$29,S172,"Cubic","Extrapolate=Linear","MultiX=Average","Skip=True","Sort=True")</f>
        <v>14.41033174877459</v>
      </c>
      <c r="U172" s="43">
        <f ca="1">_xll.BInterpol('Base CDI'!$H$4:$H$28,'Base CDI'!$I$4:$I$29,S172,"Cubic","Extrapolate=Linear","MultiX=Average","Skip=True","Sort=True")</f>
        <v>14.446199036630475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45879</v>
      </c>
      <c r="T173" s="43">
        <f ca="1">_xll.BInterpol('Base CDI'!$H$4:$H$28,'Base CDI'!$J$4:$J$29,S173,"Cubic","Extrapolate=Linear","MultiX=Average","Skip=True","Sort=True")</f>
        <v>14.414113859620201</v>
      </c>
      <c r="U173" s="43">
        <f ca="1">_xll.BInterpol('Base CDI'!$H$4:$H$28,'Base CDI'!$I$4:$I$29,S173,"Cubic","Extrapolate=Linear","MultiX=Average","Skip=True","Sort=True")</f>
        <v>14.450142832727776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45880</v>
      </c>
      <c r="T174" s="43">
        <f ca="1">_xll.BInterpol('Base CDI'!$H$4:$H$28,'Base CDI'!$J$4:$J$29,S174,"Cubic","Extrapolate=Linear","MultiX=Average","Skip=True","Sort=True")</f>
        <v>14.417869611199844</v>
      </c>
      <c r="U174" s="43">
        <f ca="1">_xll.BInterpol('Base CDI'!$H$4:$H$28,'Base CDI'!$I$4:$I$29,S174,"Cubic","Extrapolate=Linear","MultiX=Average","Skip=True","Sort=True")</f>
        <v>14.45405953175457</v>
      </c>
    </row>
    <row r="175" spans="16:21" x14ac:dyDescent="0.25">
      <c r="P175" s="10">
        <v>34760</v>
      </c>
      <c r="Q175">
        <v>1.383229</v>
      </c>
      <c r="S175" s="42">
        <f t="shared" ca="1" si="7"/>
        <v>45881</v>
      </c>
      <c r="T175" s="43">
        <f ca="1">_xll.BInterpol('Base CDI'!$H$4:$H$28,'Base CDI'!$J$4:$J$29,S175,"Cubic","Extrapolate=Linear","MultiX=Average","Skip=True","Sort=True")</f>
        <v>14.421599122575277</v>
      </c>
      <c r="U175" s="43">
        <f ca="1">_xll.BInterpol('Base CDI'!$H$4:$H$28,'Base CDI'!$I$4:$I$29,S175,"Cubic","Extrapolate=Linear","MultiX=Average","Skip=True","Sort=True")</f>
        <v>14.457949251466378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45882</v>
      </c>
      <c r="T176" s="43">
        <f ca="1">_xll.BInterpol('Base CDI'!$H$4:$H$28,'Base CDI'!$J$4:$J$29,S176,"Cubic","Extrapolate=Linear","MultiX=Average","Skip=True","Sort=True")</f>
        <v>14.425302512808258</v>
      </c>
      <c r="U176" s="43">
        <f ca="1">_xll.BInterpol('Base CDI'!$H$4:$H$28,'Base CDI'!$I$4:$I$29,S176,"Cubic","Extrapolate=Linear","MultiX=Average","Skip=True","Sort=True")</f>
        <v>14.461812109618718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45883</v>
      </c>
      <c r="T177" s="43">
        <f ca="1">_xll.BInterpol('Base CDI'!$H$4:$H$28,'Base CDI'!$J$4:$J$29,S177,"Cubic","Extrapolate=Linear","MultiX=Average","Skip=True","Sort=True")</f>
        <v>14.428979900960547</v>
      </c>
      <c r="U177" s="43">
        <f ca="1">_xll.BInterpol('Base CDI'!$H$4:$H$28,'Base CDI'!$I$4:$I$29,S177,"Cubic","Extrapolate=Linear","MultiX=Average","Skip=True","Sort=True")</f>
        <v>14.46564822396711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45884</v>
      </c>
      <c r="T178" s="43">
        <f ca="1">_xll.BInterpol('Base CDI'!$H$4:$H$28,'Base CDI'!$J$4:$J$29,S178,"Cubic","Extrapolate=Linear","MultiX=Average","Skip=True","Sort=True")</f>
        <v>14.4326314060939</v>
      </c>
      <c r="U178" s="43">
        <f ca="1">_xll.BInterpol('Base CDI'!$H$4:$H$28,'Base CDI'!$I$4:$I$29,S178,"Cubic","Extrapolate=Linear","MultiX=Average","Skip=True","Sort=True")</f>
        <v>14.469457712267076</v>
      </c>
    </row>
    <row r="179" spans="16:21" x14ac:dyDescent="0.25">
      <c r="P179" s="10">
        <v>34766</v>
      </c>
      <c r="Q179">
        <v>1.391019</v>
      </c>
      <c r="S179" s="42">
        <f t="shared" ca="1" si="7"/>
        <v>45885</v>
      </c>
      <c r="T179" s="43">
        <f ca="1">_xll.BInterpol('Base CDI'!$H$4:$H$28,'Base CDI'!$J$4:$J$29,S179,"Cubic","Extrapolate=Linear","MultiX=Average","Skip=True","Sort=True")</f>
        <v>14.436257147270075</v>
      </c>
      <c r="U179" s="43">
        <f ca="1">_xll.BInterpol('Base CDI'!$H$4:$H$28,'Base CDI'!$I$4:$I$29,S179,"Cubic","Extrapolate=Linear","MultiX=Average","Skip=True","Sort=True")</f>
        <v>14.473240692274134</v>
      </c>
    </row>
    <row r="180" spans="16:21" x14ac:dyDescent="0.25">
      <c r="P180" s="10">
        <v>34767</v>
      </c>
      <c r="Q180">
        <v>1.392995</v>
      </c>
      <c r="S180" s="42">
        <f t="shared" ca="1" si="7"/>
        <v>45886</v>
      </c>
      <c r="T180" s="43">
        <f ca="1">_xll.BInterpol('Base CDI'!$H$4:$H$28,'Base CDI'!$J$4:$J$29,S180,"Cubic","Extrapolate=Linear","MultiX=Average","Skip=True","Sort=True")</f>
        <v>14.439857243550831</v>
      </c>
      <c r="U180" s="43">
        <f ca="1">_xll.BInterpol('Base CDI'!$H$4:$H$28,'Base CDI'!$I$4:$I$29,S180,"Cubic","Extrapolate=Linear","MultiX=Average","Skip=True","Sort=True")</f>
        <v>14.476997281743802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45887</v>
      </c>
      <c r="T181" s="43">
        <f ca="1">_xll.BInterpol('Base CDI'!$H$4:$H$28,'Base CDI'!$J$4:$J$29,S181,"Cubic","Extrapolate=Linear","MultiX=Average","Skip=True","Sort=True")</f>
        <v>14.443431813997925</v>
      </c>
      <c r="U181" s="43">
        <f ca="1">_xll.BInterpol('Base CDI'!$H$4:$H$28,'Base CDI'!$I$4:$I$29,S181,"Cubic","Extrapolate=Linear","MultiX=Average","Skip=True","Sort=True")</f>
        <v>14.480727598431603</v>
      </c>
    </row>
    <row r="182" spans="16:21" x14ac:dyDescent="0.25">
      <c r="P182" s="10">
        <v>34771</v>
      </c>
      <c r="Q182">
        <v>1.39846</v>
      </c>
      <c r="S182" s="42">
        <f t="shared" ca="1" si="7"/>
        <v>45888</v>
      </c>
      <c r="T182" s="43">
        <f ca="1">_xll.BInterpol('Base CDI'!$H$4:$H$28,'Base CDI'!$J$4:$J$29,S182,"Cubic","Extrapolate=Linear","MultiX=Average","Skip=True","Sort=True")</f>
        <v>14.446980977673116</v>
      </c>
      <c r="U182" s="43">
        <f ca="1">_xll.BInterpol('Base CDI'!$H$4:$H$28,'Base CDI'!$I$4:$I$29,S182,"Cubic","Extrapolate=Linear","MultiX=Average","Skip=True","Sort=True")</f>
        <v>14.484431760093056</v>
      </c>
    </row>
    <row r="183" spans="16:21" x14ac:dyDescent="0.25">
      <c r="P183" s="10">
        <v>34772</v>
      </c>
      <c r="Q183">
        <v>1.401397</v>
      </c>
      <c r="S183" s="42">
        <f t="shared" ca="1" si="7"/>
        <v>45889</v>
      </c>
      <c r="T183" s="43">
        <f ca="1">_xll.BInterpol('Base CDI'!$H$4:$H$28,'Base CDI'!$J$4:$J$29,S183,"Cubic","Extrapolate=Linear","MultiX=Average","Skip=True","Sort=True")</f>
        <v>14.450504853638162</v>
      </c>
      <c r="U183" s="43">
        <f ca="1">_xll.BInterpol('Base CDI'!$H$4:$H$28,'Base CDI'!$I$4:$I$29,S183,"Cubic","Extrapolate=Linear","MultiX=Average","Skip=True","Sort=True")</f>
        <v>14.488109884483679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45890</v>
      </c>
      <c r="T184" s="43">
        <f ca="1">_xll.BInterpol('Base CDI'!$H$4:$H$28,'Base CDI'!$J$4:$J$29,S184,"Cubic","Extrapolate=Linear","MultiX=Average","Skip=True","Sort=True")</f>
        <v>14.454003560954821</v>
      </c>
      <c r="U184" s="43">
        <f ca="1">_xll.BInterpol('Base CDI'!$H$4:$H$28,'Base CDI'!$I$4:$I$29,S184,"Cubic","Extrapolate=Linear","MultiX=Average","Skip=True","Sort=True")</f>
        <v>14.491762089358993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45891</v>
      </c>
      <c r="T185" s="43">
        <f ca="1">_xll.BInterpol('Base CDI'!$H$4:$H$28,'Base CDI'!$J$4:$J$29,S185,"Cubic","Extrapolate=Linear","MultiX=Average","Skip=True","Sort=True")</f>
        <v>14.457477218684851</v>
      </c>
      <c r="U185" s="43">
        <f ca="1">_xll.BInterpol('Base CDI'!$H$4:$H$28,'Base CDI'!$I$4:$I$29,S185,"Cubic","Extrapolate=Linear","MultiX=Average","Skip=True","Sort=True")</f>
        <v>14.495388492474518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45892</v>
      </c>
      <c r="T186" s="43">
        <f ca="1">_xll.BInterpol('Base CDI'!$H$4:$H$28,'Base CDI'!$J$4:$J$29,S186,"Cubic","Extrapolate=Linear","MultiX=Average","Skip=True","Sort=True")</f>
        <v>14.460925945890009</v>
      </c>
      <c r="U186" s="43">
        <f ca="1">_xll.BInterpol('Base CDI'!$H$4:$H$28,'Base CDI'!$I$4:$I$29,S186,"Cubic","Extrapolate=Linear","MultiX=Average","Skip=True","Sort=True")</f>
        <v>14.498989211585775</v>
      </c>
    </row>
    <row r="187" spans="16:21" x14ac:dyDescent="0.25">
      <c r="P187" s="10">
        <v>34778</v>
      </c>
      <c r="Q187">
        <v>1.412787</v>
      </c>
      <c r="S187" s="42">
        <f t="shared" ca="1" si="7"/>
        <v>45893</v>
      </c>
      <c r="T187" s="43">
        <f ca="1">_xll.BInterpol('Base CDI'!$H$4:$H$28,'Base CDI'!$J$4:$J$29,S187,"Cubic","Extrapolate=Linear","MultiX=Average","Skip=True","Sort=True")</f>
        <v>14.464349861632055</v>
      </c>
      <c r="U187" s="43">
        <f ca="1">_xll.BInterpol('Base CDI'!$H$4:$H$28,'Base CDI'!$I$4:$I$29,S187,"Cubic","Extrapolate=Linear","MultiX=Average","Skip=True","Sort=True")</f>
        <v>14.502564364448279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45894</v>
      </c>
      <c r="T188" s="43">
        <f ca="1">_xll.BInterpol('Base CDI'!$H$4:$H$28,'Base CDI'!$J$4:$J$29,S188,"Cubic","Extrapolate=Linear","MultiX=Average","Skip=True","Sort=True")</f>
        <v>14.467749084972745</v>
      </c>
      <c r="U188" s="43">
        <f ca="1">_xll.BInterpol('Base CDI'!$H$4:$H$28,'Base CDI'!$I$4:$I$29,S188,"Cubic","Extrapolate=Linear","MultiX=Average","Skip=True","Sort=True")</f>
        <v>14.506114068817554</v>
      </c>
    </row>
    <row r="189" spans="16:21" x14ac:dyDescent="0.25">
      <c r="P189" s="10">
        <v>34780</v>
      </c>
      <c r="Q189">
        <v>1.418501</v>
      </c>
      <c r="S189" s="42">
        <f t="shared" ca="1" si="7"/>
        <v>45895</v>
      </c>
      <c r="T189" s="43">
        <f ca="1">_xll.BInterpol('Base CDI'!$H$4:$H$28,'Base CDI'!$J$4:$J$29,S189,"Cubic","Extrapolate=Linear","MultiX=Average","Skip=True","Sort=True")</f>
        <v>14.471123734973839</v>
      </c>
      <c r="U189" s="43">
        <f ca="1">_xll.BInterpol('Base CDI'!$H$4:$H$28,'Base CDI'!$I$4:$I$29,S189,"Cubic","Extrapolate=Linear","MultiX=Average","Skip=True","Sort=True")</f>
        <v>14.50963844244912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45896</v>
      </c>
      <c r="T190" s="43">
        <f ca="1">_xll.BInterpol('Base CDI'!$H$4:$H$28,'Base CDI'!$J$4:$J$29,S190,"Cubic","Extrapolate=Linear","MultiX=Average","Skip=True","Sort=True")</f>
        <v>14.474473930697094</v>
      </c>
      <c r="U190" s="43">
        <f ca="1">_xll.BInterpol('Base CDI'!$H$4:$H$28,'Base CDI'!$I$4:$I$29,S190,"Cubic","Extrapolate=Linear","MultiX=Average","Skip=True","Sort=True")</f>
        <v>14.513137603098496</v>
      </c>
    </row>
    <row r="191" spans="16:21" x14ac:dyDescent="0.25">
      <c r="P191" s="10">
        <v>34782</v>
      </c>
      <c r="Q191">
        <v>1.424228</v>
      </c>
      <c r="S191" s="42">
        <f t="shared" ca="1" si="7"/>
        <v>45897</v>
      </c>
      <c r="T191" s="43">
        <f ca="1">_xll.BInterpol('Base CDI'!$H$4:$H$28,'Base CDI'!$J$4:$J$29,S191,"Cubic","Extrapolate=Linear","MultiX=Average","Skip=True","Sort=True")</f>
        <v>14.477799791204269</v>
      </c>
      <c r="U191" s="43">
        <f ca="1">_xll.BInterpol('Base CDI'!$H$4:$H$28,'Base CDI'!$I$4:$I$29,S191,"Cubic","Extrapolate=Linear","MultiX=Average","Skip=True","Sort=True")</f>
        <v>14.516611668521199</v>
      </c>
    </row>
    <row r="192" spans="16:21" x14ac:dyDescent="0.25">
      <c r="P192" s="10">
        <v>34785</v>
      </c>
      <c r="Q192">
        <v>1.4271</v>
      </c>
      <c r="S192" s="42">
        <f t="shared" ca="1" si="7"/>
        <v>45898</v>
      </c>
      <c r="T192" s="43">
        <f ca="1">_xll.BInterpol('Base CDI'!$H$4:$H$28,'Base CDI'!$J$4:$J$29,S192,"Cubic","Extrapolate=Linear","MultiX=Average","Skip=True","Sort=True")</f>
        <v>14.48110143555712</v>
      </c>
      <c r="U192" s="43">
        <f ca="1">_xll.BInterpol('Base CDI'!$H$4:$H$28,'Base CDI'!$I$4:$I$29,S192,"Cubic","Extrapolate=Linear","MultiX=Average","Skip=True","Sort=True")</f>
        <v>14.520060756472752</v>
      </c>
    </row>
    <row r="193" spans="16:21" x14ac:dyDescent="0.25">
      <c r="P193" s="10">
        <v>34786</v>
      </c>
      <c r="Q193">
        <v>1.429978</v>
      </c>
      <c r="S193" s="42">
        <f t="shared" ca="1" si="7"/>
        <v>45899</v>
      </c>
      <c r="T193" s="43">
        <f ca="1">_xll.BInterpol('Base CDI'!$H$4:$H$28,'Base CDI'!$J$4:$J$29,S193,"Cubic","Extrapolate=Linear","MultiX=Average","Skip=True","Sort=True")</f>
        <v>14.484378982817407</v>
      </c>
      <c r="U193" s="43">
        <f ca="1">_xll.BInterpol('Base CDI'!$H$4:$H$28,'Base CDI'!$I$4:$I$29,S193,"Cubic","Extrapolate=Linear","MultiX=Average","Skip=True","Sort=True")</f>
        <v>14.523484984708674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45900</v>
      </c>
      <c r="T194" s="43">
        <f ca="1">_xll.BInterpol('Base CDI'!$H$4:$H$28,'Base CDI'!$J$4:$J$29,S194,"Cubic","Extrapolate=Linear","MultiX=Average","Skip=True","Sort=True")</f>
        <v>14.487632552046888</v>
      </c>
      <c r="U194" s="43">
        <f ca="1">_xll.BInterpol('Base CDI'!$H$4:$H$28,'Base CDI'!$I$4:$I$29,S194,"Cubic","Extrapolate=Linear","MultiX=Average","Skip=True","Sort=True")</f>
        <v>14.526884470984482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45901</v>
      </c>
      <c r="T195" s="43">
        <f ca="1">_xll.BInterpol('Base CDI'!$H$4:$H$28,'Base CDI'!$J$4:$J$29,S195,"Cubic","Extrapolate=Linear","MultiX=Average","Skip=True","Sort=True")</f>
        <v>14.490862262307319</v>
      </c>
      <c r="U195" s="43">
        <f ca="1">_xll.BInterpol('Base CDI'!$H$4:$H$28,'Base CDI'!$I$4:$I$29,S195,"Cubic","Extrapolate=Linear","MultiX=Average","Skip=True","Sort=True")</f>
        <v>14.530259333055701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45902</v>
      </c>
      <c r="T196" s="43">
        <f ca="1">_xll.BInterpol('Base CDI'!$H$4:$H$28,'Base CDI'!$J$4:$J$29,S196,"Cubic","Extrapolate=Linear","MultiX=Average","Skip=True","Sort=True")</f>
        <v>14.49406823266046</v>
      </c>
      <c r="U196" s="43">
        <f ca="1">_xll.BInterpol('Base CDI'!$H$4:$H$28,'Base CDI'!$I$4:$I$29,S196,"Cubic","Extrapolate=Linear","MultiX=Average","Skip=True","Sort=True")</f>
        <v>14.533609688677847</v>
      </c>
    </row>
    <row r="197" spans="16:21" x14ac:dyDescent="0.25">
      <c r="P197" s="10">
        <v>34792</v>
      </c>
      <c r="Q197">
        <v>1.442186</v>
      </c>
      <c r="S197" s="42">
        <f t="shared" ca="1" si="7"/>
        <v>45903</v>
      </c>
      <c r="T197" s="43">
        <f ca="1">_xll.BInterpol('Base CDI'!$H$4:$H$28,'Base CDI'!$J$4:$J$29,S197,"Cubic","Extrapolate=Linear","MultiX=Average","Skip=True","Sort=True")</f>
        <v>14.497250582168069</v>
      </c>
      <c r="U197" s="43">
        <f ca="1">_xll.BInterpol('Base CDI'!$H$4:$H$28,'Base CDI'!$I$4:$I$29,S197,"Cubic","Extrapolate=Linear","MultiX=Average","Skip=True","Sort=True")</f>
        <v>14.536935655606442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45904</v>
      </c>
      <c r="T198" s="43">
        <f ca="1">_xll.BInterpol('Base CDI'!$H$4:$H$28,'Base CDI'!$J$4:$J$29,S198,"Cubic","Extrapolate=Linear","MultiX=Average","Skip=True","Sort=True")</f>
        <v>14.500409429891905</v>
      </c>
      <c r="U198" s="43">
        <f ca="1">_xll.BInterpol('Base CDI'!$H$4:$H$28,'Base CDI'!$I$4:$I$29,S198,"Cubic","Extrapolate=Linear","MultiX=Average","Skip=True","Sort=True")</f>
        <v>14.540237351597002</v>
      </c>
    </row>
    <row r="199" spans="16:21" x14ac:dyDescent="0.25">
      <c r="P199" s="10">
        <v>34794</v>
      </c>
      <c r="Q199">
        <v>1.44929</v>
      </c>
      <c r="S199" s="42">
        <f t="shared" ca="1" si="7"/>
        <v>45905</v>
      </c>
      <c r="T199" s="43">
        <f ca="1">_xll.BInterpol('Base CDI'!$H$4:$H$28,'Base CDI'!$J$4:$J$29,S199,"Cubic","Extrapolate=Linear","MultiX=Average","Skip=True","Sort=True")</f>
        <v>14.503544894893723</v>
      </c>
      <c r="U199" s="43">
        <f ca="1">_xll.BInterpol('Base CDI'!$H$4:$H$28,'Base CDI'!$I$4:$I$29,S199,"Cubic","Extrapolate=Linear","MultiX=Average","Skip=True","Sort=True")</f>
        <v>14.54351489440505</v>
      </c>
    </row>
    <row r="200" spans="16:21" x14ac:dyDescent="0.25">
      <c r="P200" s="10">
        <v>34795</v>
      </c>
      <c r="Q200">
        <v>1.452855</v>
      </c>
      <c r="S200" s="42">
        <f t="shared" ca="1" si="7"/>
        <v>45906</v>
      </c>
      <c r="T200" s="43">
        <f ca="1">_xll.BInterpol('Base CDI'!$H$4:$H$28,'Base CDI'!$J$4:$J$29,S200,"Cubic","Extrapolate=Linear","MultiX=Average","Skip=True","Sort=True")</f>
        <v>14.506657096235283</v>
      </c>
      <c r="U200" s="43">
        <f ca="1">_xll.BInterpol('Base CDI'!$H$4:$H$28,'Base CDI'!$I$4:$I$29,S200,"Cubic","Extrapolate=Linear","MultiX=Average","Skip=True","Sort=True")</f>
        <v>14.546768401786107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45907</v>
      </c>
      <c r="T201" s="43">
        <f ca="1">_xll.BInterpol('Base CDI'!$H$4:$H$28,'Base CDI'!$J$4:$J$29,S201,"Cubic","Extrapolate=Linear","MultiX=Average","Skip=True","Sort=True")</f>
        <v>14.509746152978344</v>
      </c>
      <c r="U201" s="43">
        <f ca="1">_xll.BInterpol('Base CDI'!$H$4:$H$28,'Base CDI'!$I$4:$I$29,S201,"Cubic","Extrapolate=Linear","MultiX=Average","Skip=True","Sort=True")</f>
        <v>14.549997991495689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45908</v>
      </c>
      <c r="T202" s="43">
        <f ca="1">_xll.BInterpol('Base CDI'!$H$4:$H$28,'Base CDI'!$J$4:$J$29,S202,"Cubic","Extrapolate=Linear","MultiX=Average","Skip=True","Sort=True")</f>
        <v>14.512812184184662</v>
      </c>
      <c r="U202" s="43">
        <f ca="1">_xll.BInterpol('Base CDI'!$H$4:$H$28,'Base CDI'!$I$4:$I$29,S202,"Cubic","Extrapolate=Linear","MultiX=Average","Skip=True","Sort=True")</f>
        <v>14.553203781289316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45909</v>
      </c>
      <c r="T203" s="43">
        <f ca="1">_xll.BInterpol('Base CDI'!$H$4:$H$28,'Base CDI'!$J$4:$J$29,S203,"Cubic","Extrapolate=Linear","MultiX=Average","Skip=True","Sort=True")</f>
        <v>14.515855308915995</v>
      </c>
      <c r="U203" s="43">
        <f ca="1">_xll.BInterpol('Base CDI'!$H$4:$H$28,'Base CDI'!$I$4:$I$29,S203,"Cubic","Extrapolate=Linear","MultiX=Average","Skip=True","Sort=True")</f>
        <v>14.556385888922511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45910</v>
      </c>
      <c r="T204" s="43">
        <f ca="1">_xll.BInterpol('Base CDI'!$H$4:$H$28,'Base CDI'!$J$4:$J$29,S204,"Cubic","Extrapolate=Linear","MultiX=Average","Skip=True","Sort=True")</f>
        <v>14.518875646234104</v>
      </c>
      <c r="U204" s="43">
        <f ca="1">_xll.BInterpol('Base CDI'!$H$4:$H$28,'Base CDI'!$I$4:$I$29,S204,"Cubic","Extrapolate=Linear","MultiX=Average","Skip=True","Sort=True")</f>
        <v>14.559544432150792</v>
      </c>
    </row>
    <row r="205" spans="16:21" x14ac:dyDescent="0.25">
      <c r="P205" s="10">
        <v>34806</v>
      </c>
      <c r="Q205">
        <v>1.470907</v>
      </c>
      <c r="S205" s="42">
        <f t="shared" ca="1" si="8"/>
        <v>45911</v>
      </c>
      <c r="T205" s="43">
        <f ca="1">_xll.BInterpol('Base CDI'!$H$4:$H$28,'Base CDI'!$J$4:$J$29,S205,"Cubic","Extrapolate=Linear","MultiX=Average","Skip=True","Sort=True")</f>
        <v>14.521873315200745</v>
      </c>
      <c r="U205" s="43">
        <f ca="1">_xll.BInterpol('Base CDI'!$H$4:$H$28,'Base CDI'!$I$4:$I$29,S205,"Cubic","Extrapolate=Linear","MultiX=Average","Skip=True","Sort=True")</f>
        <v>14.562679528729678</v>
      </c>
    </row>
    <row r="206" spans="16:21" x14ac:dyDescent="0.25">
      <c r="P206" s="10">
        <v>34807</v>
      </c>
      <c r="Q206">
        <v>1.474564</v>
      </c>
      <c r="S206" s="42">
        <f t="shared" ca="1" si="8"/>
        <v>45912</v>
      </c>
      <c r="T206" s="43">
        <f ca="1">_xll.BInterpol('Base CDI'!$H$4:$H$28,'Base CDI'!$J$4:$J$29,S206,"Cubic","Extrapolate=Linear","MultiX=Average","Skip=True","Sort=True")</f>
        <v>14.524848434877674</v>
      </c>
      <c r="U206" s="43">
        <f ca="1">_xll.BInterpol('Base CDI'!$H$4:$H$28,'Base CDI'!$I$4:$I$29,S206,"Cubic","Extrapolate=Linear","MultiX=Average","Skip=True","Sort=True")</f>
        <v>14.565791296414691</v>
      </c>
    </row>
    <row r="207" spans="16:21" x14ac:dyDescent="0.25">
      <c r="P207" s="10">
        <v>34808</v>
      </c>
      <c r="Q207">
        <v>1.478216</v>
      </c>
      <c r="S207" s="42">
        <f t="shared" ca="1" si="8"/>
        <v>45913</v>
      </c>
      <c r="T207" s="43">
        <f ca="1">_xll.BInterpol('Base CDI'!$H$4:$H$28,'Base CDI'!$J$4:$J$29,S207,"Cubic","Extrapolate=Linear","MultiX=Average","Skip=True","Sort=True")</f>
        <v>14.527801124326652</v>
      </c>
      <c r="U207" s="43">
        <f ca="1">_xll.BInterpol('Base CDI'!$H$4:$H$28,'Base CDI'!$I$4:$I$29,S207,"Cubic","Extrapolate=Linear","MultiX=Average","Skip=True","Sort=True")</f>
        <v>14.568879852961347</v>
      </c>
    </row>
    <row r="208" spans="16:21" x14ac:dyDescent="0.25">
      <c r="P208" s="10">
        <v>34809</v>
      </c>
      <c r="Q208">
        <v>1.481868</v>
      </c>
      <c r="S208" s="42">
        <f t="shared" ca="1" si="8"/>
        <v>45914</v>
      </c>
      <c r="T208" s="43">
        <f ca="1">_xll.BInterpol('Base CDI'!$H$4:$H$28,'Base CDI'!$J$4:$J$29,S208,"Cubic","Extrapolate=Linear","MultiX=Average","Skip=True","Sort=True")</f>
        <v>14.530731502609438</v>
      </c>
      <c r="U208" s="43">
        <f ca="1">_xll.BInterpol('Base CDI'!$H$4:$H$28,'Base CDI'!$I$4:$I$29,S208,"Cubic","Extrapolate=Linear","MultiX=Average","Skip=True","Sort=True")</f>
        <v>14.57194531612517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45915</v>
      </c>
      <c r="T209" s="43">
        <f ca="1">_xll.BInterpol('Base CDI'!$H$4:$H$28,'Base CDI'!$J$4:$J$29,S209,"Cubic","Extrapolate=Linear","MultiX=Average","Skip=True","Sort=True")</f>
        <v>14.533639688787787</v>
      </c>
      <c r="U209" s="43">
        <f ca="1">_xll.BInterpol('Base CDI'!$H$4:$H$28,'Base CDI'!$I$4:$I$29,S209,"Cubic","Extrapolate=Linear","MultiX=Average","Skip=True","Sort=True")</f>
        <v>14.574987803661676</v>
      </c>
    </row>
    <row r="210" spans="16:21" x14ac:dyDescent="0.25">
      <c r="P210" s="10">
        <v>34814</v>
      </c>
      <c r="Q210">
        <v>1.489177</v>
      </c>
      <c r="S210" s="42">
        <f t="shared" ca="1" si="8"/>
        <v>45916</v>
      </c>
      <c r="T210" s="43">
        <f ca="1">_xll.BInterpol('Base CDI'!$H$4:$H$28,'Base CDI'!$J$4:$J$29,S210,"Cubic","Extrapolate=Linear","MultiX=Average","Skip=True","Sort=True")</f>
        <v>14.536525801923458</v>
      </c>
      <c r="U210" s="43">
        <f ca="1">_xll.BInterpol('Base CDI'!$H$4:$H$28,'Base CDI'!$I$4:$I$29,S210,"Cubic","Extrapolate=Linear","MultiX=Average","Skip=True","Sort=True")</f>
        <v>14.578007433326388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45917</v>
      </c>
      <c r="T211" s="43">
        <f ca="1">_xll.BInterpol('Base CDI'!$H$4:$H$28,'Base CDI'!$J$4:$J$29,S211,"Cubic","Extrapolate=Linear","MultiX=Average","Skip=True","Sort=True")</f>
        <v>14.539389961078211</v>
      </c>
      <c r="U211" s="43">
        <f ca="1">_xll.BInterpol('Base CDI'!$H$4:$H$28,'Base CDI'!$I$4:$I$29,S211,"Cubic","Extrapolate=Linear","MultiX=Average","Skip=True","Sort=True")</f>
        <v>14.581004322874824</v>
      </c>
    </row>
    <row r="212" spans="16:21" x14ac:dyDescent="0.25">
      <c r="P212" s="10">
        <v>34816</v>
      </c>
      <c r="Q212">
        <v>1.496513</v>
      </c>
      <c r="S212" s="42">
        <f t="shared" ca="1" si="8"/>
        <v>45918</v>
      </c>
      <c r="T212" s="43">
        <f ca="1">_xll.BInterpol('Base CDI'!$H$4:$H$28,'Base CDI'!$J$4:$J$29,S212,"Cubic","Extrapolate=Linear","MultiX=Average","Skip=True","Sort=True")</f>
        <v>14.542232285313801</v>
      </c>
      <c r="U212" s="43">
        <f ca="1">_xll.BInterpol('Base CDI'!$H$4:$H$28,'Base CDI'!$I$4:$I$29,S212,"Cubic","Extrapolate=Linear","MultiX=Average","Skip=True","Sort=True")</f>
        <v>14.583978590062502</v>
      </c>
    </row>
    <row r="213" spans="16:21" x14ac:dyDescent="0.25">
      <c r="P213" s="10">
        <v>34817</v>
      </c>
      <c r="Q213">
        <v>1.500194</v>
      </c>
      <c r="S213" s="42">
        <f t="shared" ca="1" si="8"/>
        <v>45919</v>
      </c>
      <c r="T213" s="43">
        <f ca="1">_xll.BInterpol('Base CDI'!$H$4:$H$28,'Base CDI'!$J$4:$J$29,S213,"Cubic","Extrapolate=Linear","MultiX=Average","Skip=True","Sort=True")</f>
        <v>14.545052893691988</v>
      </c>
      <c r="U213" s="43">
        <f ca="1">_xll.BInterpol('Base CDI'!$H$4:$H$28,'Base CDI'!$I$4:$I$29,S213,"Cubic","Extrapolate=Linear","MultiX=Average","Skip=True","Sort=True")</f>
        <v>14.586930352644947</v>
      </c>
    </row>
    <row r="214" spans="16:21" x14ac:dyDescent="0.25">
      <c r="P214" s="10">
        <v>34821</v>
      </c>
      <c r="Q214">
        <v>1.503045</v>
      </c>
      <c r="S214" s="42">
        <f t="shared" ca="1" si="8"/>
        <v>45920</v>
      </c>
      <c r="T214" s="43">
        <f ca="1">_xll.BInterpol('Base CDI'!$H$4:$H$28,'Base CDI'!$J$4:$J$29,S214,"Cubic","Extrapolate=Linear","MultiX=Average","Skip=True","Sort=True")</f>
        <v>14.547851905274529</v>
      </c>
      <c r="U214" s="43">
        <f ca="1">_xll.BInterpol('Base CDI'!$H$4:$H$28,'Base CDI'!$I$4:$I$29,S214,"Cubic","Extrapolate=Linear","MultiX=Average","Skip=True","Sort=True")</f>
        <v>14.589859728377673</v>
      </c>
    </row>
    <row r="215" spans="16:21" x14ac:dyDescent="0.25">
      <c r="P215" s="10">
        <v>34822</v>
      </c>
      <c r="Q215">
        <v>1.505906</v>
      </c>
      <c r="S215" s="42">
        <f t="shared" ca="1" si="8"/>
        <v>45921</v>
      </c>
      <c r="T215" s="43">
        <f ca="1">_xll.BInterpol('Base CDI'!$H$4:$H$28,'Base CDI'!$J$4:$J$29,S215,"Cubic","Extrapolate=Linear","MultiX=Average","Skip=True","Sort=True")</f>
        <v>14.550629439123183</v>
      </c>
      <c r="U215" s="43">
        <f ca="1">_xll.BInterpol('Base CDI'!$H$4:$H$28,'Base CDI'!$I$4:$I$29,S215,"Cubic","Extrapolate=Linear","MultiX=Average","Skip=True","Sort=True")</f>
        <v>14.592766835016203</v>
      </c>
    </row>
    <row r="216" spans="16:21" x14ac:dyDescent="0.25">
      <c r="P216" s="10">
        <v>34823</v>
      </c>
      <c r="Q216">
        <v>1.508802</v>
      </c>
      <c r="S216" s="42">
        <f t="shared" ca="1" si="8"/>
        <v>45922</v>
      </c>
      <c r="T216" s="43">
        <f ca="1">_xll.BInterpol('Base CDI'!$H$4:$H$28,'Base CDI'!$J$4:$J$29,S216,"Cubic","Extrapolate=Linear","MultiX=Average","Skip=True","Sort=True")</f>
        <v>14.553385614299708</v>
      </c>
      <c r="U216" s="43">
        <f ca="1">_xll.BInterpol('Base CDI'!$H$4:$H$28,'Base CDI'!$I$4:$I$29,S216,"Cubic","Extrapolate=Linear","MultiX=Average","Skip=True","Sort=True")</f>
        <v>14.595651790316056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45923</v>
      </c>
      <c r="T217" s="43">
        <f ca="1">_xll.BInterpol('Base CDI'!$H$4:$H$28,'Base CDI'!$J$4:$J$29,S217,"Cubic","Extrapolate=Linear","MultiX=Average","Skip=True","Sort=True")</f>
        <v>14.556120549865863</v>
      </c>
      <c r="U217" s="43">
        <f ca="1">_xll.BInterpol('Base CDI'!$H$4:$H$28,'Base CDI'!$I$4:$I$29,S217,"Cubic","Extrapolate=Linear","MultiX=Average","Skip=True","Sort=True")</f>
        <v>14.598514712032753</v>
      </c>
    </row>
    <row r="218" spans="16:21" x14ac:dyDescent="0.25">
      <c r="P218" s="10">
        <v>34827</v>
      </c>
      <c r="Q218">
        <v>1.514586</v>
      </c>
      <c r="S218" s="42">
        <f t="shared" ca="1" si="8"/>
        <v>45924</v>
      </c>
      <c r="T218" s="43">
        <f ca="1">_xll.BInterpol('Base CDI'!$H$4:$H$28,'Base CDI'!$J$4:$J$29,S218,"Cubic","Extrapolate=Linear","MultiX=Average","Skip=True","Sort=True")</f>
        <v>14.558834364883403</v>
      </c>
      <c r="U218" s="43">
        <f ca="1">_xll.BInterpol('Base CDI'!$H$4:$H$28,'Base CDI'!$I$4:$I$29,S218,"Cubic","Extrapolate=Linear","MultiX=Average","Skip=True","Sort=True")</f>
        <v>14.601355717921811</v>
      </c>
    </row>
    <row r="219" spans="16:21" x14ac:dyDescent="0.25">
      <c r="P219" s="10">
        <v>34828</v>
      </c>
      <c r="Q219">
        <v>1.517479</v>
      </c>
      <c r="S219" s="42">
        <f t="shared" ca="1" si="8"/>
        <v>45925</v>
      </c>
      <c r="T219" s="43">
        <f ca="1">_xll.BInterpol('Base CDI'!$H$4:$H$28,'Base CDI'!$J$4:$J$29,S219,"Cubic","Extrapolate=Linear","MultiX=Average","Skip=True","Sort=True")</f>
        <v>14.561527178414089</v>
      </c>
      <c r="U219" s="43">
        <f ca="1">_xll.BInterpol('Base CDI'!$H$4:$H$28,'Base CDI'!$I$4:$I$29,S219,"Cubic","Extrapolate=Linear","MultiX=Average","Skip=True","Sort=True")</f>
        <v>14.60417492573875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45926</v>
      </c>
      <c r="T220" s="43">
        <f ca="1">_xll.BInterpol('Base CDI'!$H$4:$H$28,'Base CDI'!$J$4:$J$29,S220,"Cubic","Extrapolate=Linear","MultiX=Average","Skip=True","Sort=True")</f>
        <v>14.564199109519677</v>
      </c>
      <c r="U220" s="43">
        <f ca="1">_xll.BInterpol('Base CDI'!$H$4:$H$28,'Base CDI'!$I$4:$I$29,S220,"Cubic","Extrapolate=Linear","MultiX=Average","Skip=True","Sort=True")</f>
        <v>14.606972453239093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45927</v>
      </c>
      <c r="T221" s="43">
        <f ca="1">_xll.BInterpol('Base CDI'!$H$4:$H$28,'Base CDI'!$J$4:$J$29,S221,"Cubic","Extrapolate=Linear","MultiX=Average","Skip=True","Sort=True")</f>
        <v>14.566850277261928</v>
      </c>
      <c r="U221" s="43">
        <f ca="1">_xll.BInterpol('Base CDI'!$H$4:$H$28,'Base CDI'!$I$4:$I$29,S221,"Cubic","Extrapolate=Linear","MultiX=Average","Skip=True","Sort=True")</f>
        <v>14.609748418178357</v>
      </c>
    </row>
    <row r="222" spans="16:21" x14ac:dyDescent="0.25">
      <c r="P222" s="10">
        <v>34831</v>
      </c>
      <c r="Q222">
        <v>1.526216</v>
      </c>
      <c r="S222" s="42">
        <f t="shared" ca="1" si="8"/>
        <v>45928</v>
      </c>
      <c r="T222" s="43">
        <f ca="1">_xll.BInterpol('Base CDI'!$H$4:$H$28,'Base CDI'!$J$4:$J$29,S222,"Cubic","Extrapolate=Linear","MultiX=Average","Skip=True","Sort=True")</f>
        <v>14.569480800702596</v>
      </c>
      <c r="U222" s="43">
        <f ca="1">_xll.BInterpol('Base CDI'!$H$4:$H$28,'Base CDI'!$I$4:$I$29,S222,"Cubic","Extrapolate=Linear","MultiX=Average","Skip=True","Sort=True")</f>
        <v>14.612502938312064</v>
      </c>
    </row>
    <row r="223" spans="16:21" x14ac:dyDescent="0.25">
      <c r="P223" s="10">
        <v>34834</v>
      </c>
      <c r="Q223">
        <v>1.529131</v>
      </c>
      <c r="S223" s="42">
        <f t="shared" ca="1" si="8"/>
        <v>45929</v>
      </c>
      <c r="T223" s="43">
        <f ca="1">_xll.BInterpol('Base CDI'!$H$4:$H$28,'Base CDI'!$J$4:$J$29,S223,"Cubic","Extrapolate=Linear","MultiX=Average","Skip=True","Sort=True")</f>
        <v>14.572090798903442</v>
      </c>
      <c r="U223" s="43">
        <f ca="1">_xll.BInterpol('Base CDI'!$H$4:$H$28,'Base CDI'!$I$4:$I$29,S223,"Cubic","Extrapolate=Linear","MultiX=Average","Skip=True","Sort=True")</f>
        <v>14.615236131395731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45930</v>
      </c>
      <c r="T224" s="43">
        <f ca="1">_xll.BInterpol('Base CDI'!$H$4:$H$28,'Base CDI'!$J$4:$J$29,S224,"Cubic","Extrapolate=Linear","MultiX=Average","Skip=True","Sort=True")</f>
        <v>14.574680390926224</v>
      </c>
      <c r="U224" s="43">
        <f ca="1">_xll.BInterpol('Base CDI'!$H$4:$H$28,'Base CDI'!$I$4:$I$29,S224,"Cubic","Extrapolate=Linear","MultiX=Average","Skip=True","Sort=True")</f>
        <v>14.61794811518488</v>
      </c>
    </row>
    <row r="225" spans="16:21" x14ac:dyDescent="0.25">
      <c r="P225" s="10">
        <v>34836</v>
      </c>
      <c r="Q225">
        <v>1.534958</v>
      </c>
      <c r="S225" s="42">
        <f t="shared" ca="1" si="8"/>
        <v>45931</v>
      </c>
      <c r="T225" s="43">
        <f ca="1">_xll.BInterpol('Base CDI'!$H$4:$H$28,'Base CDI'!$J$4:$J$29,S225,"Cubic","Extrapolate=Linear","MultiX=Average","Skip=True","Sort=True")</f>
        <v>14.577249695832698</v>
      </c>
      <c r="U225" s="43">
        <f ca="1">_xll.BInterpol('Base CDI'!$H$4:$H$28,'Base CDI'!$I$4:$I$29,S225,"Cubic","Extrapolate=Linear","MultiX=Average","Skip=True","Sort=True")</f>
        <v>14.620639007435029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45932</v>
      </c>
      <c r="T226" s="43">
        <f ca="1">_xll.BInterpol('Base CDI'!$H$4:$H$28,'Base CDI'!$J$4:$J$29,S226,"Cubic","Extrapolate=Linear","MultiX=Average","Skip=True","Sort=True")</f>
        <v>14.579798832684624</v>
      </c>
      <c r="U226" s="43">
        <f ca="1">_xll.BInterpol('Base CDI'!$H$4:$H$28,'Base CDI'!$I$4:$I$29,S226,"Cubic","Extrapolate=Linear","MultiX=Average","Skip=True","Sort=True")</f>
        <v>14.623308925901698</v>
      </c>
    </row>
    <row r="227" spans="16:21" x14ac:dyDescent="0.25">
      <c r="P227" s="10">
        <v>34838</v>
      </c>
      <c r="Q227">
        <v>1.540781</v>
      </c>
      <c r="S227" s="42">
        <f t="shared" ca="1" si="8"/>
        <v>45933</v>
      </c>
      <c r="T227" s="43">
        <f ca="1">_xll.BInterpol('Base CDI'!$H$4:$H$28,'Base CDI'!$J$4:$J$29,S227,"Cubic","Extrapolate=Linear","MultiX=Average","Skip=True","Sort=True")</f>
        <v>14.58232792054376</v>
      </c>
      <c r="U227" s="43">
        <f ca="1">_xll.BInterpol('Base CDI'!$H$4:$H$28,'Base CDI'!$I$4:$I$29,S227,"Cubic","Extrapolate=Linear","MultiX=Average","Skip=True","Sort=True")</f>
        <v>14.625957988340408</v>
      </c>
    </row>
    <row r="228" spans="16:21" x14ac:dyDescent="0.25">
      <c r="P228" s="10">
        <v>34841</v>
      </c>
      <c r="Q228">
        <v>1.543698</v>
      </c>
      <c r="S228" s="42">
        <f t="shared" ca="1" si="8"/>
        <v>45934</v>
      </c>
      <c r="T228" s="43">
        <f ca="1">_xll.BInterpol('Base CDI'!$H$4:$H$28,'Base CDI'!$J$4:$J$29,S228,"Cubic","Extrapolate=Linear","MultiX=Average","Skip=True","Sort=True")</f>
        <v>14.584837078471862</v>
      </c>
      <c r="U228" s="43">
        <f ca="1">_xll.BInterpol('Base CDI'!$H$4:$H$28,'Base CDI'!$I$4:$I$29,S228,"Cubic","Extrapolate=Linear","MultiX=Average","Skip=True","Sort=True")</f>
        <v>14.628586312506679</v>
      </c>
    </row>
    <row r="229" spans="16:21" x14ac:dyDescent="0.25">
      <c r="P229" s="10">
        <v>34842</v>
      </c>
      <c r="Q229">
        <v>1.546621</v>
      </c>
      <c r="S229" s="42">
        <f t="shared" ca="1" si="8"/>
        <v>45935</v>
      </c>
      <c r="T229" s="43">
        <f ca="1">_xll.BInterpol('Base CDI'!$H$4:$H$28,'Base CDI'!$J$4:$J$29,S229,"Cubic","Extrapolate=Linear","MultiX=Average","Skip=True","Sort=True")</f>
        <v>14.587326425530691</v>
      </c>
      <c r="U229" s="43">
        <f ca="1">_xll.BInterpol('Base CDI'!$H$4:$H$28,'Base CDI'!$I$4:$I$29,S229,"Cubic","Extrapolate=Linear","MultiX=Average","Skip=True","Sort=True")</f>
        <v>14.631194016156028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45936</v>
      </c>
      <c r="T230" s="43">
        <f ca="1">_xll.BInterpol('Base CDI'!$H$4:$H$28,'Base CDI'!$J$4:$J$29,S230,"Cubic","Extrapolate=Linear","MultiX=Average","Skip=True","Sort=True")</f>
        <v>14.589796080782001</v>
      </c>
      <c r="U230" s="43">
        <f ca="1">_xll.BInterpol('Base CDI'!$H$4:$H$28,'Base CDI'!$I$4:$I$29,S230,"Cubic","Extrapolate=Linear","MultiX=Average","Skip=True","Sort=True")</f>
        <v>14.633781217043976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45937</v>
      </c>
      <c r="T231" s="43">
        <f ca="1">_xll.BInterpol('Base CDI'!$H$4:$H$28,'Base CDI'!$J$4:$J$29,S231,"Cubic","Extrapolate=Linear","MultiX=Average","Skip=True","Sort=True")</f>
        <v>14.592246163287555</v>
      </c>
      <c r="U231" s="43">
        <f ca="1">_xll.BInterpol('Base CDI'!$H$4:$H$28,'Base CDI'!$I$4:$I$29,S231,"Cubic","Extrapolate=Linear","MultiX=Average","Skip=True","Sort=True")</f>
        <v>14.636348032926046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45938</v>
      </c>
      <c r="T232" s="43">
        <f ca="1">_xll.BInterpol('Base CDI'!$H$4:$H$28,'Base CDI'!$J$4:$J$29,S232,"Cubic","Extrapolate=Linear","MultiX=Average","Skip=True","Sort=True")</f>
        <v>14.594676792109109</v>
      </c>
      <c r="U232" s="43">
        <f ca="1">_xll.BInterpol('Base CDI'!$H$4:$H$28,'Base CDI'!$I$4:$I$29,S232,"Cubic","Extrapolate=Linear","MultiX=Average","Skip=True","Sort=True")</f>
        <v>14.638894581557754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45939</v>
      </c>
      <c r="T233" s="43">
        <f ca="1">_xll.BInterpol('Base CDI'!$H$4:$H$28,'Base CDI'!$J$4:$J$29,S233,"Cubic","Extrapolate=Linear","MultiX=Average","Skip=True","Sort=True")</f>
        <v>14.597088086308419</v>
      </c>
      <c r="U233" s="43">
        <f ca="1">_xll.BInterpol('Base CDI'!$H$4:$H$28,'Base CDI'!$I$4:$I$29,S233,"Cubic","Extrapolate=Linear","MultiX=Average","Skip=True","Sort=True")</f>
        <v>14.641420980694621</v>
      </c>
    </row>
    <row r="234" spans="16:21" x14ac:dyDescent="0.25">
      <c r="P234" s="10">
        <v>34849</v>
      </c>
      <c r="Q234">
        <v>1.561323</v>
      </c>
      <c r="S234" s="42">
        <f t="shared" ca="1" si="8"/>
        <v>45940</v>
      </c>
      <c r="T234" s="43">
        <f ca="1">_xll.BInterpol('Base CDI'!$H$4:$H$28,'Base CDI'!$J$4:$J$29,S234,"Cubic","Extrapolate=Linear","MultiX=Average","Skip=True","Sort=True")</f>
        <v>14.599480164947245</v>
      </c>
      <c r="U234" s="43">
        <f ca="1">_xll.BInterpol('Base CDI'!$H$4:$H$28,'Base CDI'!$I$4:$I$29,S234,"Cubic","Extrapolate=Linear","MultiX=Average","Skip=True","Sort=True")</f>
        <v>14.643927348092165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45941</v>
      </c>
      <c r="T235" s="43">
        <f ca="1">_xll.BInterpol('Base CDI'!$H$4:$H$28,'Base CDI'!$J$4:$J$29,S235,"Cubic","Extrapolate=Linear","MultiX=Average","Skip=True","Sort=True")</f>
        <v>14.601853147087347</v>
      </c>
      <c r="U235" s="43">
        <f ca="1">_xll.BInterpol('Base CDI'!$H$4:$H$28,'Base CDI'!$I$4:$I$29,S235,"Cubic","Extrapolate=Linear","MultiX=Average","Skip=True","Sort=True")</f>
        <v>14.646413801505908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45942</v>
      </c>
      <c r="T236" s="43">
        <f ca="1">_xll.BInterpol('Base CDI'!$H$4:$H$28,'Base CDI'!$J$4:$J$29,S236,"Cubic","Extrapolate=Linear","MultiX=Average","Skip=True","Sort=True")</f>
        <v>14.604207151790479</v>
      </c>
      <c r="U236" s="43">
        <f ca="1">_xll.BInterpol('Base CDI'!$H$4:$H$28,'Base CDI'!$I$4:$I$29,S236,"Cubic","Extrapolate=Linear","MultiX=Average","Skip=True","Sort=True")</f>
        <v>14.648880458691369</v>
      </c>
    </row>
    <row r="237" spans="16:21" x14ac:dyDescent="0.25">
      <c r="P237" s="10">
        <v>34852</v>
      </c>
      <c r="Q237">
        <v>1.570192</v>
      </c>
      <c r="S237" s="42">
        <f t="shared" ca="1" si="8"/>
        <v>45943</v>
      </c>
      <c r="T237" s="43">
        <f ca="1">_xll.BInterpol('Base CDI'!$H$4:$H$28,'Base CDI'!$J$4:$J$29,S237,"Cubic","Extrapolate=Linear","MultiX=Average","Skip=True","Sort=True")</f>
        <v>14.606542298118402</v>
      </c>
      <c r="U237" s="43">
        <f ca="1">_xll.BInterpol('Base CDI'!$H$4:$H$28,'Base CDI'!$I$4:$I$29,S237,"Cubic","Extrapolate=Linear","MultiX=Average","Skip=True","Sort=True")</f>
        <v>14.651327437404069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45944</v>
      </c>
      <c r="T238" s="43">
        <f ca="1">_xll.BInterpol('Base CDI'!$H$4:$H$28,'Base CDI'!$J$4:$J$29,S238,"Cubic","Extrapolate=Linear","MultiX=Average","Skip=True","Sort=True")</f>
        <v>14.608858705132873</v>
      </c>
      <c r="U238" s="43">
        <f ca="1">_xll.BInterpol('Base CDI'!$H$4:$H$28,'Base CDI'!$I$4:$I$29,S238,"Cubic","Extrapolate=Linear","MultiX=Average","Skip=True","Sort=True")</f>
        <v>14.653754855399526</v>
      </c>
    </row>
    <row r="239" spans="16:21" x14ac:dyDescent="0.25">
      <c r="P239" s="10">
        <v>34856</v>
      </c>
      <c r="Q239">
        <v>1.576133</v>
      </c>
      <c r="S239" s="42">
        <f t="shared" ca="1" si="8"/>
        <v>45945</v>
      </c>
      <c r="T239" s="43">
        <f ca="1">_xll.BInterpol('Base CDI'!$H$4:$H$28,'Base CDI'!$J$4:$J$29,S239,"Cubic","Extrapolate=Linear","MultiX=Average","Skip=True","Sort=True")</f>
        <v>14.611156491895649</v>
      </c>
      <c r="U239" s="43">
        <f ca="1">_xll.BInterpol('Base CDI'!$H$4:$H$28,'Base CDI'!$I$4:$I$29,S239,"Cubic","Extrapolate=Linear","MultiX=Average","Skip=True","Sort=True")</f>
        <v>14.65616283043326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45946</v>
      </c>
      <c r="T240" s="43">
        <f ca="1">_xll.BInterpol('Base CDI'!$H$4:$H$28,'Base CDI'!$J$4:$J$29,S240,"Cubic","Extrapolate=Linear","MultiX=Average","Skip=True","Sort=True")</f>
        <v>14.61343577746849</v>
      </c>
      <c r="U240" s="43">
        <f ca="1">_xll.BInterpol('Base CDI'!$H$4:$H$28,'Base CDI'!$I$4:$I$29,S240,"Cubic","Extrapolate=Linear","MultiX=Average","Skip=True","Sort=True")</f>
        <v>14.658551480260792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45947</v>
      </c>
      <c r="T241" s="43">
        <f ca="1">_xll.BInterpol('Base CDI'!$H$4:$H$28,'Base CDI'!$J$4:$J$29,S241,"Cubic","Extrapolate=Linear","MultiX=Average","Skip=True","Sort=True")</f>
        <v>14.615696680913153</v>
      </c>
      <c r="U241" s="43">
        <f ca="1">_xll.BInterpol('Base CDI'!$H$4:$H$28,'Base CDI'!$I$4:$I$29,S241,"Cubic","Extrapolate=Linear","MultiX=Average","Skip=True","Sort=True")</f>
        <v>14.66092092263764</v>
      </c>
    </row>
    <row r="242" spans="16:21" x14ac:dyDescent="0.25">
      <c r="P242" s="10">
        <v>34859</v>
      </c>
      <c r="Q242">
        <v>1.585102</v>
      </c>
      <c r="S242" s="42">
        <f t="shared" ca="1" si="8"/>
        <v>45948</v>
      </c>
      <c r="T242" s="43">
        <f ca="1">_xll.BInterpol('Base CDI'!$H$4:$H$28,'Base CDI'!$J$4:$J$29,S242,"Cubic","Extrapolate=Linear","MultiX=Average","Skip=True","Sort=True")</f>
        <v>14.617939321291397</v>
      </c>
      <c r="U242" s="43">
        <f ca="1">_xll.BInterpol('Base CDI'!$H$4:$H$28,'Base CDI'!$I$4:$I$29,S242,"Cubic","Extrapolate=Linear","MultiX=Average","Skip=True","Sort=True")</f>
        <v>14.663271275319325</v>
      </c>
    </row>
    <row r="243" spans="16:21" x14ac:dyDescent="0.25">
      <c r="P243" s="10">
        <v>34862</v>
      </c>
      <c r="Q243">
        <v>1.588104</v>
      </c>
      <c r="S243" s="42">
        <f t="shared" ca="1" si="8"/>
        <v>45949</v>
      </c>
      <c r="T243" s="43">
        <f ca="1">_xll.BInterpol('Base CDI'!$H$4:$H$28,'Base CDI'!$J$4:$J$29,S243,"Cubic","Extrapolate=Linear","MultiX=Average","Skip=True","Sort=True")</f>
        <v>14.620163817664979</v>
      </c>
      <c r="U243" s="43">
        <f ca="1">_xll.BInterpol('Base CDI'!$H$4:$H$28,'Base CDI'!$I$4:$I$29,S243,"Cubic","Extrapolate=Linear","MultiX=Average","Skip=True","Sort=True")</f>
        <v>14.665602656061367</v>
      </c>
    </row>
    <row r="244" spans="16:21" x14ac:dyDescent="0.25">
      <c r="P244" s="10">
        <v>34863</v>
      </c>
      <c r="Q244">
        <v>1.59111</v>
      </c>
      <c r="S244" s="42">
        <f t="shared" ca="1" si="8"/>
        <v>45950</v>
      </c>
      <c r="T244" s="43">
        <f ca="1">_xll.BInterpol('Base CDI'!$H$4:$H$28,'Base CDI'!$J$4:$J$29,S244,"Cubic","Extrapolate=Linear","MultiX=Average","Skip=True","Sort=True")</f>
        <v>14.622370289095656</v>
      </c>
      <c r="U244" s="43">
        <f ca="1">_xll.BInterpol('Base CDI'!$H$4:$H$28,'Base CDI'!$I$4:$I$29,S244,"Cubic","Extrapolate=Linear","MultiX=Average","Skip=True","Sort=True")</f>
        <v>14.667915182619284</v>
      </c>
    </row>
    <row r="245" spans="16:21" x14ac:dyDescent="0.25">
      <c r="P245" s="10">
        <v>34864</v>
      </c>
      <c r="Q245">
        <v>1.594123</v>
      </c>
      <c r="S245" s="42">
        <f t="shared" ca="1" si="8"/>
        <v>45951</v>
      </c>
      <c r="T245" s="43">
        <f ca="1">_xll.BInterpol('Base CDI'!$H$4:$H$28,'Base CDI'!$J$4:$J$29,S245,"Cubic","Extrapolate=Linear","MultiX=Average","Skip=True","Sort=True")</f>
        <v>14.624558854645189</v>
      </c>
      <c r="U245" s="43">
        <f ca="1">_xll.BInterpol('Base CDI'!$H$4:$H$28,'Base CDI'!$I$4:$I$29,S245,"Cubic","Extrapolate=Linear","MultiX=Average","Skip=True","Sort=True")</f>
        <v>14.670208972748597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45952</v>
      </c>
      <c r="T246" s="43">
        <f ca="1">_xll.BInterpol('Base CDI'!$H$4:$H$28,'Base CDI'!$J$4:$J$29,S246,"Cubic","Extrapolate=Linear","MultiX=Average","Skip=True","Sort=True")</f>
        <v>14.626729633375334</v>
      </c>
      <c r="U246" s="43">
        <f ca="1">_xll.BInterpol('Base CDI'!$H$4:$H$28,'Base CDI'!$I$4:$I$29,S246,"Cubic","Extrapolate=Linear","MultiX=Average","Skip=True","Sort=True")</f>
        <v>14.672484144204825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45953</v>
      </c>
      <c r="T247" s="43">
        <f ca="1">_xll.BInterpol('Base CDI'!$H$4:$H$28,'Base CDI'!$J$4:$J$29,S247,"Cubic","Extrapolate=Linear","MultiX=Average","Skip=True","Sort=True")</f>
        <v>14.62888274434785</v>
      </c>
      <c r="U247" s="43">
        <f ca="1">_xll.BInterpol('Base CDI'!$H$4:$H$28,'Base CDI'!$I$4:$I$29,S247,"Cubic","Extrapolate=Linear","MultiX=Average","Skip=True","Sort=True")</f>
        <v>14.674740814743489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45954</v>
      </c>
      <c r="T248" s="43">
        <f ca="1">_xll.BInterpol('Base CDI'!$H$4:$H$28,'Base CDI'!$J$4:$J$29,S248,"Cubic","Extrapolate=Linear","MultiX=Average","Skip=True","Sort=True")</f>
        <v>14.631018306624496</v>
      </c>
      <c r="U248" s="43">
        <f ca="1">_xll.BInterpol('Base CDI'!$H$4:$H$28,'Base CDI'!$I$4:$I$29,S248,"Cubic","Extrapolate=Linear","MultiX=Average","Skip=True","Sort=True")</f>
        <v>14.676979102120109</v>
      </c>
    </row>
    <row r="249" spans="16:21" x14ac:dyDescent="0.25">
      <c r="P249" s="10">
        <v>34871</v>
      </c>
      <c r="Q249">
        <v>1.606225</v>
      </c>
      <c r="S249" s="42">
        <f t="shared" ca="1" si="8"/>
        <v>45955</v>
      </c>
      <c r="T249" s="43">
        <f ca="1">_xll.BInterpol('Base CDI'!$H$4:$H$28,'Base CDI'!$J$4:$J$29,S249,"Cubic","Extrapolate=Linear","MultiX=Average","Skip=True","Sort=True")</f>
        <v>14.633136439267027</v>
      </c>
      <c r="U249" s="43">
        <f ca="1">_xll.BInterpol('Base CDI'!$H$4:$H$28,'Base CDI'!$I$4:$I$29,S249,"Cubic","Extrapolate=Linear","MultiX=Average","Skip=True","Sort=True")</f>
        <v>14.679199124090202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45956</v>
      </c>
      <c r="T250" s="43">
        <f ca="1">_xll.BInterpol('Base CDI'!$H$4:$H$28,'Base CDI'!$J$4:$J$29,S250,"Cubic","Extrapolate=Linear","MultiX=Average","Skip=True","Sort=True")</f>
        <v>14.635237261337203</v>
      </c>
      <c r="U250" s="43">
        <f ca="1">_xll.BInterpol('Base CDI'!$H$4:$H$28,'Base CDI'!$I$4:$I$29,S250,"Cubic","Extrapolate=Linear","MultiX=Average","Skip=True","Sort=True")</f>
        <v>14.681400998409291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45957</v>
      </c>
      <c r="T251" s="43">
        <f ca="1">_xll.BInterpol('Base CDI'!$H$4:$H$28,'Base CDI'!$J$4:$J$29,S251,"Cubic","Extrapolate=Linear","MultiX=Average","Skip=True","Sort=True")</f>
        <v>14.637320891896781</v>
      </c>
      <c r="U251" s="43">
        <f ca="1">_xll.BInterpol('Base CDI'!$H$4:$H$28,'Base CDI'!$I$4:$I$29,S251,"Cubic","Extrapolate=Linear","MultiX=Average","Skip=True","Sort=True")</f>
        <v>14.683584842832895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45958</v>
      </c>
      <c r="T252" s="43">
        <f ca="1">_xll.BInterpol('Base CDI'!$H$4:$H$28,'Base CDI'!$J$4:$J$29,S252,"Cubic","Extrapolate=Linear","MultiX=Average","Skip=True","Sort=True")</f>
        <v>14.63938745000752</v>
      </c>
      <c r="U252" s="43">
        <f ca="1">_xll.BInterpol('Base CDI'!$H$4:$H$28,'Base CDI'!$I$4:$I$29,S252,"Cubic","Extrapolate=Linear","MultiX=Average","Skip=True","Sort=True")</f>
        <v>14.685750775116531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45959</v>
      </c>
      <c r="T253" s="43">
        <f ca="1">_xll.BInterpol('Base CDI'!$H$4:$H$28,'Base CDI'!$J$4:$J$29,S253,"Cubic","Extrapolate=Linear","MultiX=Average","Skip=True","Sort=True")</f>
        <v>14.641437054731179</v>
      </c>
      <c r="U253" s="43">
        <f ca="1">_xll.BInterpol('Base CDI'!$H$4:$H$28,'Base CDI'!$I$4:$I$29,S253,"Cubic","Extrapolate=Linear","MultiX=Average","Skip=True","Sort=True")</f>
        <v>14.687898913015722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45960</v>
      </c>
      <c r="T254" s="43">
        <f ca="1">_xll.BInterpol('Base CDI'!$H$4:$H$28,'Base CDI'!$J$4:$J$29,S254,"Cubic","Extrapolate=Linear","MultiX=Average","Skip=True","Sort=True")</f>
        <v>14.643469825129515</v>
      </c>
      <c r="U254" s="43">
        <f ca="1">_xll.BInterpol('Base CDI'!$H$4:$H$28,'Base CDI'!$I$4:$I$29,S254,"Cubic","Extrapolate=Linear","MultiX=Average","Skip=True","Sort=True")</f>
        <v>14.690029374285986</v>
      </c>
    </row>
    <row r="255" spans="16:21" x14ac:dyDescent="0.25">
      <c r="P255" s="10">
        <v>34879</v>
      </c>
      <c r="Q255">
        <v>1.624547</v>
      </c>
      <c r="S255" s="42">
        <f t="shared" ca="1" si="8"/>
        <v>45961</v>
      </c>
      <c r="T255" s="43">
        <f ca="1">_xll.BInterpol('Base CDI'!$H$4:$H$28,'Base CDI'!$J$4:$J$29,S255,"Cubic","Extrapolate=Linear","MultiX=Average","Skip=True","Sort=True")</f>
        <v>14.645485880264285</v>
      </c>
      <c r="U255" s="43">
        <f ca="1">_xll.BInterpol('Base CDI'!$H$4:$H$28,'Base CDI'!$I$4:$I$29,S255,"Cubic","Extrapolate=Linear","MultiX=Average","Skip=True","Sort=True")</f>
        <v>14.692142276682844</v>
      </c>
    </row>
    <row r="256" spans="16:21" x14ac:dyDescent="0.25">
      <c r="P256" s="10">
        <v>34880</v>
      </c>
      <c r="Q256">
        <v>1.627623</v>
      </c>
      <c r="S256" s="42">
        <f t="shared" ca="1" si="8"/>
        <v>45962</v>
      </c>
      <c r="T256" s="43">
        <f ca="1">_xll.BInterpol('Base CDI'!$H$4:$H$28,'Base CDI'!$J$4:$J$29,S256,"Cubic","Extrapolate=Linear","MultiX=Average","Skip=True","Sort=True")</f>
        <v>14.647485339197249</v>
      </c>
      <c r="U256" s="43">
        <f ca="1">_xll.BInterpol('Base CDI'!$H$4:$H$28,'Base CDI'!$I$4:$I$29,S256,"Cubic","Extrapolate=Linear","MultiX=Average","Skip=True","Sort=True")</f>
        <v>14.694237737961815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45963</v>
      </c>
      <c r="T257" s="43">
        <f ca="1">_xll.BInterpol('Base CDI'!$H$4:$H$28,'Base CDI'!$J$4:$J$29,S257,"Cubic","Extrapolate=Linear","MultiX=Average","Skip=True","Sort=True")</f>
        <v>14.649468320990165</v>
      </c>
      <c r="U257" s="43">
        <f ca="1">_xll.BInterpol('Base CDI'!$H$4:$H$28,'Base CDI'!$I$4:$I$29,S257,"Cubic","Extrapolate=Linear","MultiX=Average","Skip=True","Sort=True")</f>
        <v>14.696315875878421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45964</v>
      </c>
      <c r="T258" s="43">
        <f ca="1">_xll.BInterpol('Base CDI'!$H$4:$H$28,'Base CDI'!$J$4:$J$29,S258,"Cubic","Extrapolate=Linear","MultiX=Average","Skip=True","Sort=True")</f>
        <v>14.651434944704789</v>
      </c>
      <c r="U258" s="43">
        <f ca="1">_xll.BInterpol('Base CDI'!$H$4:$H$28,'Base CDI'!$I$4:$I$29,S258,"Cubic","Extrapolate=Linear","MultiX=Average","Skip=True","Sort=True")</f>
        <v>14.698376808188177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45965</v>
      </c>
      <c r="T259" s="43">
        <f ca="1">_xll.BInterpol('Base CDI'!$H$4:$H$28,'Base CDI'!$J$4:$J$29,S259,"Cubic","Extrapolate=Linear","MultiX=Average","Skip=True","Sort=True")</f>
        <v>14.65338532940288</v>
      </c>
      <c r="U259" s="43">
        <f ca="1">_xll.BInterpol('Base CDI'!$H$4:$H$28,'Base CDI'!$I$4:$I$29,S259,"Cubic","Extrapolate=Linear","MultiX=Average","Skip=True","Sort=True")</f>
        <v>14.700420652646606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45966</v>
      </c>
      <c r="T260" s="43">
        <f ca="1">_xll.BInterpol('Base CDI'!$H$4:$H$28,'Base CDI'!$J$4:$J$29,S260,"Cubic","Extrapolate=Linear","MultiX=Average","Skip=True","Sort=True")</f>
        <v>14.655319594146198</v>
      </c>
      <c r="U260" s="43">
        <f ca="1">_xll.BInterpol('Base CDI'!$H$4:$H$28,'Base CDI'!$I$4:$I$29,S260,"Cubic","Extrapolate=Linear","MultiX=Average","Skip=True","Sort=True")</f>
        <v>14.702447527009227</v>
      </c>
    </row>
    <row r="261" spans="16:21" x14ac:dyDescent="0.25">
      <c r="P261" s="10">
        <v>34887</v>
      </c>
      <c r="Q261">
        <v>1.643062</v>
      </c>
      <c r="S261" s="42">
        <f t="shared" ca="1" si="8"/>
        <v>45967</v>
      </c>
      <c r="T261" s="43">
        <f ca="1">_xll.BInterpol('Base CDI'!$H$4:$H$28,'Base CDI'!$J$4:$J$29,S261,"Cubic","Extrapolate=Linear","MultiX=Average","Skip=True","Sort=True")</f>
        <v>14.657237857996499</v>
      </c>
      <c r="U261" s="43">
        <f ca="1">_xll.BInterpol('Base CDI'!$H$4:$H$28,'Base CDI'!$I$4:$I$29,S261,"Cubic","Extrapolate=Linear","MultiX=Average","Skip=True","Sort=True")</f>
        <v>14.704457549031561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45968</v>
      </c>
      <c r="T262" s="43">
        <f ca="1">_xll.BInterpol('Base CDI'!$H$4:$H$28,'Base CDI'!$J$4:$J$29,S262,"Cubic","Extrapolate=Linear","MultiX=Average","Skip=True","Sort=True")</f>
        <v>14.659140240015541</v>
      </c>
      <c r="U262" s="43">
        <f ca="1">_xll.BInterpol('Base CDI'!$H$4:$H$28,'Base CDI'!$I$4:$I$29,S262,"Cubic","Extrapolate=Linear","MultiX=Average","Skip=True","Sort=True")</f>
        <v>14.706450836469125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45969</v>
      </c>
      <c r="T263" s="43">
        <f ca="1">_xll.BInterpol('Base CDI'!$H$4:$H$28,'Base CDI'!$J$4:$J$29,S263,"Cubic","Extrapolate=Linear","MultiX=Average","Skip=True","Sort=True")</f>
        <v>14.661026859265082</v>
      </c>
      <c r="U263" s="43">
        <f ca="1">_xll.BInterpol('Base CDI'!$H$4:$H$28,'Base CDI'!$I$4:$I$29,S263,"Cubic","Extrapolate=Linear","MultiX=Average","Skip=True","Sort=True")</f>
        <v>14.708427507077442</v>
      </c>
    </row>
    <row r="264" spans="16:21" x14ac:dyDescent="0.25">
      <c r="P264" s="10">
        <v>34892</v>
      </c>
      <c r="Q264">
        <v>1.652396</v>
      </c>
      <c r="S264" s="42">
        <f t="shared" ca="1" si="8"/>
        <v>45970</v>
      </c>
      <c r="T264" s="43">
        <f ca="1">_xll.BInterpol('Base CDI'!$H$4:$H$28,'Base CDI'!$J$4:$J$29,S264,"Cubic","Extrapolate=Linear","MultiX=Average","Skip=True","Sort=True")</f>
        <v>14.662897834806881</v>
      </c>
      <c r="U264" s="43">
        <f ca="1">_xll.BInterpol('Base CDI'!$H$4:$H$28,'Base CDI'!$I$4:$I$29,S264,"Cubic","Extrapolate=Linear","MultiX=Average","Skip=True","Sort=True")</f>
        <v>14.71038767861203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45971</v>
      </c>
      <c r="T265" s="43">
        <f ca="1">_xll.BInterpol('Base CDI'!$H$4:$H$28,'Base CDI'!$J$4:$J$29,S265,"Cubic","Extrapolate=Linear","MultiX=Average","Skip=True","Sort=True")</f>
        <v>14.664753285702696</v>
      </c>
      <c r="U265" s="43">
        <f ca="1">_xll.BInterpol('Base CDI'!$H$4:$H$28,'Base CDI'!$I$4:$I$29,S265,"Cubic","Extrapolate=Linear","MultiX=Average","Skip=True","Sort=True")</f>
        <v>14.712331468828408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45972</v>
      </c>
      <c r="T266" s="43">
        <f ca="1">_xll.BInterpol('Base CDI'!$H$4:$H$28,'Base CDI'!$J$4:$J$29,S266,"Cubic","Extrapolate=Linear","MultiX=Average","Skip=True","Sort=True")</f>
        <v>14.666593331014283</v>
      </c>
      <c r="U266" s="43">
        <f ca="1">_xll.BInterpol('Base CDI'!$H$4:$H$28,'Base CDI'!$I$4:$I$29,S266,"Cubic","Extrapolate=Linear","MultiX=Average","Skip=True","Sort=True")</f>
        <v>14.714258995482098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45973</v>
      </c>
      <c r="T267" s="43">
        <f ca="1">_xll.BInterpol('Base CDI'!$H$4:$H$28,'Base CDI'!$J$4:$J$29,S267,"Cubic","Extrapolate=Linear","MultiX=Average","Skip=True","Sort=True")</f>
        <v>14.668418089803405</v>
      </c>
      <c r="U267" s="43">
        <f ca="1">_xll.BInterpol('Base CDI'!$H$4:$H$28,'Base CDI'!$I$4:$I$29,S267,"Cubic","Extrapolate=Linear","MultiX=Average","Skip=True","Sort=True")</f>
        <v>14.716170376328616</v>
      </c>
    </row>
    <row r="268" spans="16:21" x14ac:dyDescent="0.25">
      <c r="P268" s="10">
        <v>34898</v>
      </c>
      <c r="Q268">
        <v>1.66489</v>
      </c>
      <c r="S268" s="42">
        <f t="shared" ca="1" si="9"/>
        <v>45974</v>
      </c>
      <c r="T268" s="43">
        <f ca="1">_xll.BInterpol('Base CDI'!$H$4:$H$28,'Base CDI'!$J$4:$J$29,S268,"Cubic","Extrapolate=Linear","MultiX=Average","Skip=True","Sort=True")</f>
        <v>14.670227681131815</v>
      </c>
      <c r="U268" s="43">
        <f ca="1">_xll.BInterpol('Base CDI'!$H$4:$H$28,'Base CDI'!$I$4:$I$29,S268,"Cubic","Extrapolate=Linear","MultiX=Average","Skip=True","Sort=True")</f>
        <v>14.718065729123486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45975</v>
      </c>
      <c r="T269" s="43">
        <f ca="1">_xll.BInterpol('Base CDI'!$H$4:$H$28,'Base CDI'!$J$4:$J$29,S269,"Cubic","Extrapolate=Linear","MultiX=Average","Skip=True","Sort=True")</f>
        <v>14.672022224061273</v>
      </c>
      <c r="U269" s="43">
        <f ca="1">_xll.BInterpol('Base CDI'!$H$4:$H$28,'Base CDI'!$I$4:$I$29,S269,"Cubic","Extrapolate=Linear","MultiX=Average","Skip=True","Sort=True")</f>
        <v>14.719945171622225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45976</v>
      </c>
      <c r="T270" s="43">
        <f ca="1">_xll.BInterpol('Base CDI'!$H$4:$H$28,'Base CDI'!$J$4:$J$29,S270,"Cubic","Extrapolate=Linear","MultiX=Average","Skip=True","Sort=True")</f>
        <v>14.673801837653537</v>
      </c>
      <c r="U270" s="43">
        <f ca="1">_xll.BInterpol('Base CDI'!$H$4:$H$28,'Base CDI'!$I$4:$I$29,S270,"Cubic","Extrapolate=Linear","MultiX=Average","Skip=True","Sort=True")</f>
        <v>14.721808821580355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45977</v>
      </c>
      <c r="T271" s="43">
        <f ca="1">_xll.BInterpol('Base CDI'!$H$4:$H$28,'Base CDI'!$J$4:$J$29,S271,"Cubic","Extrapolate=Linear","MultiX=Average","Skip=True","Sort=True")</f>
        <v>14.675566640970365</v>
      </c>
      <c r="U271" s="43">
        <f ca="1">_xll.BInterpol('Base CDI'!$H$4:$H$28,'Base CDI'!$I$4:$I$29,S271,"Cubic","Extrapolate=Linear","MultiX=Average","Skip=True","Sort=True")</f>
        <v>14.723656796753394</v>
      </c>
    </row>
    <row r="272" spans="16:21" x14ac:dyDescent="0.25">
      <c r="P272" s="10">
        <v>34904</v>
      </c>
      <c r="Q272">
        <v>1.677446</v>
      </c>
      <c r="S272" s="42">
        <f t="shared" ca="1" si="9"/>
        <v>45978</v>
      </c>
      <c r="T272" s="43">
        <f ca="1">_xll.BInterpol('Base CDI'!$H$4:$H$28,'Base CDI'!$J$4:$J$29,S272,"Cubic","Extrapolate=Linear","MultiX=Average","Skip=True","Sort=True")</f>
        <v>14.677316753073514</v>
      </c>
      <c r="U272" s="43">
        <f ca="1">_xll.BInterpol('Base CDI'!$H$4:$H$28,'Base CDI'!$I$4:$I$29,S272,"Cubic","Extrapolate=Linear","MultiX=Average","Skip=True","Sort=True")</f>
        <v>14.725489214896861</v>
      </c>
    </row>
    <row r="273" spans="16:21" x14ac:dyDescent="0.25">
      <c r="P273" s="10">
        <v>34905</v>
      </c>
      <c r="Q273">
        <v>1.680599</v>
      </c>
      <c r="S273" s="42">
        <f t="shared" ca="1" si="9"/>
        <v>45979</v>
      </c>
      <c r="T273" s="43">
        <f ca="1">_xll.BInterpol('Base CDI'!$H$4:$H$28,'Base CDI'!$J$4:$J$29,S273,"Cubic","Extrapolate=Linear","MultiX=Average","Skip=True","Sort=True")</f>
        <v>14.679052293024744</v>
      </c>
      <c r="U273" s="43">
        <f ca="1">_xll.BInterpol('Base CDI'!$H$4:$H$28,'Base CDI'!$I$4:$I$29,S273,"Cubic","Extrapolate=Linear","MultiX=Average","Skip=True","Sort=True")</f>
        <v>14.727306193766278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45980</v>
      </c>
      <c r="T274" s="43">
        <f ca="1">_xll.BInterpol('Base CDI'!$H$4:$H$28,'Base CDI'!$J$4:$J$29,S274,"Cubic","Extrapolate=Linear","MultiX=Average","Skip=True","Sort=True")</f>
        <v>14.680773379885814</v>
      </c>
      <c r="U274" s="43">
        <f ca="1">_xll.BInterpol('Base CDI'!$H$4:$H$28,'Base CDI'!$I$4:$I$29,S274,"Cubic","Extrapolate=Linear","MultiX=Average","Skip=True","Sort=True")</f>
        <v>14.729107851117163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45981</v>
      </c>
      <c r="T275" s="43">
        <f ca="1">_xll.BInterpol('Base CDI'!$H$4:$H$28,'Base CDI'!$J$4:$J$29,S275,"Cubic","Extrapolate=Linear","MultiX=Average","Skip=True","Sort=True")</f>
        <v>14.682480132718478</v>
      </c>
      <c r="U275" s="43">
        <f ca="1">_xll.BInterpol('Base CDI'!$H$4:$H$28,'Base CDI'!$I$4:$I$29,S275,"Cubic","Extrapolate=Linear","MultiX=Average","Skip=True","Sort=True")</f>
        <v>14.730894304705037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45982</v>
      </c>
      <c r="T276" s="43">
        <f ca="1">_xll.BInterpol('Base CDI'!$H$4:$H$28,'Base CDI'!$J$4:$J$29,S276,"Cubic","Extrapolate=Linear","MultiX=Average","Skip=True","Sort=True")</f>
        <v>14.684172670584497</v>
      </c>
      <c r="U276" s="43">
        <f ca="1">_xll.BInterpol('Base CDI'!$H$4:$H$28,'Base CDI'!$I$4:$I$29,S276,"Cubic","Extrapolate=Linear","MultiX=Average","Skip=True","Sort=True")</f>
        <v>14.732665672285421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45983</v>
      </c>
      <c r="T277" s="43">
        <f ca="1">_xll.BInterpol('Base CDI'!$H$4:$H$28,'Base CDI'!$J$4:$J$29,S277,"Cubic","Extrapolate=Linear","MultiX=Average","Skip=True","Sort=True")</f>
        <v>14.685851112545629</v>
      </c>
      <c r="U277" s="43">
        <f ca="1">_xll.BInterpol('Base CDI'!$H$4:$H$28,'Base CDI'!$I$4:$I$29,S277,"Cubic","Extrapolate=Linear","MultiX=Average","Skip=True","Sort=True")</f>
        <v>14.73442207161383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45984</v>
      </c>
      <c r="T278" s="43">
        <f ca="1">_xll.BInterpol('Base CDI'!$H$4:$H$28,'Base CDI'!$J$4:$J$29,S278,"Cubic","Extrapolate=Linear","MultiX=Average","Skip=True","Sort=True")</f>
        <v>14.68751557766363</v>
      </c>
      <c r="U278" s="43">
        <f ca="1">_xll.BInterpol('Base CDI'!$H$4:$H$28,'Base CDI'!$I$4:$I$29,S278,"Cubic","Extrapolate=Linear","MultiX=Average","Skip=True","Sort=True")</f>
        <v>14.736163620445788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45985</v>
      </c>
      <c r="T279" s="43">
        <f ca="1">_xll.BInterpol('Base CDI'!$H$4:$H$28,'Base CDI'!$J$4:$J$29,S279,"Cubic","Extrapolate=Linear","MultiX=Average","Skip=True","Sort=True")</f>
        <v>14.689166185000261</v>
      </c>
      <c r="U279" s="43">
        <f ca="1">_xll.BInterpol('Base CDI'!$H$4:$H$28,'Base CDI'!$I$4:$I$29,S279,"Cubic","Extrapolate=Linear","MultiX=Average","Skip=True","Sort=True")</f>
        <v>14.737890436536814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45986</v>
      </c>
      <c r="T280" s="43">
        <f ca="1">_xll.BInterpol('Base CDI'!$H$4:$H$28,'Base CDI'!$J$4:$J$29,S280,"Cubic","Extrapolate=Linear","MultiX=Average","Skip=True","Sort=True")</f>
        <v>14.690803053617278</v>
      </c>
      <c r="U280" s="43">
        <f ca="1">_xll.BInterpol('Base CDI'!$H$4:$H$28,'Base CDI'!$I$4:$I$29,S280,"Cubic","Extrapolate=Linear","MultiX=Average","Skip=True","Sort=True")</f>
        <v>14.739602637642427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45987</v>
      </c>
      <c r="T281" s="43">
        <f ca="1">_xll.BInterpol('Base CDI'!$H$4:$H$28,'Base CDI'!$J$4:$J$29,S281,"Cubic","Extrapolate=Linear","MultiX=Average","Skip=True","Sort=True")</f>
        <v>14.69242630257644</v>
      </c>
      <c r="U281" s="43">
        <f ca="1">_xll.BInterpol('Base CDI'!$H$4:$H$28,'Base CDI'!$I$4:$I$29,S281,"Cubic","Extrapolate=Linear","MultiX=Average","Skip=True","Sort=True")</f>
        <v>14.741300341518146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45988</v>
      </c>
      <c r="T282" s="43">
        <f ca="1">_xll.BInterpol('Base CDI'!$H$4:$H$28,'Base CDI'!$J$4:$J$29,S282,"Cubic","Extrapolate=Linear","MultiX=Average","Skip=True","Sort=True")</f>
        <v>14.694036050939504</v>
      </c>
      <c r="U282" s="43">
        <f ca="1">_xll.BInterpol('Base CDI'!$H$4:$H$28,'Base CDI'!$I$4:$I$29,S282,"Cubic","Extrapolate=Linear","MultiX=Average","Skip=True","Sort=True")</f>
        <v>14.742983665919493</v>
      </c>
    </row>
    <row r="283" spans="16:21" x14ac:dyDescent="0.25">
      <c r="P283" s="10">
        <v>34919</v>
      </c>
      <c r="Q283">
        <v>1.71014</v>
      </c>
      <c r="S283" s="42">
        <f t="shared" ca="1" si="9"/>
        <v>45989</v>
      </c>
      <c r="T283" s="43">
        <f ca="1">_xll.BInterpol('Base CDI'!$H$4:$H$28,'Base CDI'!$J$4:$J$29,S283,"Cubic","Extrapolate=Linear","MultiX=Average","Skip=True","Sort=True")</f>
        <v>14.695632417768229</v>
      </c>
      <c r="U283" s="43">
        <f ca="1">_xll.BInterpol('Base CDI'!$H$4:$H$28,'Base CDI'!$I$4:$I$29,S283,"Cubic","Extrapolate=Linear","MultiX=Average","Skip=True","Sort=True")</f>
        <v>14.744652728601986</v>
      </c>
    </row>
    <row r="284" spans="16:21" x14ac:dyDescent="0.25">
      <c r="P284" s="10">
        <v>34920</v>
      </c>
      <c r="Q284">
        <v>1.712933</v>
      </c>
      <c r="S284" s="42">
        <f t="shared" ca="1" si="9"/>
        <v>45990</v>
      </c>
      <c r="T284" s="43">
        <f ca="1">_xll.BInterpol('Base CDI'!$H$4:$H$28,'Base CDI'!$J$4:$J$29,S284,"Cubic","Extrapolate=Linear","MultiX=Average","Skip=True","Sort=True")</f>
        <v>14.697215522124374</v>
      </c>
      <c r="U284" s="43">
        <f ca="1">_xll.BInterpol('Base CDI'!$H$4:$H$28,'Base CDI'!$I$4:$I$29,S284,"Cubic","Extrapolate=Linear","MultiX=Average","Skip=True","Sort=True")</f>
        <v>14.746307647321144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45991</v>
      </c>
      <c r="T285" s="43">
        <f ca="1">_xll.BInterpol('Base CDI'!$H$4:$H$28,'Base CDI'!$J$4:$J$29,S285,"Cubic","Extrapolate=Linear","MultiX=Average","Skip=True","Sort=True")</f>
        <v>14.698785483069694</v>
      </c>
      <c r="U285" s="43">
        <f ca="1">_xll.BInterpol('Base CDI'!$H$4:$H$28,'Base CDI'!$I$4:$I$29,S285,"Cubic","Extrapolate=Linear","MultiX=Average","Skip=True","Sort=True")</f>
        <v>14.747948539832489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45992</v>
      </c>
      <c r="T286" s="43">
        <f ca="1">_xll.BInterpol('Base CDI'!$H$4:$H$28,'Base CDI'!$J$4:$J$29,S286,"Cubic","Extrapolate=Linear","MultiX=Average","Skip=True","Sort=True")</f>
        <v>14.700342419665949</v>
      </c>
      <c r="U286" s="43">
        <f ca="1">_xll.BInterpol('Base CDI'!$H$4:$H$28,'Base CDI'!$I$4:$I$29,S286,"Cubic","Extrapolate=Linear","MultiX=Average","Skip=True","Sort=True")</f>
        <v>14.74957552389154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45993</v>
      </c>
      <c r="T287" s="43">
        <f ca="1">_xll.BInterpol('Base CDI'!$H$4:$H$28,'Base CDI'!$J$4:$J$29,S287,"Cubic","Extrapolate=Linear","MultiX=Average","Skip=True","Sort=True")</f>
        <v>14.701886450974898</v>
      </c>
      <c r="U287" s="43">
        <f ca="1">_xll.BInterpol('Base CDI'!$H$4:$H$28,'Base CDI'!$I$4:$I$29,S287,"Cubic","Extrapolate=Linear","MultiX=Average","Skip=True","Sort=True")</f>
        <v>14.751188717253816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45994</v>
      </c>
      <c r="T288" s="43">
        <f ca="1">_xll.BInterpol('Base CDI'!$H$4:$H$28,'Base CDI'!$J$4:$J$29,S288,"Cubic","Extrapolate=Linear","MultiX=Average","Skip=True","Sort=True")</f>
        <v>14.703417696058297</v>
      </c>
      <c r="U288" s="43">
        <f ca="1">_xll.BInterpol('Base CDI'!$H$4:$H$28,'Base CDI'!$I$4:$I$29,S288,"Cubic","Extrapolate=Linear","MultiX=Average","Skip=True","Sort=True")</f>
        <v>14.752788237674839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45995</v>
      </c>
      <c r="T289" s="43">
        <f ca="1">_xll.BInterpol('Base CDI'!$H$4:$H$28,'Base CDI'!$J$4:$J$29,S289,"Cubic","Extrapolate=Linear","MultiX=Average","Skip=True","Sort=True")</f>
        <v>14.704936273977907</v>
      </c>
      <c r="U289" s="43">
        <f ca="1">_xll.BInterpol('Base CDI'!$H$4:$H$28,'Base CDI'!$I$4:$I$29,S289,"Cubic","Extrapolate=Linear","MultiX=Average","Skip=True","Sort=True")</f>
        <v>14.754374202910125</v>
      </c>
    </row>
    <row r="290" spans="16:21" x14ac:dyDescent="0.25">
      <c r="P290" s="10">
        <v>34928</v>
      </c>
      <c r="Q290">
        <v>1.729697</v>
      </c>
      <c r="S290" s="42">
        <f t="shared" ca="1" si="9"/>
        <v>45996</v>
      </c>
      <c r="T290" s="43">
        <f ca="1">_xll.BInterpol('Base CDI'!$H$4:$H$28,'Base CDI'!$J$4:$J$29,S290,"Cubic","Extrapolate=Linear","MultiX=Average","Skip=True","Sort=True")</f>
        <v>14.706442303795482</v>
      </c>
      <c r="U290" s="43">
        <f ca="1">_xll.BInterpol('Base CDI'!$H$4:$H$28,'Base CDI'!$I$4:$I$29,S290,"Cubic","Extrapolate=Linear","MultiX=Average","Skip=True","Sort=True")</f>
        <v>14.755946730715195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45997</v>
      </c>
      <c r="T291" s="43">
        <f ca="1">_xll.BInterpol('Base CDI'!$H$4:$H$28,'Base CDI'!$J$4:$J$29,S291,"Cubic","Extrapolate=Linear","MultiX=Average","Skip=True","Sort=True")</f>
        <v>14.707935904572784</v>
      </c>
      <c r="U291" s="43">
        <f ca="1">_xll.BInterpol('Base CDI'!$H$4:$H$28,'Base CDI'!$I$4:$I$29,S291,"Cubic","Extrapolate=Linear","MultiX=Average","Skip=True","Sort=True")</f>
        <v>14.757505938845572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45998</v>
      </c>
      <c r="T292" s="43">
        <f ca="1">_xll.BInterpol('Base CDI'!$H$4:$H$28,'Base CDI'!$J$4:$J$29,S292,"Cubic","Extrapolate=Linear","MultiX=Average","Skip=True","Sort=True")</f>
        <v>14.709417195371568</v>
      </c>
      <c r="U292" s="43">
        <f ca="1">_xll.BInterpol('Base CDI'!$H$4:$H$28,'Base CDI'!$I$4:$I$29,S292,"Cubic","Extrapolate=Linear","MultiX=Average","Skip=True","Sort=True")</f>
        <v>14.759051945056772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45999</v>
      </c>
      <c r="T293" s="43">
        <f ca="1">_xll.BInterpol('Base CDI'!$H$4:$H$28,'Base CDI'!$J$4:$J$29,S293,"Cubic","Extrapolate=Linear","MultiX=Average","Skip=True","Sort=True")</f>
        <v>14.710886295253594</v>
      </c>
      <c r="U293" s="43">
        <f ca="1">_xll.BInterpol('Base CDI'!$H$4:$H$28,'Base CDI'!$I$4:$I$29,S293,"Cubic","Extrapolate=Linear","MultiX=Average","Skip=True","Sort=True")</f>
        <v>14.760584867104315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46000</v>
      </c>
      <c r="T294" s="43">
        <f ca="1">_xll.BInterpol('Base CDI'!$H$4:$H$28,'Base CDI'!$J$4:$J$29,S294,"Cubic","Extrapolate=Linear","MultiX=Average","Skip=True","Sort=True")</f>
        <v>14.712343323280619</v>
      </c>
      <c r="U294" s="43">
        <f ca="1">_xll.BInterpol('Base CDI'!$H$4:$H$28,'Base CDI'!$I$4:$I$29,S294,"Cubic","Extrapolate=Linear","MultiX=Average","Skip=True","Sort=True")</f>
        <v>14.762104822743723</v>
      </c>
    </row>
    <row r="295" spans="16:21" x14ac:dyDescent="0.25">
      <c r="P295" s="10">
        <v>34935</v>
      </c>
      <c r="Q295">
        <v>1.7437</v>
      </c>
      <c r="S295" s="42">
        <f t="shared" ca="1" si="9"/>
        <v>46001</v>
      </c>
      <c r="T295" s="43">
        <f ca="1">_xll.BInterpol('Base CDI'!$H$4:$H$28,'Base CDI'!$J$4:$J$29,S295,"Cubic","Extrapolate=Linear","MultiX=Average","Skip=True","Sort=True")</f>
        <v>14.713788398514403</v>
      </c>
      <c r="U295" s="43">
        <f ca="1">_xll.BInterpol('Base CDI'!$H$4:$H$28,'Base CDI'!$I$4:$I$29,S295,"Cubic","Extrapolate=Linear","MultiX=Average","Skip=True","Sort=True")</f>
        <v>14.763611929730514</v>
      </c>
    </row>
    <row r="296" spans="16:21" x14ac:dyDescent="0.25">
      <c r="P296" s="10">
        <v>34936</v>
      </c>
      <c r="Q296">
        <v>1.746513</v>
      </c>
      <c r="S296" s="42">
        <f t="shared" ca="1" si="9"/>
        <v>46002</v>
      </c>
      <c r="T296" s="43">
        <f ca="1">_xll.BInterpol('Base CDI'!$H$4:$H$28,'Base CDI'!$J$4:$J$29,S296,"Cubic","Extrapolate=Linear","MultiX=Average","Skip=True","Sort=True")</f>
        <v>14.715221640016701</v>
      </c>
      <c r="U296" s="43">
        <f ca="1">_xll.BInterpol('Base CDI'!$H$4:$H$28,'Base CDI'!$I$4:$I$29,S296,"Cubic","Extrapolate=Linear","MultiX=Average","Skip=True","Sort=True")</f>
        <v>14.765106305820209</v>
      </c>
    </row>
    <row r="297" spans="16:21" x14ac:dyDescent="0.25">
      <c r="P297" s="10">
        <v>34939</v>
      </c>
      <c r="Q297">
        <v>1.749331</v>
      </c>
      <c r="S297" s="42">
        <f t="shared" ca="1" si="9"/>
        <v>46003</v>
      </c>
      <c r="T297" s="43">
        <f ca="1">_xll.BInterpol('Base CDI'!$H$4:$H$28,'Base CDI'!$J$4:$J$29,S297,"Cubic","Extrapolate=Linear","MultiX=Average","Skip=True","Sort=True")</f>
        <v>14.716643166849272</v>
      </c>
      <c r="U297" s="43">
        <f ca="1">_xll.BInterpol('Base CDI'!$H$4:$H$28,'Base CDI'!$I$4:$I$29,S297,"Cubic","Extrapolate=Linear","MultiX=Average","Skip=True","Sort=True")</f>
        <v>14.766588068768327</v>
      </c>
    </row>
    <row r="298" spans="16:21" x14ac:dyDescent="0.25">
      <c r="P298" s="10">
        <v>34940</v>
      </c>
      <c r="Q298">
        <v>1.752148</v>
      </c>
      <c r="S298" s="42">
        <f t="shared" ca="1" si="9"/>
        <v>46004</v>
      </c>
      <c r="T298" s="43">
        <f ca="1">_xll.BInterpol('Base CDI'!$H$4:$H$28,'Base CDI'!$J$4:$J$29,S298,"Cubic","Extrapolate=Linear","MultiX=Average","Skip=True","Sort=True")</f>
        <v>14.718053098073876</v>
      </c>
      <c r="U298" s="43">
        <f ca="1">_xll.BInterpol('Base CDI'!$H$4:$H$28,'Base CDI'!$I$4:$I$29,S298,"Cubic","Extrapolate=Linear","MultiX=Average","Skip=True","Sort=True")</f>
        <v>14.768057336330388</v>
      </c>
    </row>
    <row r="299" spans="16:21" x14ac:dyDescent="0.25">
      <c r="P299" s="10">
        <v>34941</v>
      </c>
      <c r="Q299">
        <v>1.754969</v>
      </c>
      <c r="S299" s="42">
        <f t="shared" ca="1" si="9"/>
        <v>46005</v>
      </c>
      <c r="T299" s="43">
        <f ca="1">_xll.BInterpol('Base CDI'!$H$4:$H$28,'Base CDI'!$J$4:$J$29,S299,"Cubic","Extrapolate=Linear","MultiX=Average","Skip=True","Sort=True")</f>
        <v>14.719451552752268</v>
      </c>
      <c r="U299" s="43">
        <f ca="1">_xll.BInterpol('Base CDI'!$H$4:$H$28,'Base CDI'!$I$4:$I$29,S299,"Cubic","Extrapolate=Linear","MultiX=Average","Skip=True","Sort=True")</f>
        <v>14.76951422626191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46006</v>
      </c>
      <c r="T300" s="43">
        <f ca="1">_xll.BInterpol('Base CDI'!$H$4:$H$28,'Base CDI'!$J$4:$J$29,S300,"Cubic","Extrapolate=Linear","MultiX=Average","Skip=True","Sort=True")</f>
        <v>14.720838649946209</v>
      </c>
      <c r="U300" s="43">
        <f ca="1">_xll.BInterpol('Base CDI'!$H$4:$H$28,'Base CDI'!$I$4:$I$29,S300,"Cubic","Extrapolate=Linear","MultiX=Average","Skip=True","Sort=True")</f>
        <v>14.770958856318416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46007</v>
      </c>
      <c r="T301" s="43">
        <f ca="1">_xll.BInterpol('Base CDI'!$H$4:$H$28,'Base CDI'!$J$4:$J$29,S301,"Cubic","Extrapolate=Linear","MultiX=Average","Skip=True","Sort=True")</f>
        <v>14.722214508717457</v>
      </c>
      <c r="U301" s="43">
        <f ca="1">_xll.BInterpol('Base CDI'!$H$4:$H$28,'Base CDI'!$I$4:$I$29,S301,"Cubic","Extrapolate=Linear","MultiX=Average","Skip=True","Sort=True")</f>
        <v>14.772391344255423</v>
      </c>
    </row>
    <row r="302" spans="16:21" x14ac:dyDescent="0.25">
      <c r="P302" s="10">
        <v>34946</v>
      </c>
      <c r="Q302">
        <v>1.763482</v>
      </c>
      <c r="S302" s="42">
        <f t="shared" ca="1" si="9"/>
        <v>46008</v>
      </c>
      <c r="T302" s="43">
        <f ca="1">_xll.BInterpol('Base CDI'!$H$4:$H$28,'Base CDI'!$J$4:$J$29,S302,"Cubic","Extrapolate=Linear","MultiX=Average","Skip=True","Sort=True")</f>
        <v>14.723579248127766</v>
      </c>
      <c r="U302" s="43">
        <f ca="1">_xll.BInterpol('Base CDI'!$H$4:$H$28,'Base CDI'!$I$4:$I$29,S302,"Cubic","Extrapolate=Linear","MultiX=Average","Skip=True","Sort=True")</f>
        <v>14.773811807828451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46009</v>
      </c>
      <c r="T303" s="43">
        <f ca="1">_xll.BInterpol('Base CDI'!$H$4:$H$28,'Base CDI'!$J$4:$J$29,S303,"Cubic","Extrapolate=Linear","MultiX=Average","Skip=True","Sort=True")</f>
        <v>14.724932987238899</v>
      </c>
      <c r="U303" s="43">
        <f ca="1">_xll.BInterpol('Base CDI'!$H$4:$H$28,'Base CDI'!$I$4:$I$29,S303,"Cubic","Extrapolate=Linear","MultiX=Average","Skip=True","Sort=True")</f>
        <v>14.775220364793023</v>
      </c>
    </row>
    <row r="304" spans="16:21" x14ac:dyDescent="0.25">
      <c r="P304" s="10">
        <v>34948</v>
      </c>
      <c r="Q304">
        <v>1.769183</v>
      </c>
      <c r="S304" s="42">
        <f t="shared" ca="1" si="9"/>
        <v>46010</v>
      </c>
      <c r="T304" s="43">
        <f ca="1">_xll.BInterpol('Base CDI'!$H$4:$H$28,'Base CDI'!$J$4:$J$29,S304,"Cubic","Extrapolate=Linear","MultiX=Average","Skip=True","Sort=True")</f>
        <v>14.726275845112612</v>
      </c>
      <c r="U304" s="43">
        <f ca="1">_xll.BInterpol('Base CDI'!$H$4:$H$28,'Base CDI'!$I$4:$I$29,S304,"Cubic","Extrapolate=Linear","MultiX=Average","Skip=True","Sort=True")</f>
        <v>14.776617132904654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46011</v>
      </c>
      <c r="T305" s="43">
        <f ca="1">_xll.BInterpol('Base CDI'!$H$4:$H$28,'Base CDI'!$J$4:$J$29,S305,"Cubic","Extrapolate=Linear","MultiX=Average","Skip=True","Sort=True")</f>
        <v>14.727607940810662</v>
      </c>
      <c r="U305" s="43">
        <f ca="1">_xll.BInterpol('Base CDI'!$H$4:$H$28,'Base CDI'!$I$4:$I$29,S305,"Cubic","Extrapolate=Linear","MultiX=Average","Skip=True","Sort=True")</f>
        <v>14.778002229918867</v>
      </c>
    </row>
    <row r="306" spans="16:21" x14ac:dyDescent="0.25">
      <c r="P306" s="10">
        <v>34953</v>
      </c>
      <c r="Q306">
        <v>1.774896</v>
      </c>
      <c r="S306" s="42">
        <f t="shared" ca="1" si="9"/>
        <v>46012</v>
      </c>
      <c r="T306" s="43">
        <f ca="1">_xll.BInterpol('Base CDI'!$H$4:$H$28,'Base CDI'!$J$4:$J$29,S306,"Cubic","Extrapolate=Linear","MultiX=Average","Skip=True","Sort=True")</f>
        <v>14.728929393394809</v>
      </c>
      <c r="U306" s="43">
        <f ca="1">_xll.BInterpol('Base CDI'!$H$4:$H$28,'Base CDI'!$I$4:$I$29,S306,"Cubic","Extrapolate=Linear","MultiX=Average","Skip=True","Sort=True")</f>
        <v>14.779375773591182</v>
      </c>
    </row>
    <row r="307" spans="16:21" x14ac:dyDescent="0.25">
      <c r="P307" s="10">
        <v>34954</v>
      </c>
      <c r="Q307">
        <v>1.77776</v>
      </c>
      <c r="S307" s="42">
        <f t="shared" ca="1" si="9"/>
        <v>46013</v>
      </c>
      <c r="T307" s="43">
        <f ca="1">_xll.BInterpol('Base CDI'!$H$4:$H$28,'Base CDI'!$J$4:$J$29,S307,"Cubic","Extrapolate=Linear","MultiX=Average","Skip=True","Sort=True")</f>
        <v>14.730240321926809</v>
      </c>
      <c r="U307" s="43">
        <f ca="1">_xll.BInterpol('Base CDI'!$H$4:$H$28,'Base CDI'!$I$4:$I$29,S307,"Cubic","Extrapolate=Linear","MultiX=Average","Skip=True","Sort=True")</f>
        <v>14.780737881677116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46014</v>
      </c>
      <c r="T308" s="43">
        <f ca="1">_xll.BInterpol('Base CDI'!$H$4:$H$28,'Base CDI'!$J$4:$J$29,S308,"Cubic","Extrapolate=Linear","MultiX=Average","Skip=True","Sort=True")</f>
        <v>14.731540845468423</v>
      </c>
      <c r="U308" s="43">
        <f ca="1">_xll.BInterpol('Base CDI'!$H$4:$H$28,'Base CDI'!$I$4:$I$29,S308,"Cubic","Extrapolate=Linear","MultiX=Average","Skip=True","Sort=True")</f>
        <v>14.78208867193219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46015</v>
      </c>
      <c r="T309" s="43">
        <f ca="1">_xll.BInterpol('Base CDI'!$H$4:$H$28,'Base CDI'!$J$4:$J$29,S309,"Cubic","Extrapolate=Linear","MultiX=Average","Skip=True","Sort=True")</f>
        <v>14.732831083081406</v>
      </c>
      <c r="U309" s="43">
        <f ca="1">_xll.BInterpol('Base CDI'!$H$4:$H$28,'Base CDI'!$I$4:$I$29,S309,"Cubic","Extrapolate=Linear","MultiX=Average","Skip=True","Sort=True")</f>
        <v>14.783428262111926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46016</v>
      </c>
      <c r="T310" s="43">
        <f ca="1">_xll.BInterpol('Base CDI'!$H$4:$H$28,'Base CDI'!$J$4:$J$29,S310,"Cubic","Extrapolate=Linear","MultiX=Average","Skip=True","Sort=True")</f>
        <v>14.734111153827518</v>
      </c>
      <c r="U310" s="43">
        <f ca="1">_xll.BInterpol('Base CDI'!$H$4:$H$28,'Base CDI'!$I$4:$I$29,S310,"Cubic","Extrapolate=Linear","MultiX=Average","Skip=True","Sort=True")</f>
        <v>14.784756769971839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46017</v>
      </c>
      <c r="T311" s="43">
        <f ca="1">_xll.BInterpol('Base CDI'!$H$4:$H$28,'Base CDI'!$J$4:$J$29,S311,"Cubic","Extrapolate=Linear","MultiX=Average","Skip=True","Sort=True")</f>
        <v>14.735381176768517</v>
      </c>
      <c r="U311" s="43">
        <f ca="1">_xll.BInterpol('Base CDI'!$H$4:$H$28,'Base CDI'!$I$4:$I$29,S311,"Cubic","Extrapolate=Linear","MultiX=Average","Skip=True","Sort=True")</f>
        <v>14.786074313267454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46018</v>
      </c>
      <c r="T312" s="43">
        <f ca="1">_xll.BInterpol('Base CDI'!$H$4:$H$28,'Base CDI'!$J$4:$J$29,S312,"Cubic","Extrapolate=Linear","MultiX=Average","Skip=True","Sort=True")</f>
        <v>14.736641270966159</v>
      </c>
      <c r="U312" s="43">
        <f ca="1">_xll.BInterpol('Base CDI'!$H$4:$H$28,'Base CDI'!$I$4:$I$29,S312,"Cubic","Extrapolate=Linear","MultiX=Average","Skip=True","Sort=True")</f>
        <v>14.787381009754288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46019</v>
      </c>
      <c r="T313" s="43">
        <f ca="1">_xll.BInterpol('Base CDI'!$H$4:$H$28,'Base CDI'!$J$4:$J$29,S313,"Cubic","Extrapolate=Linear","MultiX=Average","Skip=True","Sort=True")</f>
        <v>14.737891555482204</v>
      </c>
      <c r="U313" s="43">
        <f ca="1">_xll.BInterpol('Base CDI'!$H$4:$H$28,'Base CDI'!$I$4:$I$29,S313,"Cubic","Extrapolate=Linear","MultiX=Average","Skip=True","Sort=True")</f>
        <v>14.78867697718786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46020</v>
      </c>
      <c r="T314" s="43">
        <f ca="1">_xll.BInterpol('Base CDI'!$H$4:$H$28,'Base CDI'!$J$4:$J$29,S314,"Cubic","Extrapolate=Linear","MultiX=Average","Skip=True","Sort=True")</f>
        <v>14.73913214937841</v>
      </c>
      <c r="U314" s="43">
        <f ca="1">_xll.BInterpol('Base CDI'!$H$4:$H$28,'Base CDI'!$I$4:$I$29,S314,"Cubic","Extrapolate=Linear","MultiX=Average","Skip=True","Sort=True")</f>
        <v>14.789962333323691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46021</v>
      </c>
      <c r="T315" s="43">
        <f ca="1">_xll.BInterpol('Base CDI'!$H$4:$H$28,'Base CDI'!$J$4:$J$29,S315,"Cubic","Extrapolate=Linear","MultiX=Average","Skip=True","Sort=True")</f>
        <v>14.740363171716535</v>
      </c>
      <c r="U315" s="43">
        <f ca="1">_xll.BInterpol('Base CDI'!$H$4:$H$28,'Base CDI'!$I$4:$I$29,S315,"Cubic","Extrapolate=Linear","MultiX=Average","Skip=True","Sort=True")</f>
        <v>14.791237195917301</v>
      </c>
    </row>
    <row r="316" spans="16:21" x14ac:dyDescent="0.25">
      <c r="P316" s="10">
        <v>34967</v>
      </c>
      <c r="Q316">
        <v>1.803698</v>
      </c>
      <c r="S316" s="42">
        <f t="shared" ca="1" si="9"/>
        <v>46022</v>
      </c>
      <c r="T316" s="43">
        <f ca="1">_xll.BInterpol('Base CDI'!$H$4:$H$28,'Base CDI'!$J$4:$J$29,S316,"Cubic","Extrapolate=Linear","MultiX=Average","Skip=True","Sort=True")</f>
        <v>14.741584741558334</v>
      </c>
      <c r="U316" s="43">
        <f ca="1">_xll.BInterpol('Base CDI'!$H$4:$H$28,'Base CDI'!$I$4:$I$29,S316,"Cubic","Extrapolate=Linear","MultiX=Average","Skip=True","Sort=True")</f>
        <v>14.792501682724209</v>
      </c>
    </row>
    <row r="317" spans="16:21" x14ac:dyDescent="0.25">
      <c r="P317" s="10">
        <v>34968</v>
      </c>
      <c r="Q317">
        <v>1.806602</v>
      </c>
      <c r="S317" s="42">
        <f t="shared" ca="1" si="9"/>
        <v>46023</v>
      </c>
      <c r="T317" s="43">
        <f ca="1">_xll.BInterpol('Base CDI'!$H$4:$H$28,'Base CDI'!$J$4:$J$29,S317,"Cubic","Extrapolate=Linear","MultiX=Average","Skip=True","Sort=True")</f>
        <v>14.742796977965572</v>
      </c>
      <c r="U317" s="43">
        <f ca="1">_xll.BInterpol('Base CDI'!$H$4:$H$28,'Base CDI'!$I$4:$I$29,S317,"Cubic","Extrapolate=Linear","MultiX=Average","Skip=True","Sort=True")</f>
        <v>14.793755911499936</v>
      </c>
    </row>
    <row r="318" spans="16:21" x14ac:dyDescent="0.25">
      <c r="P318" s="10">
        <v>34969</v>
      </c>
      <c r="Q318">
        <v>1.80951</v>
      </c>
      <c r="S318" s="42">
        <f t="shared" ca="1" si="9"/>
        <v>46024</v>
      </c>
      <c r="T318" s="43">
        <f ca="1">_xll.BInterpol('Base CDI'!$H$4:$H$28,'Base CDI'!$J$4:$J$29,S318,"Cubic","Extrapolate=Linear","MultiX=Average","Skip=True","Sort=True")</f>
        <v>14.744</v>
      </c>
      <c r="U318" s="43">
        <f ca="1">_xll.BInterpol('Base CDI'!$H$4:$H$28,'Base CDI'!$I$4:$I$29,S318,"Cubic","Extrapolate=Linear","MultiX=Average","Skip=True","Sort=True")</f>
        <v>14.795</v>
      </c>
    </row>
    <row r="319" spans="16:21" x14ac:dyDescent="0.25">
      <c r="P319" s="10">
        <v>34970</v>
      </c>
      <c r="Q319">
        <v>1.812424</v>
      </c>
      <c r="S319" s="42">
        <f t="shared" ca="1" si="9"/>
        <v>46025</v>
      </c>
      <c r="T319" s="43">
        <f ca="1">_xll.BInterpol('Base CDI'!$H$4:$H$28,'Base CDI'!$J$4:$J$29,S319,"Cubic","Extrapolate=Linear","MultiX=Average","Skip=True","Sort=True")</f>
        <v>14.745193909729929</v>
      </c>
      <c r="U319" s="43">
        <f ca="1">_xll.BInterpol('Base CDI'!$H$4:$H$28,'Base CDI'!$I$4:$I$29,S319,"Cubic","Extrapolate=Linear","MultiX=Average","Skip=True","Sort=True")</f>
        <v>14.796234049669238</v>
      </c>
    </row>
    <row r="320" spans="16:21" x14ac:dyDescent="0.25">
      <c r="P320" s="10">
        <v>34971</v>
      </c>
      <c r="Q320">
        <v>1.815293</v>
      </c>
      <c r="S320" s="42">
        <f t="shared" ca="1" si="9"/>
        <v>46026</v>
      </c>
      <c r="T320" s="43">
        <f ca="1">_xll.BInterpol('Base CDI'!$H$4:$H$28,'Base CDI'!$J$4:$J$29,S320,"Cubic","Extrapolate=Linear","MultiX=Average","Skip=True","Sort=True")</f>
        <v>14.74637874124986</v>
      </c>
      <c r="U320" s="43">
        <f ca="1">_xll.BInterpol('Base CDI'!$H$4:$H$28,'Base CDI'!$I$4:$I$29,S320,"Cubic","Extrapolate=Linear","MultiX=Average","Skip=True","Sort=True")</f>
        <v>14.797458096709748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46027</v>
      </c>
      <c r="T321" s="43">
        <f ca="1">_xll.BInterpol('Base CDI'!$H$4:$H$28,'Base CDI'!$J$4:$J$29,S321,"Cubic","Extrapolate=Linear","MultiX=Average","Skip=True","Sort=True")</f>
        <v>14.747554511660846</v>
      </c>
      <c r="U321" s="43">
        <f ca="1">_xll.BInterpol('Base CDI'!$H$4:$H$28,'Base CDI'!$I$4:$I$29,S321,"Cubic","Extrapolate=Linear","MultiX=Average","Skip=True","Sort=True")</f>
        <v>14.798672161012947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46028</v>
      </c>
      <c r="T322" s="43">
        <f ca="1">_xll.BInterpol('Base CDI'!$H$4:$H$28,'Base CDI'!$J$4:$J$29,S322,"Cubic","Extrapolate=Linear","MultiX=Average","Skip=True","Sort=True")</f>
        <v>14.74872123806394</v>
      </c>
      <c r="U322" s="43">
        <f ca="1">_xll.BInterpol('Base CDI'!$H$4:$H$28,'Base CDI'!$I$4:$I$29,S322,"Cubic","Extrapolate=Linear","MultiX=Average","Skip=True","Sort=True")</f>
        <v>14.799876262470251</v>
      </c>
    </row>
    <row r="323" spans="16:21" x14ac:dyDescent="0.25">
      <c r="P323" s="10">
        <v>34976</v>
      </c>
      <c r="Q323">
        <v>1.823153</v>
      </c>
      <c r="S323" s="42">
        <f t="shared" ca="1" si="9"/>
        <v>46029</v>
      </c>
      <c r="T323" s="43">
        <f ca="1">_xll.BInterpol('Base CDI'!$H$4:$H$28,'Base CDI'!$J$4:$J$29,S323,"Cubic","Extrapolate=Linear","MultiX=Average","Skip=True","Sort=True")</f>
        <v>14.749878937560194</v>
      </c>
      <c r="U323" s="43">
        <f ca="1">_xll.BInterpol('Base CDI'!$H$4:$H$28,'Base CDI'!$I$4:$I$29,S323,"Cubic","Extrapolate=Linear","MultiX=Average","Skip=True","Sort=True")</f>
        <v>14.801070420973073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46030</v>
      </c>
      <c r="T324" s="43">
        <f ca="1">_xll.BInterpol('Base CDI'!$H$4:$H$28,'Base CDI'!$J$4:$J$29,S324,"Cubic","Extrapolate=Linear","MultiX=Average","Skip=True","Sort=True")</f>
        <v>14.751027627250659</v>
      </c>
      <c r="U324" s="43">
        <f ca="1">_xll.BInterpol('Base CDI'!$H$4:$H$28,'Base CDI'!$I$4:$I$29,S324,"Cubic","Extrapolate=Linear","MultiX=Average","Skip=True","Sort=True")</f>
        <v>14.802254656412829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46031</v>
      </c>
      <c r="T325" s="43">
        <f ca="1">_xll.BInterpol('Base CDI'!$H$4:$H$28,'Base CDI'!$J$4:$J$29,S325,"Cubic","Extrapolate=Linear","MultiX=Average","Skip=True","Sort=True")</f>
        <v>14.752167324236387</v>
      </c>
      <c r="U325" s="43">
        <f ca="1">_xll.BInterpol('Base CDI'!$H$4:$H$28,'Base CDI'!$I$4:$I$29,S325,"Cubic","Extrapolate=Linear","MultiX=Average","Skip=True","Sort=True")</f>
        <v>14.803428988680936</v>
      </c>
    </row>
    <row r="326" spans="16:21" x14ac:dyDescent="0.25">
      <c r="P326" s="10">
        <v>34981</v>
      </c>
      <c r="Q326">
        <v>1.83101</v>
      </c>
      <c r="S326" s="42">
        <f t="shared" ca="1" si="9"/>
        <v>46032</v>
      </c>
      <c r="T326" s="43">
        <f ca="1">_xll.BInterpol('Base CDI'!$H$4:$H$28,'Base CDI'!$J$4:$J$29,S326,"Cubic","Extrapolate=Linear","MultiX=Average","Skip=True","Sort=True")</f>
        <v>14.753298045618431</v>
      </c>
      <c r="U326" s="43">
        <f ca="1">_xll.BInterpol('Base CDI'!$H$4:$H$28,'Base CDI'!$I$4:$I$29,S326,"Cubic","Extrapolate=Linear","MultiX=Average","Skip=True","Sort=True")</f>
        <v>14.804593437668808</v>
      </c>
    </row>
    <row r="327" spans="16:21" x14ac:dyDescent="0.25">
      <c r="P327" s="10">
        <v>34982</v>
      </c>
      <c r="Q327">
        <v>1.833604</v>
      </c>
      <c r="S327" s="42">
        <f t="shared" ca="1" si="9"/>
        <v>46033</v>
      </c>
      <c r="T327" s="43">
        <f ca="1">_xll.BInterpol('Base CDI'!$H$4:$H$28,'Base CDI'!$J$4:$J$29,S327,"Cubic","Extrapolate=Linear","MultiX=Average","Skip=True","Sort=True")</f>
        <v>14.754419808497842</v>
      </c>
      <c r="U327" s="43">
        <f ca="1">_xll.BInterpol('Base CDI'!$H$4:$H$28,'Base CDI'!$I$4:$I$29,S327,"Cubic","Extrapolate=Linear","MultiX=Average","Skip=True","Sort=True")</f>
        <v>14.805748023267862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46034</v>
      </c>
      <c r="T328" s="43">
        <f ca="1">_xll.BInterpol('Base CDI'!$H$4:$H$28,'Base CDI'!$J$4:$J$29,S328,"Cubic","Extrapolate=Linear","MultiX=Average","Skip=True","Sort=True")</f>
        <v>14.755532629975674</v>
      </c>
      <c r="U328" s="43">
        <f ca="1">_xll.BInterpol('Base CDI'!$H$4:$H$28,'Base CDI'!$I$4:$I$29,S328,"Cubic","Extrapolate=Linear","MultiX=Average","Skip=True","Sort=True")</f>
        <v>14.806892765369511</v>
      </c>
    </row>
    <row r="329" spans="16:21" x14ac:dyDescent="0.25">
      <c r="P329" s="10">
        <v>34985</v>
      </c>
      <c r="Q329">
        <v>1.838827</v>
      </c>
      <c r="S329" s="42">
        <f t="shared" ca="1" si="9"/>
        <v>46035</v>
      </c>
      <c r="T329" s="43">
        <f ca="1">_xll.BInterpol('Base CDI'!$H$4:$H$28,'Base CDI'!$J$4:$J$29,S329,"Cubic","Extrapolate=Linear","MultiX=Average","Skip=True","Sort=True")</f>
        <v>14.756636527152978</v>
      </c>
      <c r="U329" s="43">
        <f ca="1">_xll.BInterpol('Base CDI'!$H$4:$H$28,'Base CDI'!$I$4:$I$29,S329,"Cubic","Extrapolate=Linear","MultiX=Average","Skip=True","Sort=True")</f>
        <v>14.808027683865173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46036</v>
      </c>
      <c r="T330" s="43">
        <f ca="1">_xll.BInterpol('Base CDI'!$H$4:$H$28,'Base CDI'!$J$4:$J$29,S330,"Cubic","Extrapolate=Linear","MultiX=Average","Skip=True","Sort=True")</f>
        <v>14.757731517130804</v>
      </c>
      <c r="U330" s="43">
        <f ca="1">_xll.BInterpol('Base CDI'!$H$4:$H$28,'Base CDI'!$I$4:$I$29,S330,"Cubic","Extrapolate=Linear","MultiX=Average","Skip=True","Sort=True")</f>
        <v>14.809152798646261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46037</v>
      </c>
      <c r="T331" s="43">
        <f ca="1">_xll.BInterpol('Base CDI'!$H$4:$H$28,'Base CDI'!$J$4:$J$29,S331,"Cubic","Extrapolate=Linear","MultiX=Average","Skip=True","Sort=True")</f>
        <v>14.758817617010207</v>
      </c>
      <c r="U331" s="43">
        <f ca="1">_xll.BInterpol('Base CDI'!$H$4:$H$28,'Base CDI'!$I$4:$I$29,S331,"Cubic","Extrapolate=Linear","MultiX=Average","Skip=True","Sort=True")</f>
        <v>14.810268129604191</v>
      </c>
    </row>
    <row r="332" spans="16:21" x14ac:dyDescent="0.25">
      <c r="P332" s="10">
        <v>34990</v>
      </c>
      <c r="Q332">
        <v>1.846708</v>
      </c>
      <c r="S332" s="42">
        <f t="shared" ca="1" si="10"/>
        <v>46038</v>
      </c>
      <c r="T332" s="43">
        <f ca="1">_xll.BInterpol('Base CDI'!$H$4:$H$28,'Base CDI'!$J$4:$J$29,S332,"Cubic","Extrapolate=Linear","MultiX=Average","Skip=True","Sort=True")</f>
        <v>14.759894843892239</v>
      </c>
      <c r="U332" s="43">
        <f ca="1">_xll.BInterpol('Base CDI'!$H$4:$H$28,'Base CDI'!$I$4:$I$29,S332,"Cubic","Extrapolate=Linear","MultiX=Average","Skip=True","Sort=True")</f>
        <v>14.81137369663038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46039</v>
      </c>
      <c r="T333" s="43">
        <f ca="1">_xll.BInterpol('Base CDI'!$H$4:$H$28,'Base CDI'!$J$4:$J$29,S333,"Cubic","Extrapolate=Linear","MultiX=Average","Skip=True","Sort=True")</f>
        <v>14.760963214877952</v>
      </c>
      <c r="U333" s="43">
        <f ca="1">_xll.BInterpol('Base CDI'!$H$4:$H$28,'Base CDI'!$I$4:$I$29,S333,"Cubic","Extrapolate=Linear","MultiX=Average","Skip=True","Sort=True")</f>
        <v>14.812469519616242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46040</v>
      </c>
      <c r="T334" s="43">
        <f ca="1">_xll.BInterpol('Base CDI'!$H$4:$H$28,'Base CDI'!$J$4:$J$29,S334,"Cubic","Extrapolate=Linear","MultiX=Average","Skip=True","Sort=True")</f>
        <v>14.762022747068396</v>
      </c>
      <c r="U334" s="43">
        <f ca="1">_xll.BInterpol('Base CDI'!$H$4:$H$28,'Base CDI'!$I$4:$I$29,S334,"Cubic","Extrapolate=Linear","MultiX=Average","Skip=True","Sort=True")</f>
        <v>14.813555618453192</v>
      </c>
    </row>
    <row r="335" spans="16:21" x14ac:dyDescent="0.25">
      <c r="P335" s="10">
        <v>34995</v>
      </c>
      <c r="Q335">
        <v>1.854778</v>
      </c>
      <c r="S335" s="42">
        <f t="shared" ca="1" si="10"/>
        <v>46041</v>
      </c>
      <c r="T335" s="43">
        <f ca="1">_xll.BInterpol('Base CDI'!$H$4:$H$28,'Base CDI'!$J$4:$J$29,S335,"Cubic","Extrapolate=Linear","MultiX=Average","Skip=True","Sort=True")</f>
        <v>14.763073457564625</v>
      </c>
      <c r="U335" s="43">
        <f ca="1">_xll.BInterpol('Base CDI'!$H$4:$H$28,'Base CDI'!$I$4:$I$29,S335,"Cubic","Extrapolate=Linear","MultiX=Average","Skip=True","Sort=True")</f>
        <v>14.814632013032647</v>
      </c>
    </row>
    <row r="336" spans="16:21" x14ac:dyDescent="0.25">
      <c r="P336" s="10">
        <v>34996</v>
      </c>
      <c r="Q336">
        <v>1.85748</v>
      </c>
      <c r="S336" s="42">
        <f t="shared" ca="1" si="10"/>
        <v>46042</v>
      </c>
      <c r="T336" s="43">
        <f ca="1">_xll.BInterpol('Base CDI'!$H$4:$H$28,'Base CDI'!$J$4:$J$29,S336,"Cubic","Extrapolate=Linear","MultiX=Average","Skip=True","Sort=True")</f>
        <v>14.764115363467692</v>
      </c>
      <c r="U336" s="43">
        <f ca="1">_xll.BInterpol('Base CDI'!$H$4:$H$28,'Base CDI'!$I$4:$I$29,S336,"Cubic","Extrapolate=Linear","MultiX=Average","Skip=True","Sort=True")</f>
        <v>14.815698723246021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46043</v>
      </c>
      <c r="T337" s="43">
        <f ca="1">_xll.BInterpol('Base CDI'!$H$4:$H$28,'Base CDI'!$J$4:$J$29,S337,"Cubic","Extrapolate=Linear","MultiX=Average","Skip=True","Sort=True")</f>
        <v>14.765148481878645</v>
      </c>
      <c r="U337" s="43">
        <f ca="1">_xll.BInterpol('Base CDI'!$H$4:$H$28,'Base CDI'!$I$4:$I$29,S337,"Cubic","Extrapolate=Linear","MultiX=Average","Skip=True","Sort=True")</f>
        <v>14.816755768984729</v>
      </c>
    </row>
    <row r="338" spans="16:21" x14ac:dyDescent="0.25">
      <c r="P338" s="10">
        <v>34998</v>
      </c>
      <c r="Q338">
        <v>1.862852</v>
      </c>
      <c r="S338" s="42">
        <f t="shared" ca="1" si="10"/>
        <v>46044</v>
      </c>
      <c r="T338" s="43">
        <f ca="1">_xll.BInterpol('Base CDI'!$H$4:$H$28,'Base CDI'!$J$4:$J$29,S338,"Cubic","Extrapolate=Linear","MultiX=Average","Skip=True","Sort=True")</f>
        <v>14.76617282989854</v>
      </c>
      <c r="U338" s="43">
        <f ca="1">_xll.BInterpol('Base CDI'!$H$4:$H$28,'Base CDI'!$I$4:$I$29,S338,"Cubic","Extrapolate=Linear","MultiX=Average","Skip=True","Sort=True")</f>
        <v>14.817803170140188</v>
      </c>
    </row>
    <row r="339" spans="16:21" x14ac:dyDescent="0.25">
      <c r="P339" s="10">
        <v>34999</v>
      </c>
      <c r="Q339">
        <v>1.865534</v>
      </c>
      <c r="S339" s="42">
        <f t="shared" ca="1" si="10"/>
        <v>46045</v>
      </c>
      <c r="T339" s="43">
        <f ca="1">_xll.BInterpol('Base CDI'!$H$4:$H$28,'Base CDI'!$J$4:$J$29,S339,"Cubic","Extrapolate=Linear","MultiX=Average","Skip=True","Sort=True")</f>
        <v>14.767188424628429</v>
      </c>
      <c r="U339" s="43">
        <f ca="1">_xll.BInterpol('Base CDI'!$H$4:$H$28,'Base CDI'!$I$4:$I$29,S339,"Cubic","Extrapolate=Linear","MultiX=Average","Skip=True","Sort=True")</f>
        <v>14.818840946603814</v>
      </c>
    </row>
    <row r="340" spans="16:21" x14ac:dyDescent="0.25">
      <c r="P340" s="10">
        <v>35002</v>
      </c>
      <c r="Q340">
        <v>1.868196</v>
      </c>
      <c r="S340" s="42">
        <f t="shared" ca="1" si="10"/>
        <v>46046</v>
      </c>
      <c r="T340" s="43">
        <f ca="1">_xll.BInterpol('Base CDI'!$H$4:$H$28,'Base CDI'!$J$4:$J$29,S340,"Cubic","Extrapolate=Linear","MultiX=Average","Skip=True","Sort=True")</f>
        <v>14.768195283169362</v>
      </c>
      <c r="U340" s="43">
        <f ca="1">_xll.BInterpol('Base CDI'!$H$4:$H$28,'Base CDI'!$I$4:$I$29,S340,"Cubic","Extrapolate=Linear","MultiX=Average","Skip=True","Sort=True")</f>
        <v>14.81986911826702</v>
      </c>
    </row>
    <row r="341" spans="16:21" x14ac:dyDescent="0.25">
      <c r="P341" s="10">
        <v>35003</v>
      </c>
      <c r="Q341">
        <v>1.870849</v>
      </c>
      <c r="S341" s="42">
        <f t="shared" ca="1" si="10"/>
        <v>46047</v>
      </c>
      <c r="T341" s="43">
        <f ca="1">_xll.BInterpol('Base CDI'!$H$4:$H$28,'Base CDI'!$J$4:$J$29,S341,"Cubic","Extrapolate=Linear","MultiX=Average","Skip=True","Sort=True")</f>
        <v>14.769193422622394</v>
      </c>
      <c r="U341" s="43">
        <f ca="1">_xll.BInterpol('Base CDI'!$H$4:$H$28,'Base CDI'!$I$4:$I$29,S341,"Cubic","Extrapolate=Linear","MultiX=Average","Skip=True","Sort=True")</f>
        <v>14.820887705021221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46048</v>
      </c>
      <c r="T342" s="43">
        <f ca="1">_xll.BInterpol('Base CDI'!$H$4:$H$28,'Base CDI'!$J$4:$J$29,S342,"Cubic","Extrapolate=Linear","MultiX=Average","Skip=True","Sort=True")</f>
        <v>14.770182860088573</v>
      </c>
      <c r="U342" s="43">
        <f ca="1">_xll.BInterpol('Base CDI'!$H$4:$H$28,'Base CDI'!$I$4:$I$29,S342,"Cubic","Extrapolate=Linear","MultiX=Average","Skip=True","Sort=True")</f>
        <v>14.821896726757837</v>
      </c>
    </row>
    <row r="343" spans="16:21" x14ac:dyDescent="0.25">
      <c r="P343" s="10">
        <v>35006</v>
      </c>
      <c r="Q343">
        <v>1.876047</v>
      </c>
      <c r="S343" s="42">
        <f t="shared" ca="1" si="10"/>
        <v>46049</v>
      </c>
      <c r="T343" s="43">
        <f ca="1">_xll.BInterpol('Base CDI'!$H$4:$H$28,'Base CDI'!$J$4:$J$29,S343,"Cubic","Extrapolate=Linear","MultiX=Average","Skip=True","Sort=True")</f>
        <v>14.771163612668955</v>
      </c>
      <c r="U343" s="43">
        <f ca="1">_xll.BInterpol('Base CDI'!$H$4:$H$28,'Base CDI'!$I$4:$I$29,S343,"Cubic","Extrapolate=Linear","MultiX=Average","Skip=True","Sort=True")</f>
        <v>14.822896203368277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46050</v>
      </c>
      <c r="T344" s="43">
        <f ca="1">_xll.BInterpol('Base CDI'!$H$4:$H$28,'Base CDI'!$J$4:$J$29,S344,"Cubic","Extrapolate=Linear","MultiX=Average","Skip=True","Sort=True")</f>
        <v>14.77213569746459</v>
      </c>
      <c r="U344" s="43">
        <f ca="1">_xll.BInterpol('Base CDI'!$H$4:$H$28,'Base CDI'!$I$4:$I$29,S344,"Cubic","Extrapolate=Linear","MultiX=Average","Skip=True","Sort=True")</f>
        <v>14.823886154743962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46051</v>
      </c>
      <c r="T345" s="43">
        <f ca="1">_xll.BInterpol('Base CDI'!$H$4:$H$28,'Base CDI'!$J$4:$J$29,S345,"Cubic","Extrapolate=Linear","MultiX=Average","Skip=True","Sort=True")</f>
        <v>14.773099131576531</v>
      </c>
      <c r="U345" s="43">
        <f ca="1">_xll.BInterpol('Base CDI'!$H$4:$H$28,'Base CDI'!$I$4:$I$29,S345,"Cubic","Extrapolate=Linear","MultiX=Average","Skip=True","Sort=True")</f>
        <v>14.824866600776305</v>
      </c>
    </row>
    <row r="346" spans="16:21" x14ac:dyDescent="0.25">
      <c r="P346" s="10">
        <v>35011</v>
      </c>
      <c r="Q346">
        <v>1.883875</v>
      </c>
      <c r="S346" s="42">
        <f t="shared" ca="1" si="10"/>
        <v>46052</v>
      </c>
      <c r="T346" s="43">
        <f ca="1">_xll.BInterpol('Base CDI'!$H$4:$H$28,'Base CDI'!$J$4:$J$29,S346,"Cubic","Extrapolate=Linear","MultiX=Average","Skip=True","Sort=True")</f>
        <v>14.774053932105829</v>
      </c>
      <c r="U346" s="43">
        <f ca="1">_xll.BInterpol('Base CDI'!$H$4:$H$28,'Base CDI'!$I$4:$I$29,S346,"Cubic","Extrapolate=Linear","MultiX=Average","Skip=True","Sort=True")</f>
        <v>14.825837561356721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46053</v>
      </c>
      <c r="T347" s="43">
        <f ca="1">_xll.BInterpol('Base CDI'!$H$4:$H$28,'Base CDI'!$J$4:$J$29,S347,"Cubic","Extrapolate=Linear","MultiX=Average","Skip=True","Sort=True")</f>
        <v>14.775000116153537</v>
      </c>
      <c r="U347" s="43">
        <f ca="1">_xll.BInterpol('Base CDI'!$H$4:$H$28,'Base CDI'!$I$4:$I$29,S347,"Cubic","Extrapolate=Linear","MultiX=Average","Skip=True","Sort=True")</f>
        <v>14.826799056376625</v>
      </c>
    </row>
    <row r="348" spans="16:21" x14ac:dyDescent="0.25">
      <c r="P348" s="10">
        <v>35013</v>
      </c>
      <c r="Q348">
        <v>1.889235</v>
      </c>
      <c r="S348" s="42">
        <f t="shared" ca="1" si="10"/>
        <v>46054</v>
      </c>
      <c r="T348" s="43">
        <f ca="1">_xll.BInterpol('Base CDI'!$H$4:$H$28,'Base CDI'!$J$4:$J$29,S348,"Cubic","Extrapolate=Linear","MultiX=Average","Skip=True","Sort=True")</f>
        <v>14.775937700820707</v>
      </c>
      <c r="U348" s="43">
        <f ca="1">_xll.BInterpol('Base CDI'!$H$4:$H$28,'Base CDI'!$I$4:$I$29,S348,"Cubic","Extrapolate=Linear","MultiX=Average","Skip=True","Sort=True")</f>
        <v>14.827751105727435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46055</v>
      </c>
      <c r="T349" s="43">
        <f ca="1">_xll.BInterpol('Base CDI'!$H$4:$H$28,'Base CDI'!$J$4:$J$29,S349,"Cubic","Extrapolate=Linear","MultiX=Average","Skip=True","Sort=True")</f>
        <v>14.776866703208391</v>
      </c>
      <c r="U349" s="43">
        <f ca="1">_xll.BInterpol('Base CDI'!$H$4:$H$28,'Base CDI'!$I$4:$I$29,S349,"Cubic","Extrapolate=Linear","MultiX=Average","Skip=True","Sort=True")</f>
        <v>14.828693729300564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46056</v>
      </c>
      <c r="T350" s="43">
        <f ca="1">_xll.BInterpol('Base CDI'!$H$4:$H$28,'Base CDI'!$J$4:$J$29,S350,"Cubic","Extrapolate=Linear","MultiX=Average","Skip=True","Sort=True")</f>
        <v>14.77778714041764</v>
      </c>
      <c r="U350" s="43">
        <f ca="1">_xll.BInterpol('Base CDI'!$H$4:$H$28,'Base CDI'!$I$4:$I$29,S350,"Cubic","Extrapolate=Linear","MultiX=Average","Skip=True","Sort=True")</f>
        <v>14.829626946987428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46057</v>
      </c>
      <c r="T351" s="43">
        <f ca="1">_xll.BInterpol('Base CDI'!$H$4:$H$28,'Base CDI'!$J$4:$J$29,S351,"Cubic","Extrapolate=Linear","MultiX=Average","Skip=True","Sort=True")</f>
        <v>14.778699029549509</v>
      </c>
      <c r="U351" s="43">
        <f ca="1">_xll.BInterpol('Base CDI'!$H$4:$H$28,'Base CDI'!$I$4:$I$29,S351,"Cubic","Extrapolate=Linear","MultiX=Average","Skip=True","Sort=True")</f>
        <v>14.830550778679443</v>
      </c>
    </row>
    <row r="352" spans="16:21" x14ac:dyDescent="0.25">
      <c r="P352" s="10">
        <v>35020</v>
      </c>
      <c r="Q352">
        <v>1.900128</v>
      </c>
      <c r="S352" s="42">
        <f t="shared" ca="1" si="10"/>
        <v>46058</v>
      </c>
      <c r="T352" s="43">
        <f ca="1">_xll.BInterpol('Base CDI'!$H$4:$H$28,'Base CDI'!$J$4:$J$29,S352,"Cubic","Extrapolate=Linear","MultiX=Average","Skip=True","Sort=True")</f>
        <v>14.779602387705047</v>
      </c>
      <c r="U352" s="43">
        <f ca="1">_xll.BInterpol('Base CDI'!$H$4:$H$28,'Base CDI'!$I$4:$I$29,S352,"Cubic","Extrapolate=Linear","MultiX=Average","Skip=True","Sort=True")</f>
        <v>14.831465244268024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46059</v>
      </c>
      <c r="T353" s="43">
        <f ca="1">_xll.BInterpol('Base CDI'!$H$4:$H$28,'Base CDI'!$J$4:$J$29,S353,"Cubic","Extrapolate=Linear","MultiX=Average","Skip=True","Sort=True")</f>
        <v>14.78049723198531</v>
      </c>
      <c r="U353" s="43">
        <f ca="1">_xll.BInterpol('Base CDI'!$H$4:$H$28,'Base CDI'!$I$4:$I$29,S353,"Cubic","Extrapolate=Linear","MultiX=Average","Skip=True","Sort=True")</f>
        <v>14.832370363644587</v>
      </c>
    </row>
    <row r="354" spans="16:21" x14ac:dyDescent="0.25">
      <c r="P354" s="10">
        <v>35024</v>
      </c>
      <c r="Q354">
        <v>1.905591</v>
      </c>
      <c r="S354" s="42">
        <f t="shared" ca="1" si="10"/>
        <v>46060</v>
      </c>
      <c r="T354" s="43">
        <f ca="1">_xll.BInterpol('Base CDI'!$H$4:$H$28,'Base CDI'!$J$4:$J$29,S354,"Cubic","Extrapolate=Linear","MultiX=Average","Skip=True","Sort=True")</f>
        <v>14.781383579491346</v>
      </c>
      <c r="U354" s="43">
        <f ca="1">_xll.BInterpol('Base CDI'!$H$4:$H$28,'Base CDI'!$I$4:$I$29,S354,"Cubic","Extrapolate=Linear","MultiX=Average","Skip=True","Sort=True")</f>
        <v>14.833266156700546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46061</v>
      </c>
      <c r="T355" s="43">
        <f ca="1">_xll.BInterpol('Base CDI'!$H$4:$H$28,'Base CDI'!$J$4:$J$29,S355,"Cubic","Extrapolate=Linear","MultiX=Average","Skip=True","Sort=True")</f>
        <v>14.782261447324208</v>
      </c>
      <c r="U355" s="43">
        <f ca="1">_xll.BInterpol('Base CDI'!$H$4:$H$28,'Base CDI'!$I$4:$I$29,S355,"Cubic","Extrapolate=Linear","MultiX=Average","Skip=True","Sort=True")</f>
        <v>14.834152643327316</v>
      </c>
    </row>
    <row r="356" spans="16:21" x14ac:dyDescent="0.25">
      <c r="P356" s="10">
        <v>35026</v>
      </c>
      <c r="Q356">
        <v>1.910873</v>
      </c>
      <c r="S356" s="42">
        <f t="shared" ca="1" si="10"/>
        <v>46062</v>
      </c>
      <c r="T356" s="43">
        <f ca="1">_xll.BInterpol('Base CDI'!$H$4:$H$28,'Base CDI'!$J$4:$J$29,S356,"Cubic","Extrapolate=Linear","MultiX=Average","Skip=True","Sort=True")</f>
        <v>14.783130852584948</v>
      </c>
      <c r="U356" s="43">
        <f ca="1">_xll.BInterpol('Base CDI'!$H$4:$H$28,'Base CDI'!$I$4:$I$29,S356,"Cubic","Extrapolate=Linear","MultiX=Average","Skip=True","Sort=True")</f>
        <v>14.835029843416315</v>
      </c>
    </row>
    <row r="357" spans="16:21" x14ac:dyDescent="0.25">
      <c r="P357" s="10">
        <v>35027</v>
      </c>
      <c r="Q357">
        <v>1.91351</v>
      </c>
      <c r="S357" s="42">
        <f t="shared" ca="1" si="10"/>
        <v>46063</v>
      </c>
      <c r="T357" s="43">
        <f ca="1">_xll.BInterpol('Base CDI'!$H$4:$H$28,'Base CDI'!$J$4:$J$29,S357,"Cubic","Extrapolate=Linear","MultiX=Average","Skip=True","Sort=True")</f>
        <v>14.783991812374619</v>
      </c>
      <c r="U357" s="43">
        <f ca="1">_xll.BInterpol('Base CDI'!$H$4:$H$28,'Base CDI'!$I$4:$I$29,S357,"Cubic","Extrapolate=Linear","MultiX=Average","Skip=True","Sort=True")</f>
        <v>14.835897776858957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46064</v>
      </c>
      <c r="T358" s="43">
        <f ca="1">_xll.BInterpol('Base CDI'!$H$4:$H$28,'Base CDI'!$J$4:$J$29,S358,"Cubic","Extrapolate=Linear","MultiX=Average","Skip=True","Sort=True")</f>
        <v>14.784844343794274</v>
      </c>
      <c r="U358" s="43">
        <f ca="1">_xll.BInterpol('Base CDI'!$H$4:$H$28,'Base CDI'!$I$4:$I$29,S358,"Cubic","Extrapolate=Linear","MultiX=Average","Skip=True","Sort=True")</f>
        <v>14.836756463546656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46065</v>
      </c>
      <c r="T359" s="43">
        <f ca="1">_xll.BInterpol('Base CDI'!$H$4:$H$28,'Base CDI'!$J$4:$J$29,S359,"Cubic","Extrapolate=Linear","MultiX=Average","Skip=True","Sort=True")</f>
        <v>14.785688463944965</v>
      </c>
      <c r="U359" s="43">
        <f ca="1">_xll.BInterpol('Base CDI'!$H$4:$H$28,'Base CDI'!$I$4:$I$29,S359,"Cubic","Extrapolate=Linear","MultiX=Average","Skip=True","Sort=True")</f>
        <v>14.83760592337083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46066</v>
      </c>
      <c r="T360" s="43">
        <f ca="1">_xll.BInterpol('Base CDI'!$H$4:$H$28,'Base CDI'!$J$4:$J$29,S360,"Cubic","Extrapolate=Linear","MultiX=Average","Skip=True","Sort=True")</f>
        <v>14.786524189927743</v>
      </c>
      <c r="U360" s="43">
        <f ca="1">_xll.BInterpol('Base CDI'!$H$4:$H$28,'Base CDI'!$I$4:$I$29,S360,"Cubic","Extrapolate=Linear","MultiX=Average","Skip=True","Sort=True")</f>
        <v>14.838446176222895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46067</v>
      </c>
      <c r="T361" s="43">
        <f ca="1">_xll.BInterpol('Base CDI'!$H$4:$H$28,'Base CDI'!$J$4:$J$29,S361,"Cubic","Extrapolate=Linear","MultiX=Average","Skip=True","Sort=True")</f>
        <v>14.787351538843659</v>
      </c>
      <c r="U361" s="43">
        <f ca="1">_xll.BInterpol('Base CDI'!$H$4:$H$28,'Base CDI'!$I$4:$I$29,S361,"Cubic","Extrapolate=Linear","MultiX=Average","Skip=True","Sort=True")</f>
        <v>14.839277241994262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46068</v>
      </c>
      <c r="T362" s="43">
        <f ca="1">_xll.BInterpol('Base CDI'!$H$4:$H$28,'Base CDI'!$J$4:$J$29,S362,"Cubic","Extrapolate=Linear","MultiX=Average","Skip=True","Sort=True")</f>
        <v>14.788170527793767</v>
      </c>
      <c r="U362" s="43">
        <f ca="1">_xll.BInterpol('Base CDI'!$H$4:$H$28,'Base CDI'!$I$4:$I$29,S362,"Cubic","Extrapolate=Linear","MultiX=Average","Skip=True","Sort=True")</f>
        <v>14.840099140576349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46069</v>
      </c>
      <c r="T363" s="43">
        <f ca="1">_xll.BInterpol('Base CDI'!$H$4:$H$28,'Base CDI'!$J$4:$J$29,S363,"Cubic","Extrapolate=Linear","MultiX=Average","Skip=True","Sort=True")</f>
        <v>14.788981173879119</v>
      </c>
      <c r="U363" s="43">
        <f ca="1">_xll.BInterpol('Base CDI'!$H$4:$H$28,'Base CDI'!$I$4:$I$29,S363,"Cubic","Extrapolate=Linear","MultiX=Average","Skip=True","Sort=True")</f>
        <v>14.840911891860573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46070</v>
      </c>
      <c r="T364" s="43">
        <f ca="1">_xll.BInterpol('Base CDI'!$H$4:$H$28,'Base CDI'!$J$4:$J$29,S364,"Cubic","Extrapolate=Linear","MultiX=Average","Skip=True","Sort=True")</f>
        <v>14.789783494200766</v>
      </c>
      <c r="U364" s="43">
        <f ca="1">_xll.BInterpol('Base CDI'!$H$4:$H$28,'Base CDI'!$I$4:$I$29,S364,"Cubic","Extrapolate=Linear","MultiX=Average","Skip=True","Sort=True")</f>
        <v>14.841715515738347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46071</v>
      </c>
      <c r="T365" s="43">
        <f ca="1">_xll.BInterpol('Base CDI'!$H$4:$H$28,'Base CDI'!$J$4:$J$29,S365,"Cubic","Extrapolate=Linear","MultiX=Average","Skip=True","Sort=True")</f>
        <v>14.79057750585976</v>
      </c>
      <c r="U365" s="43">
        <f ca="1">_xll.BInterpol('Base CDI'!$H$4:$H$28,'Base CDI'!$I$4:$I$29,S365,"Cubic","Extrapolate=Linear","MultiX=Average","Skip=True","Sort=True")</f>
        <v>14.842510032101087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46072</v>
      </c>
      <c r="T366" s="43">
        <f ca="1">_xll.BInterpol('Base CDI'!$H$4:$H$28,'Base CDI'!$J$4:$J$29,S366,"Cubic","Extrapolate=Linear","MultiX=Average","Skip=True","Sort=True")</f>
        <v>14.791363225957154</v>
      </c>
      <c r="U366" s="43">
        <f ca="1">_xll.BInterpol('Base CDI'!$H$4:$H$28,'Base CDI'!$I$4:$I$29,S366,"Cubic","Extrapolate=Linear","MultiX=Average","Skip=True","Sort=True")</f>
        <v>14.84329546084021</v>
      </c>
    </row>
    <row r="367" spans="16:21" x14ac:dyDescent="0.25">
      <c r="P367" s="10">
        <v>35041</v>
      </c>
      <c r="Q367">
        <v>1.939487</v>
      </c>
      <c r="S367" s="42">
        <f t="shared" ca="1" si="10"/>
        <v>46073</v>
      </c>
      <c r="T367" s="43">
        <f ca="1">_xll.BInterpol('Base CDI'!$H$4:$H$28,'Base CDI'!$J$4:$J$29,S367,"Cubic","Extrapolate=Linear","MultiX=Average","Skip=True","Sort=True")</f>
        <v>14.792140671594</v>
      </c>
      <c r="U367" s="43">
        <f ca="1">_xll.BInterpol('Base CDI'!$H$4:$H$28,'Base CDI'!$I$4:$I$29,S367,"Cubic","Extrapolate=Linear","MultiX=Average","Skip=True","Sort=True")</f>
        <v>14.844071821847129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46074</v>
      </c>
      <c r="T368" s="43">
        <f ca="1">_xll.BInterpol('Base CDI'!$H$4:$H$28,'Base CDI'!$J$4:$J$29,S368,"Cubic","Extrapolate=Linear","MultiX=Average","Skip=True","Sort=True")</f>
        <v>14.792909859871351</v>
      </c>
      <c r="U368" s="43">
        <f ca="1">_xll.BInterpol('Base CDI'!$H$4:$H$28,'Base CDI'!$I$4:$I$29,S368,"Cubic","Extrapolate=Linear","MultiX=Average","Skip=True","Sort=True")</f>
        <v>14.84483913501326</v>
      </c>
    </row>
    <row r="369" spans="16:21" x14ac:dyDescent="0.25">
      <c r="P369" s="10">
        <v>35045</v>
      </c>
      <c r="Q369">
        <v>1.944682</v>
      </c>
      <c r="S369" s="42">
        <f t="shared" ca="1" si="10"/>
        <v>46075</v>
      </c>
      <c r="T369" s="43">
        <f ca="1">_xll.BInterpol('Base CDI'!$H$4:$H$28,'Base CDI'!$J$4:$J$29,S369,"Cubic","Extrapolate=Linear","MultiX=Average","Skip=True","Sort=True")</f>
        <v>14.793670807890257</v>
      </c>
      <c r="U369" s="43">
        <f ca="1">_xll.BInterpol('Base CDI'!$H$4:$H$28,'Base CDI'!$I$4:$I$29,S369,"Cubic","Extrapolate=Linear","MultiX=Average","Skip=True","Sort=True")</f>
        <v>14.845597420230019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46076</v>
      </c>
      <c r="T370" s="43">
        <f ca="1">_xll.BInterpol('Base CDI'!$H$4:$H$28,'Base CDI'!$J$4:$J$29,S370,"Cubic","Extrapolate=Linear","MultiX=Average","Skip=True","Sort=True")</f>
        <v>14.794423532751772</v>
      </c>
      <c r="U370" s="43">
        <f ca="1">_xll.BInterpol('Base CDI'!$H$4:$H$28,'Base CDI'!$I$4:$I$29,S370,"Cubic","Extrapolate=Linear","MultiX=Average","Skip=True","Sort=True")</f>
        <v>14.846346697388821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46077</v>
      </c>
      <c r="T371" s="43">
        <f ca="1">_xll.BInterpol('Base CDI'!$H$4:$H$28,'Base CDI'!$J$4:$J$29,S371,"Cubic","Extrapolate=Linear","MultiX=Average","Skip=True","Sort=True")</f>
        <v>14.795168051556947</v>
      </c>
      <c r="U371" s="43">
        <f ca="1">_xll.BInterpol('Base CDI'!$H$4:$H$28,'Base CDI'!$I$4:$I$29,S371,"Cubic","Extrapolate=Linear","MultiX=Average","Skip=True","Sort=True")</f>
        <v>14.847086986381083</v>
      </c>
    </row>
    <row r="372" spans="16:21" x14ac:dyDescent="0.25">
      <c r="P372" s="10">
        <v>35048</v>
      </c>
      <c r="Q372">
        <v>1.952634</v>
      </c>
      <c r="S372" s="42">
        <f t="shared" ca="1" si="10"/>
        <v>46078</v>
      </c>
      <c r="T372" s="43">
        <f ca="1">_xll.BInterpol('Base CDI'!$H$4:$H$28,'Base CDI'!$J$4:$J$29,S372,"Cubic","Extrapolate=Linear","MultiX=Average","Skip=True","Sort=True")</f>
        <v>14.795904381406833</v>
      </c>
      <c r="U372" s="43">
        <f ca="1">_xll.BInterpol('Base CDI'!$H$4:$H$28,'Base CDI'!$I$4:$I$29,S372,"Cubic","Extrapolate=Linear","MultiX=Average","Skip=True","Sort=True")</f>
        <v>14.847818307098217</v>
      </c>
    </row>
    <row r="373" spans="16:21" x14ac:dyDescent="0.25">
      <c r="P373" s="10">
        <v>35051</v>
      </c>
      <c r="Q373">
        <v>1.955354</v>
      </c>
      <c r="S373" s="42">
        <f t="shared" ca="1" si="10"/>
        <v>46079</v>
      </c>
      <c r="T373" s="43">
        <f ca="1">_xll.BInterpol('Base CDI'!$H$4:$H$28,'Base CDI'!$J$4:$J$29,S373,"Cubic","Extrapolate=Linear","MultiX=Average","Skip=True","Sort=True")</f>
        <v>14.796632539402486</v>
      </c>
      <c r="U373" s="43">
        <f ca="1">_xll.BInterpol('Base CDI'!$H$4:$H$28,'Base CDI'!$I$4:$I$29,S373,"Cubic","Extrapolate=Linear","MultiX=Average","Skip=True","Sort=True")</f>
        <v>14.848540679431643</v>
      </c>
    </row>
    <row r="374" spans="16:21" x14ac:dyDescent="0.25">
      <c r="P374" s="10">
        <v>35052</v>
      </c>
      <c r="Q374">
        <v>1.958072</v>
      </c>
      <c r="S374" s="42">
        <f t="shared" ca="1" si="10"/>
        <v>46080</v>
      </c>
      <c r="T374" s="43">
        <f ca="1">_xll.BInterpol('Base CDI'!$H$4:$H$28,'Base CDI'!$J$4:$J$29,S374,"Cubic","Extrapolate=Linear","MultiX=Average","Skip=True","Sort=True")</f>
        <v>14.797352542644955</v>
      </c>
      <c r="U374" s="43">
        <f ca="1">_xll.BInterpol('Base CDI'!$H$4:$H$28,'Base CDI'!$I$4:$I$29,S374,"Cubic","Extrapolate=Linear","MultiX=Average","Skip=True","Sort=True")</f>
        <v>14.849254123272772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46081</v>
      </c>
      <c r="T375" s="43">
        <f ca="1">_xll.BInterpol('Base CDI'!$H$4:$H$28,'Base CDI'!$J$4:$J$29,S375,"Cubic","Extrapolate=Linear","MultiX=Average","Skip=True","Sort=True")</f>
        <v>14.798064408235293</v>
      </c>
      <c r="U375" s="43">
        <f ca="1">_xll.BInterpol('Base CDI'!$H$4:$H$28,'Base CDI'!$I$4:$I$29,S375,"Cubic","Extrapolate=Linear","MultiX=Average","Skip=True","Sort=True")</f>
        <v>14.849958658513023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46082</v>
      </c>
      <c r="T376" s="43">
        <f ca="1">_xll.BInterpol('Base CDI'!$H$4:$H$28,'Base CDI'!$J$4:$J$29,S376,"Cubic","Extrapolate=Linear","MultiX=Average","Skip=True","Sort=True")</f>
        <v>14.798768153274549</v>
      </c>
      <c r="U376" s="43">
        <f ca="1">_xll.BInterpol('Base CDI'!$H$4:$H$28,'Base CDI'!$I$4:$I$29,S376,"Cubic","Extrapolate=Linear","MultiX=Average","Skip=True","Sort=True")</f>
        <v>14.850654305043808</v>
      </c>
    </row>
    <row r="377" spans="16:21" x14ac:dyDescent="0.25">
      <c r="P377" s="10">
        <v>35055</v>
      </c>
      <c r="Q377">
        <v>1.966242</v>
      </c>
      <c r="S377" s="42">
        <f t="shared" ca="1" si="10"/>
        <v>46083</v>
      </c>
      <c r="T377" s="43">
        <f ca="1">_xll.BInterpol('Base CDI'!$H$4:$H$28,'Base CDI'!$J$4:$J$29,S377,"Cubic","Extrapolate=Linear","MultiX=Average","Skip=True","Sort=True")</f>
        <v>14.799463794863781</v>
      </c>
      <c r="U377" s="43">
        <f ca="1">_xll.BInterpol('Base CDI'!$H$4:$H$28,'Base CDI'!$I$4:$I$29,S377,"Cubic","Extrapolate=Linear","MultiX=Average","Skip=True","Sort=True")</f>
        <v>14.851341082756544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46084</v>
      </c>
      <c r="T378" s="43">
        <f ca="1">_xll.BInterpol('Base CDI'!$H$4:$H$28,'Base CDI'!$J$4:$J$29,S378,"Cubic","Extrapolate=Linear","MultiX=Average","Skip=True","Sort=True")</f>
        <v>14.800151350104038</v>
      </c>
      <c r="U378" s="43">
        <f ca="1">_xll.BInterpol('Base CDI'!$H$4:$H$28,'Base CDI'!$I$4:$I$29,S378,"Cubic","Extrapolate=Linear","MultiX=Average","Skip=True","Sort=True")</f>
        <v>14.852019011542648</v>
      </c>
    </row>
    <row r="379" spans="16:21" x14ac:dyDescent="0.25">
      <c r="P379" s="10">
        <v>35060</v>
      </c>
      <c r="Q379">
        <v>1.971627</v>
      </c>
      <c r="S379" s="42">
        <f t="shared" ca="1" si="10"/>
        <v>46085</v>
      </c>
      <c r="T379" s="43">
        <f ca="1">_xll.BInterpol('Base CDI'!$H$4:$H$28,'Base CDI'!$J$4:$J$29,S379,"Cubic","Extrapolate=Linear","MultiX=Average","Skip=True","Sort=True")</f>
        <v>14.80083083609637</v>
      </c>
      <c r="U379" s="43">
        <f ca="1">_xll.BInterpol('Base CDI'!$H$4:$H$28,'Base CDI'!$I$4:$I$29,S379,"Cubic","Extrapolate=Linear","MultiX=Average","Skip=True","Sort=True")</f>
        <v>14.852688111293533</v>
      </c>
    </row>
    <row r="380" spans="16:21" x14ac:dyDescent="0.25">
      <c r="P380" s="10">
        <v>35061</v>
      </c>
      <c r="Q380">
        <v>1.974256</v>
      </c>
      <c r="S380" s="42">
        <f t="shared" ca="1" si="10"/>
        <v>46086</v>
      </c>
      <c r="T380" s="43">
        <f ca="1">_xll.BInterpol('Base CDI'!$H$4:$H$28,'Base CDI'!$J$4:$J$29,S380,"Cubic","Extrapolate=Linear","MultiX=Average","Skip=True","Sort=True")</f>
        <v>14.801502269941833</v>
      </c>
      <c r="U380" s="43">
        <f ca="1">_xll.BInterpol('Base CDI'!$H$4:$H$28,'Base CDI'!$I$4:$I$29,S380,"Cubic","Extrapolate=Linear","MultiX=Average","Skip=True","Sort=True")</f>
        <v>14.853348401900615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46087</v>
      </c>
      <c r="T381" s="43">
        <f ca="1">_xll.BInterpol('Base CDI'!$H$4:$H$28,'Base CDI'!$J$4:$J$29,S381,"Cubic","Extrapolate=Linear","MultiX=Average","Skip=True","Sort=True")</f>
        <v>14.802165668741477</v>
      </c>
      <c r="U381" s="43">
        <f ca="1">_xll.BInterpol('Base CDI'!$H$4:$H$28,'Base CDI'!$I$4:$I$29,S381,"Cubic","Extrapolate=Linear","MultiX=Average","Skip=True","Sort=True")</f>
        <v>14.85399990325531</v>
      </c>
    </row>
    <row r="382" spans="16:21" x14ac:dyDescent="0.25">
      <c r="P382" s="10">
        <v>35066</v>
      </c>
      <c r="Q382">
        <v>1.979168</v>
      </c>
      <c r="S382" s="42">
        <f t="shared" ca="1" si="10"/>
        <v>46088</v>
      </c>
      <c r="T382" s="43">
        <f ca="1">_xll.BInterpol('Base CDI'!$H$4:$H$28,'Base CDI'!$J$4:$J$29,S382,"Cubic","Extrapolate=Linear","MultiX=Average","Skip=True","Sort=True")</f>
        <v>14.802821049596355</v>
      </c>
      <c r="U382" s="43">
        <f ca="1">_xll.BInterpol('Base CDI'!$H$4:$H$28,'Base CDI'!$I$4:$I$29,S382,"Cubic","Extrapolate=Linear","MultiX=Average","Skip=True","Sort=True")</f>
        <v>14.854642635249034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46089</v>
      </c>
      <c r="T383" s="43">
        <f ca="1">_xll.BInterpol('Base CDI'!$H$4:$H$28,'Base CDI'!$J$4:$J$29,S383,"Cubic","Extrapolate=Linear","MultiX=Average","Skip=True","Sort=True")</f>
        <v>14.803468429607518</v>
      </c>
      <c r="U383" s="43">
        <f ca="1">_xll.BInterpol('Base CDI'!$H$4:$H$28,'Base CDI'!$I$4:$I$29,S383,"Cubic","Extrapolate=Linear","MultiX=Average","Skip=True","Sort=True")</f>
        <v>14.8552766177732</v>
      </c>
    </row>
    <row r="384" spans="16:21" x14ac:dyDescent="0.25">
      <c r="P384" s="10">
        <v>35068</v>
      </c>
      <c r="Q384">
        <v>1.983822</v>
      </c>
      <c r="S384" s="42">
        <f t="shared" ca="1" si="10"/>
        <v>46090</v>
      </c>
      <c r="T384" s="43">
        <f ca="1">_xll.BInterpol('Base CDI'!$H$4:$H$28,'Base CDI'!$J$4:$J$29,S384,"Cubic","Extrapolate=Linear","MultiX=Average","Skip=True","Sort=True")</f>
        <v>14.804107825876018</v>
      </c>
      <c r="U384" s="43">
        <f ca="1">_xll.BInterpol('Base CDI'!$H$4:$H$28,'Base CDI'!$I$4:$I$29,S384,"Cubic","Extrapolate=Linear","MultiX=Average","Skip=True","Sort=True")</f>
        <v>14.855901870719226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46091</v>
      </c>
      <c r="T385" s="43">
        <f ca="1">_xll.BInterpol('Base CDI'!$H$4:$H$28,'Base CDI'!$J$4:$J$29,S385,"Cubic","Extrapolate=Linear","MultiX=Average","Skip=True","Sort=True")</f>
        <v>14.804739255502909</v>
      </c>
      <c r="U385" s="43">
        <f ca="1">_xll.BInterpol('Base CDI'!$H$4:$H$28,'Base CDI'!$I$4:$I$29,S385,"Cubic","Extrapolate=Linear","MultiX=Average","Skip=True","Sort=True")</f>
        <v>14.856518413978526</v>
      </c>
    </row>
    <row r="386" spans="16:21" x14ac:dyDescent="0.25">
      <c r="P386" s="10">
        <v>35072</v>
      </c>
      <c r="Q386">
        <v>1.988281</v>
      </c>
      <c r="S386" s="42">
        <f t="shared" ca="1" si="10"/>
        <v>46092</v>
      </c>
      <c r="T386" s="43">
        <f ca="1">_xll.BInterpol('Base CDI'!$H$4:$H$28,'Base CDI'!$J$4:$J$29,S386,"Cubic","Extrapolate=Linear","MultiX=Average","Skip=True","Sort=True")</f>
        <v>14.805362735589242</v>
      </c>
      <c r="U386" s="43">
        <f ca="1">_xll.BInterpol('Base CDI'!$H$4:$H$28,'Base CDI'!$I$4:$I$29,S386,"Cubic","Extrapolate=Linear","MultiX=Average","Skip=True","Sort=True")</f>
        <v>14.857126267442515</v>
      </c>
    </row>
    <row r="387" spans="16:21" x14ac:dyDescent="0.25">
      <c r="P387" s="10">
        <v>35073</v>
      </c>
      <c r="Q387">
        <v>1.990515</v>
      </c>
      <c r="S387" s="42">
        <f t="shared" ca="1" si="10"/>
        <v>46093</v>
      </c>
      <c r="T387" s="43">
        <f ca="1">_xll.BInterpol('Base CDI'!$H$4:$H$28,'Base CDI'!$J$4:$J$29,S387,"Cubic","Extrapolate=Linear","MultiX=Average","Skip=True","Sort=True")</f>
        <v>14.805978283236069</v>
      </c>
      <c r="U387" s="43">
        <f ca="1">_xll.BInterpol('Base CDI'!$H$4:$H$28,'Base CDI'!$I$4:$I$29,S387,"Cubic","Extrapolate=Linear","MultiX=Average","Skip=True","Sort=True")</f>
        <v>14.85772545100261</v>
      </c>
    </row>
    <row r="388" spans="16:21" x14ac:dyDescent="0.25">
      <c r="P388" s="10">
        <v>35074</v>
      </c>
      <c r="Q388">
        <v>1.992758</v>
      </c>
      <c r="S388" s="42">
        <f t="shared" ca="1" si="10"/>
        <v>46094</v>
      </c>
      <c r="T388" s="43">
        <f ca="1">_xll.BInterpol('Base CDI'!$H$4:$H$28,'Base CDI'!$J$4:$J$29,S388,"Cubic","Extrapolate=Linear","MultiX=Average","Skip=True","Sort=True")</f>
        <v>14.80658591554444</v>
      </c>
      <c r="U388" s="43">
        <f ca="1">_xll.BInterpol('Base CDI'!$H$4:$H$28,'Base CDI'!$I$4:$I$29,S388,"Cubic","Extrapolate=Linear","MultiX=Average","Skip=True","Sort=True")</f>
        <v>14.858315984550226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46095</v>
      </c>
      <c r="T389" s="43">
        <f ca="1">_xll.BInterpol('Base CDI'!$H$4:$H$28,'Base CDI'!$J$4:$J$29,S389,"Cubic","Extrapolate=Linear","MultiX=Average","Skip=True","Sort=True")</f>
        <v>14.807185649615411</v>
      </c>
      <c r="U389" s="43">
        <f ca="1">_xll.BInterpol('Base CDI'!$H$4:$H$28,'Base CDI'!$I$4:$I$29,S389,"Cubic","Extrapolate=Linear","MultiX=Average","Skip=True","Sort=True")</f>
        <v>14.858897887976777</v>
      </c>
    </row>
    <row r="390" spans="16:21" x14ac:dyDescent="0.25">
      <c r="P390" s="10">
        <v>35076</v>
      </c>
      <c r="Q390">
        <v>1.997277</v>
      </c>
      <c r="S390" s="42">
        <f t="shared" ca="1" si="10"/>
        <v>46096</v>
      </c>
      <c r="T390" s="43">
        <f ca="1">_xll.BInterpol('Base CDI'!$H$4:$H$28,'Base CDI'!$J$4:$J$29,S390,"Cubic","Extrapolate=Linear","MultiX=Average","Skip=True","Sort=True")</f>
        <v>14.807777502550032</v>
      </c>
      <c r="U390" s="43">
        <f ca="1">_xll.BInterpol('Base CDI'!$H$4:$H$28,'Base CDI'!$I$4:$I$29,S390,"Cubic","Extrapolate=Linear","MultiX=Average","Skip=True","Sort=True")</f>
        <v>14.85947118117368</v>
      </c>
    </row>
    <row r="391" spans="16:21" x14ac:dyDescent="0.25">
      <c r="P391" s="10">
        <v>35079</v>
      </c>
      <c r="Q391">
        <v>1.999541</v>
      </c>
      <c r="S391" s="42">
        <f t="shared" ca="1" si="10"/>
        <v>46097</v>
      </c>
      <c r="T391" s="43">
        <f ca="1">_xll.BInterpol('Base CDI'!$H$4:$H$28,'Base CDI'!$J$4:$J$29,S391,"Cubic","Extrapolate=Linear","MultiX=Average","Skip=True","Sort=True")</f>
        <v>14.808361491449356</v>
      </c>
      <c r="U391" s="43">
        <f ca="1">_xll.BInterpol('Base CDI'!$H$4:$H$28,'Base CDI'!$I$4:$I$29,S391,"Cubic","Extrapolate=Linear","MultiX=Average","Skip=True","Sort=True")</f>
        <v>14.860035884032349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46098</v>
      </c>
      <c r="T392" s="43">
        <f ca="1">_xll.BInterpol('Base CDI'!$H$4:$H$28,'Base CDI'!$J$4:$J$29,S392,"Cubic","Extrapolate=Linear","MultiX=Average","Skip=True","Sort=True")</f>
        <v>14.808937633414434</v>
      </c>
      <c r="U392" s="43">
        <f ca="1">_xll.BInterpol('Base CDI'!$H$4:$H$28,'Base CDI'!$I$4:$I$29,S392,"Cubic","Extrapolate=Linear","MultiX=Average","Skip=True","Sort=True")</f>
        <v>14.860592016444201</v>
      </c>
    </row>
    <row r="393" spans="16:21" x14ac:dyDescent="0.25">
      <c r="P393" s="10">
        <v>35081</v>
      </c>
      <c r="Q393">
        <v>2.004089</v>
      </c>
      <c r="S393" s="42">
        <f t="shared" ca="1" si="10"/>
        <v>46099</v>
      </c>
      <c r="T393" s="43">
        <f ca="1">_xll.BInterpol('Base CDI'!$H$4:$H$28,'Base CDI'!$J$4:$J$29,S393,"Cubic","Extrapolate=Linear","MultiX=Average","Skip=True","Sort=True")</f>
        <v>14.809505945546318</v>
      </c>
      <c r="U393" s="43">
        <f ca="1">_xll.BInterpol('Base CDI'!$H$4:$H$28,'Base CDI'!$I$4:$I$29,S393,"Cubic","Extrapolate=Linear","MultiX=Average","Skip=True","Sort=True")</f>
        <v>14.86113959830065</v>
      </c>
    </row>
    <row r="394" spans="16:21" x14ac:dyDescent="0.25">
      <c r="P394" s="10">
        <v>35082</v>
      </c>
      <c r="Q394">
        <v>2.006367</v>
      </c>
      <c r="S394" s="42">
        <f t="shared" ca="1" si="10"/>
        <v>46100</v>
      </c>
      <c r="T394" s="43">
        <f ca="1">_xll.BInterpol('Base CDI'!$H$4:$H$28,'Base CDI'!$J$4:$J$29,S394,"Cubic","Extrapolate=Linear","MultiX=Average","Skip=True","Sort=True")</f>
        <v>14.810066444946061</v>
      </c>
      <c r="U394" s="43">
        <f ca="1">_xll.BInterpol('Base CDI'!$H$4:$H$28,'Base CDI'!$I$4:$I$29,S394,"Cubic","Extrapolate=Linear","MultiX=Average","Skip=True","Sort=True")</f>
        <v>14.861678649493113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46101</v>
      </c>
      <c r="T395" s="43">
        <f ca="1">_xll.BInterpol('Base CDI'!$H$4:$H$28,'Base CDI'!$J$4:$J$29,S395,"Cubic","Extrapolate=Linear","MultiX=Average","Skip=True","Sort=True")</f>
        <v>14.810619148714716</v>
      </c>
      <c r="U395" s="43">
        <f ca="1">_xll.BInterpol('Base CDI'!$H$4:$H$28,'Base CDI'!$I$4:$I$29,S395,"Cubic","Extrapolate=Linear","MultiX=Average","Skip=True","Sort=True")</f>
        <v>14.862209189913003</v>
      </c>
    </row>
    <row r="396" spans="16:21" x14ac:dyDescent="0.25">
      <c r="P396" s="10">
        <v>35086</v>
      </c>
      <c r="Q396">
        <v>2.011018</v>
      </c>
      <c r="S396" s="42">
        <f t="shared" ca="1" si="11"/>
        <v>46102</v>
      </c>
      <c r="T396" s="43">
        <f ca="1">_xll.BInterpol('Base CDI'!$H$4:$H$28,'Base CDI'!$J$4:$J$29,S396,"Cubic","Extrapolate=Linear","MultiX=Average","Skip=True","Sort=True")</f>
        <v>14.811164073953332</v>
      </c>
      <c r="U396" s="43">
        <f ca="1">_xll.BInterpol('Base CDI'!$H$4:$H$28,'Base CDI'!$I$4:$I$29,S396,"Cubic","Extrapolate=Linear","MultiX=Average","Skip=True","Sort=True")</f>
        <v>14.862731239451737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46103</v>
      </c>
      <c r="T397" s="43">
        <f ca="1">_xll.BInterpol('Base CDI'!$H$4:$H$28,'Base CDI'!$J$4:$J$29,S397,"Cubic","Extrapolate=Linear","MultiX=Average","Skip=True","Sort=True")</f>
        <v>14.811701237762964</v>
      </c>
      <c r="U397" s="43">
        <f ca="1">_xll.BInterpol('Base CDI'!$H$4:$H$28,'Base CDI'!$I$4:$I$29,S397,"Cubic","Extrapolate=Linear","MultiX=Average","Skip=True","Sort=True")</f>
        <v>14.86324481800073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46104</v>
      </c>
      <c r="T398" s="43">
        <f ca="1">_xll.BInterpol('Base CDI'!$H$4:$H$28,'Base CDI'!$J$4:$J$29,S398,"Cubic","Extrapolate=Linear","MultiX=Average","Skip=True","Sort=True")</f>
        <v>14.812230657244664</v>
      </c>
      <c r="U398" s="43">
        <f ca="1">_xll.BInterpol('Base CDI'!$H$4:$H$28,'Base CDI'!$I$4:$I$29,S398,"Cubic","Extrapolate=Linear","MultiX=Average","Skip=True","Sort=True")</f>
        <v>14.863749945451399</v>
      </c>
    </row>
    <row r="399" spans="16:21" x14ac:dyDescent="0.25">
      <c r="P399" s="10">
        <v>35089</v>
      </c>
      <c r="Q399">
        <v>2.018078</v>
      </c>
      <c r="S399" s="42">
        <f t="shared" ca="1" si="11"/>
        <v>46105</v>
      </c>
      <c r="T399" s="43">
        <f ca="1">_xll.BInterpol('Base CDI'!$H$4:$H$28,'Base CDI'!$J$4:$J$29,S399,"Cubic","Extrapolate=Linear","MultiX=Average","Skip=True","Sort=True")</f>
        <v>14.812752349499483</v>
      </c>
      <c r="U399" s="43">
        <f ca="1">_xll.BInterpol('Base CDI'!$H$4:$H$28,'Base CDI'!$I$4:$I$29,S399,"Cubic","Extrapolate=Linear","MultiX=Average","Skip=True","Sort=True")</f>
        <v>14.864246641695157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46106</v>
      </c>
      <c r="T400" s="43">
        <f ca="1">_xll.BInterpol('Base CDI'!$H$4:$H$28,'Base CDI'!$J$4:$J$29,S400,"Cubic","Extrapolate=Linear","MultiX=Average","Skip=True","Sort=True")</f>
        <v>14.813266331628473</v>
      </c>
      <c r="U400" s="43">
        <f ca="1">_xll.BInterpol('Base CDI'!$H$4:$H$28,'Base CDI'!$I$4:$I$29,S400,"Cubic","Extrapolate=Linear","MultiX=Average","Skip=True","Sort=True")</f>
        <v>14.864734926623422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46107</v>
      </c>
      <c r="T401" s="43">
        <f ca="1">_xll.BInterpol('Base CDI'!$H$4:$H$28,'Base CDI'!$J$4:$J$29,S401,"Cubic","Extrapolate=Linear","MultiX=Average","Skip=True","Sort=True")</f>
        <v>14.813772620732685</v>
      </c>
      <c r="U401" s="43">
        <f ca="1">_xll.BInterpol('Base CDI'!$H$4:$H$28,'Base CDI'!$I$4:$I$29,S401,"Cubic","Extrapolate=Linear","MultiX=Average","Skip=True","Sort=True")</f>
        <v>14.865214820127605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46108</v>
      </c>
      <c r="T402" s="43">
        <f ca="1">_xll.BInterpol('Base CDI'!$H$4:$H$28,'Base CDI'!$J$4:$J$29,S402,"Cubic","Extrapolate=Linear","MultiX=Average","Skip=True","Sort=True")</f>
        <v>14.814271233913175</v>
      </c>
      <c r="U402" s="43">
        <f ca="1">_xll.BInterpol('Base CDI'!$H$4:$H$28,'Base CDI'!$I$4:$I$29,S402,"Cubic","Extrapolate=Linear","MultiX=Average","Skip=True","Sort=True")</f>
        <v>14.865686342099126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46109</v>
      </c>
      <c r="T403" s="43">
        <f ca="1">_xll.BInterpol('Base CDI'!$H$4:$H$28,'Base CDI'!$J$4:$J$29,S403,"Cubic","Extrapolate=Linear","MultiX=Average","Skip=True","Sort=True")</f>
        <v>14.814762188270992</v>
      </c>
      <c r="U403" s="43">
        <f ca="1">_xll.BInterpol('Base CDI'!$H$4:$H$28,'Base CDI'!$I$4:$I$29,S403,"Cubic","Extrapolate=Linear","MultiX=Average","Skip=True","Sort=True")</f>
        <v>14.866149512429399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46110</v>
      </c>
      <c r="T404" s="43">
        <f ca="1">_xll.BInterpol('Base CDI'!$H$4:$H$28,'Base CDI'!$J$4:$J$29,S404,"Cubic","Extrapolate=Linear","MultiX=Average","Skip=True","Sort=True")</f>
        <v>14.815245500907187</v>
      </c>
      <c r="U404" s="43">
        <f ca="1">_xll.BInterpol('Base CDI'!$H$4:$H$28,'Base CDI'!$I$4:$I$29,S404,"Cubic","Extrapolate=Linear","MultiX=Average","Skip=True","Sort=True")</f>
        <v>14.866604351009837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46111</v>
      </c>
      <c r="T405" s="43">
        <f ca="1">_xll.BInterpol('Base CDI'!$H$4:$H$28,'Base CDI'!$J$4:$J$29,S405,"Cubic","Extrapolate=Linear","MultiX=Average","Skip=True","Sort=True")</f>
        <v>14.815721188922815</v>
      </c>
      <c r="U405" s="43">
        <f ca="1">_xll.BInterpol('Base CDI'!$H$4:$H$28,'Base CDI'!$I$4:$I$29,S405,"Cubic","Extrapolate=Linear","MultiX=Average","Skip=True","Sort=True")</f>
        <v>14.86705087773186</v>
      </c>
    </row>
    <row r="406" spans="16:21" x14ac:dyDescent="0.25">
      <c r="P406" s="10">
        <v>35100</v>
      </c>
      <c r="Q406">
        <v>2.034691</v>
      </c>
      <c r="S406" s="42">
        <f t="shared" ca="1" si="11"/>
        <v>46112</v>
      </c>
      <c r="T406" s="43">
        <f ca="1">_xll.BInterpol('Base CDI'!$H$4:$H$28,'Base CDI'!$J$4:$J$29,S406,"Cubic","Extrapolate=Linear","MultiX=Average","Skip=True","Sort=True")</f>
        <v>14.816189269418928</v>
      </c>
      <c r="U406" s="43">
        <f ca="1">_xll.BInterpol('Base CDI'!$H$4:$H$28,'Base CDI'!$I$4:$I$29,S406,"Cubic","Extrapolate=Linear","MultiX=Average","Skip=True","Sort=True")</f>
        <v>14.867489112486879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46113</v>
      </c>
      <c r="T407" s="43">
        <f ca="1">_xll.BInterpol('Base CDI'!$H$4:$H$28,'Base CDI'!$J$4:$J$29,S407,"Cubic","Extrapolate=Linear","MultiX=Average","Skip=True","Sort=True")</f>
        <v>14.816649759496576</v>
      </c>
      <c r="U407" s="43">
        <f ca="1">_xll.BInterpol('Base CDI'!$H$4:$H$28,'Base CDI'!$I$4:$I$29,S407,"Cubic","Extrapolate=Linear","MultiX=Average","Skip=True","Sort=True")</f>
        <v>14.867919075166311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46114</v>
      </c>
      <c r="T408" s="43">
        <f ca="1">_xll.BInterpol('Base CDI'!$H$4:$H$28,'Base CDI'!$J$4:$J$29,S408,"Cubic","Extrapolate=Linear","MultiX=Average","Skip=True","Sort=True")</f>
        <v>14.817102676256813</v>
      </c>
      <c r="U408" s="43">
        <f ca="1">_xll.BInterpol('Base CDI'!$H$4:$H$28,'Base CDI'!$I$4:$I$29,S408,"Cubic","Extrapolate=Linear","MultiX=Average","Skip=True","Sort=True")</f>
        <v>14.868340785661573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46115</v>
      </c>
      <c r="T409" s="43">
        <f ca="1">_xll.BInterpol('Base CDI'!$H$4:$H$28,'Base CDI'!$J$4:$J$29,S409,"Cubic","Extrapolate=Linear","MultiX=Average","Skip=True","Sort=True")</f>
        <v>14.817548036800689</v>
      </c>
      <c r="U409" s="43">
        <f ca="1">_xll.BInterpol('Base CDI'!$H$4:$H$28,'Base CDI'!$I$4:$I$29,S409,"Cubic","Extrapolate=Linear","MultiX=Average","Skip=True","Sort=True")</f>
        <v>14.868754263864078</v>
      </c>
    </row>
    <row r="410" spans="16:21" x14ac:dyDescent="0.25">
      <c r="P410" s="10">
        <v>35104</v>
      </c>
      <c r="Q410">
        <v>2.044448</v>
      </c>
      <c r="S410" s="42">
        <f t="shared" ca="1" si="11"/>
        <v>46116</v>
      </c>
      <c r="T410" s="43">
        <f ca="1">_xll.BInterpol('Base CDI'!$H$4:$H$28,'Base CDI'!$J$4:$J$29,S410,"Cubic","Extrapolate=Linear","MultiX=Average","Skip=True","Sort=True")</f>
        <v>14.817985858229259</v>
      </c>
      <c r="U410" s="43">
        <f ca="1">_xll.BInterpol('Base CDI'!$H$4:$H$28,'Base CDI'!$I$4:$I$29,S410,"Cubic","Extrapolate=Linear","MultiX=Average","Skip=True","Sort=True")</f>
        <v>14.869159529665245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46117</v>
      </c>
      <c r="T411" s="43">
        <f ca="1">_xll.BInterpol('Base CDI'!$H$4:$H$28,'Base CDI'!$J$4:$J$29,S411,"Cubic","Extrapolate=Linear","MultiX=Average","Skip=True","Sort=True")</f>
        <v>14.818416157643572</v>
      </c>
      <c r="U411" s="43">
        <f ca="1">_xll.BInterpol('Base CDI'!$H$4:$H$28,'Base CDI'!$I$4:$I$29,S411,"Cubic","Extrapolate=Linear","MultiX=Average","Skip=True","Sort=True")</f>
        <v>14.869556602956484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46118</v>
      </c>
      <c r="T412" s="43">
        <f ca="1">_xll.BInterpol('Base CDI'!$H$4:$H$28,'Base CDI'!$J$4:$J$29,S412,"Cubic","Extrapolate=Linear","MultiX=Average","Skip=True","Sort=True")</f>
        <v>14.818838952144683</v>
      </c>
      <c r="U412" s="43">
        <f ca="1">_xll.BInterpol('Base CDI'!$H$4:$H$28,'Base CDI'!$I$4:$I$29,S412,"Cubic","Extrapolate=Linear","MultiX=Average","Skip=True","Sort=True")</f>
        <v>14.869945503629214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46119</v>
      </c>
      <c r="T413" s="43">
        <f ca="1">_xll.BInterpol('Base CDI'!$H$4:$H$28,'Base CDI'!$J$4:$J$29,S413,"Cubic","Extrapolate=Linear","MultiX=Average","Skip=True","Sort=True")</f>
        <v>14.819254258833642</v>
      </c>
      <c r="U413" s="43">
        <f ca="1">_xll.BInterpol('Base CDI'!$H$4:$H$28,'Base CDI'!$I$4:$I$29,S413,"Cubic","Extrapolate=Linear","MultiX=Average","Skip=True","Sort=True")</f>
        <v>14.87032625157485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46120</v>
      </c>
      <c r="T414" s="43">
        <f ca="1">_xll.BInterpol('Base CDI'!$H$4:$H$28,'Base CDI'!$J$4:$J$29,S414,"Cubic","Extrapolate=Linear","MultiX=Average","Skip=True","Sort=True")</f>
        <v>14.8196620948115</v>
      </c>
      <c r="U414" s="43">
        <f ca="1">_xll.BInterpol('Base CDI'!$H$4:$H$28,'Base CDI'!$I$4:$I$29,S414,"Cubic","Extrapolate=Linear","MultiX=Average","Skip=True","Sort=True")</f>
        <v>14.870698866684807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46121</v>
      </c>
      <c r="T415" s="43">
        <f ca="1">_xll.BInterpol('Base CDI'!$H$4:$H$28,'Base CDI'!$J$4:$J$29,S415,"Cubic","Extrapolate=Linear","MultiX=Average","Skip=True","Sort=True")</f>
        <v>14.820062477179313</v>
      </c>
      <c r="U415" s="43">
        <f ca="1">_xll.BInterpol('Base CDI'!$H$4:$H$28,'Base CDI'!$I$4:$I$29,S415,"Cubic","Extrapolate=Linear","MultiX=Average","Skip=True","Sort=True")</f>
        <v>14.8710633688505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46122</v>
      </c>
      <c r="T416" s="43">
        <f ca="1">_xll.BInterpol('Base CDI'!$H$4:$H$28,'Base CDI'!$J$4:$J$29,S416,"Cubic","Extrapolate=Linear","MultiX=Average","Skip=True","Sort=True")</f>
        <v>14.820455423038132</v>
      </c>
      <c r="U416" s="43">
        <f ca="1">_xll.BInterpol('Base CDI'!$H$4:$H$28,'Base CDI'!$I$4:$I$29,S416,"Cubic","Extrapolate=Linear","MultiX=Average","Skip=True","Sort=True")</f>
        <v>14.871419777963345</v>
      </c>
    </row>
    <row r="417" spans="16:21" x14ac:dyDescent="0.25">
      <c r="P417" s="10">
        <v>35117</v>
      </c>
      <c r="Q417">
        <v>2.061992</v>
      </c>
      <c r="S417" s="42">
        <f t="shared" ca="1" si="11"/>
        <v>46123</v>
      </c>
      <c r="T417" s="43">
        <f ca="1">_xll.BInterpol('Base CDI'!$H$4:$H$28,'Base CDI'!$J$4:$J$29,S417,"Cubic","Extrapolate=Linear","MultiX=Average","Skip=True","Sort=True")</f>
        <v>14.820840949489005</v>
      </c>
      <c r="U417" s="43">
        <f ca="1">_xll.BInterpol('Base CDI'!$H$4:$H$28,'Base CDI'!$I$4:$I$29,S417,"Cubic","Extrapolate=Linear","MultiX=Average","Skip=True","Sort=True")</f>
        <v>14.871768113914758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46124</v>
      </c>
      <c r="T418" s="43">
        <f ca="1">_xll.BInterpol('Base CDI'!$H$4:$H$28,'Base CDI'!$J$4:$J$29,S418,"Cubic","Extrapolate=Linear","MultiX=Average","Skip=True","Sort=True")</f>
        <v>14.821219073632991</v>
      </c>
      <c r="U418" s="43">
        <f ca="1">_xll.BInterpol('Base CDI'!$H$4:$H$28,'Base CDI'!$I$4:$I$29,S418,"Cubic","Extrapolate=Linear","MultiX=Average","Skip=True","Sort=True")</f>
        <v>14.872108396596154</v>
      </c>
    </row>
    <row r="419" spans="16:21" x14ac:dyDescent="0.25">
      <c r="P419" s="10">
        <v>35121</v>
      </c>
      <c r="Q419">
        <v>2.067116</v>
      </c>
      <c r="S419" s="42">
        <f t="shared" ca="1" si="11"/>
        <v>46125</v>
      </c>
      <c r="T419" s="43">
        <f ca="1">_xll.BInterpol('Base CDI'!$H$4:$H$28,'Base CDI'!$J$4:$J$29,S419,"Cubic","Extrapolate=Linear","MultiX=Average","Skip=True","Sort=True")</f>
        <v>14.821589812571135</v>
      </c>
      <c r="U419" s="43">
        <f ca="1">_xll.BInterpol('Base CDI'!$H$4:$H$28,'Base CDI'!$I$4:$I$29,S419,"Cubic","Extrapolate=Linear","MultiX=Average","Skip=True","Sort=True")</f>
        <v>14.872440645898946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46126</v>
      </c>
      <c r="T420" s="43">
        <f ca="1">_xll.BInterpol('Base CDI'!$H$4:$H$28,'Base CDI'!$J$4:$J$29,S420,"Cubic","Extrapolate=Linear","MultiX=Average","Skip=True","Sort=True")</f>
        <v>14.821953183404494</v>
      </c>
      <c r="U420" s="43">
        <f ca="1">_xll.BInterpol('Base CDI'!$H$4:$H$28,'Base CDI'!$I$4:$I$29,S420,"Cubic","Extrapolate=Linear","MultiX=Average","Skip=True","Sort=True")</f>
        <v>14.872764881714554</v>
      </c>
    </row>
    <row r="421" spans="16:21" x14ac:dyDescent="0.25">
      <c r="P421" s="10">
        <v>35123</v>
      </c>
      <c r="Q421">
        <v>2.072066</v>
      </c>
      <c r="S421" s="42">
        <f t="shared" ca="1" si="11"/>
        <v>46127</v>
      </c>
      <c r="T421" s="43">
        <f ca="1">_xll.BInterpol('Base CDI'!$H$4:$H$28,'Base CDI'!$J$4:$J$29,S421,"Cubic","Extrapolate=Linear","MultiX=Average","Skip=True","Sort=True")</f>
        <v>14.822309203234118</v>
      </c>
      <c r="U421" s="43">
        <f ca="1">_xll.BInterpol('Base CDI'!$H$4:$H$28,'Base CDI'!$I$4:$I$29,S421,"Cubic","Extrapolate=Linear","MultiX=Average","Skip=True","Sort=True")</f>
        <v>14.873081123934389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46128</v>
      </c>
      <c r="T422" s="43">
        <f ca="1">_xll.BInterpol('Base CDI'!$H$4:$H$28,'Base CDI'!$J$4:$J$29,S422,"Cubic","Extrapolate=Linear","MultiX=Average","Skip=True","Sort=True")</f>
        <v>14.822657889161061</v>
      </c>
      <c r="U422" s="43">
        <f ca="1">_xll.BInterpol('Base CDI'!$H$4:$H$28,'Base CDI'!$I$4:$I$29,S422,"Cubic","Extrapolate=Linear","MultiX=Average","Skip=True","Sort=True")</f>
        <v>14.873389392449869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46129</v>
      </c>
      <c r="T423" s="43">
        <f ca="1">_xll.BInterpol('Base CDI'!$H$4:$H$28,'Base CDI'!$J$4:$J$29,S423,"Cubic","Extrapolate=Linear","MultiX=Average","Skip=True","Sort=True")</f>
        <v>14.822999258286373</v>
      </c>
      <c r="U423" s="43">
        <f ca="1">_xll.BInterpol('Base CDI'!$H$4:$H$28,'Base CDI'!$I$4:$I$29,S423,"Cubic","Extrapolate=Linear","MultiX=Average","Skip=True","Sort=True")</f>
        <v>14.873689707152408</v>
      </c>
    </row>
    <row r="424" spans="16:21" x14ac:dyDescent="0.25">
      <c r="P424" s="10">
        <v>35128</v>
      </c>
      <c r="Q424">
        <v>2.078856</v>
      </c>
      <c r="S424" s="42">
        <f t="shared" ca="1" si="11"/>
        <v>46130</v>
      </c>
      <c r="T424" s="43">
        <f ca="1">_xll.BInterpol('Base CDI'!$H$4:$H$28,'Base CDI'!$J$4:$J$29,S424,"Cubic","Extrapolate=Linear","MultiX=Average","Skip=True","Sort=True")</f>
        <v>14.823333327711106</v>
      </c>
      <c r="U424" s="43">
        <f ca="1">_xll.BInterpol('Base CDI'!$H$4:$H$28,'Base CDI'!$I$4:$I$29,S424,"Cubic","Extrapolate=Linear","MultiX=Average","Skip=True","Sort=True")</f>
        <v>14.873982087933424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46131</v>
      </c>
      <c r="T425" s="43">
        <f ca="1">_xll.BInterpol('Base CDI'!$H$4:$H$28,'Base CDI'!$J$4:$J$29,S425,"Cubic","Extrapolate=Linear","MultiX=Average","Skip=True","Sort=True")</f>
        <v>14.823660114536313</v>
      </c>
      <c r="U425" s="43">
        <f ca="1">_xll.BInterpol('Base CDI'!$H$4:$H$28,'Base CDI'!$I$4:$I$29,S425,"Cubic","Extrapolate=Linear","MultiX=Average","Skip=True","Sort=True")</f>
        <v>14.874266554684329</v>
      </c>
    </row>
    <row r="426" spans="16:21" x14ac:dyDescent="0.25">
      <c r="P426" s="10">
        <v>35130</v>
      </c>
      <c r="Q426">
        <v>2.083196</v>
      </c>
      <c r="S426" s="42">
        <f t="shared" ca="1" si="11"/>
        <v>46132</v>
      </c>
      <c r="T426" s="43">
        <f ca="1">_xll.BInterpol('Base CDI'!$H$4:$H$28,'Base CDI'!$J$4:$J$29,S426,"Cubic","Extrapolate=Linear","MultiX=Average","Skip=True","Sort=True")</f>
        <v>14.823979635863047</v>
      </c>
      <c r="U426" s="43">
        <f ca="1">_xll.BInterpol('Base CDI'!$H$4:$H$28,'Base CDI'!$I$4:$I$29,S426,"Cubic","Extrapolate=Linear","MultiX=Average","Skip=True","Sort=True")</f>
        <v>14.87454312729654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46133</v>
      </c>
      <c r="T427" s="43">
        <f ca="1">_xll.BInterpol('Base CDI'!$H$4:$H$28,'Base CDI'!$J$4:$J$29,S427,"Cubic","Extrapolate=Linear","MultiX=Average","Skip=True","Sort=True")</f>
        <v>14.824291908792359</v>
      </c>
      <c r="U427" s="43">
        <f ca="1">_xll.BInterpol('Base CDI'!$H$4:$H$28,'Base CDI'!$I$4:$I$29,S427,"Cubic","Extrapolate=Linear","MultiX=Average","Skip=True","Sort=True")</f>
        <v>14.874811825661475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46134</v>
      </c>
      <c r="T428" s="43">
        <f ca="1">_xll.BInterpol('Base CDI'!$H$4:$H$28,'Base CDI'!$J$4:$J$29,S428,"Cubic","Extrapolate=Linear","MultiX=Average","Skip=True","Sort=True")</f>
        <v>14.824596950425301</v>
      </c>
      <c r="U428" s="43">
        <f ca="1">_xll.BInterpol('Base CDI'!$H$4:$H$28,'Base CDI'!$I$4:$I$29,S428,"Cubic","Extrapolate=Linear","MultiX=Average","Skip=True","Sort=True")</f>
        <v>14.875072669670544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46135</v>
      </c>
      <c r="T429" s="43">
        <f ca="1">_xll.BInterpol('Base CDI'!$H$4:$H$28,'Base CDI'!$J$4:$J$29,S429,"Cubic","Extrapolate=Linear","MultiX=Average","Skip=True","Sort=True")</f>
        <v>14.824894777862927</v>
      </c>
      <c r="U429" s="43">
        <f ca="1">_xll.BInterpol('Base CDI'!$H$4:$H$28,'Base CDI'!$I$4:$I$29,S429,"Cubic","Extrapolate=Linear","MultiX=Average","Skip=True","Sort=True")</f>
        <v>14.875325679215166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46136</v>
      </c>
      <c r="T430" s="43">
        <f ca="1">_xll.BInterpol('Base CDI'!$H$4:$H$28,'Base CDI'!$J$4:$J$29,S430,"Cubic","Extrapolate=Linear","MultiX=Average","Skip=True","Sort=True")</f>
        <v>14.825185408206284</v>
      </c>
      <c r="U430" s="43">
        <f ca="1">_xll.BInterpol('Base CDI'!$H$4:$H$28,'Base CDI'!$I$4:$I$29,S430,"Cubic","Extrapolate=Linear","MultiX=Average","Skip=True","Sort=True")</f>
        <v>14.875570874186755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46137</v>
      </c>
      <c r="T431" s="43">
        <f ca="1">_xll.BInterpol('Base CDI'!$H$4:$H$28,'Base CDI'!$J$4:$J$29,S431,"Cubic","Extrapolate=Linear","MultiX=Average","Skip=True","Sort=True")</f>
        <v>14.82546885855643</v>
      </c>
      <c r="U431" s="43">
        <f ca="1">_xll.BInterpol('Base CDI'!$H$4:$H$28,'Base CDI'!$I$4:$I$29,S431,"Cubic","Extrapolate=Linear","MultiX=Average","Skip=True","Sort=True")</f>
        <v>14.875808274476727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46138</v>
      </c>
      <c r="T432" s="43">
        <f ca="1">_xll.BInterpol('Base CDI'!$H$4:$H$28,'Base CDI'!$J$4:$J$29,S432,"Cubic","Extrapolate=Linear","MultiX=Average","Skip=True","Sort=True")</f>
        <v>14.825745146014414</v>
      </c>
      <c r="U432" s="43">
        <f ca="1">_xll.BInterpol('Base CDI'!$H$4:$H$28,'Base CDI'!$I$4:$I$29,S432,"Cubic","Extrapolate=Linear","MultiX=Average","Skip=True","Sort=True")</f>
        <v>14.876037899976497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46139</v>
      </c>
      <c r="T433" s="43">
        <f ca="1">_xll.BInterpol('Base CDI'!$H$4:$H$28,'Base CDI'!$J$4:$J$29,S433,"Cubic","Extrapolate=Linear","MultiX=Average","Skip=True","Sort=True")</f>
        <v>14.826014287681289</v>
      </c>
      <c r="U433" s="43">
        <f ca="1">_xll.BInterpol('Base CDI'!$H$4:$H$28,'Base CDI'!$I$4:$I$29,S433,"Cubic","Extrapolate=Linear","MultiX=Average","Skip=True","Sort=True")</f>
        <v>14.876259770577482</v>
      </c>
    </row>
    <row r="434" spans="16:21" x14ac:dyDescent="0.25">
      <c r="P434" s="10">
        <v>35142</v>
      </c>
      <c r="Q434">
        <v>2.100536</v>
      </c>
      <c r="S434" s="42">
        <f t="shared" ca="1" si="11"/>
        <v>46140</v>
      </c>
      <c r="T434" s="43">
        <f ca="1">_xll.BInterpol('Base CDI'!$H$4:$H$28,'Base CDI'!$J$4:$J$29,S434,"Cubic","Extrapolate=Linear","MultiX=Average","Skip=True","Sort=True")</f>
        <v>14.826276300658108</v>
      </c>
      <c r="U434" s="43">
        <f ca="1">_xll.BInterpol('Base CDI'!$H$4:$H$28,'Base CDI'!$I$4:$I$29,S434,"Cubic","Extrapolate=Linear","MultiX=Average","Skip=True","Sort=True")</f>
        <v>14.876473906171096</v>
      </c>
    </row>
    <row r="435" spans="16:21" x14ac:dyDescent="0.25">
      <c r="P435" s="10">
        <v>35143</v>
      </c>
      <c r="Q435">
        <v>2.102706</v>
      </c>
      <c r="S435" s="42">
        <f t="shared" ca="1" si="11"/>
        <v>46141</v>
      </c>
      <c r="T435" s="43">
        <f ca="1">_xll.BInterpol('Base CDI'!$H$4:$H$28,'Base CDI'!$J$4:$J$29,S435,"Cubic","Extrapolate=Linear","MultiX=Average","Skip=True","Sort=True")</f>
        <v>14.826531202045921</v>
      </c>
      <c r="U435" s="43">
        <f ca="1">_xll.BInterpol('Base CDI'!$H$4:$H$28,'Base CDI'!$I$4:$I$29,S435,"Cubic","Extrapolate=Linear","MultiX=Average","Skip=True","Sort=True")</f>
        <v>14.876680326648753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46142</v>
      </c>
      <c r="T436" s="43">
        <f ca="1">_xll.BInterpol('Base CDI'!$H$4:$H$28,'Base CDI'!$J$4:$J$29,S436,"Cubic","Extrapolate=Linear","MultiX=Average","Skip=True","Sort=True")</f>
        <v>14.826779008945781</v>
      </c>
      <c r="U436" s="43">
        <f ca="1">_xll.BInterpol('Base CDI'!$H$4:$H$28,'Base CDI'!$I$4:$I$29,S436,"Cubic","Extrapolate=Linear","MultiX=Average","Skip=True","Sort=True")</f>
        <v>14.876879051901872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46143</v>
      </c>
      <c r="T437" s="43">
        <f ca="1">_xll.BInterpol('Base CDI'!$H$4:$H$28,'Base CDI'!$J$4:$J$29,S437,"Cubic","Extrapolate=Linear","MultiX=Average","Skip=True","Sort=True")</f>
        <v>14.827019738458741</v>
      </c>
      <c r="U437" s="43">
        <f ca="1">_xll.BInterpol('Base CDI'!$H$4:$H$28,'Base CDI'!$I$4:$I$29,S437,"Cubic","Extrapolate=Linear","MultiX=Average","Skip=True","Sort=True")</f>
        <v>14.877070101821865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46144</v>
      </c>
      <c r="T438" s="43">
        <f ca="1">_xll.BInterpol('Base CDI'!$H$4:$H$28,'Base CDI'!$J$4:$J$29,S438,"Cubic","Extrapolate=Linear","MultiX=Average","Skip=True","Sort=True")</f>
        <v>14.82725340768585</v>
      </c>
      <c r="U438" s="43">
        <f ca="1">_xll.BInterpol('Base CDI'!$H$4:$H$28,'Base CDI'!$I$4:$I$29,S438,"Cubic","Extrapolate=Linear","MultiX=Average","Skip=True","Sort=True")</f>
        <v>14.877253496300149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46145</v>
      </c>
      <c r="T439" s="43">
        <f ca="1">_xll.BInterpol('Base CDI'!$H$4:$H$28,'Base CDI'!$J$4:$J$29,S439,"Cubic","Extrapolate=Linear","MultiX=Average","Skip=True","Sort=True")</f>
        <v>14.827480033728165</v>
      </c>
      <c r="U439" s="43">
        <f ca="1">_xll.BInterpol('Base CDI'!$H$4:$H$28,'Base CDI'!$I$4:$I$29,S439,"Cubic","Extrapolate=Linear","MultiX=Average","Skip=True","Sort=True")</f>
        <v>14.87742925522814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46146</v>
      </c>
      <c r="T440" s="43">
        <f ca="1">_xll.BInterpol('Base CDI'!$H$4:$H$28,'Base CDI'!$J$4:$J$29,S440,"Cubic","Extrapolate=Linear","MultiX=Average","Skip=True","Sort=True")</f>
        <v>14.827699633686734</v>
      </c>
      <c r="U440" s="43">
        <f ca="1">_xll.BInterpol('Base CDI'!$H$4:$H$28,'Base CDI'!$I$4:$I$29,S440,"Cubic","Extrapolate=Linear","MultiX=Average","Skip=True","Sort=True")</f>
        <v>14.877597398497253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46147</v>
      </c>
      <c r="T441" s="43">
        <f ca="1">_xll.BInterpol('Base CDI'!$H$4:$H$28,'Base CDI'!$J$4:$J$29,S441,"Cubic","Extrapolate=Linear","MultiX=Average","Skip=True","Sort=True")</f>
        <v>14.827912224662612</v>
      </c>
      <c r="U441" s="43">
        <f ca="1">_xll.BInterpol('Base CDI'!$H$4:$H$28,'Base CDI'!$I$4:$I$29,S441,"Cubic","Extrapolate=Linear","MultiX=Average","Skip=True","Sort=True")</f>
        <v>14.877757945998901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46148</v>
      </c>
      <c r="T442" s="43">
        <f ca="1">_xll.BInterpol('Base CDI'!$H$4:$H$28,'Base CDI'!$J$4:$J$29,S442,"Cubic","Extrapolate=Linear","MultiX=Average","Skip=True","Sort=True")</f>
        <v>14.828117823756848</v>
      </c>
      <c r="U442" s="43">
        <f ca="1">_xll.BInterpol('Base CDI'!$H$4:$H$28,'Base CDI'!$I$4:$I$29,S442,"Cubic","Extrapolate=Linear","MultiX=Average","Skip=True","Sort=True")</f>
        <v>14.877910917624503</v>
      </c>
    </row>
    <row r="443" spans="16:21" x14ac:dyDescent="0.25">
      <c r="P443" s="10">
        <v>35153</v>
      </c>
      <c r="Q443">
        <v>2.120123</v>
      </c>
      <c r="S443" s="42">
        <f t="shared" ca="1" si="11"/>
        <v>46149</v>
      </c>
      <c r="T443" s="43">
        <f ca="1">_xll.BInterpol('Base CDI'!$H$4:$H$28,'Base CDI'!$J$4:$J$29,S443,"Cubic","Extrapolate=Linear","MultiX=Average","Skip=True","Sort=True")</f>
        <v>14.828316448070497</v>
      </c>
      <c r="U443" s="43">
        <f ca="1">_xll.BInterpol('Base CDI'!$H$4:$H$28,'Base CDI'!$I$4:$I$29,S443,"Cubic","Extrapolate=Linear","MultiX=Average","Skip=True","Sort=True")</f>
        <v>14.878056333265473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46150</v>
      </c>
      <c r="T444" s="43">
        <f ca="1">_xll.BInterpol('Base CDI'!$H$4:$H$28,'Base CDI'!$J$4:$J$29,S444,"Cubic","Extrapolate=Linear","MultiX=Average","Skip=True","Sort=True")</f>
        <v>14.828508114704611</v>
      </c>
      <c r="U444" s="43">
        <f ca="1">_xll.BInterpol('Base CDI'!$H$4:$H$28,'Base CDI'!$I$4:$I$29,S444,"Cubic","Extrapolate=Linear","MultiX=Average","Skip=True","Sort=True")</f>
        <v>14.878194212813225</v>
      </c>
    </row>
    <row r="445" spans="16:21" x14ac:dyDescent="0.25">
      <c r="P445" s="10">
        <v>35157</v>
      </c>
      <c r="Q445">
        <v>2.124422</v>
      </c>
      <c r="S445" s="42">
        <f t="shared" ca="1" si="11"/>
        <v>46151</v>
      </c>
      <c r="T445" s="43">
        <f ca="1">_xll.BInterpol('Base CDI'!$H$4:$H$28,'Base CDI'!$J$4:$J$29,S445,"Cubic","Extrapolate=Linear","MultiX=Average","Skip=True","Sort=True")</f>
        <v>14.82869284076024</v>
      </c>
      <c r="U445" s="43">
        <f ca="1">_xll.BInterpol('Base CDI'!$H$4:$H$28,'Base CDI'!$I$4:$I$29,S445,"Cubic","Extrapolate=Linear","MultiX=Average","Skip=True","Sort=True")</f>
        <v>14.878324576159176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46152</v>
      </c>
      <c r="T446" s="43">
        <f ca="1">_xll.BInterpol('Base CDI'!$H$4:$H$28,'Base CDI'!$J$4:$J$29,S446,"Cubic","Extrapolate=Linear","MultiX=Average","Skip=True","Sort=True")</f>
        <v>14.828870643338437</v>
      </c>
      <c r="U446" s="43">
        <f ca="1">_xll.BInterpol('Base CDI'!$H$4:$H$28,'Base CDI'!$I$4:$I$29,S446,"Cubic","Extrapolate=Linear","MultiX=Average","Skip=True","Sort=True")</f>
        <v>14.878447443194743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46153</v>
      </c>
      <c r="T447" s="43">
        <f ca="1">_xll.BInterpol('Base CDI'!$H$4:$H$28,'Base CDI'!$J$4:$J$29,S447,"Cubic","Extrapolate=Linear","MultiX=Average","Skip=True","Sort=True")</f>
        <v>14.829041539540254</v>
      </c>
      <c r="U447" s="43">
        <f ca="1">_xll.BInterpol('Base CDI'!$H$4:$H$28,'Base CDI'!$I$4:$I$29,S447,"Cubic","Extrapolate=Linear","MultiX=Average","Skip=True","Sort=True")</f>
        <v>14.878562833811337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46154</v>
      </c>
      <c r="T448" s="43">
        <f ca="1">_xll.BInterpol('Base CDI'!$H$4:$H$28,'Base CDI'!$J$4:$J$29,S448,"Cubic","Extrapolate=Linear","MultiX=Average","Skip=True","Sort=True")</f>
        <v>14.829205546466744</v>
      </c>
      <c r="U448" s="43">
        <f ca="1">_xll.BInterpol('Base CDI'!$H$4:$H$28,'Base CDI'!$I$4:$I$29,S448,"Cubic","Extrapolate=Linear","MultiX=Average","Skip=True","Sort=True")</f>
        <v>14.878670767900376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46155</v>
      </c>
      <c r="T449" s="43">
        <f ca="1">_xll.BInterpol('Base CDI'!$H$4:$H$28,'Base CDI'!$J$4:$J$29,S449,"Cubic","Extrapolate=Linear","MultiX=Average","Skip=True","Sort=True")</f>
        <v>14.829362681218958</v>
      </c>
      <c r="U449" s="43">
        <f ca="1">_xll.BInterpol('Base CDI'!$H$4:$H$28,'Base CDI'!$I$4:$I$29,S449,"Cubic","Extrapolate=Linear","MultiX=Average","Skip=True","Sort=True")</f>
        <v>14.878771265353276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46156</v>
      </c>
      <c r="T450" s="43">
        <f ca="1">_xll.BInterpol('Base CDI'!$H$4:$H$28,'Base CDI'!$J$4:$J$29,S450,"Cubic","Extrapolate=Linear","MultiX=Average","Skip=True","Sort=True")</f>
        <v>14.829512960897947</v>
      </c>
      <c r="U450" s="43">
        <f ca="1">_xll.BInterpol('Base CDI'!$H$4:$H$28,'Base CDI'!$I$4:$I$29,S450,"Cubic","Extrapolate=Linear","MultiX=Average","Skip=True","Sort=True")</f>
        <v>14.878864346061452</v>
      </c>
    </row>
    <row r="451" spans="16:21" x14ac:dyDescent="0.25">
      <c r="P451" s="10">
        <v>35167</v>
      </c>
      <c r="Q451">
        <v>2.137372</v>
      </c>
      <c r="S451" s="42">
        <f t="shared" ca="1" si="11"/>
        <v>46157</v>
      </c>
      <c r="T451" s="43">
        <f ca="1">_xll.BInterpol('Base CDI'!$H$4:$H$28,'Base CDI'!$J$4:$J$29,S451,"Cubic","Extrapolate=Linear","MultiX=Average","Skip=True","Sort=True")</f>
        <v>14.829656402604767</v>
      </c>
      <c r="U451" s="43">
        <f ca="1">_xll.BInterpol('Base CDI'!$H$4:$H$28,'Base CDI'!$I$4:$I$29,S451,"Cubic","Extrapolate=Linear","MultiX=Average","Skip=True","Sort=True")</f>
        <v>14.878950029916318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46158</v>
      </c>
      <c r="T452" s="43">
        <f ca="1">_xll.BInterpol('Base CDI'!$H$4:$H$28,'Base CDI'!$J$4:$J$29,S452,"Cubic","Extrapolate=Linear","MultiX=Average","Skip=True","Sort=True")</f>
        <v>14.829793023440468</v>
      </c>
      <c r="U452" s="43">
        <f ca="1">_xll.BInterpol('Base CDI'!$H$4:$H$28,'Base CDI'!$I$4:$I$29,S452,"Cubic","Extrapolate=Linear","MultiX=Average","Skip=True","Sort=True")</f>
        <v>14.879028336809291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46159</v>
      </c>
      <c r="T453" s="43">
        <f ca="1">_xll.BInterpol('Base CDI'!$H$4:$H$28,'Base CDI'!$J$4:$J$29,S453,"Cubic","Extrapolate=Linear","MultiX=Average","Skip=True","Sort=True")</f>
        <v>14.8299228405061</v>
      </c>
      <c r="U453" s="43">
        <f ca="1">_xll.BInterpol('Base CDI'!$H$4:$H$28,'Base CDI'!$I$4:$I$29,S453,"Cubic","Extrapolate=Linear","MultiX=Average","Skip=True","Sort=True")</f>
        <v>14.879099286631787</v>
      </c>
    </row>
    <row r="454" spans="16:21" x14ac:dyDescent="0.25">
      <c r="P454" s="10">
        <v>35172</v>
      </c>
      <c r="Q454">
        <v>2.144126</v>
      </c>
      <c r="S454" s="42">
        <f t="shared" ca="1" si="11"/>
        <v>46160</v>
      </c>
      <c r="T454" s="43">
        <f ca="1">_xll.BInterpol('Base CDI'!$H$4:$H$28,'Base CDI'!$J$4:$J$29,S454,"Cubic","Extrapolate=Linear","MultiX=Average","Skip=True","Sort=True")</f>
        <v>14.830045870902719</v>
      </c>
      <c r="U454" s="43">
        <f ca="1">_xll.BInterpol('Base CDI'!$H$4:$H$28,'Base CDI'!$I$4:$I$29,S454,"Cubic","Extrapolate=Linear","MultiX=Average","Skip=True","Sort=True")</f>
        <v>14.879162899275219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46161</v>
      </c>
      <c r="T455" s="43">
        <f ca="1">_xll.BInterpol('Base CDI'!$H$4:$H$28,'Base CDI'!$J$4:$J$29,S455,"Cubic","Extrapolate=Linear","MultiX=Average","Skip=True","Sort=True")</f>
        <v>14.830162131731374</v>
      </c>
      <c r="U455" s="43">
        <f ca="1">_xll.BInterpol('Base CDI'!$H$4:$H$28,'Base CDI'!$I$4:$I$29,S455,"Cubic","Extrapolate=Linear","MultiX=Average","Skip=True","Sort=True")</f>
        <v>14.879219194631004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46162</v>
      </c>
      <c r="T456" s="43">
        <f ca="1">_xll.BInterpol('Base CDI'!$H$4:$H$28,'Base CDI'!$J$4:$J$29,S456,"Cubic","Extrapolate=Linear","MultiX=Average","Skip=True","Sort=True")</f>
        <v>14.830271640093118</v>
      </c>
      <c r="U456" s="43">
        <f ca="1">_xll.BInterpol('Base CDI'!$H$4:$H$28,'Base CDI'!$I$4:$I$29,S456,"Cubic","Extrapolate=Linear","MultiX=Average","Skip=True","Sort=True")</f>
        <v>14.879268192590557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46163</v>
      </c>
      <c r="T457" s="43">
        <f ca="1">_xll.BInterpol('Base CDI'!$H$4:$H$28,'Base CDI'!$J$4:$J$29,S457,"Cubic","Extrapolate=Linear","MultiX=Average","Skip=True","Sort=True")</f>
        <v>14.830374413089004</v>
      </c>
      <c r="U457" s="43">
        <f ca="1">_xll.BInterpol('Base CDI'!$H$4:$H$28,'Base CDI'!$I$4:$I$29,S457,"Cubic","Extrapolate=Linear","MultiX=Average","Skip=True","Sort=True")</f>
        <v>14.879309913045294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46164</v>
      </c>
      <c r="T458" s="43">
        <f ca="1">_xll.BInterpol('Base CDI'!$H$4:$H$28,'Base CDI'!$J$4:$J$29,S458,"Cubic","Extrapolate=Linear","MultiX=Average","Skip=True","Sort=True")</f>
        <v>14.830470467820083</v>
      </c>
      <c r="U458" s="43">
        <f ca="1">_xll.BInterpol('Base CDI'!$H$4:$H$28,'Base CDI'!$I$4:$I$29,S458,"Cubic","Extrapolate=Linear","MultiX=Average","Skip=True","Sort=True")</f>
        <v>14.87934437588663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46165</v>
      </c>
      <c r="T459" s="43">
        <f ca="1">_xll.BInterpol('Base CDI'!$H$4:$H$28,'Base CDI'!$J$4:$J$29,S459,"Cubic","Extrapolate=Linear","MultiX=Average","Skip=True","Sort=True")</f>
        <v>14.830559821387407</v>
      </c>
      <c r="U459" s="43">
        <f ca="1">_xll.BInterpol('Base CDI'!$H$4:$H$28,'Base CDI'!$I$4:$I$29,S459,"Cubic","Extrapolate=Linear","MultiX=Average","Skip=True","Sort=True")</f>
        <v>14.87937160100598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46166</v>
      </c>
      <c r="T460" s="43">
        <f ca="1">_xll.BInterpol('Base CDI'!$H$4:$H$28,'Base CDI'!$J$4:$J$29,S460,"Cubic","Extrapolate=Linear","MultiX=Average","Skip=True","Sort=True")</f>
        <v>14.83064249089203</v>
      </c>
      <c r="U460" s="43">
        <f ca="1">_xll.BInterpol('Base CDI'!$H$4:$H$28,'Base CDI'!$I$4:$I$29,S460,"Cubic","Extrapolate=Linear","MultiX=Average","Skip=True","Sort=True")</f>
        <v>14.879391608294759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46167</v>
      </c>
      <c r="T461" s="43">
        <f ca="1">_xll.BInterpol('Base CDI'!$H$4:$H$28,'Base CDI'!$J$4:$J$29,S461,"Cubic","Extrapolate=Linear","MultiX=Average","Skip=True","Sort=True")</f>
        <v>14.830718493435002</v>
      </c>
      <c r="U461" s="43">
        <f ca="1">_xll.BInterpol('Base CDI'!$H$4:$H$28,'Base CDI'!$I$4:$I$29,S461,"Cubic","Extrapolate=Linear","MultiX=Average","Skip=True","Sort=True")</f>
        <v>14.879404417644384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46168</v>
      </c>
      <c r="T462" s="43">
        <f ca="1">_xll.BInterpol('Base CDI'!$H$4:$H$28,'Base CDI'!$J$4:$J$29,S462,"Cubic","Extrapolate=Linear","MultiX=Average","Skip=True","Sort=True")</f>
        <v>14.830787846117374</v>
      </c>
      <c r="U462" s="43">
        <f ca="1">_xll.BInterpol('Base CDI'!$H$4:$H$28,'Base CDI'!$I$4:$I$29,S462,"Cubic","Extrapolate=Linear","MultiX=Average","Skip=True","Sort=True")</f>
        <v>14.879410048946269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46169</v>
      </c>
      <c r="T463" s="43">
        <f ca="1">_xll.BInterpol('Base CDI'!$H$4:$H$28,'Base CDI'!$J$4:$J$29,S463,"Cubic","Extrapolate=Linear","MultiX=Average","Skip=True","Sort=True")</f>
        <v>14.830850566040203</v>
      </c>
      <c r="U463" s="43">
        <f ca="1">_xll.BInterpol('Base CDI'!$H$4:$H$28,'Base CDI'!$I$4:$I$29,S463,"Cubic","Extrapolate=Linear","MultiX=Average","Skip=True","Sort=True")</f>
        <v>14.879408522091829</v>
      </c>
    </row>
    <row r="464" spans="16:21" x14ac:dyDescent="0.25">
      <c r="P464" s="10">
        <v>35187</v>
      </c>
      <c r="Q464">
        <v>2.165476</v>
      </c>
      <c r="S464" s="42">
        <f t="shared" ca="1" si="12"/>
        <v>46170</v>
      </c>
      <c r="T464" s="43">
        <f ca="1">_xll.BInterpol('Base CDI'!$H$4:$H$28,'Base CDI'!$J$4:$J$29,S464,"Cubic","Extrapolate=Linear","MultiX=Average","Skip=True","Sort=True")</f>
        <v>14.830906670304536</v>
      </c>
      <c r="U464" s="43">
        <f ca="1">_xll.BInterpol('Base CDI'!$H$4:$H$28,'Base CDI'!$I$4:$I$29,S464,"Cubic","Extrapolate=Linear","MultiX=Average","Skip=True","Sort=True")</f>
        <v>14.879399856972482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46171</v>
      </c>
      <c r="T465" s="43">
        <f ca="1">_xll.BInterpol('Base CDI'!$H$4:$H$28,'Base CDI'!$J$4:$J$29,S465,"Cubic","Extrapolate=Linear","MultiX=Average","Skip=True","Sort=True")</f>
        <v>14.830956176011428</v>
      </c>
      <c r="U465" s="43">
        <f ca="1">_xll.BInterpol('Base CDI'!$H$4:$H$28,'Base CDI'!$I$4:$I$29,S465,"Cubic","Extrapolate=Linear","MultiX=Average","Skip=True","Sort=True")</f>
        <v>14.879384073479642</v>
      </c>
    </row>
    <row r="466" spans="16:21" x14ac:dyDescent="0.25">
      <c r="P466" s="10">
        <v>35191</v>
      </c>
      <c r="Q466">
        <v>2.169311</v>
      </c>
      <c r="S466" s="42">
        <f t="shared" ca="1" si="12"/>
        <v>46172</v>
      </c>
      <c r="T466" s="43">
        <f ca="1">_xll.BInterpol('Base CDI'!$H$4:$H$28,'Base CDI'!$J$4:$J$29,S466,"Cubic","Extrapolate=Linear","MultiX=Average","Skip=True","Sort=True")</f>
        <v>14.830999100261931</v>
      </c>
      <c r="U466" s="43">
        <f ca="1">_xll.BInterpol('Base CDI'!$H$4:$H$28,'Base CDI'!$I$4:$I$29,S466,"Cubic","Extrapolate=Linear","MultiX=Average","Skip=True","Sort=True")</f>
        <v>14.879361191504723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46173</v>
      </c>
      <c r="T467" s="43">
        <f ca="1">_xll.BInterpol('Base CDI'!$H$4:$H$28,'Base CDI'!$J$4:$J$29,S467,"Cubic","Extrapolate=Linear","MultiX=Average","Skip=True","Sort=True")</f>
        <v>14.831035460157095</v>
      </c>
      <c r="U467" s="43">
        <f ca="1">_xll.BInterpol('Base CDI'!$H$4:$H$28,'Base CDI'!$I$4:$I$29,S467,"Cubic","Extrapolate=Linear","MultiX=Average","Skip=True","Sort=True")</f>
        <v>14.87933123093914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46174</v>
      </c>
      <c r="T468" s="43">
        <f ca="1">_xll.BInterpol('Base CDI'!$H$4:$H$28,'Base CDI'!$J$4:$J$29,S468,"Cubic","Extrapolate=Linear","MultiX=Average","Skip=True","Sort=True")</f>
        <v>14.831065272797973</v>
      </c>
      <c r="U468" s="43">
        <f ca="1">_xll.BInterpol('Base CDI'!$H$4:$H$28,'Base CDI'!$I$4:$I$29,S468,"Cubic","Extrapolate=Linear","MultiX=Average","Skip=True","Sort=True")</f>
        <v>14.879294211674313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46175</v>
      </c>
      <c r="T469" s="43">
        <f ca="1">_xll.BInterpol('Base CDI'!$H$4:$H$28,'Base CDI'!$J$4:$J$29,S469,"Cubic","Extrapolate=Linear","MultiX=Average","Skip=True","Sort=True")</f>
        <v>14.83108855528562</v>
      </c>
      <c r="U469" s="43">
        <f ca="1">_xll.BInterpol('Base CDI'!$H$4:$H$28,'Base CDI'!$I$4:$I$29,S469,"Cubic","Extrapolate=Linear","MultiX=Average","Skip=True","Sort=True")</f>
        <v>14.879250153601653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46176</v>
      </c>
      <c r="T470" s="43">
        <f ca="1">_xll.BInterpol('Base CDI'!$H$4:$H$28,'Base CDI'!$J$4:$J$29,S470,"Cubic","Extrapolate=Linear","MultiX=Average","Skip=True","Sort=True")</f>
        <v>14.831105324721083</v>
      </c>
      <c r="U470" s="43">
        <f ca="1">_xll.BInterpol('Base CDI'!$H$4:$H$28,'Base CDI'!$I$4:$I$29,S470,"Cubic","Extrapolate=Linear","MultiX=Average","Skip=True","Sort=True")</f>
        <v>14.879199076612577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46177</v>
      </c>
      <c r="T471" s="43">
        <f ca="1">_xll.BInterpol('Base CDI'!$H$4:$H$28,'Base CDI'!$J$4:$J$29,S471,"Cubic","Extrapolate=Linear","MultiX=Average","Skip=True","Sort=True")</f>
        <v>14.831115598205418</v>
      </c>
      <c r="U471" s="43">
        <f ca="1">_xll.BInterpol('Base CDI'!$H$4:$H$28,'Base CDI'!$I$4:$I$29,S471,"Cubic","Extrapolate=Linear","MultiX=Average","Skip=True","Sort=True")</f>
        <v>14.8791410005985</v>
      </c>
    </row>
    <row r="472" spans="16:21" x14ac:dyDescent="0.25">
      <c r="P472" s="10">
        <v>35199</v>
      </c>
      <c r="Q472">
        <v>2.18079</v>
      </c>
      <c r="S472" s="42">
        <f t="shared" ca="1" si="12"/>
        <v>46178</v>
      </c>
      <c r="T472" s="43">
        <f ca="1">_xll.BInterpol('Base CDI'!$H$4:$H$28,'Base CDI'!$J$4:$J$29,S472,"Cubic","Extrapolate=Linear","MultiX=Average","Skip=True","Sort=True")</f>
        <v>14.831119392839677</v>
      </c>
      <c r="U472" s="43">
        <f ca="1">_xll.BInterpol('Base CDI'!$H$4:$H$28,'Base CDI'!$I$4:$I$29,S472,"Cubic","Extrapolate=Linear","MultiX=Average","Skip=True","Sort=True")</f>
        <v>14.879075945450838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46179</v>
      </c>
      <c r="T473" s="43">
        <f ca="1">_xll.BInterpol('Base CDI'!$H$4:$H$28,'Base CDI'!$J$4:$J$29,S473,"Cubic","Extrapolate=Linear","MultiX=Average","Skip=True","Sort=True")</f>
        <v>14.831116725724909</v>
      </c>
      <c r="U473" s="43">
        <f ca="1">_xll.BInterpol('Base CDI'!$H$4:$H$28,'Base CDI'!$I$4:$I$29,S473,"Cubic","Extrapolate=Linear","MultiX=Average","Skip=True","Sort=True")</f>
        <v>14.879003931061005</v>
      </c>
    </row>
    <row r="474" spans="16:21" x14ac:dyDescent="0.25">
      <c r="P474" s="10">
        <v>35201</v>
      </c>
      <c r="Q474">
        <v>2.184644</v>
      </c>
      <c r="S474" s="42">
        <f t="shared" ca="1" si="12"/>
        <v>46180</v>
      </c>
      <c r="T474" s="43">
        <f ca="1">_xll.BInterpol('Base CDI'!$H$4:$H$28,'Base CDI'!$J$4:$J$29,S474,"Cubic","Extrapolate=Linear","MultiX=Average","Skip=True","Sort=True")</f>
        <v>14.831107613962169</v>
      </c>
      <c r="U474" s="43">
        <f ca="1">_xll.BInterpol('Base CDI'!$H$4:$H$28,'Base CDI'!$I$4:$I$29,S474,"Cubic","Extrapolate=Linear","MultiX=Average","Skip=True","Sort=True")</f>
        <v>14.878924977320418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46181</v>
      </c>
      <c r="T475" s="43">
        <f ca="1">_xll.BInterpol('Base CDI'!$H$4:$H$28,'Base CDI'!$J$4:$J$29,S475,"Cubic","Extrapolate=Linear","MultiX=Average","Skip=True","Sort=True")</f>
        <v>14.831092074652508</v>
      </c>
      <c r="U475" s="43">
        <f ca="1">_xll.BInterpol('Base CDI'!$H$4:$H$28,'Base CDI'!$I$4:$I$29,S475,"Cubic","Extrapolate=Linear","MultiX=Average","Skip=True","Sort=True")</f>
        <v>14.878839104120493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46182</v>
      </c>
      <c r="T476" s="43">
        <f ca="1">_xll.BInterpol('Base CDI'!$H$4:$H$28,'Base CDI'!$J$4:$J$29,S476,"Cubic","Extrapolate=Linear","MultiX=Average","Skip=True","Sort=True")</f>
        <v>14.831070124896979</v>
      </c>
      <c r="U476" s="43">
        <f ca="1">_xll.BInterpol('Base CDI'!$H$4:$H$28,'Base CDI'!$I$4:$I$29,S476,"Cubic","Extrapolate=Linear","MultiX=Average","Skip=True","Sort=True")</f>
        <v>14.878746331352643</v>
      </c>
    </row>
    <row r="477" spans="16:21" x14ac:dyDescent="0.25">
      <c r="P477" s="10">
        <v>35206</v>
      </c>
      <c r="Q477">
        <v>2.190439</v>
      </c>
      <c r="S477" s="42">
        <f t="shared" ca="1" si="12"/>
        <v>46183</v>
      </c>
      <c r="T477" s="43">
        <f ca="1">_xll.BInterpol('Base CDI'!$H$4:$H$28,'Base CDI'!$J$4:$J$29,S477,"Cubic","Extrapolate=Linear","MultiX=Average","Skip=True","Sort=True")</f>
        <v>14.831041781796632</v>
      </c>
      <c r="U477" s="43">
        <f ca="1">_xll.BInterpol('Base CDI'!$H$4:$H$28,'Base CDI'!$I$4:$I$29,S477,"Cubic","Extrapolate=Linear","MultiX=Average","Skip=True","Sort=True")</f>
        <v>14.878646678908284</v>
      </c>
    </row>
    <row r="478" spans="16:21" x14ac:dyDescent="0.25">
      <c r="P478" s="10">
        <v>35207</v>
      </c>
      <c r="Q478">
        <v>2.192374</v>
      </c>
      <c r="S478" s="42">
        <f t="shared" ca="1" si="12"/>
        <v>46184</v>
      </c>
      <c r="T478" s="43">
        <f ca="1">_xll.BInterpol('Base CDI'!$H$4:$H$28,'Base CDI'!$J$4:$J$29,S478,"Cubic","Extrapolate=Linear","MultiX=Average","Skip=True","Sort=True")</f>
        <v>14.831007062452521</v>
      </c>
      <c r="U478" s="43">
        <f ca="1">_xll.BInterpol('Base CDI'!$H$4:$H$28,'Base CDI'!$I$4:$I$29,S478,"Cubic","Extrapolate=Linear","MultiX=Average","Skip=True","Sort=True")</f>
        <v>14.878540166678832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46185</v>
      </c>
      <c r="T479" s="43">
        <f ca="1">_xll.BInterpol('Base CDI'!$H$4:$H$28,'Base CDI'!$J$4:$J$29,S479,"Cubic","Extrapolate=Linear","MultiX=Average","Skip=True","Sort=True")</f>
        <v>14.830965983965697</v>
      </c>
      <c r="U479" s="43">
        <f ca="1">_xll.BInterpol('Base CDI'!$H$4:$H$28,'Base CDI'!$I$4:$I$29,S479,"Cubic","Extrapolate=Linear","MultiX=Average","Skip=True","Sort=True")</f>
        <v>14.878426814555704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46186</v>
      </c>
      <c r="T480" s="43">
        <f ca="1">_xll.BInterpol('Base CDI'!$H$4:$H$28,'Base CDI'!$J$4:$J$29,S480,"Cubic","Extrapolate=Linear","MultiX=Average","Skip=True","Sort=True")</f>
        <v>14.830918563437214</v>
      </c>
      <c r="U480" s="43">
        <f ca="1">_xll.BInterpol('Base CDI'!$H$4:$H$28,'Base CDI'!$I$4:$I$29,S480,"Cubic","Extrapolate=Linear","MultiX=Average","Skip=True","Sort=True")</f>
        <v>14.878306642430312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46187</v>
      </c>
      <c r="T481" s="43">
        <f ca="1">_xll.BInterpol('Base CDI'!$H$4:$H$28,'Base CDI'!$J$4:$J$29,S481,"Cubic","Extrapolate=Linear","MultiX=Average","Skip=True","Sort=True")</f>
        <v>14.830864817968122</v>
      </c>
      <c r="U481" s="43">
        <f ca="1">_xll.BInterpol('Base CDI'!$H$4:$H$28,'Base CDI'!$I$4:$I$29,S481,"Cubic","Extrapolate=Linear","MultiX=Average","Skip=True","Sort=True")</f>
        <v>14.878179670194074</v>
      </c>
    </row>
    <row r="482" spans="16:21" x14ac:dyDescent="0.25">
      <c r="P482" s="10">
        <v>35213</v>
      </c>
      <c r="Q482">
        <v>2.20024</v>
      </c>
      <c r="S482" s="42">
        <f t="shared" ca="1" si="12"/>
        <v>46188</v>
      </c>
      <c r="T482" s="43">
        <f ca="1">_xll.BInterpol('Base CDI'!$H$4:$H$28,'Base CDI'!$J$4:$J$29,S482,"Cubic","Extrapolate=Linear","MultiX=Average","Skip=True","Sort=True")</f>
        <v>14.830804764659474</v>
      </c>
      <c r="U482" s="43">
        <f ca="1">_xll.BInterpol('Base CDI'!$H$4:$H$28,'Base CDI'!$I$4:$I$29,S482,"Cubic","Extrapolate=Linear","MultiX=Average","Skip=True","Sort=True")</f>
        <v>14.878045917738405</v>
      </c>
    </row>
    <row r="483" spans="16:21" x14ac:dyDescent="0.25">
      <c r="P483" s="10">
        <v>35214</v>
      </c>
      <c r="Q483">
        <v>2.202331</v>
      </c>
      <c r="S483" s="42">
        <f t="shared" ca="1" si="12"/>
        <v>46189</v>
      </c>
      <c r="T483" s="43">
        <f ca="1">_xll.BInterpol('Base CDI'!$H$4:$H$28,'Base CDI'!$J$4:$J$29,S483,"Cubic","Extrapolate=Linear","MultiX=Average","Skip=True","Sort=True")</f>
        <v>14.830738420612322</v>
      </c>
      <c r="U483" s="43">
        <f ca="1">_xll.BInterpol('Base CDI'!$H$4:$H$28,'Base CDI'!$I$4:$I$29,S483,"Cubic","Extrapolate=Linear","MultiX=Average","Skip=True","Sort=True")</f>
        <v>14.877905404954721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46190</v>
      </c>
      <c r="T484" s="43">
        <f ca="1">_xll.BInterpol('Base CDI'!$H$4:$H$28,'Base CDI'!$J$4:$J$29,S484,"Cubic","Extrapolate=Linear","MultiX=Average","Skip=True","Sort=True")</f>
        <v>14.830665802927719</v>
      </c>
      <c r="U484" s="43">
        <f ca="1">_xll.BInterpol('Base CDI'!$H$4:$H$28,'Base CDI'!$I$4:$I$29,S484,"Cubic","Extrapolate=Linear","MultiX=Average","Skip=True","Sort=True")</f>
        <v>14.877758151734435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46191</v>
      </c>
      <c r="T485" s="43">
        <f ca="1">_xll.BInterpol('Base CDI'!$H$4:$H$28,'Base CDI'!$J$4:$J$29,S485,"Cubic","Extrapolate=Linear","MultiX=Average","Skip=True","Sort=True")</f>
        <v>14.830586928706715</v>
      </c>
      <c r="U485" s="43">
        <f ca="1">_xll.BInterpol('Base CDI'!$H$4:$H$28,'Base CDI'!$I$4:$I$29,S485,"Cubic","Extrapolate=Linear","MultiX=Average","Skip=True","Sort=True")</f>
        <v>14.877604177968964</v>
      </c>
    </row>
    <row r="486" spans="16:21" x14ac:dyDescent="0.25">
      <c r="P486" s="10">
        <v>35219</v>
      </c>
      <c r="Q486">
        <v>2.208885</v>
      </c>
      <c r="S486" s="42">
        <f t="shared" ca="1" si="12"/>
        <v>46192</v>
      </c>
      <c r="T486" s="43">
        <f ca="1">_xll.BInterpol('Base CDI'!$H$4:$H$28,'Base CDI'!$J$4:$J$29,S486,"Cubic","Extrapolate=Linear","MultiX=Average","Skip=True","Sort=True")</f>
        <v>14.830501815050365</v>
      </c>
      <c r="U486" s="43">
        <f ca="1">_xll.BInterpol('Base CDI'!$H$4:$H$28,'Base CDI'!$I$4:$I$29,S486,"Cubic","Extrapolate=Linear","MultiX=Average","Skip=True","Sort=True")</f>
        <v>14.877443503549722</v>
      </c>
    </row>
    <row r="487" spans="16:21" x14ac:dyDescent="0.25">
      <c r="P487" s="10">
        <v>35220</v>
      </c>
      <c r="Q487">
        <v>2.211131</v>
      </c>
      <c r="S487" s="42">
        <f t="shared" ca="1" si="12"/>
        <v>46193</v>
      </c>
      <c r="T487" s="43">
        <f ca="1">_xll.BInterpol('Base CDI'!$H$4:$H$28,'Base CDI'!$J$4:$J$29,S487,"Cubic","Extrapolate=Linear","MultiX=Average","Skip=True","Sort=True")</f>
        <v>14.830410479059719</v>
      </c>
      <c r="U487" s="43">
        <f ca="1">_xll.BInterpol('Base CDI'!$H$4:$H$28,'Base CDI'!$I$4:$I$29,S487,"Cubic","Extrapolate=Linear","MultiX=Average","Skip=True","Sort=True")</f>
        <v>14.877276148368127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46194</v>
      </c>
      <c r="T488" s="43">
        <f ca="1">_xll.BInterpol('Base CDI'!$H$4:$H$28,'Base CDI'!$J$4:$J$29,S488,"Cubic","Extrapolate=Linear","MultiX=Average","Skip=True","Sort=True")</f>
        <v>14.830312937835828</v>
      </c>
      <c r="U488" s="43">
        <f ca="1">_xll.BInterpol('Base CDI'!$H$4:$H$28,'Base CDI'!$I$4:$I$29,S488,"Cubic","Extrapolate=Linear","MultiX=Average","Skip=True","Sort=True")</f>
        <v>14.877102132315594</v>
      </c>
    </row>
    <row r="489" spans="16:21" x14ac:dyDescent="0.25">
      <c r="P489" s="10">
        <v>35223</v>
      </c>
      <c r="Q489">
        <v>2.215659</v>
      </c>
      <c r="S489" s="42">
        <f t="shared" ca="1" si="12"/>
        <v>46195</v>
      </c>
      <c r="T489" s="43">
        <f ca="1">_xll.BInterpol('Base CDI'!$H$4:$H$28,'Base CDI'!$J$4:$J$29,S489,"Cubic","Extrapolate=Linear","MultiX=Average","Skip=True","Sort=True")</f>
        <v>14.830209208479747</v>
      </c>
      <c r="U489" s="43">
        <f ca="1">_xll.BInterpol('Base CDI'!$H$4:$H$28,'Base CDI'!$I$4:$I$29,S489,"Cubic","Extrapolate=Linear","MultiX=Average","Skip=True","Sort=True")</f>
        <v>14.876921475283536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46196</v>
      </c>
      <c r="T490" s="43">
        <f ca="1">_xll.BInterpol('Base CDI'!$H$4:$H$28,'Base CDI'!$J$4:$J$29,S490,"Cubic","Extrapolate=Linear","MultiX=Average","Skip=True","Sort=True")</f>
        <v>14.830099308092526</v>
      </c>
      <c r="U490" s="43">
        <f ca="1">_xll.BInterpol('Base CDI'!$H$4:$H$28,'Base CDI'!$I$4:$I$29,S490,"Cubic","Extrapolate=Linear","MultiX=Average","Skip=True","Sort=True")</f>
        <v>14.876734197163369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46197</v>
      </c>
      <c r="T491" s="43">
        <f ca="1">_xll.BInterpol('Base CDI'!$H$4:$H$28,'Base CDI'!$J$4:$J$29,S491,"Cubic","Extrapolate=Linear","MultiX=Average","Skip=True","Sort=True")</f>
        <v>14.829983253775218</v>
      </c>
      <c r="U491" s="43">
        <f ca="1">_xll.BInterpol('Base CDI'!$H$4:$H$28,'Base CDI'!$I$4:$I$29,S491,"Cubic","Extrapolate=Linear","MultiX=Average","Skip=True","Sort=True")</f>
        <v>14.876540317846512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46198</v>
      </c>
      <c r="T492" s="43">
        <f ca="1">_xll.BInterpol('Base CDI'!$H$4:$H$28,'Base CDI'!$J$4:$J$29,S492,"Cubic","Extrapolate=Linear","MultiX=Average","Skip=True","Sort=True")</f>
        <v>14.829861062628876</v>
      </c>
      <c r="U492" s="43">
        <f ca="1">_xll.BInterpol('Base CDI'!$H$4:$H$28,'Base CDI'!$I$4:$I$29,S492,"Cubic","Extrapolate=Linear","MultiX=Average","Skip=True","Sort=True")</f>
        <v>14.876339857224377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46199</v>
      </c>
      <c r="T493" s="43">
        <f ca="1">_xll.BInterpol('Base CDI'!$H$4:$H$28,'Base CDI'!$J$4:$J$29,S493,"Cubic","Extrapolate=Linear","MultiX=Average","Skip=True","Sort=True")</f>
        <v>14.82973275175455</v>
      </c>
      <c r="U493" s="43">
        <f ca="1">_xll.BInterpol('Base CDI'!$H$4:$H$28,'Base CDI'!$I$4:$I$29,S493,"Cubic","Extrapolate=Linear","MultiX=Average","Skip=True","Sort=True")</f>
        <v>14.876132835188377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46200</v>
      </c>
      <c r="T494" s="43">
        <f ca="1">_xll.BInterpol('Base CDI'!$H$4:$H$28,'Base CDI'!$J$4:$J$29,S494,"Cubic","Extrapolate=Linear","MultiX=Average","Skip=True","Sort=True")</f>
        <v>14.829598338253293</v>
      </c>
      <c r="U494" s="43">
        <f ca="1">_xll.BInterpol('Base CDI'!$H$4:$H$28,'Base CDI'!$I$4:$I$29,S494,"Cubic","Extrapolate=Linear","MultiX=Average","Skip=True","Sort=True")</f>
        <v>14.875919271629934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46201</v>
      </c>
      <c r="T495" s="43">
        <f ca="1">_xll.BInterpol('Base CDI'!$H$4:$H$28,'Base CDI'!$J$4:$J$29,S495,"Cubic","Extrapolate=Linear","MultiX=Average","Skip=True","Sort=True")</f>
        <v>14.829457839226158</v>
      </c>
      <c r="U495" s="43">
        <f ca="1">_xll.BInterpol('Base CDI'!$H$4:$H$28,'Base CDI'!$I$4:$I$29,S495,"Cubic","Extrapolate=Linear","MultiX=Average","Skip=True","Sort=True")</f>
        <v>14.875699186440459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46202</v>
      </c>
      <c r="T496" s="43">
        <f ca="1">_xll.BInterpol('Base CDI'!$H$4:$H$28,'Base CDI'!$J$4:$J$29,S496,"Cubic","Extrapolate=Linear","MultiX=Average","Skip=True","Sort=True")</f>
        <v>14.829311271774197</v>
      </c>
      <c r="U496" s="43">
        <f ca="1">_xll.BInterpol('Base CDI'!$H$4:$H$28,'Base CDI'!$I$4:$I$29,S496,"Cubic","Extrapolate=Linear","MultiX=Average","Skip=True","Sort=True")</f>
        <v>14.875472599511367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46203</v>
      </c>
      <c r="T497" s="43">
        <f ca="1">_xll.BInterpol('Base CDI'!$H$4:$H$28,'Base CDI'!$J$4:$J$29,S497,"Cubic","Extrapolate=Linear","MultiX=Average","Skip=True","Sort=True")</f>
        <v>14.82915865299846</v>
      </c>
      <c r="U497" s="43">
        <f ca="1">_xll.BInterpol('Base CDI'!$H$4:$H$28,'Base CDI'!$I$4:$I$29,S497,"Cubic","Extrapolate=Linear","MultiX=Average","Skip=True","Sort=True")</f>
        <v>14.875239530734076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46204</v>
      </c>
      <c r="T498" s="43">
        <f ca="1">_xll.BInterpol('Base CDI'!$H$4:$H$28,'Base CDI'!$J$4:$J$29,S498,"Cubic","Extrapolate=Linear","MultiX=Average","Skip=True","Sort=True")</f>
        <v>14.829000000000001</v>
      </c>
      <c r="U498" s="43">
        <f ca="1">_xll.BInterpol('Base CDI'!$H$4:$H$28,'Base CDI'!$I$4:$I$29,S498,"Cubic","Extrapolate=Linear","MultiX=Average","Skip=True","Sort=True")</f>
        <v>14.875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46205</v>
      </c>
      <c r="T499" s="43">
        <f ca="1">_xll.BInterpol('Base CDI'!$H$4:$H$28,'Base CDI'!$J$4:$J$29,S499,"Cubic","Extrapolate=Linear","MultiX=Average","Skip=True","Sort=True")</f>
        <v>14.828835334131114</v>
      </c>
      <c r="U499" s="43">
        <f ca="1">_xll.BInterpol('Base CDI'!$H$4:$H$28,'Base CDI'!$I$4:$I$29,S499,"Cubic","Extrapolate=Linear","MultiX=Average","Skip=True","Sort=True")</f>
        <v>14.874754031995097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46206</v>
      </c>
      <c r="T500" s="43">
        <f ca="1">_xll.BInterpol('Base CDI'!$H$4:$H$28,'Base CDI'!$J$4:$J$29,S500,"Cubic","Extrapolate=Linear","MultiX=Average","Skip=True","Sort=True")</f>
        <v>14.828664693749058</v>
      </c>
      <c r="U500" s="43">
        <f ca="1">_xll.BInterpol('Base CDI'!$H$4:$H$28,'Base CDI'!$I$4:$I$29,S500,"Cubic","Extrapolate=Linear","MultiX=Average","Skip=True","Sort=True")</f>
        <v>14.8745016705835</v>
      </c>
    </row>
    <row r="501" spans="16:21" x14ac:dyDescent="0.25">
      <c r="P501" s="10">
        <v>35241</v>
      </c>
      <c r="Q501">
        <v>2.243865</v>
      </c>
      <c r="S501" s="42">
        <f t="shared" ca="1" si="12"/>
        <v>46207</v>
      </c>
      <c r="T501" s="43">
        <f ca="1">_xll.BInterpol('Base CDI'!$H$4:$H$28,'Base CDI'!$J$4:$J$29,S501,"Cubic","Extrapolate=Linear","MultiX=Average","Skip=True","Sort=True")</f>
        <v>14.828488121462339</v>
      </c>
      <c r="U501" s="43">
        <f ca="1">_xll.BInterpol('Base CDI'!$H$4:$H$28,'Base CDI'!$I$4:$I$29,S501,"Cubic","Extrapolate=Linear","MultiX=Average","Skip=True","Sort=True")</f>
        <v>14.874242964423884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46208</v>
      </c>
      <c r="T502" s="43">
        <f ca="1">_xll.BInterpol('Base CDI'!$H$4:$H$28,'Base CDI'!$J$4:$J$29,S502,"Cubic","Extrapolate=Linear","MultiX=Average","Skip=True","Sort=True")</f>
        <v>14.82830565987946</v>
      </c>
      <c r="U502" s="43">
        <f ca="1">_xll.BInterpol('Base CDI'!$H$4:$H$28,'Base CDI'!$I$4:$I$29,S502,"Cubic","Extrapolate=Linear","MultiX=Average","Skip=True","Sort=True")</f>
        <v>14.873977962174923</v>
      </c>
    </row>
    <row r="503" spans="16:21" x14ac:dyDescent="0.25">
      <c r="P503" s="10">
        <v>35243</v>
      </c>
      <c r="Q503">
        <v>2.247951</v>
      </c>
      <c r="S503" s="42">
        <f t="shared" ca="1" si="12"/>
        <v>46209</v>
      </c>
      <c r="T503" s="43">
        <f ca="1">_xll.BInterpol('Base CDI'!$H$4:$H$28,'Base CDI'!$J$4:$J$29,S503,"Cubic","Extrapolate=Linear","MultiX=Average","Skip=True","Sort=True")</f>
        <v>14.82811735160892</v>
      </c>
      <c r="U503" s="43">
        <f ca="1">_xll.BInterpol('Base CDI'!$H$4:$H$28,'Base CDI'!$I$4:$I$29,S503,"Cubic","Extrapolate=Linear","MultiX=Average","Skip=True","Sort=True")</f>
        <v>14.873706712495293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46210</v>
      </c>
      <c r="T504" s="43">
        <f ca="1">_xll.BInterpol('Base CDI'!$H$4:$H$28,'Base CDI'!$J$4:$J$29,S504,"Cubic","Extrapolate=Linear","MultiX=Average","Skip=True","Sort=True")</f>
        <v>14.827923239259226</v>
      </c>
      <c r="U504" s="43">
        <f ca="1">_xll.BInterpol('Base CDI'!$H$4:$H$28,'Base CDI'!$I$4:$I$29,S504,"Cubic","Extrapolate=Linear","MultiX=Average","Skip=True","Sort=True")</f>
        <v>14.873429264043668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46211</v>
      </c>
      <c r="T505" s="43">
        <f ca="1">_xll.BInterpol('Base CDI'!$H$4:$H$28,'Base CDI'!$J$4:$J$29,S505,"Cubic","Extrapolate=Linear","MultiX=Average","Skip=True","Sort=True")</f>
        <v>14.82772336543888</v>
      </c>
      <c r="U505" s="43">
        <f ca="1">_xll.BInterpol('Base CDI'!$H$4:$H$28,'Base CDI'!$I$4:$I$29,S505,"Cubic","Extrapolate=Linear","MultiX=Average","Skip=True","Sort=True")</f>
        <v>14.873145665478726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46212</v>
      </c>
      <c r="T506" s="43">
        <f ca="1">_xll.BInterpol('Base CDI'!$H$4:$H$28,'Base CDI'!$J$4:$J$29,S506,"Cubic","Extrapolate=Linear","MultiX=Average","Skip=True","Sort=True")</f>
        <v>14.827517772756384</v>
      </c>
      <c r="U506" s="43">
        <f ca="1">_xll.BInterpol('Base CDI'!$H$4:$H$28,'Base CDI'!$I$4:$I$29,S506,"Cubic","Extrapolate=Linear","MultiX=Average","Skip=True","Sort=True")</f>
        <v>14.872855965459138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46213</v>
      </c>
      <c r="T507" s="43">
        <f ca="1">_xll.BInterpol('Base CDI'!$H$4:$H$28,'Base CDI'!$J$4:$J$29,S507,"Cubic","Extrapolate=Linear","MultiX=Average","Skip=True","Sort=True")</f>
        <v>14.827306503820241</v>
      </c>
      <c r="U507" s="43">
        <f ca="1">_xll.BInterpol('Base CDI'!$H$4:$H$28,'Base CDI'!$I$4:$I$29,S507,"Cubic","Extrapolate=Linear","MultiX=Average","Skip=True","Sort=True")</f>
        <v>14.872560212643579</v>
      </c>
    </row>
    <row r="508" spans="16:21" x14ac:dyDescent="0.25">
      <c r="P508" s="10">
        <v>35250</v>
      </c>
      <c r="Q508">
        <v>2.257355</v>
      </c>
      <c r="S508" s="42">
        <f t="shared" ca="1" si="12"/>
        <v>46214</v>
      </c>
      <c r="T508" s="43">
        <f ca="1">_xll.BInterpol('Base CDI'!$H$4:$H$28,'Base CDI'!$J$4:$J$29,S508,"Cubic","Extrapolate=Linear","MultiX=Average","Skip=True","Sort=True")</f>
        <v>14.827089601238955</v>
      </c>
      <c r="U508" s="43">
        <f ca="1">_xll.BInterpol('Base CDI'!$H$4:$H$28,'Base CDI'!$I$4:$I$29,S508,"Cubic","Extrapolate=Linear","MultiX=Average","Skip=True","Sort=True")</f>
        <v>14.872258455690728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46215</v>
      </c>
      <c r="T509" s="43">
        <f ca="1">_xll.BInterpol('Base CDI'!$H$4:$H$28,'Base CDI'!$J$4:$J$29,S509,"Cubic","Extrapolate=Linear","MultiX=Average","Skip=True","Sort=True")</f>
        <v>14.826867107621029</v>
      </c>
      <c r="U509" s="43">
        <f ca="1">_xll.BInterpol('Base CDI'!$H$4:$H$28,'Base CDI'!$I$4:$I$29,S509,"Cubic","Extrapolate=Linear","MultiX=Average","Skip=True","Sort=True")</f>
        <v>14.871950743259257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46216</v>
      </c>
      <c r="T510" s="43">
        <f ca="1">_xll.BInterpol('Base CDI'!$H$4:$H$28,'Base CDI'!$J$4:$J$29,S510,"Cubic","Extrapolate=Linear","MultiX=Average","Skip=True","Sort=True")</f>
        <v>14.826639065574964</v>
      </c>
      <c r="U510" s="43">
        <f ca="1">_xll.BInterpol('Base CDI'!$H$4:$H$28,'Base CDI'!$I$4:$I$29,S510,"Cubic","Extrapolate=Linear","MultiX=Average","Skip=True","Sort=True")</f>
        <v>14.871637124007842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46217</v>
      </c>
      <c r="T511" s="43">
        <f ca="1">_xll.BInterpol('Base CDI'!$H$4:$H$28,'Base CDI'!$J$4:$J$29,S511,"Cubic","Extrapolate=Linear","MultiX=Average","Skip=True","Sort=True")</f>
        <v>14.826405517709265</v>
      </c>
      <c r="U511" s="43">
        <f ca="1">_xll.BInterpol('Base CDI'!$H$4:$H$28,'Base CDI'!$I$4:$I$29,S511,"Cubic","Extrapolate=Linear","MultiX=Average","Skip=True","Sort=True")</f>
        <v>14.871317646595159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46218</v>
      </c>
      <c r="T512" s="43">
        <f ca="1">_xll.BInterpol('Base CDI'!$H$4:$H$28,'Base CDI'!$J$4:$J$29,S512,"Cubic","Extrapolate=Linear","MultiX=Average","Skip=True","Sort=True")</f>
        <v>14.826166506632434</v>
      </c>
      <c r="U512" s="43">
        <f ca="1">_xll.BInterpol('Base CDI'!$H$4:$H$28,'Base CDI'!$I$4:$I$29,S512,"Cubic","Extrapolate=Linear","MultiX=Average","Skip=True","Sort=True")</f>
        <v>14.87099235967988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46219</v>
      </c>
      <c r="T513" s="43">
        <f ca="1">_xll.BInterpol('Base CDI'!$H$4:$H$28,'Base CDI'!$J$4:$J$29,S513,"Cubic","Extrapolate=Linear","MultiX=Average","Skip=True","Sort=True")</f>
        <v>14.825922074952976</v>
      </c>
      <c r="U513" s="43">
        <f ca="1">_xll.BInterpol('Base CDI'!$H$4:$H$28,'Base CDI'!$I$4:$I$29,S513,"Cubic","Extrapolate=Linear","MultiX=Average","Skip=True","Sort=True")</f>
        <v>14.870661311920683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46220</v>
      </c>
      <c r="T514" s="43">
        <f ca="1">_xll.BInterpol('Base CDI'!$H$4:$H$28,'Base CDI'!$J$4:$J$29,S514,"Cubic","Extrapolate=Linear","MultiX=Average","Skip=True","Sort=True")</f>
        <v>14.82567226527939</v>
      </c>
      <c r="U514" s="43">
        <f ca="1">_xll.BInterpol('Base CDI'!$H$4:$H$28,'Base CDI'!$I$4:$I$29,S514,"Cubic","Extrapolate=Linear","MultiX=Average","Skip=True","Sort=True")</f>
        <v>14.870324551976241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46221</v>
      </c>
      <c r="T515" s="43">
        <f ca="1">_xll.BInterpol('Base CDI'!$H$4:$H$28,'Base CDI'!$J$4:$J$29,S515,"Cubic","Extrapolate=Linear","MultiX=Average","Skip=True","Sort=True")</f>
        <v>14.825417120220182</v>
      </c>
      <c r="U515" s="43">
        <f ca="1">_xll.BInterpol('Base CDI'!$H$4:$H$28,'Base CDI'!$I$4:$I$29,S515,"Cubic","Extrapolate=Linear","MultiX=Average","Skip=True","Sort=True")</f>
        <v>14.869982128505232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46222</v>
      </c>
      <c r="T516" s="43">
        <f ca="1">_xll.BInterpol('Base CDI'!$H$4:$H$28,'Base CDI'!$J$4:$J$29,S516,"Cubic","Extrapolate=Linear","MultiX=Average","Skip=True","Sort=True")</f>
        <v>14.825156682383856</v>
      </c>
      <c r="U516" s="43">
        <f ca="1">_xll.BInterpol('Base CDI'!$H$4:$H$28,'Base CDI'!$I$4:$I$29,S516,"Cubic","Extrapolate=Linear","MultiX=Average","Skip=True","Sort=True")</f>
        <v>14.869634090166327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46223</v>
      </c>
      <c r="T517" s="43">
        <f ca="1">_xll.BInterpol('Base CDI'!$H$4:$H$28,'Base CDI'!$J$4:$J$29,S517,"Cubic","Extrapolate=Linear","MultiX=Average","Skip=True","Sort=True")</f>
        <v>14.824890994378912</v>
      </c>
      <c r="U517" s="43">
        <f ca="1">_xll.BInterpol('Base CDI'!$H$4:$H$28,'Base CDI'!$I$4:$I$29,S517,"Cubic","Extrapolate=Linear","MultiX=Average","Skip=True","Sort=True")</f>
        <v>14.869280485618203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46224</v>
      </c>
      <c r="T518" s="43">
        <f ca="1">_xll.BInterpol('Base CDI'!$H$4:$H$28,'Base CDI'!$J$4:$J$29,S518,"Cubic","Extrapolate=Linear","MultiX=Average","Skip=True","Sort=True")</f>
        <v>14.824620098813854</v>
      </c>
      <c r="U518" s="43">
        <f ca="1">_xll.BInterpol('Base CDI'!$H$4:$H$28,'Base CDI'!$I$4:$I$29,S518,"Cubic","Extrapolate=Linear","MultiX=Average","Skip=True","Sort=True")</f>
        <v>14.868921363519535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46225</v>
      </c>
      <c r="T519" s="43">
        <f ca="1">_xll.BInterpol('Base CDI'!$H$4:$H$28,'Base CDI'!$J$4:$J$29,S519,"Cubic","Extrapolate=Linear","MultiX=Average","Skip=True","Sort=True")</f>
        <v>14.824344038297186</v>
      </c>
      <c r="U519" s="43">
        <f ca="1">_xll.BInterpol('Base CDI'!$H$4:$H$28,'Base CDI'!$I$4:$I$29,S519,"Cubic","Extrapolate=Linear","MultiX=Average","Skip=True","Sort=True")</f>
        <v>14.868556772528999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46226</v>
      </c>
      <c r="T520" s="43">
        <f ca="1">_xll.BInterpol('Base CDI'!$H$4:$H$28,'Base CDI'!$J$4:$J$29,S520,"Cubic","Extrapolate=Linear","MultiX=Average","Skip=True","Sort=True")</f>
        <v>14.824062855437409</v>
      </c>
      <c r="U520" s="43">
        <f ca="1">_xll.BInterpol('Base CDI'!$H$4:$H$28,'Base CDI'!$I$4:$I$29,S520,"Cubic","Extrapolate=Linear","MultiX=Average","Skip=True","Sort=True")</f>
        <v>14.868186761305269</v>
      </c>
    </row>
    <row r="521" spans="16:21" x14ac:dyDescent="0.25">
      <c r="P521" s="10">
        <v>35269</v>
      </c>
      <c r="Q521">
        <v>2.281628</v>
      </c>
      <c r="S521" s="42">
        <f t="shared" ca="1" si="12"/>
        <v>46227</v>
      </c>
      <c r="T521" s="43">
        <f ca="1">_xll.BInterpol('Base CDI'!$H$4:$H$28,'Base CDI'!$J$4:$J$29,S521,"Cubic","Extrapolate=Linear","MultiX=Average","Skip=True","Sort=True")</f>
        <v>14.823776592843029</v>
      </c>
      <c r="U521" s="43">
        <f ca="1">_xll.BInterpol('Base CDI'!$H$4:$H$28,'Base CDI'!$I$4:$I$29,S521,"Cubic","Extrapolate=Linear","MultiX=Average","Skip=True","Sort=True")</f>
        <v>14.867811378507019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46228</v>
      </c>
      <c r="T522" s="43">
        <f ca="1">_xll.BInterpol('Base CDI'!$H$4:$H$28,'Base CDI'!$J$4:$J$29,S522,"Cubic","Extrapolate=Linear","MultiX=Average","Skip=True","Sort=True")</f>
        <v>14.823485293122546</v>
      </c>
      <c r="U522" s="43">
        <f ca="1">_xll.BInterpol('Base CDI'!$H$4:$H$28,'Base CDI'!$I$4:$I$29,S522,"Cubic","Extrapolate=Linear","MultiX=Average","Skip=True","Sort=True")</f>
        <v>14.867430672792926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46229</v>
      </c>
      <c r="T523" s="43">
        <f ca="1">_xll.BInterpol('Base CDI'!$H$4:$H$28,'Base CDI'!$J$4:$J$29,S523,"Cubic","Extrapolate=Linear","MultiX=Average","Skip=True","Sort=True")</f>
        <v>14.823188998884465</v>
      </c>
      <c r="U523" s="43">
        <f ca="1">_xll.BInterpol('Base CDI'!$H$4:$H$28,'Base CDI'!$I$4:$I$29,S523,"Cubic","Extrapolate=Linear","MultiX=Average","Skip=True","Sort=True")</f>
        <v>14.867044692821665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46230</v>
      </c>
      <c r="T524" s="43">
        <f ca="1">_xll.BInterpol('Base CDI'!$H$4:$H$28,'Base CDI'!$J$4:$J$29,S524,"Cubic","Extrapolate=Linear","MultiX=Average","Skip=True","Sort=True")</f>
        <v>14.822887752737287</v>
      </c>
      <c r="U524" s="43">
        <f ca="1">_xll.BInterpol('Base CDI'!$H$4:$H$28,'Base CDI'!$I$4:$I$29,S524,"Cubic","Extrapolate=Linear","MultiX=Average","Skip=True","Sort=True")</f>
        <v>14.866653487251909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46231</v>
      </c>
      <c r="T525" s="43">
        <f ca="1">_xll.BInterpol('Base CDI'!$H$4:$H$28,'Base CDI'!$J$4:$J$29,S525,"Cubic","Extrapolate=Linear","MultiX=Average","Skip=True","Sort=True")</f>
        <v>14.822581597289517</v>
      </c>
      <c r="U525" s="43">
        <f ca="1">_xll.BInterpol('Base CDI'!$H$4:$H$28,'Base CDI'!$I$4:$I$29,S525,"Cubic","Extrapolate=Linear","MultiX=Average","Skip=True","Sort=True")</f>
        <v>14.866257104742335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46232</v>
      </c>
      <c r="T526" s="43">
        <f ca="1">_xll.BInterpol('Base CDI'!$H$4:$H$28,'Base CDI'!$J$4:$J$29,S526,"Cubic","Extrapolate=Linear","MultiX=Average","Skip=True","Sort=True")</f>
        <v>14.822270575149656</v>
      </c>
      <c r="U526" s="43">
        <f ca="1">_xll.BInterpol('Base CDI'!$H$4:$H$28,'Base CDI'!$I$4:$I$29,S526,"Cubic","Extrapolate=Linear","MultiX=Average","Skip=True","Sort=True")</f>
        <v>14.865855593951617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46233</v>
      </c>
      <c r="T527" s="43">
        <f ca="1">_xll.BInterpol('Base CDI'!$H$4:$H$28,'Base CDI'!$J$4:$J$29,S527,"Cubic","Extrapolate=Linear","MultiX=Average","Skip=True","Sort=True")</f>
        <v>14.821954728926208</v>
      </c>
      <c r="U527" s="43">
        <f ca="1">_xll.BInterpol('Base CDI'!$H$4:$H$28,'Base CDI'!$I$4:$I$29,S527,"Cubic","Extrapolate=Linear","MultiX=Average","Skip=True","Sort=True")</f>
        <v>14.86544900353843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46234</v>
      </c>
      <c r="T528" s="43">
        <f ca="1">_xll.BInterpol('Base CDI'!$H$4:$H$28,'Base CDI'!$J$4:$J$29,S528,"Cubic","Extrapolate=Linear","MultiX=Average","Skip=True","Sort=True")</f>
        <v>14.821634101227678</v>
      </c>
      <c r="U528" s="43">
        <f ca="1">_xll.BInterpol('Base CDI'!$H$4:$H$28,'Base CDI'!$I$4:$I$29,S528,"Cubic","Extrapolate=Linear","MultiX=Average","Skip=True","Sort=True")</f>
        <v>14.86503738216145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46235</v>
      </c>
      <c r="T529" s="43">
        <f ca="1">_xll.BInterpol('Base CDI'!$H$4:$H$28,'Base CDI'!$J$4:$J$29,S529,"Cubic","Extrapolate=Linear","MultiX=Average","Skip=True","Sort=True")</f>
        <v>14.821308734662566</v>
      </c>
      <c r="U529" s="43">
        <f ca="1">_xll.BInterpol('Base CDI'!$H$4:$H$28,'Base CDI'!$I$4:$I$29,S529,"Cubic","Extrapolate=Linear","MultiX=Average","Skip=True","Sort=True")</f>
        <v>14.864620778479351</v>
      </c>
    </row>
    <row r="530" spans="16:21" x14ac:dyDescent="0.25">
      <c r="P530" s="10">
        <v>35282</v>
      </c>
      <c r="Q530">
        <v>2.298813</v>
      </c>
      <c r="S530" s="42">
        <f t="shared" ca="1" si="13"/>
        <v>46236</v>
      </c>
      <c r="T530" s="43">
        <f ca="1">_xll.BInterpol('Base CDI'!$H$4:$H$28,'Base CDI'!$J$4:$J$29,S530,"Cubic","Extrapolate=Linear","MultiX=Average","Skip=True","Sort=True")</f>
        <v>14.820978671839375</v>
      </c>
      <c r="U530" s="43">
        <f ca="1">_xll.BInterpol('Base CDI'!$H$4:$H$28,'Base CDI'!$I$4:$I$29,S530,"Cubic","Extrapolate=Linear","MultiX=Average","Skip=True","Sort=True")</f>
        <v>14.864199241150807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46237</v>
      </c>
      <c r="T531" s="43">
        <f ca="1">_xll.BInterpol('Base CDI'!$H$4:$H$28,'Base CDI'!$J$4:$J$29,S531,"Cubic","Extrapolate=Linear","MultiX=Average","Skip=True","Sort=True")</f>
        <v>14.820643955366609</v>
      </c>
      <c r="U531" s="43">
        <f ca="1">_xll.BInterpol('Base CDI'!$H$4:$H$28,'Base CDI'!$I$4:$I$29,S531,"Cubic","Extrapolate=Linear","MultiX=Average","Skip=True","Sort=True")</f>
        <v>14.863772818834496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46238</v>
      </c>
      <c r="T532" s="43">
        <f ca="1">_xll.BInterpol('Base CDI'!$H$4:$H$28,'Base CDI'!$J$4:$J$29,S532,"Cubic","Extrapolate=Linear","MultiX=Average","Skip=True","Sort=True")</f>
        <v>14.820304627852773</v>
      </c>
      <c r="U532" s="43">
        <f ca="1">_xll.BInterpol('Base CDI'!$H$4:$H$28,'Base CDI'!$I$4:$I$29,S532,"Cubic","Extrapolate=Linear","MultiX=Average","Skip=True","Sort=True")</f>
        <v>14.863341560189092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46239</v>
      </c>
      <c r="T533" s="43">
        <f ca="1">_xll.BInterpol('Base CDI'!$H$4:$H$28,'Base CDI'!$J$4:$J$29,S533,"Cubic","Extrapolate=Linear","MultiX=Average","Skip=True","Sort=True")</f>
        <v>14.819960731906365</v>
      </c>
      <c r="U533" s="43">
        <f ca="1">_xll.BInterpol('Base CDI'!$H$4:$H$28,'Base CDI'!$I$4:$I$29,S533,"Cubic","Extrapolate=Linear","MultiX=Average","Skip=True","Sort=True")</f>
        <v>14.862905513873267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46240</v>
      </c>
      <c r="T534" s="43">
        <f ca="1">_xll.BInterpol('Base CDI'!$H$4:$H$28,'Base CDI'!$J$4:$J$29,S534,"Cubic","Extrapolate=Linear","MultiX=Average","Skip=True","Sort=True")</f>
        <v>14.819612310135893</v>
      </c>
      <c r="U534" s="43">
        <f ca="1">_xll.BInterpol('Base CDI'!$H$4:$H$28,'Base CDI'!$I$4:$I$29,S534,"Cubic","Extrapolate=Linear","MultiX=Average","Skip=True","Sort=True")</f>
        <v>14.862464728545701</v>
      </c>
    </row>
    <row r="535" spans="16:21" x14ac:dyDescent="0.25">
      <c r="P535" s="10">
        <v>35289</v>
      </c>
      <c r="Q535">
        <v>2.309107</v>
      </c>
      <c r="S535" s="42">
        <f t="shared" ca="1" si="13"/>
        <v>46241</v>
      </c>
      <c r="T535" s="43">
        <f ca="1">_xll.BInterpol('Base CDI'!$H$4:$H$28,'Base CDI'!$J$4:$J$29,S535,"Cubic","Extrapolate=Linear","MultiX=Average","Skip=True","Sort=True")</f>
        <v>14.819259405149857</v>
      </c>
      <c r="U535" s="43">
        <f ca="1">_xll.BInterpol('Base CDI'!$H$4:$H$28,'Base CDI'!$I$4:$I$29,S535,"Cubic","Extrapolate=Linear","MultiX=Average","Skip=True","Sort=True")</f>
        <v>14.862019252865064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46242</v>
      </c>
      <c r="T536" s="43">
        <f ca="1">_xll.BInterpol('Base CDI'!$H$4:$H$28,'Base CDI'!$J$4:$J$29,S536,"Cubic","Extrapolate=Linear","MultiX=Average","Skip=True","Sort=True")</f>
        <v>14.818902059556761</v>
      </c>
      <c r="U536" s="43">
        <f ca="1">_xll.BInterpol('Base CDI'!$H$4:$H$28,'Base CDI'!$I$4:$I$29,S536,"Cubic","Extrapolate=Linear","MultiX=Average","Skip=True","Sort=True")</f>
        <v>14.861569135490036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46243</v>
      </c>
      <c r="T537" s="43">
        <f ca="1">_xll.BInterpol('Base CDI'!$H$4:$H$28,'Base CDI'!$J$4:$J$29,S537,"Cubic","Extrapolate=Linear","MultiX=Average","Skip=True","Sort=True")</f>
        <v>14.818540315965107</v>
      </c>
      <c r="U537" s="43">
        <f ca="1">_xll.BInterpol('Base CDI'!$H$4:$H$28,'Base CDI'!$I$4:$I$29,S537,"Cubic","Extrapolate=Linear","MultiX=Average","Skip=True","Sort=True")</f>
        <v>14.861114425079288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46244</v>
      </c>
      <c r="T538" s="43">
        <f ca="1">_xll.BInterpol('Base CDI'!$H$4:$H$28,'Base CDI'!$J$4:$J$29,S538,"Cubic","Extrapolate=Linear","MultiX=Average","Skip=True","Sort=True")</f>
        <v>14.818174216983399</v>
      </c>
      <c r="U538" s="43">
        <f ca="1">_xll.BInterpol('Base CDI'!$H$4:$H$28,'Base CDI'!$I$4:$I$29,S538,"Cubic","Extrapolate=Linear","MultiX=Average","Skip=True","Sort=True")</f>
        <v>14.860655170291498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46245</v>
      </c>
      <c r="T539" s="43">
        <f ca="1">_xll.BInterpol('Base CDI'!$H$4:$H$28,'Base CDI'!$J$4:$J$29,S539,"Cubic","Extrapolate=Linear","MultiX=Average","Skip=True","Sort=True")</f>
        <v>14.817803805220141</v>
      </c>
      <c r="U539" s="43">
        <f ca="1">_xll.BInterpol('Base CDI'!$H$4:$H$28,'Base CDI'!$I$4:$I$29,S539,"Cubic","Extrapolate=Linear","MultiX=Average","Skip=True","Sort=True")</f>
        <v>14.860191419785338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46246</v>
      </c>
      <c r="T540" s="43">
        <f ca="1">_xll.BInterpol('Base CDI'!$H$4:$H$28,'Base CDI'!$J$4:$J$29,S540,"Cubic","Extrapolate=Linear","MultiX=Average","Skip=True","Sort=True")</f>
        <v>14.817429123283835</v>
      </c>
      <c r="U540" s="43">
        <f ca="1">_xll.BInterpol('Base CDI'!$H$4:$H$28,'Base CDI'!$I$4:$I$29,S540,"Cubic","Extrapolate=Linear","MultiX=Average","Skip=True","Sort=True")</f>
        <v>14.859723222219486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46247</v>
      </c>
      <c r="T541" s="43">
        <f ca="1">_xll.BInterpol('Base CDI'!$H$4:$H$28,'Base CDI'!$J$4:$J$29,S541,"Cubic","Extrapolate=Linear","MultiX=Average","Skip=True","Sort=True")</f>
        <v>14.817050213782982</v>
      </c>
      <c r="U541" s="43">
        <f ca="1">_xll.BInterpol('Base CDI'!$H$4:$H$28,'Base CDI'!$I$4:$I$29,S541,"Cubic","Extrapolate=Linear","MultiX=Average","Skip=True","Sort=True")</f>
        <v>14.859250626252615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46248</v>
      </c>
      <c r="T542" s="43">
        <f ca="1">_xll.BInterpol('Base CDI'!$H$4:$H$28,'Base CDI'!$J$4:$J$29,S542,"Cubic","Extrapolate=Linear","MultiX=Average","Skip=True","Sort=True")</f>
        <v>14.816667119326087</v>
      </c>
      <c r="U542" s="43">
        <f ca="1">_xll.BInterpol('Base CDI'!$H$4:$H$28,'Base CDI'!$I$4:$I$29,S542,"Cubic","Extrapolate=Linear","MultiX=Average","Skip=True","Sort=True")</f>
        <v>14.858773680543401</v>
      </c>
    </row>
    <row r="543" spans="16:21" x14ac:dyDescent="0.25">
      <c r="P543" s="10">
        <v>35299</v>
      </c>
      <c r="Q543">
        <v>2.325599</v>
      </c>
      <c r="S543" s="42">
        <f t="shared" ca="1" si="13"/>
        <v>46249</v>
      </c>
      <c r="T543" s="43">
        <f ca="1">_xll.BInterpol('Base CDI'!$H$4:$H$28,'Base CDI'!$J$4:$J$29,S543,"Cubic","Extrapolate=Linear","MultiX=Average","Skip=True","Sort=True")</f>
        <v>14.816279882521654</v>
      </c>
      <c r="U543" s="43">
        <f ca="1">_xll.BInterpol('Base CDI'!$H$4:$H$28,'Base CDI'!$I$4:$I$29,S543,"Cubic","Extrapolate=Linear","MultiX=Average","Skip=True","Sort=True")</f>
        <v>14.858292433750519</v>
      </c>
    </row>
    <row r="544" spans="16:21" x14ac:dyDescent="0.25">
      <c r="P544" s="10">
        <v>35300</v>
      </c>
      <c r="Q544">
        <v>2.327607</v>
      </c>
      <c r="S544" s="42">
        <f t="shared" ca="1" si="13"/>
        <v>46250</v>
      </c>
      <c r="T544" s="43">
        <f ca="1">_xll.BInterpol('Base CDI'!$H$4:$H$28,'Base CDI'!$J$4:$J$29,S544,"Cubic","Extrapolate=Linear","MultiX=Average","Skip=True","Sort=True")</f>
        <v>14.815888545978185</v>
      </c>
      <c r="U544" s="43">
        <f ca="1">_xll.BInterpol('Base CDI'!$H$4:$H$28,'Base CDI'!$I$4:$I$29,S544,"Cubic","Extrapolate=Linear","MultiX=Average","Skip=True","Sort=True")</f>
        <v>14.857806934532643</v>
      </c>
    </row>
    <row r="545" spans="16:21" x14ac:dyDescent="0.25">
      <c r="P545" s="10">
        <v>35303</v>
      </c>
      <c r="Q545">
        <v>2.329609</v>
      </c>
      <c r="S545" s="42">
        <f t="shared" ca="1" si="13"/>
        <v>46251</v>
      </c>
      <c r="T545" s="43">
        <f ca="1">_xll.BInterpol('Base CDI'!$H$4:$H$28,'Base CDI'!$J$4:$J$29,S545,"Cubic","Extrapolate=Linear","MultiX=Average","Skip=True","Sort=True")</f>
        <v>14.81549315230418</v>
      </c>
      <c r="U545" s="43">
        <f ca="1">_xll.BInterpol('Base CDI'!$H$4:$H$28,'Base CDI'!$I$4:$I$29,S545,"Cubic","Extrapolate=Linear","MultiX=Average","Skip=True","Sort=True")</f>
        <v>14.857317231548448</v>
      </c>
    </row>
    <row r="546" spans="16:21" x14ac:dyDescent="0.25">
      <c r="P546" s="10">
        <v>35304</v>
      </c>
      <c r="Q546">
        <v>2.331604</v>
      </c>
      <c r="S546" s="42">
        <f t="shared" ca="1" si="13"/>
        <v>46252</v>
      </c>
      <c r="T546" s="43">
        <f ca="1">_xll.BInterpol('Base CDI'!$H$4:$H$28,'Base CDI'!$J$4:$J$29,S546,"Cubic","Extrapolate=Linear","MultiX=Average","Skip=True","Sort=True")</f>
        <v>14.815093744108147</v>
      </c>
      <c r="U546" s="43">
        <f ca="1">_xll.BInterpol('Base CDI'!$H$4:$H$28,'Base CDI'!$I$4:$I$29,S546,"Cubic","Extrapolate=Linear","MultiX=Average","Skip=True","Sort=True")</f>
        <v>14.856823373456612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46253</v>
      </c>
      <c r="T547" s="43">
        <f ca="1">_xll.BInterpol('Base CDI'!$H$4:$H$28,'Base CDI'!$J$4:$J$29,S547,"Cubic","Extrapolate=Linear","MultiX=Average","Skip=True","Sort=True")</f>
        <v>14.814690363998585</v>
      </c>
      <c r="U547" s="43">
        <f ca="1">_xll.BInterpol('Base CDI'!$H$4:$H$28,'Base CDI'!$I$4:$I$29,S547,"Cubic","Extrapolate=Linear","MultiX=Average","Skip=True","Sort=True")</f>
        <v>14.856325408915806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46254</v>
      </c>
      <c r="T548" s="43">
        <f ca="1">_xll.BInterpol('Base CDI'!$H$4:$H$28,'Base CDI'!$J$4:$J$29,S548,"Cubic","Extrapolate=Linear","MultiX=Average","Skip=True","Sort=True")</f>
        <v>14.814283054583999</v>
      </c>
      <c r="U548" s="43">
        <f ca="1">_xll.BInterpol('Base CDI'!$H$4:$H$28,'Base CDI'!$I$4:$I$29,S548,"Cubic","Extrapolate=Linear","MultiX=Average","Skip=True","Sort=True")</f>
        <v>14.855823386584708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46255</v>
      </c>
      <c r="T549" s="43">
        <f ca="1">_xll.BInterpol('Base CDI'!$H$4:$H$28,'Base CDI'!$J$4:$J$29,S549,"Cubic","Extrapolate=Linear","MultiX=Average","Skip=True","Sort=True")</f>
        <v>14.813871858472892</v>
      </c>
      <c r="U549" s="43">
        <f ca="1">_xll.BInterpol('Base CDI'!$H$4:$H$28,'Base CDI'!$I$4:$I$29,S549,"Cubic","Extrapolate=Linear","MultiX=Average","Skip=True","Sort=True")</f>
        <v>14.855317355121992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46256</v>
      </c>
      <c r="T550" s="43">
        <f ca="1">_xll.BInterpol('Base CDI'!$H$4:$H$28,'Base CDI'!$J$4:$J$29,S550,"Cubic","Extrapolate=Linear","MultiX=Average","Skip=True","Sort=True")</f>
        <v>14.813456818273766</v>
      </c>
      <c r="U550" s="43">
        <f ca="1">_xll.BInterpol('Base CDI'!$H$4:$H$28,'Base CDI'!$I$4:$I$29,S550,"Cubic","Extrapolate=Linear","MultiX=Average","Skip=True","Sort=True")</f>
        <v>14.854807363186332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46257</v>
      </c>
      <c r="T551" s="43">
        <f ca="1">_xll.BInterpol('Base CDI'!$H$4:$H$28,'Base CDI'!$J$4:$J$29,S551,"Cubic","Extrapolate=Linear","MultiX=Average","Skip=True","Sort=True")</f>
        <v>14.813037976595124</v>
      </c>
      <c r="U551" s="43">
        <f ca="1">_xll.BInterpol('Base CDI'!$H$4:$H$28,'Base CDI'!$I$4:$I$29,S551,"Cubic","Extrapolate=Linear","MultiX=Average","Skip=True","Sort=True")</f>
        <v>14.854293459436404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46258</v>
      </c>
      <c r="T552" s="43">
        <f ca="1">_xll.BInterpol('Base CDI'!$H$4:$H$28,'Base CDI'!$J$4:$J$29,S552,"Cubic","Extrapolate=Linear","MultiX=Average","Skip=True","Sort=True")</f>
        <v>14.812615376045471</v>
      </c>
      <c r="U552" s="43">
        <f ca="1">_xll.BInterpol('Base CDI'!$H$4:$H$28,'Base CDI'!$I$4:$I$29,S552,"Cubic","Extrapolate=Linear","MultiX=Average","Skip=True","Sort=True")</f>
        <v>14.853775692530883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46259</v>
      </c>
      <c r="T553" s="43">
        <f ca="1">_xll.BInterpol('Base CDI'!$H$4:$H$28,'Base CDI'!$J$4:$J$29,S553,"Cubic","Extrapolate=Linear","MultiX=Average","Skip=True","Sort=True")</f>
        <v>14.812189059233308</v>
      </c>
      <c r="U553" s="43">
        <f ca="1">_xll.BInterpol('Base CDI'!$H$4:$H$28,'Base CDI'!$I$4:$I$29,S553,"Cubic","Extrapolate=Linear","MultiX=Average","Skip=True","Sort=True")</f>
        <v>14.853254111128445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46260</v>
      </c>
      <c r="T554" s="43">
        <f ca="1">_xll.BInterpol('Base CDI'!$H$4:$H$28,'Base CDI'!$J$4:$J$29,S554,"Cubic","Extrapolate=Linear","MultiX=Average","Skip=True","Sort=True")</f>
        <v>14.811759068767138</v>
      </c>
      <c r="U554" s="43">
        <f ca="1">_xll.BInterpol('Base CDI'!$H$4:$H$28,'Base CDI'!$I$4:$I$29,S554,"Cubic","Extrapolate=Linear","MultiX=Average","Skip=True","Sort=True")</f>
        <v>14.852728763887763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46261</v>
      </c>
      <c r="T555" s="43">
        <f ca="1">_xll.BInterpol('Base CDI'!$H$4:$H$28,'Base CDI'!$J$4:$J$29,S555,"Cubic","Extrapolate=Linear","MultiX=Average","Skip=True","Sort=True")</f>
        <v>14.811325447255465</v>
      </c>
      <c r="U555" s="43">
        <f ca="1">_xll.BInterpol('Base CDI'!$H$4:$H$28,'Base CDI'!$I$4:$I$29,S555,"Cubic","Extrapolate=Linear","MultiX=Average","Skip=True","Sort=True")</f>
        <v>14.852199699467514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46262</v>
      </c>
      <c r="T556" s="43">
        <f ca="1">_xll.BInterpol('Base CDI'!$H$4:$H$28,'Base CDI'!$J$4:$J$29,S556,"Cubic","Extrapolate=Linear","MultiX=Average","Skip=True","Sort=True")</f>
        <v>14.81088823730679</v>
      </c>
      <c r="U556" s="43">
        <f ca="1">_xll.BInterpol('Base CDI'!$H$4:$H$28,'Base CDI'!$I$4:$I$29,S556,"Cubic","Extrapolate=Linear","MultiX=Average","Skip=True","Sort=True")</f>
        <v>14.851666966526372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46263</v>
      </c>
      <c r="T557" s="43">
        <f ca="1">_xll.BInterpol('Base CDI'!$H$4:$H$28,'Base CDI'!$J$4:$J$29,S557,"Cubic","Extrapolate=Linear","MultiX=Average","Skip=True","Sort=True")</f>
        <v>14.810447481529618</v>
      </c>
      <c r="U557" s="43">
        <f ca="1">_xll.BInterpol('Base CDI'!$H$4:$H$28,'Base CDI'!$I$4:$I$29,S557,"Cubic","Extrapolate=Linear","MultiX=Average","Skip=True","Sort=True")</f>
        <v>14.851130613723011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46264</v>
      </c>
      <c r="T558" s="43">
        <f ca="1">_xll.BInterpol('Base CDI'!$H$4:$H$28,'Base CDI'!$J$4:$J$29,S558,"Cubic","Extrapolate=Linear","MultiX=Average","Skip=True","Sort=True")</f>
        <v>14.810003222532453</v>
      </c>
      <c r="U558" s="43">
        <f ca="1">_xll.BInterpol('Base CDI'!$H$4:$H$28,'Base CDI'!$I$4:$I$29,S558,"Cubic","Extrapolate=Linear","MultiX=Average","Skip=True","Sort=True")</f>
        <v>14.850590689716109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46265</v>
      </c>
      <c r="T559" s="43">
        <f ca="1">_xll.BInterpol('Base CDI'!$H$4:$H$28,'Base CDI'!$J$4:$J$29,S559,"Cubic","Extrapolate=Linear","MultiX=Average","Skip=True","Sort=True")</f>
        <v>14.809555502923795</v>
      </c>
      <c r="U559" s="43">
        <f ca="1">_xll.BInterpol('Base CDI'!$H$4:$H$28,'Base CDI'!$I$4:$I$29,S559,"Cubic","Extrapolate=Linear","MultiX=Average","Skip=True","Sort=True")</f>
        <v>14.850047243164337</v>
      </c>
    </row>
    <row r="560" spans="16:21" x14ac:dyDescent="0.25">
      <c r="P560" s="10">
        <v>35324</v>
      </c>
      <c r="Q560">
        <v>2.360636</v>
      </c>
      <c r="S560" s="42">
        <f t="shared" ca="1" si="13"/>
        <v>46266</v>
      </c>
      <c r="T560" s="43">
        <f ca="1">_xll.BInterpol('Base CDI'!$H$4:$H$28,'Base CDI'!$J$4:$J$29,S560,"Cubic","Extrapolate=Linear","MultiX=Average","Skip=True","Sort=True")</f>
        <v>14.809104365312146</v>
      </c>
      <c r="U560" s="43">
        <f ca="1">_xll.BInterpol('Base CDI'!$H$4:$H$28,'Base CDI'!$I$4:$I$29,S560,"Cubic","Extrapolate=Linear","MultiX=Average","Skip=True","Sort=True")</f>
        <v>14.849500322726373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46267</v>
      </c>
      <c r="T561" s="43">
        <f ca="1">_xll.BInterpol('Base CDI'!$H$4:$H$28,'Base CDI'!$J$4:$J$29,S561,"Cubic","Extrapolate=Linear","MultiX=Average","Skip=True","Sort=True")</f>
        <v>14.808649852306015</v>
      </c>
      <c r="U561" s="43">
        <f ca="1">_xll.BInterpol('Base CDI'!$H$4:$H$28,'Base CDI'!$I$4:$I$29,S561,"Cubic","Extrapolate=Linear","MultiX=Average","Skip=True","Sort=True")</f>
        <v>14.848949977060892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46268</v>
      </c>
      <c r="T562" s="43">
        <f ca="1">_xll.BInterpol('Base CDI'!$H$4:$H$28,'Base CDI'!$J$4:$J$29,S562,"Cubic","Extrapolate=Linear","MultiX=Average","Skip=True","Sort=True")</f>
        <v>14.808192006513899</v>
      </c>
      <c r="U562" s="43">
        <f ca="1">_xll.BInterpol('Base CDI'!$H$4:$H$28,'Base CDI'!$I$4:$I$29,S562,"Cubic","Extrapolate=Linear","MultiX=Average","Skip=True","Sort=True")</f>
        <v>14.848396254826568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46269</v>
      </c>
      <c r="T563" s="43">
        <f ca="1">_xll.BInterpol('Base CDI'!$H$4:$H$28,'Base CDI'!$J$4:$J$29,S563,"Cubic","Extrapolate=Linear","MultiX=Average","Skip=True","Sort=True")</f>
        <v>14.807730870544304</v>
      </c>
      <c r="U563" s="43">
        <f ca="1">_xll.BInterpol('Base CDI'!$H$4:$H$28,'Base CDI'!$I$4:$I$29,S563,"Cubic","Extrapolate=Linear","MultiX=Average","Skip=True","Sort=True")</f>
        <v>14.847839204682076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46270</v>
      </c>
      <c r="T564" s="43">
        <f ca="1">_xll.BInterpol('Base CDI'!$H$4:$H$28,'Base CDI'!$J$4:$J$29,S564,"Cubic","Extrapolate=Linear","MultiX=Average","Skip=True","Sort=True")</f>
        <v>14.807266487005732</v>
      </c>
      <c r="U564" s="43">
        <f ca="1">_xll.BInterpol('Base CDI'!$H$4:$H$28,'Base CDI'!$I$4:$I$29,S564,"Cubic","Extrapolate=Linear","MultiX=Average","Skip=True","Sort=True")</f>
        <v>14.84727887528609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46271</v>
      </c>
      <c r="T565" s="43">
        <f ca="1">_xll.BInterpol('Base CDI'!$H$4:$H$28,'Base CDI'!$J$4:$J$29,S565,"Cubic","Extrapolate=Linear","MultiX=Average","Skip=True","Sort=True")</f>
        <v>14.806798898506687</v>
      </c>
      <c r="U565" s="43">
        <f ca="1">_xll.BInterpol('Base CDI'!$H$4:$H$28,'Base CDI'!$I$4:$I$29,S565,"Cubic","Extrapolate=Linear","MultiX=Average","Skip=True","Sort=True")</f>
        <v>14.846715315297288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46272</v>
      </c>
      <c r="T566" s="43">
        <f ca="1">_xll.BInterpol('Base CDI'!$H$4:$H$28,'Base CDI'!$J$4:$J$29,S566,"Cubic","Extrapolate=Linear","MultiX=Average","Skip=True","Sort=True")</f>
        <v>14.80632814765567</v>
      </c>
      <c r="U566" s="43">
        <f ca="1">_xll.BInterpol('Base CDI'!$H$4:$H$28,'Base CDI'!$I$4:$I$29,S566,"Cubic","Extrapolate=Linear","MultiX=Average","Skip=True","Sort=True")</f>
        <v>14.846148573374343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46273</v>
      </c>
      <c r="T567" s="43">
        <f ca="1">_xll.BInterpol('Base CDI'!$H$4:$H$28,'Base CDI'!$J$4:$J$29,S567,"Cubic","Extrapolate=Linear","MultiX=Average","Skip=True","Sort=True")</f>
        <v>14.805854277061185</v>
      </c>
      <c r="U567" s="43">
        <f ca="1">_xll.BInterpol('Base CDI'!$H$4:$H$28,'Base CDI'!$I$4:$I$29,S567,"Cubic","Extrapolate=Linear","MultiX=Average","Skip=True","Sort=True")</f>
        <v>14.845578698175931</v>
      </c>
    </row>
    <row r="568" spans="16:21" x14ac:dyDescent="0.25">
      <c r="P568" s="10">
        <v>35334</v>
      </c>
      <c r="Q568">
        <v>2.377615</v>
      </c>
      <c r="S568" s="42">
        <f t="shared" ca="1" si="13"/>
        <v>46274</v>
      </c>
      <c r="T568" s="43">
        <f ca="1">_xll.BInterpol('Base CDI'!$H$4:$H$28,'Base CDI'!$J$4:$J$29,S568,"Cubic","Extrapolate=Linear","MultiX=Average","Skip=True","Sort=True")</f>
        <v>14.805377329331735</v>
      </c>
      <c r="U568" s="43">
        <f ca="1">_xll.BInterpol('Base CDI'!$H$4:$H$28,'Base CDI'!$I$4:$I$29,S568,"Cubic","Extrapolate=Linear","MultiX=Average","Skip=True","Sort=True")</f>
        <v>14.845005738360726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46275</v>
      </c>
      <c r="T569" s="43">
        <f ca="1">_xll.BInterpol('Base CDI'!$H$4:$H$28,'Base CDI'!$J$4:$J$29,S569,"Cubic","Extrapolate=Linear","MultiX=Average","Skip=True","Sort=True")</f>
        <v>14.804897347075824</v>
      </c>
      <c r="U569" s="43">
        <f ca="1">_xll.BInterpol('Base CDI'!$H$4:$H$28,'Base CDI'!$I$4:$I$29,S569,"Cubic","Extrapolate=Linear","MultiX=Average","Skip=True","Sort=True")</f>
        <v>14.844429742587403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46276</v>
      </c>
      <c r="T570" s="43">
        <f ca="1">_xll.BInterpol('Base CDI'!$H$4:$H$28,'Base CDI'!$J$4:$J$29,S570,"Cubic","Extrapolate=Linear","MultiX=Average","Skip=True","Sort=True")</f>
        <v>14.804414372901952</v>
      </c>
      <c r="U570" s="43">
        <f ca="1">_xll.BInterpol('Base CDI'!$H$4:$H$28,'Base CDI'!$I$4:$I$29,S570,"Cubic","Extrapolate=Linear","MultiX=Average","Skip=True","Sort=True")</f>
        <v>14.843850759514638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46277</v>
      </c>
      <c r="T571" s="43">
        <f ca="1">_xll.BInterpol('Base CDI'!$H$4:$H$28,'Base CDI'!$J$4:$J$29,S571,"Cubic","Extrapolate=Linear","MultiX=Average","Skip=True","Sort=True")</f>
        <v>14.803928449418628</v>
      </c>
      <c r="U571" s="43">
        <f ca="1">_xll.BInterpol('Base CDI'!$H$4:$H$28,'Base CDI'!$I$4:$I$29,S571,"Cubic","Extrapolate=Linear","MultiX=Average","Skip=True","Sort=True")</f>
        <v>14.843268837801105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46278</v>
      </c>
      <c r="T572" s="43">
        <f ca="1">_xll.BInterpol('Base CDI'!$H$4:$H$28,'Base CDI'!$J$4:$J$29,S572,"Cubic","Extrapolate=Linear","MultiX=Average","Skip=True","Sort=True")</f>
        <v>14.803439619234348</v>
      </c>
      <c r="U572" s="43">
        <f ca="1">_xll.BInterpol('Base CDI'!$H$4:$H$28,'Base CDI'!$I$4:$I$29,S572,"Cubic","Extrapolate=Linear","MultiX=Average","Skip=True","Sort=True")</f>
        <v>14.842684026105481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46279</v>
      </c>
      <c r="T573" s="43">
        <f ca="1">_xll.BInterpol('Base CDI'!$H$4:$H$28,'Base CDI'!$J$4:$J$29,S573,"Cubic","Extrapolate=Linear","MultiX=Average","Skip=True","Sort=True")</f>
        <v>14.802947924957618</v>
      </c>
      <c r="U573" s="43">
        <f ca="1">_xll.BInterpol('Base CDI'!$H$4:$H$28,'Base CDI'!$I$4:$I$29,S573,"Cubic","Extrapolate=Linear","MultiX=Average","Skip=True","Sort=True")</f>
        <v>14.842096373086438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46280</v>
      </c>
      <c r="T574" s="43">
        <f ca="1">_xll.BInterpol('Base CDI'!$H$4:$H$28,'Base CDI'!$J$4:$J$29,S574,"Cubic","Extrapolate=Linear","MultiX=Average","Skip=True","Sort=True")</f>
        <v>14.802453409196941</v>
      </c>
      <c r="U574" s="43">
        <f ca="1">_xll.BInterpol('Base CDI'!$H$4:$H$28,'Base CDI'!$I$4:$I$29,S574,"Cubic","Extrapolate=Linear","MultiX=Average","Skip=True","Sort=True")</f>
        <v>14.841505927402652</v>
      </c>
    </row>
    <row r="575" spans="16:21" x14ac:dyDescent="0.25">
      <c r="P575" s="10">
        <v>35346</v>
      </c>
      <c r="Q575">
        <v>2.391607</v>
      </c>
      <c r="S575" s="42">
        <f t="shared" ca="1" si="13"/>
        <v>46281</v>
      </c>
      <c r="T575" s="43">
        <f ca="1">_xll.BInterpol('Base CDI'!$H$4:$H$28,'Base CDI'!$J$4:$J$29,S575,"Cubic","Extrapolate=Linear","MultiX=Average","Skip=True","Sort=True")</f>
        <v>14.801956114560822</v>
      </c>
      <c r="U575" s="43">
        <f ca="1">_xll.BInterpol('Base CDI'!$H$4:$H$28,'Base CDI'!$I$4:$I$29,S575,"Cubic","Extrapolate=Linear","MultiX=Average","Skip=True","Sort=True")</f>
        <v>14.840912737712801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46282</v>
      </c>
      <c r="T576" s="43">
        <f ca="1">_xll.BInterpol('Base CDI'!$H$4:$H$28,'Base CDI'!$J$4:$J$29,S576,"Cubic","Extrapolate=Linear","MultiX=Average","Skip=True","Sort=True")</f>
        <v>14.80145608365776</v>
      </c>
      <c r="U576" s="43">
        <f ca="1">_xll.BInterpol('Base CDI'!$H$4:$H$28,'Base CDI'!$I$4:$I$29,S576,"Cubic","Extrapolate=Linear","MultiX=Average","Skip=True","Sort=True")</f>
        <v>14.840316852675555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46283</v>
      </c>
      <c r="T577" s="43">
        <f ca="1">_xll.BInterpol('Base CDI'!$H$4:$H$28,'Base CDI'!$J$4:$J$29,S577,"Cubic","Extrapolate=Linear","MultiX=Average","Skip=True","Sort=True")</f>
        <v>14.80095335909626</v>
      </c>
      <c r="U577" s="43">
        <f ca="1">_xll.BInterpol('Base CDI'!$H$4:$H$28,'Base CDI'!$I$4:$I$29,S577,"Cubic","Extrapolate=Linear","MultiX=Average","Skip=True","Sort=True")</f>
        <v>14.839718320949594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46284</v>
      </c>
      <c r="T578" s="43">
        <f ca="1">_xll.BInterpol('Base CDI'!$H$4:$H$28,'Base CDI'!$J$4:$J$29,S578,"Cubic","Extrapolate=Linear","MultiX=Average","Skip=True","Sort=True")</f>
        <v>14.800447983484824</v>
      </c>
      <c r="U578" s="43">
        <f ca="1">_xll.BInterpol('Base CDI'!$H$4:$H$28,'Base CDI'!$I$4:$I$29,S578,"Cubic","Extrapolate=Linear","MultiX=Average","Skip=True","Sort=True")</f>
        <v>14.839117191193589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46285</v>
      </c>
      <c r="T579" s="43">
        <f ca="1">_xll.BInterpol('Base CDI'!$H$4:$H$28,'Base CDI'!$J$4:$J$29,S579,"Cubic","Extrapolate=Linear","MultiX=Average","Skip=True","Sort=True")</f>
        <v>14.799939999431958</v>
      </c>
      <c r="U579" s="43">
        <f ca="1">_xll.BInterpol('Base CDI'!$H$4:$H$28,'Base CDI'!$I$4:$I$29,S579,"Cubic","Extrapolate=Linear","MultiX=Average","Skip=True","Sort=True")</f>
        <v>14.838513512066218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46286</v>
      </c>
      <c r="T580" s="43">
        <f ca="1">_xll.BInterpol('Base CDI'!$H$4:$H$28,'Base CDI'!$J$4:$J$29,S580,"Cubic","Extrapolate=Linear","MultiX=Average","Skip=True","Sort=True")</f>
        <v>14.799429449546162</v>
      </c>
      <c r="U580" s="43">
        <f ca="1">_xll.BInterpol('Base CDI'!$H$4:$H$28,'Base CDI'!$I$4:$I$29,S580,"Cubic","Extrapolate=Linear","MultiX=Average","Skip=True","Sort=True")</f>
        <v>14.837907332226154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46287</v>
      </c>
      <c r="T581" s="43">
        <f ca="1">_xll.BInterpol('Base CDI'!$H$4:$H$28,'Base CDI'!$J$4:$J$29,S581,"Cubic","Extrapolate=Linear","MultiX=Average","Skip=True","Sort=True")</f>
        <v>14.798916376435939</v>
      </c>
      <c r="U581" s="43">
        <f ca="1">_xll.BInterpol('Base CDI'!$H$4:$H$28,'Base CDI'!$I$4:$I$29,S581,"Cubic","Extrapolate=Linear","MultiX=Average","Skip=True","Sort=True")</f>
        <v>14.837298700332072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46288</v>
      </c>
      <c r="T582" s="43">
        <f ca="1">_xll.BInterpol('Base CDI'!$H$4:$H$28,'Base CDI'!$J$4:$J$29,S582,"Cubic","Extrapolate=Linear","MultiX=Average","Skip=True","Sort=True")</f>
        <v>14.798400822709795</v>
      </c>
      <c r="U582" s="43">
        <f ca="1">_xll.BInterpol('Base CDI'!$H$4:$H$28,'Base CDI'!$I$4:$I$29,S582,"Cubic","Extrapolate=Linear","MultiX=Average","Skip=True","Sort=True")</f>
        <v>14.836687665042648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46289</v>
      </c>
      <c r="T583" s="43">
        <f ca="1">_xll.BInterpol('Base CDI'!$H$4:$H$28,'Base CDI'!$J$4:$J$29,S583,"Cubic","Extrapolate=Linear","MultiX=Average","Skip=True","Sort=True")</f>
        <v>14.797882830976228</v>
      </c>
      <c r="U583" s="43">
        <f ca="1">_xll.BInterpol('Base CDI'!$H$4:$H$28,'Base CDI'!$I$4:$I$29,S583,"Cubic","Extrapolate=Linear","MultiX=Average","Skip=True","Sort=True")</f>
        <v>14.836074275016559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46290</v>
      </c>
      <c r="T584" s="43">
        <f ca="1">_xll.BInterpol('Base CDI'!$H$4:$H$28,'Base CDI'!$J$4:$J$29,S584,"Cubic","Extrapolate=Linear","MultiX=Average","Skip=True","Sort=True")</f>
        <v>14.797362443843745</v>
      </c>
      <c r="U584" s="43">
        <f ca="1">_xll.BInterpol('Base CDI'!$H$4:$H$28,'Base CDI'!$I$4:$I$29,S584,"Cubic","Extrapolate=Linear","MultiX=Average","Skip=True","Sort=True")</f>
        <v>14.835458578912476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46291</v>
      </c>
      <c r="T585" s="43">
        <f ca="1">_xll.BInterpol('Base CDI'!$H$4:$H$28,'Base CDI'!$J$4:$J$29,S585,"Cubic","Extrapolate=Linear","MultiX=Average","Skip=True","Sort=True")</f>
        <v>14.796839703920847</v>
      </c>
      <c r="U585" s="43">
        <f ca="1">_xll.BInterpol('Base CDI'!$H$4:$H$28,'Base CDI'!$I$4:$I$29,S585,"Cubic","Extrapolate=Linear","MultiX=Average","Skip=True","Sort=True")</f>
        <v>14.834840625389075</v>
      </c>
    </row>
    <row r="586" spans="16:21" x14ac:dyDescent="0.25">
      <c r="P586" s="10">
        <v>35361</v>
      </c>
      <c r="Q586">
        <v>2.41371</v>
      </c>
      <c r="S586" s="42">
        <f t="shared" ca="1" si="13"/>
        <v>46292</v>
      </c>
      <c r="T586" s="43">
        <f ca="1">_xll.BInterpol('Base CDI'!$H$4:$H$28,'Base CDI'!$J$4:$J$29,S586,"Cubic","Extrapolate=Linear","MultiX=Average","Skip=True","Sort=True")</f>
        <v>14.796314653816038</v>
      </c>
      <c r="U586" s="43">
        <f ca="1">_xll.BInterpol('Base CDI'!$H$4:$H$28,'Base CDI'!$I$4:$I$29,S586,"Cubic","Extrapolate=Linear","MultiX=Average","Skip=True","Sort=True")</f>
        <v>14.834220463105034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46293</v>
      </c>
      <c r="T587" s="43">
        <f ca="1">_xll.BInterpol('Base CDI'!$H$4:$H$28,'Base CDI'!$J$4:$J$29,S587,"Cubic","Extrapolate=Linear","MultiX=Average","Skip=True","Sort=True")</f>
        <v>14.79578733613782</v>
      </c>
      <c r="U587" s="43">
        <f ca="1">_xll.BInterpol('Base CDI'!$H$4:$H$28,'Base CDI'!$I$4:$I$29,S587,"Cubic","Extrapolate=Linear","MultiX=Average","Skip=True","Sort=True")</f>
        <v>14.833598140719026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46294</v>
      </c>
      <c r="T588" s="43">
        <f ca="1">_xll.BInterpol('Base CDI'!$H$4:$H$28,'Base CDI'!$J$4:$J$29,S588,"Cubic","Extrapolate=Linear","MultiX=Average","Skip=True","Sort=True")</f>
        <v>14.795257793494699</v>
      </c>
      <c r="U588" s="43">
        <f ca="1">_xll.BInterpol('Base CDI'!$H$4:$H$28,'Base CDI'!$I$4:$I$29,S588,"Cubic","Extrapolate=Linear","MultiX=Average","Skip=True","Sort=True")</f>
        <v>14.832973706889724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46295</v>
      </c>
      <c r="T589" s="43">
        <f ca="1">_xll.BInterpol('Base CDI'!$H$4:$H$28,'Base CDI'!$J$4:$J$29,S589,"Cubic","Extrapolate=Linear","MultiX=Average","Skip=True","Sort=True")</f>
        <v>14.794726068495175</v>
      </c>
      <c r="U589" s="43">
        <f ca="1">_xll.BInterpol('Base CDI'!$H$4:$H$28,'Base CDI'!$I$4:$I$29,S589,"Cubic","Extrapolate=Linear","MultiX=Average","Skip=True","Sort=True")</f>
        <v>14.832347210275808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46296</v>
      </c>
      <c r="T590" s="43">
        <f ca="1">_xll.BInterpol('Base CDI'!$H$4:$H$28,'Base CDI'!$J$4:$J$29,S590,"Cubic","Extrapolate=Linear","MultiX=Average","Skip=True","Sort=True")</f>
        <v>14.79419220374775</v>
      </c>
      <c r="U590" s="43">
        <f ca="1">_xll.BInterpol('Base CDI'!$H$4:$H$28,'Base CDI'!$I$4:$I$29,S590,"Cubic","Extrapolate=Linear","MultiX=Average","Skip=True","Sort=True")</f>
        <v>14.831718699535948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46297</v>
      </c>
      <c r="T591" s="43">
        <f ca="1">_xll.BInterpol('Base CDI'!$H$4:$H$28,'Base CDI'!$J$4:$J$29,S591,"Cubic","Extrapolate=Linear","MultiX=Average","Skip=True","Sort=True")</f>
        <v>14.793656241860928</v>
      </c>
      <c r="U591" s="43">
        <f ca="1">_xll.BInterpol('Base CDI'!$H$4:$H$28,'Base CDI'!$I$4:$I$29,S591,"Cubic","Extrapolate=Linear","MultiX=Average","Skip=True","Sort=True")</f>
        <v>14.83108822332882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46298</v>
      </c>
      <c r="T592" s="43">
        <f ca="1">_xll.BInterpol('Base CDI'!$H$4:$H$28,'Base CDI'!$J$4:$J$29,S592,"Cubic","Extrapolate=Linear","MultiX=Average","Skip=True","Sort=True")</f>
        <v>14.793118225443214</v>
      </c>
      <c r="U592" s="43">
        <f ca="1">_xll.BInterpol('Base CDI'!$H$4:$H$28,'Base CDI'!$I$4:$I$29,S592,"Cubic","Extrapolate=Linear","MultiX=Average","Skip=True","Sort=True")</f>
        <v>14.830455830313102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46299</v>
      </c>
      <c r="T593" s="43">
        <f ca="1">_xll.BInterpol('Base CDI'!$H$4:$H$28,'Base CDI'!$J$4:$J$29,S593,"Cubic","Extrapolate=Linear","MultiX=Average","Skip=True","Sort=True")</f>
        <v>14.79257819710311</v>
      </c>
      <c r="U593" s="43">
        <f ca="1">_xll.BInterpol('Base CDI'!$H$4:$H$28,'Base CDI'!$I$4:$I$29,S593,"Cubic","Extrapolate=Linear","MultiX=Average","Skip=True","Sort=True")</f>
        <v>14.829821569147466</v>
      </c>
    </row>
    <row r="594" spans="16:21" x14ac:dyDescent="0.25">
      <c r="P594" s="10">
        <v>35373</v>
      </c>
      <c r="Q594">
        <v>2.430164</v>
      </c>
      <c r="S594" s="42">
        <f t="shared" ca="1" si="14"/>
        <v>46300</v>
      </c>
      <c r="T594" s="43">
        <f ca="1">_xll.BInterpol('Base CDI'!$H$4:$H$28,'Base CDI'!$J$4:$J$29,S594,"Cubic","Extrapolate=Linear","MultiX=Average","Skip=True","Sort=True")</f>
        <v>14.792036199449118</v>
      </c>
      <c r="U594" s="43">
        <f ca="1">_xll.BInterpol('Base CDI'!$H$4:$H$28,'Base CDI'!$I$4:$I$29,S594,"Cubic","Extrapolate=Linear","MultiX=Average","Skip=True","Sort=True")</f>
        <v>14.829185488490589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46301</v>
      </c>
      <c r="T595" s="43">
        <f ca="1">_xll.BInterpol('Base CDI'!$H$4:$H$28,'Base CDI'!$J$4:$J$29,S595,"Cubic","Extrapolate=Linear","MultiX=Average","Skip=True","Sort=True")</f>
        <v>14.791492275089741</v>
      </c>
      <c r="U595" s="43">
        <f ca="1">_xll.BInterpol('Base CDI'!$H$4:$H$28,'Base CDI'!$I$4:$I$29,S595,"Cubic","Extrapolate=Linear","MultiX=Average","Skip=True","Sort=True")</f>
        <v>14.828547637001146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46302</v>
      </c>
      <c r="T596" s="43">
        <f ca="1">_xll.BInterpol('Base CDI'!$H$4:$H$28,'Base CDI'!$J$4:$J$29,S596,"Cubic","Extrapolate=Linear","MultiX=Average","Skip=True","Sort=True")</f>
        <v>14.790946466633482</v>
      </c>
      <c r="U596" s="43">
        <f ca="1">_xll.BInterpol('Base CDI'!$H$4:$H$28,'Base CDI'!$I$4:$I$29,S596,"Cubic","Extrapolate=Linear","MultiX=Average","Skip=True","Sort=True")</f>
        <v>14.827908063337809</v>
      </c>
    </row>
    <row r="597" spans="16:21" x14ac:dyDescent="0.25">
      <c r="P597" s="10">
        <v>35376</v>
      </c>
      <c r="Q597">
        <v>2.436731</v>
      </c>
      <c r="S597" s="42">
        <f t="shared" ca="1" si="14"/>
        <v>46303</v>
      </c>
      <c r="T597" s="43">
        <f ca="1">_xll.BInterpol('Base CDI'!$H$4:$H$28,'Base CDI'!$J$4:$J$29,S597,"Cubic","Extrapolate=Linear","MultiX=Average","Skip=True","Sort=True")</f>
        <v>14.790398816688846</v>
      </c>
      <c r="U597" s="43">
        <f ca="1">_xll.BInterpol('Base CDI'!$H$4:$H$28,'Base CDI'!$I$4:$I$29,S597,"Cubic","Extrapolate=Linear","MultiX=Average","Skip=True","Sort=True")</f>
        <v>14.827266816159256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46304</v>
      </c>
      <c r="T598" s="43">
        <f ca="1">_xll.BInterpol('Base CDI'!$H$4:$H$28,'Base CDI'!$J$4:$J$29,S598,"Cubic","Extrapolate=Linear","MultiX=Average","Skip=True","Sort=True")</f>
        <v>14.789849367864333</v>
      </c>
      <c r="U598" s="43">
        <f ca="1">_xll.BInterpol('Base CDI'!$H$4:$H$28,'Base CDI'!$I$4:$I$29,S598,"Cubic","Extrapolate=Linear","MultiX=Average","Skip=True","Sort=True")</f>
        <v>14.826623944124162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46305</v>
      </c>
      <c r="T599" s="43">
        <f ca="1">_xll.BInterpol('Base CDI'!$H$4:$H$28,'Base CDI'!$J$4:$J$29,S599,"Cubic","Extrapolate=Linear","MultiX=Average","Skip=True","Sort=True")</f>
        <v>14.789298162768448</v>
      </c>
      <c r="U599" s="43">
        <f ca="1">_xll.BInterpol('Base CDI'!$H$4:$H$28,'Base CDI'!$I$4:$I$29,S599,"Cubic","Extrapolate=Linear","MultiX=Average","Skip=True","Sort=True")</f>
        <v>14.8259794958912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46306</v>
      </c>
      <c r="T600" s="43">
        <f ca="1">_xll.BInterpol('Base CDI'!$H$4:$H$28,'Base CDI'!$J$4:$J$29,S600,"Cubic","Extrapolate=Linear","MultiX=Average","Skip=True","Sort=True")</f>
        <v>14.788745244009693</v>
      </c>
      <c r="U600" s="43">
        <f ca="1">_xll.BInterpol('Base CDI'!$H$4:$H$28,'Base CDI'!$I$4:$I$29,S600,"Cubic","Extrapolate=Linear","MultiX=Average","Skip=True","Sort=True")</f>
        <v>14.825333520119047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46307</v>
      </c>
      <c r="T601" s="43">
        <f ca="1">_xll.BInterpol('Base CDI'!$H$4:$H$28,'Base CDI'!$J$4:$J$29,S601,"Cubic","Extrapolate=Linear","MultiX=Average","Skip=True","Sort=True")</f>
        <v>14.788190654196573</v>
      </c>
      <c r="U601" s="43">
        <f ca="1">_xll.BInterpol('Base CDI'!$H$4:$H$28,'Base CDI'!$I$4:$I$29,S601,"Cubic","Extrapolate=Linear","MultiX=Average","Skip=True","Sort=True")</f>
        <v>14.824686065466379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46308</v>
      </c>
      <c r="T602" s="43">
        <f ca="1">_xll.BInterpol('Base CDI'!$H$4:$H$28,'Base CDI'!$J$4:$J$29,S602,"Cubic","Extrapolate=Linear","MultiX=Average","Skip=True","Sort=True")</f>
        <v>14.787634435937587</v>
      </c>
      <c r="U602" s="43">
        <f ca="1">_xll.BInterpol('Base CDI'!$H$4:$H$28,'Base CDI'!$I$4:$I$29,S602,"Cubic","Extrapolate=Linear","MultiX=Average","Skip=True","Sort=True")</f>
        <v>14.824037180591867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46309</v>
      </c>
      <c r="T603" s="43">
        <f ca="1">_xll.BInterpol('Base CDI'!$H$4:$H$28,'Base CDI'!$J$4:$J$29,S603,"Cubic","Extrapolate=Linear","MultiX=Average","Skip=True","Sort=True")</f>
        <v>14.787076631841241</v>
      </c>
      <c r="U603" s="43">
        <f ca="1">_xll.BInterpol('Base CDI'!$H$4:$H$28,'Base CDI'!$I$4:$I$29,S603,"Cubic","Extrapolate=Linear","MultiX=Average","Skip=True","Sort=True")</f>
        <v>14.82338691415419</v>
      </c>
    </row>
    <row r="604" spans="16:21" x14ac:dyDescent="0.25">
      <c r="P604" s="10">
        <v>35388</v>
      </c>
      <c r="Q604">
        <v>2.452083</v>
      </c>
      <c r="S604" s="42">
        <f t="shared" ca="1" si="14"/>
        <v>46310</v>
      </c>
      <c r="T604" s="43">
        <f ca="1">_xll.BInterpol('Base CDI'!$H$4:$H$28,'Base CDI'!$J$4:$J$29,S604,"Cubic","Extrapolate=Linear","MultiX=Average","Skip=True","Sort=True")</f>
        <v>14.786517284516037</v>
      </c>
      <c r="U604" s="43">
        <f ca="1">_xll.BInterpol('Base CDI'!$H$4:$H$28,'Base CDI'!$I$4:$I$29,S604,"Cubic","Extrapolate=Linear","MultiX=Average","Skip=True","Sort=True")</f>
        <v>14.82273531481202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46311</v>
      </c>
      <c r="T605" s="43">
        <f ca="1">_xll.BInterpol('Base CDI'!$H$4:$H$28,'Base CDI'!$J$4:$J$29,S605,"Cubic","Extrapolate=Linear","MultiX=Average","Skip=True","Sort=True")</f>
        <v>14.78595643657048</v>
      </c>
      <c r="U605" s="43">
        <f ca="1">_xll.BInterpol('Base CDI'!$H$4:$H$28,'Base CDI'!$I$4:$I$29,S605,"Cubic","Extrapolate=Linear","MultiX=Average","Skip=True","Sort=True")</f>
        <v>14.822082431224034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46312</v>
      </c>
      <c r="T606" s="43">
        <f ca="1">_xll.BInterpol('Base CDI'!$H$4:$H$28,'Base CDI'!$J$4:$J$29,S606,"Cubic","Extrapolate=Linear","MultiX=Average","Skip=True","Sort=True")</f>
        <v>14.785394130613069</v>
      </c>
      <c r="U606" s="43">
        <f ca="1">_xll.BInterpol('Base CDI'!$H$4:$H$28,'Base CDI'!$I$4:$I$29,S606,"Cubic","Extrapolate=Linear","MultiX=Average","Skip=True","Sort=True")</f>
        <v>14.821428312048907</v>
      </c>
    </row>
    <row r="607" spans="16:21" x14ac:dyDescent="0.25">
      <c r="P607" s="10">
        <v>35391</v>
      </c>
      <c r="Q607">
        <v>2.458628</v>
      </c>
      <c r="S607" s="42">
        <f t="shared" ca="1" si="14"/>
        <v>46313</v>
      </c>
      <c r="T607" s="43">
        <f ca="1">_xll.BInterpol('Base CDI'!$H$4:$H$28,'Base CDI'!$J$4:$J$29,S607,"Cubic","Extrapolate=Linear","MultiX=Average","Skip=True","Sort=True")</f>
        <v>14.78483040925231</v>
      </c>
      <c r="U607" s="43">
        <f ca="1">_xll.BInterpol('Base CDI'!$H$4:$H$28,'Base CDI'!$I$4:$I$29,S607,"Cubic","Extrapolate=Linear","MultiX=Average","Skip=True","Sort=True")</f>
        <v>14.820773005945313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46314</v>
      </c>
      <c r="T608" s="43">
        <f ca="1">_xll.BInterpol('Base CDI'!$H$4:$H$28,'Base CDI'!$J$4:$J$29,S608,"Cubic","Extrapolate=Linear","MultiX=Average","Skip=True","Sort=True")</f>
        <v>14.784265315096706</v>
      </c>
      <c r="U608" s="43">
        <f ca="1">_xll.BInterpol('Base CDI'!$H$4:$H$28,'Base CDI'!$I$4:$I$29,S608,"Cubic","Extrapolate=Linear","MultiX=Average","Skip=True","Sort=True")</f>
        <v>14.820116561571927</v>
      </c>
    </row>
    <row r="609" spans="16:21" x14ac:dyDescent="0.25">
      <c r="P609" s="10">
        <v>35395</v>
      </c>
      <c r="Q609">
        <v>2.46299</v>
      </c>
      <c r="S609" s="42">
        <f t="shared" ca="1" si="14"/>
        <v>46315</v>
      </c>
      <c r="T609" s="43">
        <f ca="1">_xll.BInterpol('Base CDI'!$H$4:$H$28,'Base CDI'!$J$4:$J$29,S609,"Cubic","Extrapolate=Linear","MultiX=Average","Skip=True","Sort=True")</f>
        <v>14.783698890754758</v>
      </c>
      <c r="U609" s="43">
        <f ca="1">_xll.BInterpol('Base CDI'!$H$4:$H$28,'Base CDI'!$I$4:$I$29,S609,"Cubic","Extrapolate=Linear","MultiX=Average","Skip=True","Sort=True")</f>
        <v>14.819459027587426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46316</v>
      </c>
      <c r="T610" s="43">
        <f ca="1">_xll.BInterpol('Base CDI'!$H$4:$H$28,'Base CDI'!$J$4:$J$29,S610,"Cubic","Extrapolate=Linear","MultiX=Average","Skip=True","Sort=True")</f>
        <v>14.783131178834971</v>
      </c>
      <c r="U610" s="43">
        <f ca="1">_xll.BInterpol('Base CDI'!$H$4:$H$28,'Base CDI'!$I$4:$I$29,S610,"Cubic","Extrapolate=Linear","MultiX=Average","Skip=True","Sort=True")</f>
        <v>14.818800452650482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46317</v>
      </c>
      <c r="T611" s="43">
        <f ca="1">_xll.BInterpol('Base CDI'!$H$4:$H$28,'Base CDI'!$J$4:$J$29,S611,"Cubic","Extrapolate=Linear","MultiX=Average","Skip=True","Sort=True")</f>
        <v>14.782562221945845</v>
      </c>
      <c r="U611" s="43">
        <f ca="1">_xll.BInterpol('Base CDI'!$H$4:$H$28,'Base CDI'!$I$4:$I$29,S611,"Cubic","Extrapolate=Linear","MultiX=Average","Skip=True","Sort=True")</f>
        <v>14.818140885419773</v>
      </c>
    </row>
    <row r="612" spans="16:21" x14ac:dyDescent="0.25">
      <c r="P612" s="10">
        <v>35398</v>
      </c>
      <c r="Q612">
        <v>2.469506</v>
      </c>
      <c r="S612" s="42">
        <f t="shared" ca="1" si="14"/>
        <v>46318</v>
      </c>
      <c r="T612" s="43">
        <f ca="1">_xll.BInterpol('Base CDI'!$H$4:$H$28,'Base CDI'!$J$4:$J$29,S612,"Cubic","Extrapolate=Linear","MultiX=Average","Skip=True","Sort=True")</f>
        <v>14.781992062695887</v>
      </c>
      <c r="U612" s="43">
        <f ca="1">_xll.BInterpol('Base CDI'!$H$4:$H$28,'Base CDI'!$I$4:$I$29,S612,"Cubic","Extrapolate=Linear","MultiX=Average","Skip=True","Sort=True")</f>
        <v>14.817480374553972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46319</v>
      </c>
      <c r="T613" s="43">
        <f ca="1">_xll.BInterpol('Base CDI'!$H$4:$H$28,'Base CDI'!$J$4:$J$29,S613,"Cubic","Extrapolate=Linear","MultiX=Average","Skip=True","Sort=True")</f>
        <v>14.781420743693598</v>
      </c>
      <c r="U613" s="43">
        <f ca="1">_xll.BInterpol('Base CDI'!$H$4:$H$28,'Base CDI'!$I$4:$I$29,S613,"Cubic","Extrapolate=Linear","MultiX=Average","Skip=True","Sort=True")</f>
        <v>14.816818968711754</v>
      </c>
    </row>
    <row r="614" spans="16:21" x14ac:dyDescent="0.25">
      <c r="P614" s="10">
        <v>35402</v>
      </c>
      <c r="Q614">
        <v>2.473649</v>
      </c>
      <c r="S614" s="42">
        <f t="shared" ca="1" si="14"/>
        <v>46320</v>
      </c>
      <c r="T614" s="43">
        <f ca="1">_xll.BInterpol('Base CDI'!$H$4:$H$28,'Base CDI'!$J$4:$J$29,S614,"Cubic","Extrapolate=Linear","MultiX=Average","Skip=True","Sort=True")</f>
        <v>14.780848307547481</v>
      </c>
      <c r="U614" s="43">
        <f ca="1">_xll.BInterpol('Base CDI'!$H$4:$H$28,'Base CDI'!$I$4:$I$29,S614,"Cubic","Extrapolate=Linear","MultiX=Average","Skip=True","Sort=True")</f>
        <v>14.816156716551795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46321</v>
      </c>
      <c r="T615" s="43">
        <f ca="1">_xll.BInterpol('Base CDI'!$H$4:$H$28,'Base CDI'!$J$4:$J$29,S615,"Cubic","Extrapolate=Linear","MultiX=Average","Skip=True","Sort=True")</f>
        <v>14.780274796866038</v>
      </c>
      <c r="U615" s="43">
        <f ca="1">_xll.BInterpol('Base CDI'!$H$4:$H$28,'Base CDI'!$I$4:$I$29,S615,"Cubic","Extrapolate=Linear","MultiX=Average","Skip=True","Sort=True")</f>
        <v>14.81549366673277</v>
      </c>
    </row>
    <row r="616" spans="16:21" x14ac:dyDescent="0.25">
      <c r="P616" s="10">
        <v>35404</v>
      </c>
      <c r="Q616">
        <v>2.477757</v>
      </c>
      <c r="S616" s="42">
        <f t="shared" ca="1" si="14"/>
        <v>46322</v>
      </c>
      <c r="T616" s="43">
        <f ca="1">_xll.BInterpol('Base CDI'!$H$4:$H$28,'Base CDI'!$J$4:$J$29,S616,"Cubic","Extrapolate=Linear","MultiX=Average","Skip=True","Sort=True")</f>
        <v>14.779700254257774</v>
      </c>
      <c r="U616" s="43">
        <f ca="1">_xll.BInterpol('Base CDI'!$H$4:$H$28,'Base CDI'!$I$4:$I$29,S616,"Cubic","Extrapolate=Linear","MultiX=Average","Skip=True","Sort=True")</f>
        <v>14.814829867913355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46323</v>
      </c>
      <c r="T617" s="43">
        <f ca="1">_xll.BInterpol('Base CDI'!$H$4:$H$28,'Base CDI'!$J$4:$J$29,S617,"Cubic","Extrapolate=Linear","MultiX=Average","Skip=True","Sort=True")</f>
        <v>14.779124722331192</v>
      </c>
      <c r="U617" s="43">
        <f ca="1">_xll.BInterpol('Base CDI'!$H$4:$H$28,'Base CDI'!$I$4:$I$29,S617,"Cubic","Extrapolate=Linear","MultiX=Average","Skip=True","Sort=True")</f>
        <v>14.814165368752223</v>
      </c>
    </row>
    <row r="618" spans="16:21" x14ac:dyDescent="0.25">
      <c r="P618" s="10">
        <v>35408</v>
      </c>
      <c r="Q618">
        <v>2.481913</v>
      </c>
      <c r="S618" s="42">
        <f t="shared" ca="1" si="14"/>
        <v>46324</v>
      </c>
      <c r="T618" s="43">
        <f ca="1">_xll.BInterpol('Base CDI'!$H$4:$H$28,'Base CDI'!$J$4:$J$29,S618,"Cubic","Extrapolate=Linear","MultiX=Average","Skip=True","Sort=True")</f>
        <v>14.778548243694791</v>
      </c>
      <c r="U618" s="43">
        <f ca="1">_xll.BInterpol('Base CDI'!$H$4:$H$28,'Base CDI'!$I$4:$I$29,S618,"Cubic","Extrapolate=Linear","MultiX=Average","Skip=True","Sort=True")</f>
        <v>14.813500217908048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46325</v>
      </c>
      <c r="T619" s="43">
        <f ca="1">_xll.BInterpol('Base CDI'!$H$4:$H$28,'Base CDI'!$J$4:$J$29,S619,"Cubic","Extrapolate=Linear","MultiX=Average","Skip=True","Sort=True")</f>
        <v>14.77797086095708</v>
      </c>
      <c r="U619" s="43">
        <f ca="1">_xll.BInterpol('Base CDI'!$H$4:$H$28,'Base CDI'!$I$4:$I$29,S619,"Cubic","Extrapolate=Linear","MultiX=Average","Skip=True","Sort=True")</f>
        <v>14.81283446403951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46326</v>
      </c>
      <c r="T620" s="43">
        <f ca="1">_xll.BInterpol('Base CDI'!$H$4:$H$28,'Base CDI'!$J$4:$J$29,S620,"Cubic","Extrapolate=Linear","MultiX=Average","Skip=True","Sort=True")</f>
        <v>14.777392616726557</v>
      </c>
      <c r="U620" s="43">
        <f ca="1">_xll.BInterpol('Base CDI'!$H$4:$H$28,'Base CDI'!$I$4:$I$29,S620,"Cubic","Extrapolate=Linear","MultiX=Average","Skip=True","Sort=True")</f>
        <v>14.812168155805278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46327</v>
      </c>
      <c r="T621" s="43">
        <f ca="1">_xll.BInterpol('Base CDI'!$H$4:$H$28,'Base CDI'!$J$4:$J$29,S621,"Cubic","Extrapolate=Linear","MultiX=Average","Skip=True","Sort=True")</f>
        <v>14.776813553611726</v>
      </c>
      <c r="U621" s="43">
        <f ca="1">_xll.BInterpol('Base CDI'!$H$4:$H$28,'Base CDI'!$I$4:$I$29,S621,"Cubic","Extrapolate=Linear","MultiX=Average","Skip=True","Sort=True")</f>
        <v>14.81150134186403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46328</v>
      </c>
      <c r="T622" s="43">
        <f ca="1">_xll.BInterpol('Base CDI'!$H$4:$H$28,'Base CDI'!$J$4:$J$29,S622,"Cubic","Extrapolate=Linear","MultiX=Average","Skip=True","Sort=True")</f>
        <v>14.776233714221092</v>
      </c>
      <c r="U622" s="43">
        <f ca="1">_xll.BInterpol('Base CDI'!$H$4:$H$28,'Base CDI'!$I$4:$I$29,S622,"Cubic","Extrapolate=Linear","MultiX=Average","Skip=True","Sort=True")</f>
        <v>14.810834070874444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46329</v>
      </c>
      <c r="T623" s="43">
        <f ca="1">_xll.BInterpol('Base CDI'!$H$4:$H$28,'Base CDI'!$J$4:$J$29,S623,"Cubic","Extrapolate=Linear","MultiX=Average","Skip=True","Sort=True")</f>
        <v>14.775653141163158</v>
      </c>
      <c r="U623" s="43">
        <f ca="1">_xll.BInterpol('Base CDI'!$H$4:$H$28,'Base CDI'!$I$4:$I$29,S623,"Cubic","Extrapolate=Linear","MultiX=Average","Skip=True","Sort=True")</f>
        <v>14.810166391495189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46330</v>
      </c>
      <c r="T624" s="43">
        <f ca="1">_xll.BInterpol('Base CDI'!$H$4:$H$28,'Base CDI'!$J$4:$J$29,S624,"Cubic","Extrapolate=Linear","MultiX=Average","Skip=True","Sort=True")</f>
        <v>14.775071877046424</v>
      </c>
      <c r="U624" s="43">
        <f ca="1">_xll.BInterpol('Base CDI'!$H$4:$H$28,'Base CDI'!$I$4:$I$29,S624,"Cubic","Extrapolate=Linear","MultiX=Average","Skip=True","Sort=True")</f>
        <v>14.809498352384944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46331</v>
      </c>
      <c r="T625" s="43">
        <f ca="1">_xll.BInterpol('Base CDI'!$H$4:$H$28,'Base CDI'!$J$4:$J$29,S625,"Cubic","Extrapolate=Linear","MultiX=Average","Skip=True","Sort=True")</f>
        <v>14.774489964479395</v>
      </c>
      <c r="U625" s="43">
        <f ca="1">_xll.BInterpol('Base CDI'!$H$4:$H$28,'Base CDI'!$I$4:$I$29,S625,"Cubic","Extrapolate=Linear","MultiX=Average","Skip=True","Sort=True")</f>
        <v>14.808830002202383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46332</v>
      </c>
      <c r="T626" s="43">
        <f ca="1">_xll.BInterpol('Base CDI'!$H$4:$H$28,'Base CDI'!$J$4:$J$29,S626,"Cubic","Extrapolate=Linear","MultiX=Average","Skip=True","Sort=True")</f>
        <v>14.773907446070575</v>
      </c>
      <c r="U626" s="43">
        <f ca="1">_xll.BInterpol('Base CDI'!$H$4:$H$28,'Base CDI'!$I$4:$I$29,S626,"Cubic","Extrapolate=Linear","MultiX=Average","Skip=True","Sort=True")</f>
        <v>14.80816138960618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46333</v>
      </c>
      <c r="T627" s="43">
        <f ca="1">_xll.BInterpol('Base CDI'!$H$4:$H$28,'Base CDI'!$J$4:$J$29,S627,"Cubic","Extrapolate=Linear","MultiX=Average","Skip=True","Sort=True")</f>
        <v>14.773324364428465</v>
      </c>
      <c r="U627" s="43">
        <f ca="1">_xll.BInterpol('Base CDI'!$H$4:$H$28,'Base CDI'!$I$4:$I$29,S627,"Cubic","Extrapolate=Linear","MultiX=Average","Skip=True","Sort=True")</f>
        <v>14.807492563255012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46334</v>
      </c>
      <c r="T628" s="43">
        <f ca="1">_xll.BInterpol('Base CDI'!$H$4:$H$28,'Base CDI'!$J$4:$J$29,S628,"Cubic","Extrapolate=Linear","MultiX=Average","Skip=True","Sort=True")</f>
        <v>14.772740762161568</v>
      </c>
      <c r="U628" s="43">
        <f ca="1">_xll.BInterpol('Base CDI'!$H$4:$H$28,'Base CDI'!$I$4:$I$29,S628,"Cubic","Extrapolate=Linear","MultiX=Average","Skip=True","Sort=True")</f>
        <v>14.806823571807554</v>
      </c>
    </row>
    <row r="629" spans="16:21" x14ac:dyDescent="0.25">
      <c r="P629" s="10">
        <v>35423</v>
      </c>
      <c r="Q629">
        <v>2.505201</v>
      </c>
      <c r="S629" s="42">
        <f t="shared" ca="1" si="14"/>
        <v>46335</v>
      </c>
      <c r="T629" s="43">
        <f ca="1">_xll.BInterpol('Base CDI'!$H$4:$H$28,'Base CDI'!$J$4:$J$29,S629,"Cubic","Extrapolate=Linear","MultiX=Average","Skip=True","Sort=True")</f>
        <v>14.772156681878389</v>
      </c>
      <c r="U629" s="43">
        <f ca="1">_xll.BInterpol('Base CDI'!$H$4:$H$28,'Base CDI'!$I$4:$I$29,S629,"Cubic","Extrapolate=Linear","MultiX=Average","Skip=True","Sort=True")</f>
        <v>14.806154463922478</v>
      </c>
    </row>
    <row r="630" spans="16:21" x14ac:dyDescent="0.25">
      <c r="P630" s="10">
        <v>35425</v>
      </c>
      <c r="Q630">
        <v>2.507355</v>
      </c>
      <c r="S630" s="42">
        <f t="shared" ca="1" si="14"/>
        <v>46336</v>
      </c>
      <c r="T630" s="43">
        <f ca="1">_xll.BInterpol('Base CDI'!$H$4:$H$28,'Base CDI'!$J$4:$J$29,S630,"Cubic","Extrapolate=Linear","MultiX=Average","Skip=True","Sort=True")</f>
        <v>14.771572166187429</v>
      </c>
      <c r="U630" s="43">
        <f ca="1">_xll.BInterpol('Base CDI'!$H$4:$H$28,'Base CDI'!$I$4:$I$29,S630,"Cubic","Extrapolate=Linear","MultiX=Average","Skip=True","Sort=True")</f>
        <v>14.805485288258463</v>
      </c>
    </row>
    <row r="631" spans="16:21" x14ac:dyDescent="0.25">
      <c r="P631" s="10">
        <v>35426</v>
      </c>
      <c r="Q631">
        <v>2.509503</v>
      </c>
      <c r="S631" s="42">
        <f t="shared" ca="1" si="14"/>
        <v>46337</v>
      </c>
      <c r="T631" s="43">
        <f ca="1">_xll.BInterpol('Base CDI'!$H$4:$H$28,'Base CDI'!$J$4:$J$29,S631,"Cubic","Extrapolate=Linear","MultiX=Average","Skip=True","Sort=True")</f>
        <v>14.770987257697191</v>
      </c>
      <c r="U631" s="43">
        <f ca="1">_xll.BInterpol('Base CDI'!$H$4:$H$28,'Base CDI'!$I$4:$I$29,S631,"Cubic","Extrapolate=Linear","MultiX=Average","Skip=True","Sort=True")</f>
        <v>14.804816093474182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46338</v>
      </c>
      <c r="T632" s="43">
        <f ca="1">_xll.BInterpol('Base CDI'!$H$4:$H$28,'Base CDI'!$J$4:$J$29,S632,"Cubic","Extrapolate=Linear","MultiX=Average","Skip=True","Sort=True")</f>
        <v>14.77040199901618</v>
      </c>
      <c r="U632" s="43">
        <f ca="1">_xll.BInterpol('Base CDI'!$H$4:$H$28,'Base CDI'!$I$4:$I$29,S632,"Cubic","Extrapolate=Linear","MultiX=Average","Skip=True","Sort=True")</f>
        <v>14.80414692822831</v>
      </c>
    </row>
    <row r="633" spans="16:21" x14ac:dyDescent="0.25">
      <c r="P633" s="10">
        <v>35430</v>
      </c>
      <c r="Q633">
        <v>2.513738</v>
      </c>
      <c r="S633" s="42">
        <f t="shared" ca="1" si="14"/>
        <v>46339</v>
      </c>
      <c r="T633" s="43">
        <f ca="1">_xll.BInterpol('Base CDI'!$H$4:$H$28,'Base CDI'!$J$4:$J$29,S633,"Cubic","Extrapolate=Linear","MultiX=Average","Skip=True","Sort=True")</f>
        <v>14.769816432752897</v>
      </c>
      <c r="U633" s="43">
        <f ca="1">_xll.BInterpol('Base CDI'!$H$4:$H$28,'Base CDI'!$I$4:$I$29,S633,"Cubic","Extrapolate=Linear","MultiX=Average","Skip=True","Sort=True")</f>
        <v>14.803477841179522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46340</v>
      </c>
      <c r="T634" s="43">
        <f ca="1">_xll.BInterpol('Base CDI'!$H$4:$H$28,'Base CDI'!$J$4:$J$29,S634,"Cubic","Extrapolate=Linear","MultiX=Average","Skip=True","Sort=True")</f>
        <v>14.769230601515845</v>
      </c>
      <c r="U634" s="43">
        <f ca="1">_xll.BInterpol('Base CDI'!$H$4:$H$28,'Base CDI'!$I$4:$I$29,S634,"Cubic","Extrapolate=Linear","MultiX=Average","Skip=True","Sort=True")</f>
        <v>14.802808880986493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46341</v>
      </c>
      <c r="T635" s="43">
        <f ca="1">_xll.BInterpol('Base CDI'!$H$4:$H$28,'Base CDI'!$J$4:$J$29,S635,"Cubic","Extrapolate=Linear","MultiX=Average","Skip=True","Sort=True")</f>
        <v>14.768644547913528</v>
      </c>
      <c r="U635" s="43">
        <f ca="1">_xll.BInterpol('Base CDI'!$H$4:$H$28,'Base CDI'!$I$4:$I$29,S635,"Cubic","Extrapolate=Linear","MultiX=Average","Skip=True","Sort=True")</f>
        <v>14.802140096307898</v>
      </c>
    </row>
    <row r="636" spans="16:21" x14ac:dyDescent="0.25">
      <c r="P636" s="10">
        <v>35436</v>
      </c>
      <c r="Q636">
        <v>2.519717</v>
      </c>
      <c r="S636" s="42">
        <f t="shared" ca="1" si="14"/>
        <v>46342</v>
      </c>
      <c r="T636" s="43">
        <f ca="1">_xll.BInterpol('Base CDI'!$H$4:$H$28,'Base CDI'!$J$4:$J$29,S636,"Cubic","Extrapolate=Linear","MultiX=Average","Skip=True","Sort=True")</f>
        <v>14.768058314554448</v>
      </c>
      <c r="U636" s="43">
        <f ca="1">_xll.BInterpol('Base CDI'!$H$4:$H$28,'Base CDI'!$I$4:$I$29,S636,"Cubic","Extrapolate=Linear","MultiX=Average","Skip=True","Sort=True")</f>
        <v>14.801471535802413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46343</v>
      </c>
      <c r="T637" s="43">
        <f ca="1">_xll.BInterpol('Base CDI'!$H$4:$H$28,'Base CDI'!$J$4:$J$29,S637,"Cubic","Extrapolate=Linear","MultiX=Average","Skip=True","Sort=True")</f>
        <v>14.767471944047109</v>
      </c>
      <c r="U637" s="43">
        <f ca="1">_xll.BInterpol('Base CDI'!$H$4:$H$28,'Base CDI'!$I$4:$I$29,S637,"Cubic","Extrapolate=Linear","MultiX=Average","Skip=True","Sort=True")</f>
        <v>14.800803248128712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46344</v>
      </c>
      <c r="T638" s="43">
        <f ca="1">_xll.BInterpol('Base CDI'!$H$4:$H$28,'Base CDI'!$J$4:$J$29,S638,"Cubic","Extrapolate=Linear","MultiX=Average","Skip=True","Sort=True")</f>
        <v>14.766885479000013</v>
      </c>
      <c r="U638" s="43">
        <f ca="1">_xll.BInterpol('Base CDI'!$H$4:$H$28,'Base CDI'!$I$4:$I$29,S638,"Cubic","Extrapolate=Linear","MultiX=Average","Skip=True","Sort=True")</f>
        <v>14.800135281945471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46345</v>
      </c>
      <c r="T639" s="43">
        <f ca="1">_xll.BInterpol('Base CDI'!$H$4:$H$28,'Base CDI'!$J$4:$J$29,S639,"Cubic","Extrapolate=Linear","MultiX=Average","Skip=True","Sort=True")</f>
        <v>14.766298962021665</v>
      </c>
      <c r="U639" s="43">
        <f ca="1">_xll.BInterpol('Base CDI'!$H$4:$H$28,'Base CDI'!$I$4:$I$29,S639,"Cubic","Extrapolate=Linear","MultiX=Average","Skip=True","Sort=True")</f>
        <v>14.799467685911365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46346</v>
      </c>
      <c r="T640" s="43">
        <f ca="1">_xll.BInterpol('Base CDI'!$H$4:$H$28,'Base CDI'!$J$4:$J$29,S640,"Cubic","Extrapolate=Linear","MultiX=Average","Skip=True","Sort=True")</f>
        <v>14.765712435720564</v>
      </c>
      <c r="U640" s="43">
        <f ca="1">_xll.BInterpol('Base CDI'!$H$4:$H$28,'Base CDI'!$I$4:$I$29,S640,"Cubic","Extrapolate=Linear","MultiX=Average","Skip=True","Sort=True")</f>
        <v>14.798800508685067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46347</v>
      </c>
      <c r="T641" s="43">
        <f ca="1">_xll.BInterpol('Base CDI'!$H$4:$H$28,'Base CDI'!$J$4:$J$29,S641,"Cubic","Extrapolate=Linear","MultiX=Average","Skip=True","Sort=True")</f>
        <v>14.765125942705218</v>
      </c>
      <c r="U641" s="43">
        <f ca="1">_xll.BInterpol('Base CDI'!$H$4:$H$28,'Base CDI'!$I$4:$I$29,S641,"Cubic","Extrapolate=Linear","MultiX=Average","Skip=True","Sort=True")</f>
        <v>14.798133798925253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46348</v>
      </c>
      <c r="T642" s="43">
        <f ca="1">_xll.BInterpol('Base CDI'!$H$4:$H$28,'Base CDI'!$J$4:$J$29,S642,"Cubic","Extrapolate=Linear","MultiX=Average","Skip=True","Sort=True")</f>
        <v>14.764539525584127</v>
      </c>
      <c r="U642" s="43">
        <f ca="1">_xll.BInterpol('Base CDI'!$H$4:$H$28,'Base CDI'!$I$4:$I$29,S642,"Cubic","Extrapolate=Linear","MultiX=Average","Skip=True","Sort=True")</f>
        <v>14.797467605290599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46349</v>
      </c>
      <c r="T643" s="43">
        <f ca="1">_xll.BInterpol('Base CDI'!$H$4:$H$28,'Base CDI'!$J$4:$J$29,S643,"Cubic","Extrapolate=Linear","MultiX=Average","Skip=True","Sort=True")</f>
        <v>14.763953226965793</v>
      </c>
      <c r="U643" s="43">
        <f ca="1">_xll.BInterpol('Base CDI'!$H$4:$H$28,'Base CDI'!$I$4:$I$29,S643,"Cubic","Extrapolate=Linear","MultiX=Average","Skip=True","Sort=True")</f>
        <v>14.796801976439781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46350</v>
      </c>
      <c r="T644" s="43">
        <f ca="1">_xll.BInterpol('Base CDI'!$H$4:$H$28,'Base CDI'!$J$4:$J$29,S644,"Cubic","Extrapolate=Linear","MultiX=Average","Skip=True","Sort=True")</f>
        <v>14.76336708945872</v>
      </c>
      <c r="U644" s="43">
        <f ca="1">_xll.BInterpol('Base CDI'!$H$4:$H$28,'Base CDI'!$I$4:$I$29,S644,"Cubic","Extrapolate=Linear","MultiX=Average","Skip=True","Sort=True")</f>
        <v>14.79613696103147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46351</v>
      </c>
      <c r="T645" s="43">
        <f ca="1">_xll.BInterpol('Base CDI'!$H$4:$H$28,'Base CDI'!$J$4:$J$29,S645,"Cubic","Extrapolate=Linear","MultiX=Average","Skip=True","Sort=True")</f>
        <v>14.762781155671412</v>
      </c>
      <c r="U645" s="43">
        <f ca="1">_xll.BInterpol('Base CDI'!$H$4:$H$28,'Base CDI'!$I$4:$I$29,S645,"Cubic","Extrapolate=Linear","MultiX=Average","Skip=True","Sort=True")</f>
        <v>14.795472607724346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46352</v>
      </c>
      <c r="T646" s="43">
        <f ca="1">_xll.BInterpol('Base CDI'!$H$4:$H$28,'Base CDI'!$J$4:$J$29,S646,"Cubic","Extrapolate=Linear","MultiX=Average","Skip=True","Sort=True")</f>
        <v>14.762195468212372</v>
      </c>
      <c r="U646" s="43">
        <f ca="1">_xll.BInterpol('Base CDI'!$H$4:$H$28,'Base CDI'!$I$4:$I$29,S646,"Cubic","Extrapolate=Linear","MultiX=Average","Skip=True","Sort=True")</f>
        <v>14.794808965177079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46353</v>
      </c>
      <c r="T647" s="43">
        <f ca="1">_xll.BInterpol('Base CDI'!$H$4:$H$28,'Base CDI'!$J$4:$J$29,S647,"Cubic","Extrapolate=Linear","MultiX=Average","Skip=True","Sort=True")</f>
        <v>14.7616100696901</v>
      </c>
      <c r="U647" s="43">
        <f ca="1">_xll.BInterpol('Base CDI'!$H$4:$H$28,'Base CDI'!$I$4:$I$29,S647,"Cubic","Extrapolate=Linear","MultiX=Average","Skip=True","Sort=True")</f>
        <v>14.79414608204835</v>
      </c>
    </row>
    <row r="648" spans="16:21" x14ac:dyDescent="0.25">
      <c r="P648" s="10">
        <v>35452</v>
      </c>
      <c r="Q648">
        <v>2.54325</v>
      </c>
      <c r="S648" s="42">
        <f t="shared" ca="1" si="14"/>
        <v>46354</v>
      </c>
      <c r="T648" s="43">
        <f ca="1">_xll.BInterpol('Base CDI'!$H$4:$H$28,'Base CDI'!$J$4:$J$29,S648,"Cubic","Extrapolate=Linear","MultiX=Average","Skip=True","Sort=True")</f>
        <v>14.761025002713104</v>
      </c>
      <c r="U648" s="43">
        <f ca="1">_xll.BInterpol('Base CDI'!$H$4:$H$28,'Base CDI'!$I$4:$I$29,S648,"Cubic","Extrapolate=Linear","MultiX=Average","Skip=True","Sort=True")</f>
        <v>14.793484006996827</v>
      </c>
    </row>
    <row r="649" spans="16:21" x14ac:dyDescent="0.25">
      <c r="P649" s="10">
        <v>35453</v>
      </c>
      <c r="Q649">
        <v>2.545226</v>
      </c>
      <c r="S649" s="42">
        <f t="shared" ca="1" si="14"/>
        <v>46355</v>
      </c>
      <c r="T649" s="43">
        <f ca="1">_xll.BInterpol('Base CDI'!$H$4:$H$28,'Base CDI'!$J$4:$J$29,S649,"Cubic","Extrapolate=Linear","MultiX=Average","Skip=True","Sort=True")</f>
        <v>14.760440309889884</v>
      </c>
      <c r="U649" s="43">
        <f ca="1">_xll.BInterpol('Base CDI'!$H$4:$H$28,'Base CDI'!$I$4:$I$29,S649,"Cubic","Extrapolate=Linear","MultiX=Average","Skip=True","Sort=True")</f>
        <v>14.792822788681191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46356</v>
      </c>
      <c r="T650" s="43">
        <f ca="1">_xll.BInterpol('Base CDI'!$H$4:$H$28,'Base CDI'!$J$4:$J$29,S650,"Cubic","Extrapolate=Linear","MultiX=Average","Skip=True","Sort=True")</f>
        <v>14.759856033828941</v>
      </c>
      <c r="U650" s="43">
        <f ca="1">_xll.BInterpol('Base CDI'!$H$4:$H$28,'Base CDI'!$I$4:$I$29,S650,"Cubic","Extrapolate=Linear","MultiX=Average","Skip=True","Sort=True")</f>
        <v>14.792162475760115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46357</v>
      </c>
      <c r="T651" s="43">
        <f ca="1">_xll.BInterpol('Base CDI'!$H$4:$H$28,'Base CDI'!$J$4:$J$29,S651,"Cubic","Extrapolate=Linear","MultiX=Average","Skip=True","Sort=True")</f>
        <v>14.759272217138781</v>
      </c>
      <c r="U651" s="43">
        <f ca="1">_xll.BInterpol('Base CDI'!$H$4:$H$28,'Base CDI'!$I$4:$I$29,S651,"Cubic","Extrapolate=Linear","MultiX=Average","Skip=True","Sort=True")</f>
        <v>14.791503116892272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46358</v>
      </c>
      <c r="T652" s="43">
        <f ca="1">_xll.BInterpol('Base CDI'!$H$4:$H$28,'Base CDI'!$J$4:$J$29,S652,"Cubic","Extrapolate=Linear","MultiX=Average","Skip=True","Sort=True")</f>
        <v>14.758688902427908</v>
      </c>
      <c r="U652" s="43">
        <f ca="1">_xll.BInterpol('Base CDI'!$H$4:$H$28,'Base CDI'!$I$4:$I$29,S652,"Cubic","Extrapolate=Linear","MultiX=Average","Skip=True","Sort=True")</f>
        <v>14.79084476073634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46359</v>
      </c>
      <c r="T653" s="43">
        <f ca="1">_xll.BInterpol('Base CDI'!$H$4:$H$28,'Base CDI'!$J$4:$J$29,S653,"Cubic","Extrapolate=Linear","MultiX=Average","Skip=True","Sort=True")</f>
        <v>14.758106132304821</v>
      </c>
      <c r="U653" s="43">
        <f ca="1">_xll.BInterpol('Base CDI'!$H$4:$H$28,'Base CDI'!$I$4:$I$29,S653,"Cubic","Extrapolate=Linear","MultiX=Average","Skip=True","Sort=True")</f>
        <v>14.790187455950992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46360</v>
      </c>
      <c r="T654" s="43">
        <f ca="1">_xll.BInterpol('Base CDI'!$H$4:$H$28,'Base CDI'!$J$4:$J$29,S654,"Cubic","Extrapolate=Linear","MultiX=Average","Skip=True","Sort=True")</f>
        <v>14.757523949378026</v>
      </c>
      <c r="U654" s="43">
        <f ca="1">_xll.BInterpol('Base CDI'!$H$4:$H$28,'Base CDI'!$I$4:$I$29,S654,"Cubic","Extrapolate=Linear","MultiX=Average","Skip=True","Sort=True")</f>
        <v>14.789531251194905</v>
      </c>
    </row>
    <row r="655" spans="16:21" x14ac:dyDescent="0.25">
      <c r="P655" s="10">
        <v>35461</v>
      </c>
      <c r="Q655">
        <v>2.55728</v>
      </c>
      <c r="S655" s="42">
        <f t="shared" ca="1" si="15"/>
        <v>46361</v>
      </c>
      <c r="T655" s="43">
        <f ca="1">_xll.BInterpol('Base CDI'!$H$4:$H$28,'Base CDI'!$J$4:$J$29,S655,"Cubic","Extrapolate=Linear","MultiX=Average","Skip=True","Sort=True")</f>
        <v>14.756942396256024</v>
      </c>
      <c r="U655" s="43">
        <f ca="1">_xll.BInterpol('Base CDI'!$H$4:$H$28,'Base CDI'!$I$4:$I$29,S655,"Cubic","Extrapolate=Linear","MultiX=Average","Skip=True","Sort=True")</f>
        <v>14.788876195126752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46362</v>
      </c>
      <c r="T656" s="43">
        <f ca="1">_xll.BInterpol('Base CDI'!$H$4:$H$28,'Base CDI'!$J$4:$J$29,S656,"Cubic","Extrapolate=Linear","MultiX=Average","Skip=True","Sort=True")</f>
        <v>14.75636151554732</v>
      </c>
      <c r="U656" s="43">
        <f ca="1">_xll.BInterpol('Base CDI'!$H$4:$H$28,'Base CDI'!$I$4:$I$29,S656,"Cubic","Extrapolate=Linear","MultiX=Average","Skip=True","Sort=True")</f>
        <v>14.788222336405209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46363</v>
      </c>
      <c r="T657" s="43">
        <f ca="1">_xll.BInterpol('Base CDI'!$H$4:$H$28,'Base CDI'!$J$4:$J$29,S657,"Cubic","Extrapolate=Linear","MultiX=Average","Skip=True","Sort=True")</f>
        <v>14.755781349860417</v>
      </c>
      <c r="U657" s="43">
        <f ca="1">_xll.BInterpol('Base CDI'!$H$4:$H$28,'Base CDI'!$I$4:$I$29,S657,"Cubic","Extrapolate=Linear","MultiX=Average","Skip=True","Sort=True")</f>
        <v>14.78756972368895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46364</v>
      </c>
      <c r="T658" s="43">
        <f ca="1">_xll.BInterpol('Base CDI'!$H$4:$H$28,'Base CDI'!$J$4:$J$29,S658,"Cubic","Extrapolate=Linear","MultiX=Average","Skip=True","Sort=True")</f>
        <v>14.755201941803815</v>
      </c>
      <c r="U658" s="43">
        <f ca="1">_xll.BInterpol('Base CDI'!$H$4:$H$28,'Base CDI'!$I$4:$I$29,S658,"Cubic","Extrapolate=Linear","MultiX=Average","Skip=True","Sort=True")</f>
        <v>14.786918405636651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46365</v>
      </c>
      <c r="T659" s="43">
        <f ca="1">_xll.BInterpol('Base CDI'!$H$4:$H$28,'Base CDI'!$J$4:$J$29,S659,"Cubic","Extrapolate=Linear","MultiX=Average","Skip=True","Sort=True")</f>
        <v>14.75462333398602</v>
      </c>
      <c r="U659" s="43">
        <f ca="1">_xll.BInterpol('Base CDI'!$H$4:$H$28,'Base CDI'!$I$4:$I$29,S659,"Cubic","Extrapolate=Linear","MultiX=Average","Skip=True","Sort=True")</f>
        <v>14.786268430906988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46366</v>
      </c>
      <c r="T660" s="43">
        <f ca="1">_xll.BInterpol('Base CDI'!$H$4:$H$28,'Base CDI'!$J$4:$J$29,S660,"Cubic","Extrapolate=Linear","MultiX=Average","Skip=True","Sort=True")</f>
        <v>14.754045569015535</v>
      </c>
      <c r="U660" s="43">
        <f ca="1">_xll.BInterpol('Base CDI'!$H$4:$H$28,'Base CDI'!$I$4:$I$29,S660,"Cubic","Extrapolate=Linear","MultiX=Average","Skip=True","Sort=True")</f>
        <v>14.785619848158635</v>
      </c>
    </row>
    <row r="661" spans="16:21" x14ac:dyDescent="0.25">
      <c r="P661" s="10">
        <v>35473</v>
      </c>
      <c r="Q661">
        <v>2.571437</v>
      </c>
      <c r="S661" s="42">
        <f t="shared" ca="1" si="15"/>
        <v>46367</v>
      </c>
      <c r="T661" s="43">
        <f ca="1">_xll.BInterpol('Base CDI'!$H$4:$H$28,'Base CDI'!$J$4:$J$29,S661,"Cubic","Extrapolate=Linear","MultiX=Average","Skip=True","Sort=True")</f>
        <v>14.75346868950086</v>
      </c>
      <c r="U661" s="43">
        <f ca="1">_xll.BInterpol('Base CDI'!$H$4:$H$28,'Base CDI'!$I$4:$I$29,S661,"Cubic","Extrapolate=Linear","MultiX=Average","Skip=True","Sort=True")</f>
        <v>14.784972706050267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46368</v>
      </c>
      <c r="T662" s="43">
        <f ca="1">_xll.BInterpol('Base CDI'!$H$4:$H$28,'Base CDI'!$J$4:$J$29,S662,"Cubic","Extrapolate=Linear","MultiX=Average","Skip=True","Sort=True")</f>
        <v>14.7528927380505</v>
      </c>
      <c r="U662" s="43">
        <f ca="1">_xll.BInterpol('Base CDI'!$H$4:$H$28,'Base CDI'!$I$4:$I$29,S662,"Cubic","Extrapolate=Linear","MultiX=Average","Skip=True","Sort=True")</f>
        <v>14.784327053240558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46369</v>
      </c>
      <c r="T663" s="43">
        <f ca="1">_xll.BInterpol('Base CDI'!$H$4:$H$28,'Base CDI'!$J$4:$J$29,S663,"Cubic","Extrapolate=Linear","MultiX=Average","Skip=True","Sort=True")</f>
        <v>14.752317757272959</v>
      </c>
      <c r="U663" s="43">
        <f ca="1">_xll.BInterpol('Base CDI'!$H$4:$H$28,'Base CDI'!$I$4:$I$29,S663,"Cubic","Extrapolate=Linear","MultiX=Average","Skip=True","Sort=True")</f>
        <v>14.783682938388186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46370</v>
      </c>
      <c r="T664" s="43">
        <f ca="1">_xll.BInterpol('Base CDI'!$H$4:$H$28,'Base CDI'!$J$4:$J$29,S664,"Cubic","Extrapolate=Linear","MultiX=Average","Skip=True","Sort=True")</f>
        <v>14.751743789776739</v>
      </c>
      <c r="U664" s="43">
        <f ca="1">_xll.BInterpol('Base CDI'!$H$4:$H$28,'Base CDI'!$I$4:$I$29,S664,"Cubic","Extrapolate=Linear","MultiX=Average","Skip=True","Sort=True")</f>
        <v>14.783040410151822</v>
      </c>
    </row>
    <row r="665" spans="16:21" x14ac:dyDescent="0.25">
      <c r="P665" s="10">
        <v>35479</v>
      </c>
      <c r="Q665">
        <v>2.580981</v>
      </c>
      <c r="S665" s="42">
        <f t="shared" ca="1" si="15"/>
        <v>46371</v>
      </c>
      <c r="T665" s="43">
        <f ca="1">_xll.BInterpol('Base CDI'!$H$4:$H$28,'Base CDI'!$J$4:$J$29,S665,"Cubic","Extrapolate=Linear","MultiX=Average","Skip=True","Sort=True")</f>
        <v>14.751170878170342</v>
      </c>
      <c r="U665" s="43">
        <f ca="1">_xll.BInterpol('Base CDI'!$H$4:$H$28,'Base CDI'!$I$4:$I$29,S665,"Cubic","Extrapolate=Linear","MultiX=Average","Skip=True","Sort=True")</f>
        <v>14.782399517190145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46372</v>
      </c>
      <c r="T666" s="43">
        <f ca="1">_xll.BInterpol('Base CDI'!$H$4:$H$28,'Base CDI'!$J$4:$J$29,S666,"Cubic","Extrapolate=Linear","MultiX=Average","Skip=True","Sort=True")</f>
        <v>14.750599065062271</v>
      </c>
      <c r="U666" s="43">
        <f ca="1">_xll.BInterpol('Base CDI'!$H$4:$H$28,'Base CDI'!$I$4:$I$29,S666,"Cubic","Extrapolate=Linear","MultiX=Average","Skip=True","Sort=True")</f>
        <v>14.781760308161825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46373</v>
      </c>
      <c r="T667" s="43">
        <f ca="1">_xll.BInterpol('Base CDI'!$H$4:$H$28,'Base CDI'!$J$4:$J$29,S667,"Cubic","Extrapolate=Linear","MultiX=Average","Skip=True","Sort=True")</f>
        <v>14.750028393061031</v>
      </c>
      <c r="U667" s="43">
        <f ca="1">_xll.BInterpol('Base CDI'!$H$4:$H$28,'Base CDI'!$I$4:$I$29,S667,"Cubic","Extrapolate=Linear","MultiX=Average","Skip=True","Sort=True")</f>
        <v>14.781122831725543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46374</v>
      </c>
      <c r="T668" s="43">
        <f ca="1">_xll.BInterpol('Base CDI'!$H$4:$H$28,'Base CDI'!$J$4:$J$29,S668,"Cubic","Extrapolate=Linear","MultiX=Average","Skip=True","Sort=True")</f>
        <v>14.749458904775125</v>
      </c>
      <c r="U668" s="43">
        <f ca="1">_xll.BInterpol('Base CDI'!$H$4:$H$28,'Base CDI'!$I$4:$I$29,S668,"Cubic","Extrapolate=Linear","MultiX=Average","Skip=True","Sort=True")</f>
        <v>14.780487136539971</v>
      </c>
    </row>
    <row r="669" spans="16:21" x14ac:dyDescent="0.25">
      <c r="P669" s="10">
        <v>35485</v>
      </c>
      <c r="Q669">
        <v>2.590484</v>
      </c>
      <c r="S669" s="42">
        <f t="shared" ca="1" si="15"/>
        <v>46375</v>
      </c>
      <c r="T669" s="43">
        <f ca="1">_xll.BInterpol('Base CDI'!$H$4:$H$28,'Base CDI'!$J$4:$J$29,S669,"Cubic","Extrapolate=Linear","MultiX=Average","Skip=True","Sort=True")</f>
        <v>14.748890642813054</v>
      </c>
      <c r="U669" s="43">
        <f ca="1">_xll.BInterpol('Base CDI'!$H$4:$H$28,'Base CDI'!$I$4:$I$29,S669,"Cubic","Extrapolate=Linear","MultiX=Average","Skip=True","Sort=True")</f>
        <v>14.779853271263784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46376</v>
      </c>
      <c r="T670" s="43">
        <f ca="1">_xll.BInterpol('Base CDI'!$H$4:$H$28,'Base CDI'!$J$4:$J$29,S670,"Cubic","Extrapolate=Linear","MultiX=Average","Skip=True","Sort=True")</f>
        <v>14.74832364978332</v>
      </c>
      <c r="U670" s="43">
        <f ca="1">_xll.BInterpol('Base CDI'!$H$4:$H$28,'Base CDI'!$I$4:$I$29,S670,"Cubic","Extrapolate=Linear","MultiX=Average","Skip=True","Sort=True")</f>
        <v>14.779221284555657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46377</v>
      </c>
      <c r="T671" s="43">
        <f ca="1">_xll.BInterpol('Base CDI'!$H$4:$H$28,'Base CDI'!$J$4:$J$29,S671,"Cubic","Extrapolate=Linear","MultiX=Average","Skip=True","Sort=True")</f>
        <v>14.74775796829443</v>
      </c>
      <c r="U671" s="43">
        <f ca="1">_xll.BInterpol('Base CDI'!$H$4:$H$28,'Base CDI'!$I$4:$I$29,S671,"Cubic","Extrapolate=Linear","MultiX=Average","Skip=True","Sort=True")</f>
        <v>14.778591225074264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46378</v>
      </c>
      <c r="T672" s="43">
        <f ca="1">_xll.BInterpol('Base CDI'!$H$4:$H$28,'Base CDI'!$J$4:$J$29,S672,"Cubic","Extrapolate=Linear","MultiX=Average","Skip=True","Sort=True")</f>
        <v>14.747193640954883</v>
      </c>
      <c r="U672" s="43">
        <f ca="1">_xll.BInterpol('Base CDI'!$H$4:$H$28,'Base CDI'!$I$4:$I$29,S672,"Cubic","Extrapolate=Linear","MultiX=Average","Skip=True","Sort=True")</f>
        <v>14.777963141478283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46379</v>
      </c>
      <c r="T673" s="43">
        <f ca="1">_xll.BInterpol('Base CDI'!$H$4:$H$28,'Base CDI'!$J$4:$J$29,S673,"Cubic","Extrapolate=Linear","MultiX=Average","Skip=True","Sort=True")</f>
        <v>14.746630710373184</v>
      </c>
      <c r="U673" s="43">
        <f ca="1">_xll.BInterpol('Base CDI'!$H$4:$H$28,'Base CDI'!$I$4:$I$29,S673,"Cubic","Extrapolate=Linear","MultiX=Average","Skip=True","Sort=True")</f>
        <v>14.777337082426387</v>
      </c>
    </row>
    <row r="674" spans="16:21" x14ac:dyDescent="0.25">
      <c r="P674" s="10">
        <v>35492</v>
      </c>
      <c r="Q674">
        <v>2.602128</v>
      </c>
      <c r="S674" s="42">
        <f t="shared" ca="1" si="15"/>
        <v>46380</v>
      </c>
      <c r="T674" s="43">
        <f ca="1">_xll.BInterpol('Base CDI'!$H$4:$H$28,'Base CDI'!$J$4:$J$29,S674,"Cubic","Extrapolate=Linear","MultiX=Average","Skip=True","Sort=True")</f>
        <v>14.746069219157835</v>
      </c>
      <c r="U674" s="43">
        <f ca="1">_xll.BInterpol('Base CDI'!$H$4:$H$28,'Base CDI'!$I$4:$I$29,S674,"Cubic","Extrapolate=Linear","MultiX=Average","Skip=True","Sort=True")</f>
        <v>14.776713096577252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46381</v>
      </c>
      <c r="T675" s="43">
        <f ca="1">_xll.BInterpol('Base CDI'!$H$4:$H$28,'Base CDI'!$J$4:$J$29,S675,"Cubic","Extrapolate=Linear","MultiX=Average","Skip=True","Sort=True")</f>
        <v>14.745509209917342</v>
      </c>
      <c r="U675" s="43">
        <f ca="1">_xll.BInterpol('Base CDI'!$H$4:$H$28,'Base CDI'!$I$4:$I$29,S675,"Cubic","Extrapolate=Linear","MultiX=Average","Skip=True","Sort=True")</f>
        <v>14.77609123258955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46382</v>
      </c>
      <c r="T676" s="43">
        <f ca="1">_xll.BInterpol('Base CDI'!$H$4:$H$28,'Base CDI'!$J$4:$J$29,S676,"Cubic","Extrapolate=Linear","MultiX=Average","Skip=True","Sort=True")</f>
        <v>14.744950725260203</v>
      </c>
      <c r="U676" s="43">
        <f ca="1">_xll.BInterpol('Base CDI'!$H$4:$H$28,'Base CDI'!$I$4:$I$29,S676,"Cubic","Extrapolate=Linear","MultiX=Average","Skip=True","Sort=True")</f>
        <v>14.775471539121961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46383</v>
      </c>
      <c r="T677" s="43">
        <f ca="1">_xll.BInterpol('Base CDI'!$H$4:$H$28,'Base CDI'!$J$4:$J$29,S677,"Cubic","Extrapolate=Linear","MultiX=Average","Skip=True","Sort=True")</f>
        <v>14.744393807794925</v>
      </c>
      <c r="U677" s="43">
        <f ca="1">_xll.BInterpol('Base CDI'!$H$4:$H$28,'Base CDI'!$I$4:$I$29,S677,"Cubic","Extrapolate=Linear","MultiX=Average","Skip=True","Sort=True")</f>
        <v>14.774854064833157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46384</v>
      </c>
      <c r="T678" s="43">
        <f ca="1">_xll.BInterpol('Base CDI'!$H$4:$H$28,'Base CDI'!$J$4:$J$29,S678,"Cubic","Extrapolate=Linear","MultiX=Average","Skip=True","Sort=True")</f>
        <v>14.743838500130009</v>
      </c>
      <c r="U678" s="43">
        <f ca="1">_xll.BInterpol('Base CDI'!$H$4:$H$28,'Base CDI'!$I$4:$I$29,S678,"Cubic","Extrapolate=Linear","MultiX=Average","Skip=True","Sort=True")</f>
        <v>14.774238858381812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46385</v>
      </c>
      <c r="T679" s="43">
        <f ca="1">_xll.BInterpol('Base CDI'!$H$4:$H$28,'Base CDI'!$J$4:$J$29,S679,"Cubic","Extrapolate=Linear","MultiX=Average","Skip=True","Sort=True")</f>
        <v>14.743284844873958</v>
      </c>
      <c r="U679" s="43">
        <f ca="1">_xll.BInterpol('Base CDI'!$H$4:$H$28,'Base CDI'!$I$4:$I$29,S679,"Cubic","Extrapolate=Linear","MultiX=Average","Skip=True","Sort=True")</f>
        <v>14.773625968426604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46386</v>
      </c>
      <c r="T680" s="43">
        <f ca="1">_xll.BInterpol('Base CDI'!$H$4:$H$28,'Base CDI'!$J$4:$J$29,S680,"Cubic","Extrapolate=Linear","MultiX=Average","Skip=True","Sort=True")</f>
        <v>14.742732884635277</v>
      </c>
      <c r="U680" s="43">
        <f ca="1">_xll.BInterpol('Base CDI'!$H$4:$H$28,'Base CDI'!$I$4:$I$29,S680,"Cubic","Extrapolate=Linear","MultiX=Average","Skip=True","Sort=True")</f>
        <v>14.773015443626205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46387</v>
      </c>
      <c r="T681" s="43">
        <f ca="1">_xll.BInterpol('Base CDI'!$H$4:$H$28,'Base CDI'!$J$4:$J$29,S681,"Cubic","Extrapolate=Linear","MultiX=Average","Skip=True","Sort=True")</f>
        <v>14.742182662022467</v>
      </c>
      <c r="U681" s="43">
        <f ca="1">_xll.BInterpol('Base CDI'!$H$4:$H$28,'Base CDI'!$I$4:$I$29,S681,"Cubic","Extrapolate=Linear","MultiX=Average","Skip=True","Sort=True")</f>
        <v>14.772407332639293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46388</v>
      </c>
      <c r="T682" s="43">
        <f ca="1">_xll.BInterpol('Base CDI'!$H$4:$H$28,'Base CDI'!$J$4:$J$29,S682,"Cubic","Extrapolate=Linear","MultiX=Average","Skip=True","Sort=True")</f>
        <v>14.741634219644032</v>
      </c>
      <c r="U682" s="43">
        <f ca="1">_xll.BInterpol('Base CDI'!$H$4:$H$28,'Base CDI'!$I$4:$I$29,S682,"Cubic","Extrapolate=Linear","MultiX=Average","Skip=True","Sort=True")</f>
        <v>14.771801684124542</v>
      </c>
    </row>
    <row r="683" spans="16:21" x14ac:dyDescent="0.25">
      <c r="P683" s="10">
        <v>35503</v>
      </c>
      <c r="Q683">
        <v>2.622198</v>
      </c>
      <c r="S683" s="42">
        <f t="shared" ca="1" si="15"/>
        <v>46389</v>
      </c>
      <c r="T683" s="43">
        <f ca="1">_xll.BInterpol('Base CDI'!$H$4:$H$28,'Base CDI'!$J$4:$J$29,S683,"Cubic","Extrapolate=Linear","MultiX=Average","Skip=True","Sort=True")</f>
        <v>14.741087600108473</v>
      </c>
      <c r="U683" s="43">
        <f ca="1">_xll.BInterpol('Base CDI'!$H$4:$H$28,'Base CDI'!$I$4:$I$29,S683,"Cubic","Extrapolate=Linear","MultiX=Average","Skip=True","Sort=True")</f>
        <v>14.771198546740624</v>
      </c>
    </row>
    <row r="684" spans="16:21" x14ac:dyDescent="0.25">
      <c r="P684" s="10">
        <v>35506</v>
      </c>
      <c r="Q684">
        <v>2.624444</v>
      </c>
      <c r="S684" s="42">
        <f t="shared" ca="1" si="15"/>
        <v>46390</v>
      </c>
      <c r="T684" s="43">
        <f ca="1">_xll.BInterpol('Base CDI'!$H$4:$H$28,'Base CDI'!$J$4:$J$29,S684,"Cubic","Extrapolate=Linear","MultiX=Average","Skip=True","Sort=True")</f>
        <v>14.740542846024296</v>
      </c>
      <c r="U684" s="43">
        <f ca="1">_xll.BInterpol('Base CDI'!$H$4:$H$28,'Base CDI'!$I$4:$I$29,S684,"Cubic","Extrapolate=Linear","MultiX=Average","Skip=True","Sort=True")</f>
        <v>14.77059796914622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46391</v>
      </c>
      <c r="T685" s="43">
        <f ca="1">_xll.BInterpol('Base CDI'!$H$4:$H$28,'Base CDI'!$J$4:$J$29,S685,"Cubic","Extrapolate=Linear","MultiX=Average","Skip=True","Sort=True")</f>
        <v>14.74</v>
      </c>
      <c r="U685" s="43">
        <f ca="1">_xll.BInterpol('Base CDI'!$H$4:$H$28,'Base CDI'!$I$4:$I$29,S685,"Cubic","Extrapolate=Linear","MultiX=Average","Skip=True","Sort=True")</f>
        <v>14.77</v>
      </c>
    </row>
    <row r="686" spans="16:21" x14ac:dyDescent="0.25">
      <c r="P686" s="10">
        <v>35508</v>
      </c>
      <c r="Q686">
        <v>2.628943</v>
      </c>
      <c r="S686" s="42">
        <f t="shared" ca="1" si="15"/>
        <v>46392</v>
      </c>
      <c r="T686" s="43">
        <f ca="1">_xll.BInterpol('Base CDI'!$H$4:$H$28,'Base CDI'!$J$4:$J$29,S686,"Cubic","Extrapolate=Linear","MultiX=Average","Skip=True","Sort=True")</f>
        <v>14.739459097086838</v>
      </c>
      <c r="U686" s="43">
        <f ca="1">_xll.BInterpol('Base CDI'!$H$4:$H$28,'Base CDI'!$I$4:$I$29,S686,"Cubic","Extrapolate=Linear","MultiX=Average","Skip=True","Sort=True")</f>
        <v>14.769404678941692</v>
      </c>
    </row>
    <row r="687" spans="16:21" x14ac:dyDescent="0.25">
      <c r="P687" s="10">
        <v>35509</v>
      </c>
      <c r="Q687">
        <v>2.631186</v>
      </c>
      <c r="S687" s="42">
        <f t="shared" ca="1" si="15"/>
        <v>46393</v>
      </c>
      <c r="T687" s="43">
        <f ca="1">_xll.BInterpol('Base CDI'!$H$4:$H$28,'Base CDI'!$J$4:$J$29,S687,"Cubic","Extrapolate=Linear","MultiX=Average","Skip=True","Sort=True")</f>
        <v>14.738920142107037</v>
      </c>
      <c r="U687" s="43">
        <f ca="1">_xll.BInterpol('Base CDI'!$H$4:$H$28,'Base CDI'!$I$4:$I$29,S687,"Cubic","Extrapolate=Linear","MultiX=Average","Skip=True","Sort=True")</f>
        <v>14.768812009535234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46394</v>
      </c>
      <c r="T688" s="43">
        <f ca="1">_xll.BInterpol('Base CDI'!$H$4:$H$28,'Base CDI'!$J$4:$J$29,S688,"Cubic","Extrapolate=Linear","MultiX=Average","Skip=True","Sort=True")</f>
        <v>14.738383132325579</v>
      </c>
      <c r="U688" s="43">
        <f ca="1">_xll.BInterpol('Base CDI'!$H$4:$H$28,'Base CDI'!$I$4:$I$29,S688,"Cubic","Extrapolate=Linear","MultiX=Average","Skip=True","Sort=True")</f>
        <v>14.768221986325608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46395</v>
      </c>
      <c r="T689" s="43">
        <f ca="1">_xll.BInterpol('Base CDI'!$H$4:$H$28,'Base CDI'!$J$4:$J$29,S689,"Cubic","Extrapolate=Linear","MultiX=Average","Skip=True","Sort=True")</f>
        <v>14.737848065007437</v>
      </c>
      <c r="U689" s="43">
        <f ca="1">_xll.BInterpol('Base CDI'!$H$4:$H$28,'Base CDI'!$I$4:$I$29,S689,"Cubic","Extrapolate=Linear","MultiX=Average","Skip=True","Sort=True")</f>
        <v>14.767634603857807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46396</v>
      </c>
      <c r="T690" s="43">
        <f ca="1">_xll.BInterpol('Base CDI'!$H$4:$H$28,'Base CDI'!$J$4:$J$29,S690,"Cubic","Extrapolate=Linear","MultiX=Average","Skip=True","Sort=True")</f>
        <v>14.73731493741759</v>
      </c>
      <c r="U690" s="43">
        <f ca="1">_xll.BInterpol('Base CDI'!$H$4:$H$28,'Base CDI'!$I$4:$I$29,S690,"Cubic","Extrapolate=Linear","MultiX=Average","Skip=True","Sort=True")</f>
        <v>14.767049856676815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46397</v>
      </c>
      <c r="T691" s="43">
        <f ca="1">_xll.BInterpol('Base CDI'!$H$4:$H$28,'Base CDI'!$J$4:$J$29,S691,"Cubic","Extrapolate=Linear","MultiX=Average","Skip=True","Sort=True")</f>
        <v>14.736783746821013</v>
      </c>
      <c r="U691" s="43">
        <f ca="1">_xll.BInterpol('Base CDI'!$H$4:$H$28,'Base CDI'!$I$4:$I$29,S691,"Cubic","Extrapolate=Linear","MultiX=Average","Skip=True","Sort=True")</f>
        <v>14.766467739327618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46398</v>
      </c>
      <c r="T692" s="43">
        <f ca="1">_xll.BInterpol('Base CDI'!$H$4:$H$28,'Base CDI'!$J$4:$J$29,S692,"Cubic","Extrapolate=Linear","MultiX=Average","Skip=True","Sort=True")</f>
        <v>14.736254490482684</v>
      </c>
      <c r="U692" s="43">
        <f ca="1">_xll.BInterpol('Base CDI'!$H$4:$H$28,'Base CDI'!$I$4:$I$29,S692,"Cubic","Extrapolate=Linear","MultiX=Average","Skip=True","Sort=True")</f>
        <v>14.765888246355207</v>
      </c>
    </row>
    <row r="693" spans="16:21" x14ac:dyDescent="0.25">
      <c r="P693" s="10">
        <v>35521</v>
      </c>
      <c r="Q693">
        <v>2.644431</v>
      </c>
      <c r="S693" s="42">
        <f t="shared" ca="1" si="15"/>
        <v>46399</v>
      </c>
      <c r="T693" s="43">
        <f ca="1">_xll.BInterpol('Base CDI'!$H$4:$H$28,'Base CDI'!$J$4:$J$29,S693,"Cubic","Extrapolate=Linear","MultiX=Average","Skip=True","Sort=True")</f>
        <v>14.735727165667582</v>
      </c>
      <c r="U693" s="43">
        <f ca="1">_xll.BInterpol('Base CDI'!$H$4:$H$28,'Base CDI'!$I$4:$I$29,S693,"Cubic","Extrapolate=Linear","MultiX=Average","Skip=True","Sort=True")</f>
        <v>14.765311372304565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46400</v>
      </c>
      <c r="T694" s="43">
        <f ca="1">_xll.BInterpol('Base CDI'!$H$4:$H$28,'Base CDI'!$J$4:$J$29,S694,"Cubic","Extrapolate=Linear","MultiX=Average","Skip=True","Sort=True")</f>
        <v>14.735201769640682</v>
      </c>
      <c r="U694" s="43">
        <f ca="1">_xll.BInterpol('Base CDI'!$H$4:$H$28,'Base CDI'!$I$4:$I$29,S694,"Cubic","Extrapolate=Linear","MultiX=Average","Skip=True","Sort=True")</f>
        <v>14.764737111720683</v>
      </c>
    </row>
    <row r="695" spans="16:21" x14ac:dyDescent="0.25">
      <c r="P695" s="10">
        <v>35523</v>
      </c>
      <c r="Q695">
        <v>2.648434</v>
      </c>
      <c r="S695" s="42">
        <f t="shared" ca="1" si="15"/>
        <v>46401</v>
      </c>
      <c r="T695" s="43">
        <f ca="1">_xll.BInterpol('Base CDI'!$H$4:$H$28,'Base CDI'!$J$4:$J$29,S695,"Cubic","Extrapolate=Linear","MultiX=Average","Skip=True","Sort=True")</f>
        <v>14.734678299666959</v>
      </c>
      <c r="U695" s="43">
        <f ca="1">_xll.BInterpol('Base CDI'!$H$4:$H$28,'Base CDI'!$I$4:$I$29,S695,"Cubic","Extrapolate=Linear","MultiX=Average","Skip=True","Sort=True")</f>
        <v>14.764165459148545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46402</v>
      </c>
      <c r="T696" s="43">
        <f ca="1">_xll.BInterpol('Base CDI'!$H$4:$H$28,'Base CDI'!$J$4:$J$29,S696,"Cubic","Extrapolate=Linear","MultiX=Average","Skip=True","Sort=True")</f>
        <v>14.734156753011392</v>
      </c>
      <c r="U696" s="43">
        <f ca="1">_xll.BInterpol('Base CDI'!$H$4:$H$28,'Base CDI'!$I$4:$I$29,S696,"Cubic","Extrapolate=Linear","MultiX=Average","Skip=True","Sort=True")</f>
        <v>14.76359640913314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46403</v>
      </c>
      <c r="T697" s="43">
        <f ca="1">_xll.BInterpol('Base CDI'!$H$4:$H$28,'Base CDI'!$J$4:$J$29,S697,"Cubic","Extrapolate=Linear","MultiX=Average","Skip=True","Sort=True")</f>
        <v>14.733637126938959</v>
      </c>
      <c r="U697" s="43">
        <f ca="1">_xll.BInterpol('Base CDI'!$H$4:$H$28,'Base CDI'!$I$4:$I$29,S697,"Cubic","Extrapolate=Linear","MultiX=Average","Skip=True","Sort=True")</f>
        <v>14.763029956219455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46404</v>
      </c>
      <c r="T698" s="43">
        <f ca="1">_xll.BInterpol('Base CDI'!$H$4:$H$28,'Base CDI'!$J$4:$J$29,S698,"Cubic","Extrapolate=Linear","MultiX=Average","Skip=True","Sort=True")</f>
        <v>14.733119418714637</v>
      </c>
      <c r="U698" s="43">
        <f ca="1">_xll.BInterpol('Base CDI'!$H$4:$H$28,'Base CDI'!$I$4:$I$29,S698,"Cubic","Extrapolate=Linear","MultiX=Average","Skip=True","Sort=True")</f>
        <v>14.762466094952476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46405</v>
      </c>
      <c r="T699" s="43">
        <f ca="1">_xll.BInterpol('Base CDI'!$H$4:$H$28,'Base CDI'!$J$4:$J$29,S699,"Cubic","Extrapolate=Linear","MultiX=Average","Skip=True","Sort=True")</f>
        <v>14.732603625603399</v>
      </c>
      <c r="U699" s="43">
        <f ca="1">_xll.BInterpol('Base CDI'!$H$4:$H$28,'Base CDI'!$I$4:$I$29,S699,"Cubic","Extrapolate=Linear","MultiX=Average","Skip=True","Sort=True")</f>
        <v>14.761904819877193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46406</v>
      </c>
      <c r="T700" s="43">
        <f ca="1">_xll.BInterpol('Base CDI'!$H$4:$H$28,'Base CDI'!$J$4:$J$29,S700,"Cubic","Extrapolate=Linear","MultiX=Average","Skip=True","Sort=True")</f>
        <v>14.732089744870228</v>
      </c>
      <c r="U700" s="43">
        <f ca="1">_xll.BInterpol('Base CDI'!$H$4:$H$28,'Base CDI'!$I$4:$I$29,S700,"Cubic","Extrapolate=Linear","MultiX=Average","Skip=True","Sort=True")</f>
        <v>14.761346125538591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46407</v>
      </c>
      <c r="T701" s="43">
        <f ca="1">_xll.BInterpol('Base CDI'!$H$4:$H$28,'Base CDI'!$J$4:$J$29,S701,"Cubic","Extrapolate=Linear","MultiX=Average","Skip=True","Sort=True")</f>
        <v>14.731577773780096</v>
      </c>
      <c r="U701" s="43">
        <f ca="1">_xll.BInterpol('Base CDI'!$H$4:$H$28,'Base CDI'!$I$4:$I$29,S701,"Cubic","Extrapolate=Linear","MultiX=Average","Skip=True","Sort=True")</f>
        <v>14.760790006481656</v>
      </c>
    </row>
    <row r="702" spans="16:21" x14ac:dyDescent="0.25">
      <c r="P702" s="10">
        <v>35534</v>
      </c>
      <c r="Q702">
        <v>2.663097</v>
      </c>
      <c r="S702" s="42">
        <f t="shared" ca="1" si="15"/>
        <v>46408</v>
      </c>
      <c r="T702" s="43">
        <f ca="1">_xll.BInterpol('Base CDI'!$H$4:$H$28,'Base CDI'!$J$4:$J$29,S702,"Cubic","Extrapolate=Linear","MultiX=Average","Skip=True","Sort=True")</f>
        <v>14.731067709597982</v>
      </c>
      <c r="U702" s="43">
        <f ca="1">_xll.BInterpol('Base CDI'!$H$4:$H$28,'Base CDI'!$I$4:$I$29,S702,"Cubic","Extrapolate=Linear","MultiX=Average","Skip=True","Sort=True")</f>
        <v>14.760236457251377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46409</v>
      </c>
      <c r="T703" s="43">
        <f ca="1">_xll.BInterpol('Base CDI'!$H$4:$H$28,'Base CDI'!$J$4:$J$29,S703,"Cubic","Extrapolate=Linear","MultiX=Average","Skip=True","Sort=True")</f>
        <v>14.730559549588863</v>
      </c>
      <c r="U703" s="43">
        <f ca="1">_xll.BInterpol('Base CDI'!$H$4:$H$28,'Base CDI'!$I$4:$I$29,S703,"Cubic","Extrapolate=Linear","MultiX=Average","Skip=True","Sort=True")</f>
        <v>14.759685472392741</v>
      </c>
    </row>
    <row r="704" spans="16:21" x14ac:dyDescent="0.25">
      <c r="P704" s="10">
        <v>35536</v>
      </c>
      <c r="Q704">
        <v>2.667395</v>
      </c>
      <c r="S704" s="42">
        <f t="shared" ca="1" si="15"/>
        <v>46410</v>
      </c>
      <c r="T704" s="43">
        <f ca="1">_xll.BInterpol('Base CDI'!$H$4:$H$28,'Base CDI'!$J$4:$J$29,S704,"Cubic","Extrapolate=Linear","MultiX=Average","Skip=True","Sort=True")</f>
        <v>14.730053291017715</v>
      </c>
      <c r="U704" s="43">
        <f ca="1">_xll.BInterpol('Base CDI'!$H$4:$H$28,'Base CDI'!$I$4:$I$29,S704,"Cubic","Extrapolate=Linear","MultiX=Average","Skip=True","Sort=True")</f>
        <v>14.759137046450736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46411</v>
      </c>
      <c r="T705" s="43">
        <f ca="1">_xll.BInterpol('Base CDI'!$H$4:$H$28,'Base CDI'!$J$4:$J$29,S705,"Cubic","Extrapolate=Linear","MultiX=Average","Skip=True","Sort=True")</f>
        <v>14.729548931149516</v>
      </c>
      <c r="U705" s="43">
        <f ca="1">_xll.BInterpol('Base CDI'!$H$4:$H$28,'Base CDI'!$I$4:$I$29,S705,"Cubic","Extrapolate=Linear","MultiX=Average","Skip=True","Sort=True")</f>
        <v>14.758591173970348</v>
      </c>
    </row>
    <row r="706" spans="16:21" x14ac:dyDescent="0.25">
      <c r="P706" s="10">
        <v>35538</v>
      </c>
      <c r="Q706">
        <v>2.671745</v>
      </c>
      <c r="S706" s="42">
        <f t="shared" ca="1" si="15"/>
        <v>46412</v>
      </c>
      <c r="T706" s="43">
        <f ca="1">_xll.BInterpol('Base CDI'!$H$4:$H$28,'Base CDI'!$J$4:$J$29,S706,"Cubic","Extrapolate=Linear","MultiX=Average","Skip=True","Sort=True")</f>
        <v>14.729046467249242</v>
      </c>
      <c r="U706" s="43">
        <f ca="1">_xll.BInterpol('Base CDI'!$H$4:$H$28,'Base CDI'!$I$4:$I$29,S706,"Cubic","Extrapolate=Linear","MultiX=Average","Skip=True","Sort=True")</f>
        <v>14.758047849496563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46413</v>
      </c>
      <c r="T707" s="43">
        <f ca="1">_xll.BInterpol('Base CDI'!$H$4:$H$28,'Base CDI'!$J$4:$J$29,S707,"Cubic","Extrapolate=Linear","MultiX=Average","Skip=True","Sort=True")</f>
        <v>14.728545896581872</v>
      </c>
      <c r="U707" s="43">
        <f ca="1">_xll.BInterpol('Base CDI'!$H$4:$H$28,'Base CDI'!$I$4:$I$29,S707,"Cubic","Extrapolate=Linear","MultiX=Average","Skip=True","Sort=True")</f>
        <v>14.757507067574371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46414</v>
      </c>
      <c r="T708" s="43">
        <f ca="1">_xll.BInterpol('Base CDI'!$H$4:$H$28,'Base CDI'!$J$4:$J$29,S708,"Cubic","Extrapolate=Linear","MultiX=Average","Skip=True","Sort=True")</f>
        <v>14.728047216412381</v>
      </c>
      <c r="U708" s="43">
        <f ca="1">_xll.BInterpol('Base CDI'!$H$4:$H$28,'Base CDI'!$I$4:$I$29,S708,"Cubic","Extrapolate=Linear","MultiX=Average","Skip=True","Sort=True")</f>
        <v>14.756968822748759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46415</v>
      </c>
      <c r="T709" s="43">
        <f ca="1">_xll.BInterpol('Base CDI'!$H$4:$H$28,'Base CDI'!$J$4:$J$29,S709,"Cubic","Extrapolate=Linear","MultiX=Average","Skip=True","Sort=True")</f>
        <v>14.727550424005747</v>
      </c>
      <c r="U709" s="43">
        <f ca="1">_xll.BInterpol('Base CDI'!$H$4:$H$28,'Base CDI'!$I$4:$I$29,S709,"Cubic","Extrapolate=Linear","MultiX=Average","Skip=True","Sort=True")</f>
        <v>14.756433109564711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46416</v>
      </c>
      <c r="T710" s="43">
        <f ca="1">_xll.BInterpol('Base CDI'!$H$4:$H$28,'Base CDI'!$J$4:$J$29,S710,"Cubic","Extrapolate=Linear","MultiX=Average","Skip=True","Sort=True")</f>
        <v>14.727055516626946</v>
      </c>
      <c r="U710" s="43">
        <f ca="1">_xll.BInterpol('Base CDI'!$H$4:$H$28,'Base CDI'!$I$4:$I$29,S710,"Cubic","Extrapolate=Linear","MultiX=Average","Skip=True","Sort=True")</f>
        <v>14.755899922567217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46417</v>
      </c>
      <c r="T711" s="43">
        <f ca="1">_xll.BInterpol('Base CDI'!$H$4:$H$28,'Base CDI'!$J$4:$J$29,S711,"Cubic","Extrapolate=Linear","MultiX=Average","Skip=True","Sort=True")</f>
        <v>14.726562491540955</v>
      </c>
      <c r="U711" s="43">
        <f ca="1">_xll.BInterpol('Base CDI'!$H$4:$H$28,'Base CDI'!$I$4:$I$29,S711,"Cubic","Extrapolate=Linear","MultiX=Average","Skip=True","Sort=True")</f>
        <v>14.755369256301263</v>
      </c>
    </row>
    <row r="712" spans="16:21" x14ac:dyDescent="0.25">
      <c r="P712" s="10">
        <v>35549</v>
      </c>
      <c r="Q712">
        <v>2.68405</v>
      </c>
      <c r="S712" s="42">
        <f t="shared" ca="1" si="15"/>
        <v>46418</v>
      </c>
      <c r="T712" s="43">
        <f ca="1">_xll.BInterpol('Base CDI'!$H$4:$H$28,'Base CDI'!$J$4:$J$29,S712,"Cubic","Extrapolate=Linear","MultiX=Average","Skip=True","Sort=True")</f>
        <v>14.726071346012752</v>
      </c>
      <c r="U712" s="43">
        <f ca="1">_xll.BInterpol('Base CDI'!$H$4:$H$28,'Base CDI'!$I$4:$I$29,S712,"Cubic","Extrapolate=Linear","MultiX=Average","Skip=True","Sort=True")</f>
        <v>14.754841105311836</v>
      </c>
    </row>
    <row r="713" spans="16:21" x14ac:dyDescent="0.25">
      <c r="P713" s="10">
        <v>35550</v>
      </c>
      <c r="Q713">
        <v>2.686099</v>
      </c>
      <c r="S713" s="42">
        <f t="shared" ca="1" si="15"/>
        <v>46419</v>
      </c>
      <c r="T713" s="43">
        <f ca="1">_xll.BInterpol('Base CDI'!$H$4:$H$28,'Base CDI'!$J$4:$J$29,S713,"Cubic","Extrapolate=Linear","MultiX=Average","Skip=True","Sort=True")</f>
        <v>14.725582077307312</v>
      </c>
      <c r="U713" s="43">
        <f ca="1">_xll.BInterpol('Base CDI'!$H$4:$H$28,'Base CDI'!$I$4:$I$29,S713,"Cubic","Extrapolate=Linear","MultiX=Average","Skip=True","Sort=True")</f>
        <v>14.754315464143925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46420</v>
      </c>
      <c r="T714" s="43">
        <f ca="1">_xll.BInterpol('Base CDI'!$H$4:$H$28,'Base CDI'!$J$4:$J$29,S714,"Cubic","Extrapolate=Linear","MultiX=Average","Skip=True","Sort=True")</f>
        <v>14.725094682689615</v>
      </c>
      <c r="U714" s="43">
        <f ca="1">_xll.BInterpol('Base CDI'!$H$4:$H$28,'Base CDI'!$I$4:$I$29,S714,"Cubic","Extrapolate=Linear","MultiX=Average","Skip=True","Sort=True")</f>
        <v>14.753792327342516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46421</v>
      </c>
      <c r="T715" s="43">
        <f ca="1">_xll.BInterpol('Base CDI'!$H$4:$H$28,'Base CDI'!$J$4:$J$29,S715,"Cubic","Extrapolate=Linear","MultiX=Average","Skip=True","Sort=True")</f>
        <v>14.724609159424636</v>
      </c>
      <c r="U715" s="43">
        <f ca="1">_xll.BInterpol('Base CDI'!$H$4:$H$28,'Base CDI'!$I$4:$I$29,S715,"Cubic","Extrapolate=Linear","MultiX=Average","Skip=True","Sort=True")</f>
        <v>14.753271689452596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46422</v>
      </c>
      <c r="T716" s="43">
        <f ca="1">_xll.BInterpol('Base CDI'!$H$4:$H$28,'Base CDI'!$J$4:$J$29,S716,"Cubic","Extrapolate=Linear","MultiX=Average","Skip=True","Sort=True")</f>
        <v>14.724125504777351</v>
      </c>
      <c r="U716" s="43">
        <f ca="1">_xll.BInterpol('Base CDI'!$H$4:$H$28,'Base CDI'!$I$4:$I$29,S716,"Cubic","Extrapolate=Linear","MultiX=Average","Skip=True","Sort=True")</f>
        <v>14.752753545019152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46423</v>
      </c>
      <c r="T717" s="43">
        <f ca="1">_xll.BInterpol('Base CDI'!$H$4:$H$28,'Base CDI'!$J$4:$J$29,S717,"Cubic","Extrapolate=Linear","MultiX=Average","Skip=True","Sort=True")</f>
        <v>14.72364371601274</v>
      </c>
      <c r="U717" s="43">
        <f ca="1">_xll.BInterpol('Base CDI'!$H$4:$H$28,'Base CDI'!$I$4:$I$29,S717,"Cubic","Extrapolate=Linear","MultiX=Average","Skip=True","Sort=True")</f>
        <v>14.752237888587171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46424</v>
      </c>
      <c r="T718" s="43">
        <f ca="1">_xll.BInterpol('Base CDI'!$H$4:$H$28,'Base CDI'!$J$4:$J$29,S718,"Cubic","Extrapolate=Linear","MultiX=Average","Skip=True","Sort=True")</f>
        <v>14.723163790395777</v>
      </c>
      <c r="U718" s="43">
        <f ca="1">_xll.BInterpol('Base CDI'!$H$4:$H$28,'Base CDI'!$I$4:$I$29,S718,"Cubic","Extrapolate=Linear","MultiX=Average","Skip=True","Sort=True")</f>
        <v>14.751724714701641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46425</v>
      </c>
      <c r="T719" s="43">
        <f ca="1">_xll.BInterpol('Base CDI'!$H$4:$H$28,'Base CDI'!$J$4:$J$29,S719,"Cubic","Extrapolate=Linear","MultiX=Average","Skip=True","Sort=True")</f>
        <v>14.72268572519144</v>
      </c>
      <c r="U719" s="43">
        <f ca="1">_xll.BInterpol('Base CDI'!$H$4:$H$28,'Base CDI'!$I$4:$I$29,S719,"Cubic","Extrapolate=Linear","MultiX=Average","Skip=True","Sort=True")</f>
        <v>14.75121401790755</v>
      </c>
    </row>
    <row r="720" spans="16:21" x14ac:dyDescent="0.25">
      <c r="P720" s="10">
        <v>35562</v>
      </c>
      <c r="Q720">
        <v>2.700952</v>
      </c>
      <c r="S720" s="42">
        <f t="shared" ca="1" si="16"/>
        <v>46426</v>
      </c>
      <c r="T720" s="43">
        <f ca="1">_xll.BInterpol('Base CDI'!$H$4:$H$28,'Base CDI'!$J$4:$J$29,S720,"Cubic","Extrapolate=Linear","MultiX=Average","Skip=True","Sort=True")</f>
        <v>14.722209517664707</v>
      </c>
      <c r="U720" s="43">
        <f ca="1">_xll.BInterpol('Base CDI'!$H$4:$H$28,'Base CDI'!$I$4:$I$29,S720,"Cubic","Extrapolate=Linear","MultiX=Average","Skip=True","Sort=True")</f>
        <v>14.750705792749883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46427</v>
      </c>
      <c r="T721" s="43">
        <f ca="1">_xll.BInterpol('Base CDI'!$H$4:$H$28,'Base CDI'!$J$4:$J$29,S721,"Cubic","Extrapolate=Linear","MultiX=Average","Skip=True","Sort=True")</f>
        <v>14.721735165080553</v>
      </c>
      <c r="U721" s="43">
        <f ca="1">_xll.BInterpol('Base CDI'!$H$4:$H$28,'Base CDI'!$I$4:$I$29,S721,"Cubic","Extrapolate=Linear","MultiX=Average","Skip=True","Sort=True")</f>
        <v>14.750200033773629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46428</v>
      </c>
      <c r="T722" s="43">
        <f ca="1">_xll.BInterpol('Base CDI'!$H$4:$H$28,'Base CDI'!$J$4:$J$29,S722,"Cubic","Extrapolate=Linear","MultiX=Average","Skip=True","Sort=True")</f>
        <v>14.721262664703957</v>
      </c>
      <c r="U722" s="43">
        <f ca="1">_xll.BInterpol('Base CDI'!$H$4:$H$28,'Base CDI'!$I$4:$I$29,S722,"Cubic","Extrapolate=Linear","MultiX=Average","Skip=True","Sort=True")</f>
        <v>14.749696735523774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46429</v>
      </c>
      <c r="T723" s="43">
        <f ca="1">_xll.BInterpol('Base CDI'!$H$4:$H$28,'Base CDI'!$J$4:$J$29,S723,"Cubic","Extrapolate=Linear","MultiX=Average","Skip=True","Sort=True")</f>
        <v>14.720792013799894</v>
      </c>
      <c r="U723" s="43">
        <f ca="1">_xll.BInterpol('Base CDI'!$H$4:$H$28,'Base CDI'!$I$4:$I$29,S723,"Cubic","Extrapolate=Linear","MultiX=Average","Skip=True","Sort=True")</f>
        <v>14.749195892545305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46430</v>
      </c>
      <c r="T724" s="43">
        <f ca="1">_xll.BInterpol('Base CDI'!$H$4:$H$28,'Base CDI'!$J$4:$J$29,S724,"Cubic","Extrapolate=Linear","MultiX=Average","Skip=True","Sort=True")</f>
        <v>14.720323209633342</v>
      </c>
      <c r="U724" s="43">
        <f ca="1">_xll.BInterpol('Base CDI'!$H$4:$H$28,'Base CDI'!$I$4:$I$29,S724,"Cubic","Extrapolate=Linear","MultiX=Average","Skip=True","Sort=True")</f>
        <v>14.74869749938321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46431</v>
      </c>
      <c r="T725" s="43">
        <f ca="1">_xll.BInterpol('Base CDI'!$H$4:$H$28,'Base CDI'!$J$4:$J$29,S725,"Cubic","Extrapolate=Linear","MultiX=Average","Skip=True","Sort=True")</f>
        <v>14.719856249469279</v>
      </c>
      <c r="U725" s="43">
        <f ca="1">_xll.BInterpol('Base CDI'!$H$4:$H$28,'Base CDI'!$I$4:$I$29,S725,"Cubic","Extrapolate=Linear","MultiX=Average","Skip=True","Sort=True")</f>
        <v>14.748201550582477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46432</v>
      </c>
      <c r="T726" s="43">
        <f ca="1">_xll.BInterpol('Base CDI'!$H$4:$H$28,'Base CDI'!$J$4:$J$29,S726,"Cubic","Extrapolate=Linear","MultiX=Average","Skip=True","Sort=True")</f>
        <v>14.719391130572681</v>
      </c>
      <c r="U726" s="43">
        <f ca="1">_xll.BInterpol('Base CDI'!$H$4:$H$28,'Base CDI'!$I$4:$I$29,S726,"Cubic","Extrapolate=Linear","MultiX=Average","Skip=True","Sort=True")</f>
        <v>14.747708040688092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46433</v>
      </c>
      <c r="T727" s="43">
        <f ca="1">_xll.BInterpol('Base CDI'!$H$4:$H$28,'Base CDI'!$J$4:$J$29,S727,"Cubic","Extrapolate=Linear","MultiX=Average","Skip=True","Sort=True")</f>
        <v>14.718927850208525</v>
      </c>
      <c r="U727" s="43">
        <f ca="1">_xll.BInterpol('Base CDI'!$H$4:$H$28,'Base CDI'!$I$4:$I$29,S727,"Cubic","Extrapolate=Linear","MultiX=Average","Skip=True","Sort=True")</f>
        <v>14.747216964245043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46434</v>
      </c>
      <c r="T728" s="43">
        <f ca="1">_xll.BInterpol('Base CDI'!$H$4:$H$28,'Base CDI'!$J$4:$J$29,S728,"Cubic","Extrapolate=Linear","MultiX=Average","Skip=True","Sort=True")</f>
        <v>14.718466405641786</v>
      </c>
      <c r="U728" s="43">
        <f ca="1">_xll.BInterpol('Base CDI'!$H$4:$H$28,'Base CDI'!$I$4:$I$29,S728,"Cubic","Extrapolate=Linear","MultiX=Average","Skip=True","Sort=True")</f>
        <v>14.746728315798315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46435</v>
      </c>
      <c r="T729" s="43">
        <f ca="1">_xll.BInterpol('Base CDI'!$H$4:$H$28,'Base CDI'!$J$4:$J$29,S729,"Cubic","Extrapolate=Linear","MultiX=Average","Skip=True","Sort=True")</f>
        <v>14.718006794137443</v>
      </c>
      <c r="U729" s="43">
        <f ca="1">_xll.BInterpol('Base CDI'!$H$4:$H$28,'Base CDI'!$I$4:$I$29,S729,"Cubic","Extrapolate=Linear","MultiX=Average","Skip=True","Sort=True")</f>
        <v>14.746242089892897</v>
      </c>
    </row>
    <row r="730" spans="16:21" x14ac:dyDescent="0.25">
      <c r="P730" s="10">
        <v>35576</v>
      </c>
      <c r="Q730">
        <v>2.722356</v>
      </c>
      <c r="S730" s="42">
        <f t="shared" ca="1" si="16"/>
        <v>46436</v>
      </c>
      <c r="T730" s="43">
        <f ca="1">_xll.BInterpol('Base CDI'!$H$4:$H$28,'Base CDI'!$J$4:$J$29,S730,"Cubic","Extrapolate=Linear","MultiX=Average","Skip=True","Sort=True")</f>
        <v>14.717549012960474</v>
      </c>
      <c r="U730" s="43">
        <f ca="1">_xll.BInterpol('Base CDI'!$H$4:$H$28,'Base CDI'!$I$4:$I$29,S730,"Cubic","Extrapolate=Linear","MultiX=Average","Skip=True","Sort=True")</f>
        <v>14.745758281073776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46437</v>
      </c>
      <c r="T731" s="43">
        <f ca="1">_xll.BInterpol('Base CDI'!$H$4:$H$28,'Base CDI'!$J$4:$J$29,S731,"Cubic","Extrapolate=Linear","MultiX=Average","Skip=True","Sort=True")</f>
        <v>14.717093059375854</v>
      </c>
      <c r="U731" s="43">
        <f ca="1">_xll.BInterpol('Base CDI'!$H$4:$H$28,'Base CDI'!$I$4:$I$29,S731,"Cubic","Extrapolate=Linear","MultiX=Average","Skip=True","Sort=True")</f>
        <v>14.745276883885941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46438</v>
      </c>
      <c r="T732" s="43">
        <f ca="1">_xll.BInterpol('Base CDI'!$H$4:$H$28,'Base CDI'!$J$4:$J$29,S732,"Cubic","Extrapolate=Linear","MultiX=Average","Skip=True","Sort=True")</f>
        <v>14.716638930648561</v>
      </c>
      <c r="U732" s="43">
        <f ca="1">_xll.BInterpol('Base CDI'!$H$4:$H$28,'Base CDI'!$I$4:$I$29,S732,"Cubic","Extrapolate=Linear","MultiX=Average","Skip=True","Sort=True")</f>
        <v>14.744797892874375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46439</v>
      </c>
      <c r="T733" s="43">
        <f ca="1">_xll.BInterpol('Base CDI'!$H$4:$H$28,'Base CDI'!$J$4:$J$29,S733,"Cubic","Extrapolate=Linear","MultiX=Average","Skip=True","Sort=True")</f>
        <v>14.716186624043571</v>
      </c>
      <c r="U733" s="43">
        <f ca="1">_xll.BInterpol('Base CDI'!$H$4:$H$28,'Base CDI'!$I$4:$I$29,S733,"Cubic","Extrapolate=Linear","MultiX=Average","Skip=True","Sort=True")</f>
        <v>14.744321302584069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46440</v>
      </c>
      <c r="T734" s="43">
        <f ca="1">_xll.BInterpol('Base CDI'!$H$4:$H$28,'Base CDI'!$J$4:$J$29,S734,"Cubic","Extrapolate=Linear","MultiX=Average","Skip=True","Sort=True")</f>
        <v>14.715736136825862</v>
      </c>
      <c r="U734" s="43">
        <f ca="1">_xll.BInterpol('Base CDI'!$H$4:$H$28,'Base CDI'!$I$4:$I$29,S734,"Cubic","Extrapolate=Linear","MultiX=Average","Skip=True","Sort=True")</f>
        <v>14.743847107560008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46441</v>
      </c>
      <c r="T735" s="43">
        <f ca="1">_xll.BInterpol('Base CDI'!$H$4:$H$28,'Base CDI'!$J$4:$J$29,S735,"Cubic","Extrapolate=Linear","MultiX=Average","Skip=True","Sort=True")</f>
        <v>14.715287466260412</v>
      </c>
      <c r="U735" s="43">
        <f ca="1">_xll.BInterpol('Base CDI'!$H$4:$H$28,'Base CDI'!$I$4:$I$29,S735,"Cubic","Extrapolate=Linear","MultiX=Average","Skip=True","Sort=True")</f>
        <v>14.743375302347181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46442</v>
      </c>
      <c r="T736" s="43">
        <f ca="1">_xll.BInterpol('Base CDI'!$H$4:$H$28,'Base CDI'!$J$4:$J$29,S736,"Cubic","Extrapolate=Linear","MultiX=Average","Skip=True","Sort=True")</f>
        <v>14.714840609612194</v>
      </c>
      <c r="U736" s="43">
        <f ca="1">_xll.BInterpol('Base CDI'!$H$4:$H$28,'Base CDI'!$I$4:$I$29,S736,"Cubic","Extrapolate=Linear","MultiX=Average","Skip=True","Sort=True")</f>
        <v>14.742905881490572</v>
      </c>
    </row>
    <row r="737" spans="16:21" x14ac:dyDescent="0.25">
      <c r="P737" s="10">
        <v>35586</v>
      </c>
      <c r="Q737">
        <v>2.736799</v>
      </c>
      <c r="S737" s="42">
        <f t="shared" ca="1" si="16"/>
        <v>46443</v>
      </c>
      <c r="T737" s="43">
        <f ca="1">_xll.BInterpol('Base CDI'!$H$4:$H$28,'Base CDI'!$J$4:$J$29,S737,"Cubic","Extrapolate=Linear","MultiX=Average","Skip=True","Sort=True")</f>
        <v>14.714395564146189</v>
      </c>
      <c r="U737" s="43">
        <f ca="1">_xll.BInterpol('Base CDI'!$H$4:$H$28,'Base CDI'!$I$4:$I$29,S737,"Cubic","Extrapolate=Linear","MultiX=Average","Skip=True","Sort=True")</f>
        <v>14.742438839535172</v>
      </c>
    </row>
    <row r="738" spans="16:21" x14ac:dyDescent="0.25">
      <c r="P738" s="10">
        <v>35587</v>
      </c>
      <c r="Q738">
        <v>2.738861</v>
      </c>
      <c r="S738" s="42">
        <f t="shared" ca="1" si="16"/>
        <v>46444</v>
      </c>
      <c r="T738" s="43">
        <f ca="1">_xll.BInterpol('Base CDI'!$H$4:$H$28,'Base CDI'!$J$4:$J$29,S738,"Cubic","Extrapolate=Linear","MultiX=Average","Skip=True","Sort=True")</f>
        <v>14.713952327127371</v>
      </c>
      <c r="U738" s="43">
        <f ca="1">_xll.BInterpol('Base CDI'!$H$4:$H$28,'Base CDI'!$I$4:$I$29,S738,"Cubic","Extrapolate=Linear","MultiX=Average","Skip=True","Sort=True")</f>
        <v>14.741974171025966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46445</v>
      </c>
      <c r="T739" s="43">
        <f ca="1">_xll.BInterpol('Base CDI'!$H$4:$H$28,'Base CDI'!$J$4:$J$29,S739,"Cubic","Extrapolate=Linear","MultiX=Average","Skip=True","Sort=True")</f>
        <v>14.71351089582072</v>
      </c>
      <c r="U739" s="43">
        <f ca="1">_xll.BInterpol('Base CDI'!$H$4:$H$28,'Base CDI'!$I$4:$I$29,S739,"Cubic","Extrapolate=Linear","MultiX=Average","Skip=True","Sort=True")</f>
        <v>14.74151187050794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46446</v>
      </c>
      <c r="T740" s="43">
        <f ca="1">_xll.BInterpol('Base CDI'!$H$4:$H$28,'Base CDI'!$J$4:$J$29,S740,"Cubic","Extrapolate=Linear","MultiX=Average","Skip=True","Sort=True")</f>
        <v>14.713071267491211</v>
      </c>
      <c r="U740" s="43">
        <f ca="1">_xll.BInterpol('Base CDI'!$H$4:$H$28,'Base CDI'!$I$4:$I$29,S740,"Cubic","Extrapolate=Linear","MultiX=Average","Skip=True","Sort=True")</f>
        <v>14.741051932526085</v>
      </c>
    </row>
    <row r="741" spans="16:21" x14ac:dyDescent="0.25">
      <c r="P741" s="10">
        <v>35592</v>
      </c>
      <c r="Q741">
        <v>2.74512</v>
      </c>
      <c r="S741" s="42">
        <f t="shared" ca="1" si="16"/>
        <v>46447</v>
      </c>
      <c r="T741" s="43">
        <f ca="1">_xll.BInterpol('Base CDI'!$H$4:$H$28,'Base CDI'!$J$4:$J$29,S741,"Cubic","Extrapolate=Linear","MultiX=Average","Skip=True","Sort=True")</f>
        <v>14.71263343940382</v>
      </c>
      <c r="U741" s="43">
        <f ca="1">_xll.BInterpol('Base CDI'!$H$4:$H$28,'Base CDI'!$I$4:$I$29,S741,"Cubic","Extrapolate=Linear","MultiX=Average","Skip=True","Sort=True")</f>
        <v>14.740594351625385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46448</v>
      </c>
      <c r="T742" s="43">
        <f ca="1">_xll.BInterpol('Base CDI'!$H$4:$H$28,'Base CDI'!$J$4:$J$29,S742,"Cubic","Extrapolate=Linear","MultiX=Average","Skip=True","Sort=True")</f>
        <v>14.712197408823528</v>
      </c>
      <c r="U742" s="43">
        <f ca="1">_xll.BInterpol('Base CDI'!$H$4:$H$28,'Base CDI'!$I$4:$I$29,S742,"Cubic","Extrapolate=Linear","MultiX=Average","Skip=True","Sort=True")</f>
        <v>14.740139122350829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46449</v>
      </c>
      <c r="T743" s="43">
        <f ca="1">_xll.BInterpol('Base CDI'!$H$4:$H$28,'Base CDI'!$J$4:$J$29,S743,"Cubic","Extrapolate=Linear","MultiX=Average","Skip=True","Sort=True")</f>
        <v>14.711763173015306</v>
      </c>
      <c r="U743" s="43">
        <f ca="1">_xll.BInterpol('Base CDI'!$H$4:$H$28,'Base CDI'!$I$4:$I$29,S743,"Cubic","Extrapolate=Linear","MultiX=Average","Skip=True","Sort=True")</f>
        <v>14.739686239247403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46450</v>
      </c>
      <c r="T744" s="43">
        <f ca="1">_xll.BInterpol('Base CDI'!$H$4:$H$28,'Base CDI'!$J$4:$J$29,S744,"Cubic","Extrapolate=Linear","MultiX=Average","Skip=True","Sort=True")</f>
        <v>14.711330729244137</v>
      </c>
      <c r="U744" s="43">
        <f ca="1">_xll.BInterpol('Base CDI'!$H$4:$H$28,'Base CDI'!$I$4:$I$29,S744,"Cubic","Extrapolate=Linear","MultiX=Average","Skip=True","Sort=True")</f>
        <v>14.739235696860094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46451</v>
      </c>
      <c r="T745" s="43">
        <f ca="1">_xll.BInterpol('Base CDI'!$H$4:$H$28,'Base CDI'!$J$4:$J$29,S745,"Cubic","Extrapolate=Linear","MultiX=Average","Skip=True","Sort=True")</f>
        <v>14.710900074774994</v>
      </c>
      <c r="U745" s="43">
        <f ca="1">_xll.BInterpol('Base CDI'!$H$4:$H$28,'Base CDI'!$I$4:$I$29,S745,"Cubic","Extrapolate=Linear","MultiX=Average","Skip=True","Sort=True")</f>
        <v>14.738787489733891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46452</v>
      </c>
      <c r="T746" s="43">
        <f ca="1">_xll.BInterpol('Base CDI'!$H$4:$H$28,'Base CDI'!$J$4:$J$29,S746,"Cubic","Extrapolate=Linear","MultiX=Average","Skip=True","Sort=True")</f>
        <v>14.710471206872855</v>
      </c>
      <c r="U746" s="43">
        <f ca="1">_xll.BInterpol('Base CDI'!$H$4:$H$28,'Base CDI'!$I$4:$I$29,S746,"Cubic","Extrapolate=Linear","MultiX=Average","Skip=True","Sort=True")</f>
        <v>14.738341612413778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46453</v>
      </c>
      <c r="T747" s="43">
        <f ca="1">_xll.BInterpol('Base CDI'!$H$4:$H$28,'Base CDI'!$J$4:$J$29,S747,"Cubic","Extrapolate=Linear","MultiX=Average","Skip=True","Sort=True")</f>
        <v>14.710044122802698</v>
      </c>
      <c r="U747" s="43">
        <f ca="1">_xll.BInterpol('Base CDI'!$H$4:$H$28,'Base CDI'!$I$4:$I$29,S747,"Cubic","Extrapolate=Linear","MultiX=Average","Skip=True","Sort=True")</f>
        <v>14.737898059444747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46454</v>
      </c>
      <c r="T748" s="43">
        <f ca="1">_xll.BInterpol('Base CDI'!$H$4:$H$28,'Base CDI'!$J$4:$J$29,S748,"Cubic","Extrapolate=Linear","MultiX=Average","Skip=True","Sort=True")</f>
        <v>14.709618819829497</v>
      </c>
      <c r="U748" s="43">
        <f ca="1">_xll.BInterpol('Base CDI'!$H$4:$H$28,'Base CDI'!$I$4:$I$29,S748,"Cubic","Extrapolate=Linear","MultiX=Average","Skip=True","Sort=True")</f>
        <v>14.73745682537178</v>
      </c>
    </row>
    <row r="749" spans="16:21" x14ac:dyDescent="0.25">
      <c r="P749" s="10">
        <v>35604</v>
      </c>
      <c r="Q749">
        <v>2.761873</v>
      </c>
      <c r="S749" s="42">
        <f t="shared" ca="1" si="16"/>
        <v>46455</v>
      </c>
      <c r="T749" s="43">
        <f ca="1">_xll.BInterpol('Base CDI'!$H$4:$H$28,'Base CDI'!$J$4:$J$29,S749,"Cubic","Extrapolate=Linear","MultiX=Average","Skip=True","Sort=True")</f>
        <v>14.709195295218233</v>
      </c>
      <c r="U749" s="43">
        <f ca="1">_xll.BInterpol('Base CDI'!$H$4:$H$28,'Base CDI'!$I$4:$I$29,S749,"Cubic","Extrapolate=Linear","MultiX=Average","Skip=True","Sort=True")</f>
        <v>14.737017904739867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46456</v>
      </c>
      <c r="T750" s="43">
        <f ca="1">_xll.BInterpol('Base CDI'!$H$4:$H$28,'Base CDI'!$J$4:$J$29,S750,"Cubic","Extrapolate=Linear","MultiX=Average","Skip=True","Sort=True")</f>
        <v>14.70877354623388</v>
      </c>
      <c r="U750" s="43">
        <f ca="1">_xll.BInterpol('Base CDI'!$H$4:$H$28,'Base CDI'!$I$4:$I$29,S750,"Cubic","Extrapolate=Linear","MultiX=Average","Skip=True","Sort=True")</f>
        <v>14.736581292093996</v>
      </c>
    </row>
    <row r="751" spans="16:21" x14ac:dyDescent="0.25">
      <c r="P751" s="10">
        <v>35606</v>
      </c>
      <c r="Q751">
        <v>2.766054</v>
      </c>
      <c r="S751" s="42">
        <f t="shared" ca="1" si="16"/>
        <v>46457</v>
      </c>
      <c r="T751" s="43">
        <f ca="1">_xll.BInterpol('Base CDI'!$H$4:$H$28,'Base CDI'!$J$4:$J$29,S751,"Cubic","Extrapolate=Linear","MultiX=Average","Skip=True","Sort=True")</f>
        <v>14.708353570141416</v>
      </c>
      <c r="U751" s="43">
        <f ca="1">_xll.BInterpol('Base CDI'!$H$4:$H$28,'Base CDI'!$I$4:$I$29,S751,"Cubic","Extrapolate=Linear","MultiX=Average","Skip=True","Sort=True")</f>
        <v>14.736146981979152</v>
      </c>
    </row>
    <row r="752" spans="16:21" x14ac:dyDescent="0.25">
      <c r="P752" s="10">
        <v>35607</v>
      </c>
      <c r="Q752">
        <v>2.768119</v>
      </c>
      <c r="S752" s="42">
        <f t="shared" ca="1" si="16"/>
        <v>46458</v>
      </c>
      <c r="T752" s="43">
        <f ca="1">_xll.BInterpol('Base CDI'!$H$4:$H$28,'Base CDI'!$J$4:$J$29,S752,"Cubic","Extrapolate=Linear","MultiX=Average","Skip=True","Sort=True")</f>
        <v>14.707935364205818</v>
      </c>
      <c r="U752" s="43">
        <f ca="1">_xll.BInterpol('Base CDI'!$H$4:$H$28,'Base CDI'!$I$4:$I$29,S752,"Cubic","Extrapolate=Linear","MultiX=Average","Skip=True","Sort=True")</f>
        <v>14.735714968940323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46459</v>
      </c>
      <c r="T753" s="43">
        <f ca="1">_xll.BInterpol('Base CDI'!$H$4:$H$28,'Base CDI'!$J$4:$J$29,S753,"Cubic","Extrapolate=Linear","MultiX=Average","Skip=True","Sort=True")</f>
        <v>14.707518925692064</v>
      </c>
      <c r="U753" s="43">
        <f ca="1">_xll.BInterpol('Base CDI'!$H$4:$H$28,'Base CDI'!$I$4:$I$29,S753,"Cubic","Extrapolate=Linear","MultiX=Average","Skip=True","Sort=True")</f>
        <v>14.735285247522496</v>
      </c>
    </row>
    <row r="754" spans="16:21" x14ac:dyDescent="0.25">
      <c r="P754" s="10">
        <v>35611</v>
      </c>
      <c r="Q754">
        <v>2.772227</v>
      </c>
      <c r="S754" s="42">
        <f t="shared" ca="1" si="16"/>
        <v>46460</v>
      </c>
      <c r="T754" s="43">
        <f ca="1">_xll.BInterpol('Base CDI'!$H$4:$H$28,'Base CDI'!$J$4:$J$29,S754,"Cubic","Extrapolate=Linear","MultiX=Average","Skip=True","Sort=True")</f>
        <v>14.707104251865129</v>
      </c>
      <c r="U754" s="43">
        <f ca="1">_xll.BInterpol('Base CDI'!$H$4:$H$28,'Base CDI'!$I$4:$I$29,S754,"Cubic","Extrapolate=Linear","MultiX=Average","Skip=True","Sort=True")</f>
        <v>14.734857812270659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46461</v>
      </c>
      <c r="T755" s="43">
        <f ca="1">_xll.BInterpol('Base CDI'!$H$4:$H$28,'Base CDI'!$J$4:$J$29,S755,"Cubic","Extrapolate=Linear","MultiX=Average","Skip=True","Sort=True")</f>
        <v>14.706691339989991</v>
      </c>
      <c r="U755" s="43">
        <f ca="1">_xll.BInterpol('Base CDI'!$H$4:$H$28,'Base CDI'!$I$4:$I$29,S755,"Cubic","Extrapolate=Linear","MultiX=Average","Skip=True","Sort=True")</f>
        <v>14.734432657729798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46462</v>
      </c>
      <c r="T756" s="43">
        <f ca="1">_xll.BInterpol('Base CDI'!$H$4:$H$28,'Base CDI'!$J$4:$J$29,S756,"Cubic","Extrapolate=Linear","MultiX=Average","Skip=True","Sort=True")</f>
        <v>14.706280187331625</v>
      </c>
      <c r="U756" s="43">
        <f ca="1">_xll.BInterpol('Base CDI'!$H$4:$H$28,'Base CDI'!$I$4:$I$29,S756,"Cubic","Extrapolate=Linear","MultiX=Average","Skip=True","Sort=True")</f>
        <v>14.734009778444902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46463</v>
      </c>
      <c r="T757" s="43">
        <f ca="1">_xll.BInterpol('Base CDI'!$H$4:$H$28,'Base CDI'!$J$4:$J$29,S757,"Cubic","Extrapolate=Linear","MultiX=Average","Skip=True","Sort=True")</f>
        <v>14.705870791155013</v>
      </c>
      <c r="U757" s="43">
        <f ca="1">_xll.BInterpol('Base CDI'!$H$4:$H$28,'Base CDI'!$I$4:$I$29,S757,"Cubic","Extrapolate=Linear","MultiX=Average","Skip=True","Sort=True")</f>
        <v>14.733589168960956</v>
      </c>
    </row>
    <row r="758" spans="16:21" x14ac:dyDescent="0.25">
      <c r="P758" s="10">
        <v>35615</v>
      </c>
      <c r="Q758">
        <v>2.779849</v>
      </c>
      <c r="S758" s="42">
        <f t="shared" ca="1" si="16"/>
        <v>46464</v>
      </c>
      <c r="T758" s="43">
        <f ca="1">_xll.BInterpol('Base CDI'!$H$4:$H$28,'Base CDI'!$J$4:$J$29,S758,"Cubic","Extrapolate=Linear","MultiX=Average","Skip=True","Sort=True")</f>
        <v>14.705463148725126</v>
      </c>
      <c r="U758" s="43">
        <f ca="1">_xll.BInterpol('Base CDI'!$H$4:$H$28,'Base CDI'!$I$4:$I$29,S758,"Cubic","Extrapolate=Linear","MultiX=Average","Skip=True","Sort=True")</f>
        <v>14.733170823822949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46465</v>
      </c>
      <c r="T759" s="43">
        <f ca="1">_xll.BInterpol('Base CDI'!$H$4:$H$28,'Base CDI'!$J$4:$J$29,S759,"Cubic","Extrapolate=Linear","MultiX=Average","Skip=True","Sort=True")</f>
        <v>14.705057257306944</v>
      </c>
      <c r="U759" s="43">
        <f ca="1">_xll.BInterpol('Base CDI'!$H$4:$H$28,'Base CDI'!$I$4:$I$29,S759,"Cubic","Extrapolate=Linear","MultiX=Average","Skip=True","Sort=True")</f>
        <v>14.732754737575867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46466</v>
      </c>
      <c r="T760" s="43">
        <f ca="1">_xll.BInterpol('Base CDI'!$H$4:$H$28,'Base CDI'!$J$4:$J$29,S760,"Cubic","Extrapolate=Linear","MultiX=Average","Skip=True","Sort=True")</f>
        <v>14.704653114165446</v>
      </c>
      <c r="U760" s="43">
        <f ca="1">_xll.BInterpol('Base CDI'!$H$4:$H$28,'Base CDI'!$I$4:$I$29,S760,"Cubic","Extrapolate=Linear","MultiX=Average","Skip=True","Sort=True")</f>
        <v>14.732340904764698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46467</v>
      </c>
      <c r="T761" s="43">
        <f ca="1">_xll.BInterpol('Base CDI'!$H$4:$H$28,'Base CDI'!$J$4:$J$29,S761,"Cubic","Extrapolate=Linear","MultiX=Average","Skip=True","Sort=True")</f>
        <v>14.704250716565603</v>
      </c>
      <c r="U761" s="43">
        <f ca="1">_xll.BInterpol('Base CDI'!$H$4:$H$28,'Base CDI'!$I$4:$I$29,S761,"Cubic","Extrapolate=Linear","MultiX=Average","Skip=True","Sort=True")</f>
        <v>14.731929319934427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46468</v>
      </c>
      <c r="T762" s="43">
        <f ca="1">_xll.BInterpol('Base CDI'!$H$4:$H$28,'Base CDI'!$J$4:$J$29,S762,"Cubic","Extrapolate=Linear","MultiX=Average","Skip=True","Sort=True")</f>
        <v>14.703850061772398</v>
      </c>
      <c r="U762" s="43">
        <f ca="1">_xll.BInterpol('Base CDI'!$H$4:$H$28,'Base CDI'!$I$4:$I$29,S762,"Cubic","Extrapolate=Linear","MultiX=Average","Skip=True","Sort=True")</f>
        <v>14.731519977630045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46469</v>
      </c>
      <c r="T763" s="43">
        <f ca="1">_xll.BInterpol('Base CDI'!$H$4:$H$28,'Base CDI'!$J$4:$J$29,S763,"Cubic","Extrapolate=Linear","MultiX=Average","Skip=True","Sort=True")</f>
        <v>14.703451147050805</v>
      </c>
      <c r="U763" s="43">
        <f ca="1">_xll.BInterpol('Base CDI'!$H$4:$H$28,'Base CDI'!$I$4:$I$29,S763,"Cubic","Extrapolate=Linear","MultiX=Average","Skip=True","Sort=True")</f>
        <v>14.731112872396535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46470</v>
      </c>
      <c r="T764" s="43">
        <f ca="1">_xll.BInterpol('Base CDI'!$H$4:$H$28,'Base CDI'!$J$4:$J$29,S764,"Cubic","Extrapolate=Linear","MultiX=Average","Skip=True","Sort=True")</f>
        <v>14.703053969665801</v>
      </c>
      <c r="U764" s="43">
        <f ca="1">_xll.BInterpol('Base CDI'!$H$4:$H$28,'Base CDI'!$I$4:$I$29,S764,"Cubic","Extrapolate=Linear","MultiX=Average","Skip=True","Sort=True")</f>
        <v>14.730707998778888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46471</v>
      </c>
      <c r="T765" s="43">
        <f ca="1">_xll.BInterpol('Base CDI'!$H$4:$H$28,'Base CDI'!$J$4:$J$29,S765,"Cubic","Extrapolate=Linear","MultiX=Average","Skip=True","Sort=True")</f>
        <v>14.702658526882363</v>
      </c>
      <c r="U765" s="43">
        <f ca="1">_xll.BInterpol('Base CDI'!$H$4:$H$28,'Base CDI'!$I$4:$I$29,S765,"Cubic","Extrapolate=Linear","MultiX=Average","Skip=True","Sort=True")</f>
        <v>14.730305351322089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46472</v>
      </c>
      <c r="T766" s="43">
        <f ca="1">_xll.BInterpol('Base CDI'!$H$4:$H$28,'Base CDI'!$J$4:$J$29,S766,"Cubic","Extrapolate=Linear","MultiX=Average","Skip=True","Sort=True")</f>
        <v>14.702264815965471</v>
      </c>
      <c r="U766" s="43">
        <f ca="1">_xll.BInterpol('Base CDI'!$H$4:$H$28,'Base CDI'!$I$4:$I$29,S766,"Cubic","Extrapolate=Linear","MultiX=Average","Skip=True","Sort=True")</f>
        <v>14.729904924571127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46473</v>
      </c>
      <c r="T767" s="43">
        <f ca="1">_xll.BInterpol('Base CDI'!$H$4:$H$28,'Base CDI'!$J$4:$J$29,S767,"Cubic","Extrapolate=Linear","MultiX=Average","Skip=True","Sort=True")</f>
        <v>14.701872834180097</v>
      </c>
      <c r="U767" s="43">
        <f ca="1">_xll.BInterpol('Base CDI'!$H$4:$H$28,'Base CDI'!$I$4:$I$29,S767,"Cubic","Extrapolate=Linear","MultiX=Average","Skip=True","Sort=True")</f>
        <v>14.729506713070986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46474</v>
      </c>
      <c r="T768" s="43">
        <f ca="1">_xll.BInterpol('Base CDI'!$H$4:$H$28,'Base CDI'!$J$4:$J$29,S768,"Cubic","Extrapolate=Linear","MultiX=Average","Skip=True","Sort=True")</f>
        <v>14.70148257879122</v>
      </c>
      <c r="U768" s="43">
        <f ca="1">_xll.BInterpol('Base CDI'!$H$4:$H$28,'Base CDI'!$I$4:$I$29,S768,"Cubic","Extrapolate=Linear","MultiX=Average","Skip=True","Sort=True")</f>
        <v>14.729110711366657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46475</v>
      </c>
      <c r="T769" s="43">
        <f ca="1">_xll.BInterpol('Base CDI'!$H$4:$H$28,'Base CDI'!$J$4:$J$29,S769,"Cubic","Extrapolate=Linear","MultiX=Average","Skip=True","Sort=True")</f>
        <v>14.701094047063819</v>
      </c>
      <c r="U769" s="43">
        <f ca="1">_xll.BInterpol('Base CDI'!$H$4:$H$28,'Base CDI'!$I$4:$I$29,S769,"Cubic","Extrapolate=Linear","MultiX=Average","Skip=True","Sort=True")</f>
        <v>14.728716914003124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46476</v>
      </c>
      <c r="T770" s="43">
        <f ca="1">_xll.BInterpol('Base CDI'!$H$4:$H$28,'Base CDI'!$J$4:$J$29,S770,"Cubic","Extrapolate=Linear","MultiX=Average","Skip=True","Sort=True")</f>
        <v>14.700707236262868</v>
      </c>
      <c r="U770" s="43">
        <f ca="1">_xll.BInterpol('Base CDI'!$H$4:$H$28,'Base CDI'!$I$4:$I$29,S770,"Cubic","Extrapolate=Linear","MultiX=Average","Skip=True","Sort=True")</f>
        <v>14.728325315525376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46477</v>
      </c>
      <c r="T771" s="43">
        <f ca="1">_xll.BInterpol('Base CDI'!$H$4:$H$28,'Base CDI'!$J$4:$J$29,S771,"Cubic","Extrapolate=Linear","MultiX=Average","Skip=True","Sort=True")</f>
        <v>14.700322143653345</v>
      </c>
      <c r="U771" s="43">
        <f ca="1">_xll.BInterpol('Base CDI'!$H$4:$H$28,'Base CDI'!$I$4:$I$29,S771,"Cubic","Extrapolate=Linear","MultiX=Average","Skip=True","Sort=True")</f>
        <v>14.727935910478399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46478</v>
      </c>
      <c r="T772" s="43">
        <f ca="1">_xll.BInterpol('Base CDI'!$H$4:$H$28,'Base CDI'!$J$4:$J$29,S772,"Cubic","Extrapolate=Linear","MultiX=Average","Skip=True","Sort=True")</f>
        <v>14.699938766500228</v>
      </c>
      <c r="U772" s="43">
        <f ca="1">_xll.BInterpol('Base CDI'!$H$4:$H$28,'Base CDI'!$I$4:$I$29,S772,"Cubic","Extrapolate=Linear","MultiX=Average","Skip=True","Sort=True")</f>
        <v>14.727548693407181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46479</v>
      </c>
      <c r="T773" s="43">
        <f ca="1">_xll.BInterpol('Base CDI'!$H$4:$H$28,'Base CDI'!$J$4:$J$29,S773,"Cubic","Extrapolate=Linear","MultiX=Average","Skip=True","Sort=True")</f>
        <v>14.699557102068493</v>
      </c>
      <c r="U773" s="43">
        <f ca="1">_xll.BInterpol('Base CDI'!$H$4:$H$28,'Base CDI'!$I$4:$I$29,S773,"Cubic","Extrapolate=Linear","MultiX=Average","Skip=True","Sort=True")</f>
        <v>14.727163658856711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46480</v>
      </c>
      <c r="T774" s="43">
        <f ca="1">_xll.BInterpol('Base CDI'!$H$4:$H$28,'Base CDI'!$J$4:$J$29,S774,"Cubic","Extrapolate=Linear","MultiX=Average","Skip=True","Sort=True")</f>
        <v>14.699177147623118</v>
      </c>
      <c r="U774" s="43">
        <f ca="1">_xll.BInterpol('Base CDI'!$H$4:$H$28,'Base CDI'!$I$4:$I$29,S774,"Cubic","Extrapolate=Linear","MultiX=Average","Skip=True","Sort=True")</f>
        <v>14.726780801371971</v>
      </c>
    </row>
    <row r="775" spans="16:21" x14ac:dyDescent="0.25">
      <c r="P775" s="10">
        <v>35640</v>
      </c>
      <c r="Q775">
        <v>2.812703</v>
      </c>
      <c r="S775" s="42">
        <f t="shared" ca="1" si="16"/>
        <v>46481</v>
      </c>
      <c r="T775" s="43">
        <f ca="1">_xll.BInterpol('Base CDI'!$H$4:$H$28,'Base CDI'!$J$4:$J$29,S775,"Cubic","Extrapolate=Linear","MultiX=Average","Skip=True","Sort=True")</f>
        <v>14.698798900429077</v>
      </c>
      <c r="U775" s="43">
        <f ca="1">_xll.BInterpol('Base CDI'!$H$4:$H$28,'Base CDI'!$I$4:$I$29,S775,"Cubic","Extrapolate=Linear","MultiX=Average","Skip=True","Sort=True")</f>
        <v>14.726400115497954</v>
      </c>
    </row>
    <row r="776" spans="16:21" x14ac:dyDescent="0.25">
      <c r="P776" s="10">
        <v>35641</v>
      </c>
      <c r="Q776">
        <v>2.814635</v>
      </c>
      <c r="S776" s="42">
        <f t="shared" ca="1" si="16"/>
        <v>46482</v>
      </c>
      <c r="T776" s="43">
        <f ca="1">_xll.BInterpol('Base CDI'!$H$4:$H$28,'Base CDI'!$J$4:$J$29,S776,"Cubic","Extrapolate=Linear","MultiX=Average","Skip=True","Sort=True")</f>
        <v>14.698422357751351</v>
      </c>
      <c r="U776" s="43">
        <f ca="1">_xll.BInterpol('Base CDI'!$H$4:$H$28,'Base CDI'!$I$4:$I$29,S776,"Cubic","Extrapolate=Linear","MultiX=Average","Skip=True","Sort=True")</f>
        <v>14.726021595779644</v>
      </c>
    </row>
    <row r="777" spans="16:21" x14ac:dyDescent="0.25">
      <c r="P777" s="10">
        <v>35642</v>
      </c>
      <c r="Q777">
        <v>2.816567</v>
      </c>
      <c r="S777" s="42">
        <f t="shared" ca="1" si="16"/>
        <v>46483</v>
      </c>
      <c r="T777" s="43">
        <f ca="1">_xll.BInterpol('Base CDI'!$H$4:$H$28,'Base CDI'!$J$4:$J$29,S777,"Cubic","Extrapolate=Linear","MultiX=Average","Skip=True","Sort=True")</f>
        <v>14.698047516854913</v>
      </c>
      <c r="U777" s="43">
        <f ca="1">_xll.BInterpol('Base CDI'!$H$4:$H$28,'Base CDI'!$I$4:$I$29,S777,"Cubic","Extrapolate=Linear","MultiX=Average","Skip=True","Sort=True")</f>
        <v>14.725645236762027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46484</v>
      </c>
      <c r="T778" s="43">
        <f ca="1">_xll.BInterpol('Base CDI'!$H$4:$H$28,'Base CDI'!$J$4:$J$29,S778,"Cubic","Extrapolate=Linear","MultiX=Average","Skip=True","Sort=True")</f>
        <v>14.697674375004743</v>
      </c>
      <c r="U778" s="43">
        <f ca="1">_xll.BInterpol('Base CDI'!$H$4:$H$28,'Base CDI'!$I$4:$I$29,S778,"Cubic","Extrapolate=Linear","MultiX=Average","Skip=True","Sort=True")</f>
        <v>14.725271032990094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46485</v>
      </c>
      <c r="T779" s="43">
        <f ca="1">_xll.BInterpol('Base CDI'!$H$4:$H$28,'Base CDI'!$J$4:$J$29,S779,"Cubic","Extrapolate=Linear","MultiX=Average","Skip=True","Sort=True")</f>
        <v>14.697302929465817</v>
      </c>
      <c r="U779" s="43">
        <f ca="1">_xll.BInterpol('Base CDI'!$H$4:$H$28,'Base CDI'!$I$4:$I$29,S779,"Cubic","Extrapolate=Linear","MultiX=Average","Skip=True","Sort=True")</f>
        <v>14.724898979008829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46486</v>
      </c>
      <c r="T780" s="43">
        <f ca="1">_xll.BInterpol('Base CDI'!$H$4:$H$28,'Base CDI'!$J$4:$J$29,S780,"Cubic","Extrapolate=Linear","MultiX=Average","Skip=True","Sort=True")</f>
        <v>14.696933177503112</v>
      </c>
      <c r="U780" s="43">
        <f ca="1">_xll.BInterpol('Base CDI'!$H$4:$H$28,'Base CDI'!$I$4:$I$29,S780,"Cubic","Extrapolate=Linear","MultiX=Average","Skip=True","Sort=True")</f>
        <v>14.724529069363221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46487</v>
      </c>
      <c r="T781" s="43">
        <f ca="1">_xll.BInterpol('Base CDI'!$H$4:$H$28,'Base CDI'!$J$4:$J$29,S781,"Cubic","Extrapolate=Linear","MultiX=Average","Skip=True","Sort=True")</f>
        <v>14.696565116381604</v>
      </c>
      <c r="U781" s="43">
        <f ca="1">_xll.BInterpol('Base CDI'!$H$4:$H$28,'Base CDI'!$I$4:$I$29,S781,"Cubic","Extrapolate=Linear","MultiX=Average","Skip=True","Sort=True")</f>
        <v>14.724161298598256</v>
      </c>
    </row>
    <row r="782" spans="16:21" x14ac:dyDescent="0.25">
      <c r="P782" s="10">
        <v>35649</v>
      </c>
      <c r="Q782">
        <v>2.82707</v>
      </c>
      <c r="S782" s="42">
        <f t="shared" ca="1" si="17"/>
        <v>46488</v>
      </c>
      <c r="T782" s="43">
        <f ca="1">_xll.BInterpol('Base CDI'!$H$4:$H$28,'Base CDI'!$J$4:$J$29,S782,"Cubic","Extrapolate=Linear","MultiX=Average","Skip=True","Sort=True")</f>
        <v>14.696198743366272</v>
      </c>
      <c r="U782" s="43">
        <f ca="1">_xll.BInterpol('Base CDI'!$H$4:$H$28,'Base CDI'!$I$4:$I$29,S782,"Cubic","Extrapolate=Linear","MultiX=Average","Skip=True","Sort=True")</f>
        <v>14.723795661258922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46489</v>
      </c>
      <c r="T783" s="43">
        <f ca="1">_xll.BInterpol('Base CDI'!$H$4:$H$28,'Base CDI'!$J$4:$J$29,S783,"Cubic","Extrapolate=Linear","MultiX=Average","Skip=True","Sort=True")</f>
        <v>14.695834055722091</v>
      </c>
      <c r="U783" s="43">
        <f ca="1">_xll.BInterpol('Base CDI'!$H$4:$H$28,'Base CDI'!$I$4:$I$29,S783,"Cubic","Extrapolate=Linear","MultiX=Average","Skip=True","Sort=True")</f>
        <v>14.723432151890206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46490</v>
      </c>
      <c r="T784" s="43">
        <f ca="1">_xll.BInterpol('Base CDI'!$H$4:$H$28,'Base CDI'!$J$4:$J$29,S784,"Cubic","Extrapolate=Linear","MultiX=Average","Skip=True","Sort=True")</f>
        <v>14.69547105071404</v>
      </c>
      <c r="U784" s="43">
        <f ca="1">_xll.BInterpol('Base CDI'!$H$4:$H$28,'Base CDI'!$I$4:$I$29,S784,"Cubic","Extrapolate=Linear","MultiX=Average","Skip=True","Sort=True")</f>
        <v>14.723070765037095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46491</v>
      </c>
      <c r="T785" s="43">
        <f ca="1">_xll.BInterpol('Base CDI'!$H$4:$H$28,'Base CDI'!$J$4:$J$29,S785,"Cubic","Extrapolate=Linear","MultiX=Average","Skip=True","Sort=True")</f>
        <v>14.695109725607093</v>
      </c>
      <c r="U785" s="43">
        <f ca="1">_xll.BInterpol('Base CDI'!$H$4:$H$28,'Base CDI'!$I$4:$I$29,S785,"Cubic","Extrapolate=Linear","MultiX=Average","Skip=True","Sort=True")</f>
        <v>14.722711495244576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46492</v>
      </c>
      <c r="T786" s="43">
        <f ca="1">_xll.BInterpol('Base CDI'!$H$4:$H$28,'Base CDI'!$J$4:$J$29,S786,"Cubic","Extrapolate=Linear","MultiX=Average","Skip=True","Sort=True")</f>
        <v>14.69475007766623</v>
      </c>
      <c r="U786" s="43">
        <f ca="1">_xll.BInterpol('Base CDI'!$H$4:$H$28,'Base CDI'!$I$4:$I$29,S786,"Cubic","Extrapolate=Linear","MultiX=Average","Skip=True","Sort=True")</f>
        <v>14.722354337057638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46493</v>
      </c>
      <c r="T787" s="43">
        <f ca="1">_xll.BInterpol('Base CDI'!$H$4:$H$28,'Base CDI'!$J$4:$J$29,S787,"Cubic","Extrapolate=Linear","MultiX=Average","Skip=True","Sort=True")</f>
        <v>14.694392104156426</v>
      </c>
      <c r="U787" s="43">
        <f ca="1">_xll.BInterpol('Base CDI'!$H$4:$H$28,'Base CDI'!$I$4:$I$29,S787,"Cubic","Extrapolate=Linear","MultiX=Average","Skip=True","Sort=True")</f>
        <v>14.721999285021266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46494</v>
      </c>
      <c r="T788" s="43">
        <f ca="1">_xll.BInterpol('Base CDI'!$H$4:$H$28,'Base CDI'!$J$4:$J$29,S788,"Cubic","Extrapolate=Linear","MultiX=Average","Skip=True","Sort=True")</f>
        <v>14.694035802342658</v>
      </c>
      <c r="U788" s="43">
        <f ca="1">_xll.BInterpol('Base CDI'!$H$4:$H$28,'Base CDI'!$I$4:$I$29,S788,"Cubic","Extrapolate=Linear","MultiX=Average","Skip=True","Sort=True")</f>
        <v>14.721646333680447</v>
      </c>
    </row>
    <row r="789" spans="16:21" x14ac:dyDescent="0.25">
      <c r="P789" s="10">
        <v>35660</v>
      </c>
      <c r="Q789">
        <v>2.841974</v>
      </c>
      <c r="S789" s="42">
        <f t="shared" ca="1" si="17"/>
        <v>46495</v>
      </c>
      <c r="T789" s="43">
        <f ca="1">_xll.BInterpol('Base CDI'!$H$4:$H$28,'Base CDI'!$J$4:$J$29,S789,"Cubic","Extrapolate=Linear","MultiX=Average","Skip=True","Sort=True")</f>
        <v>14.693681169489905</v>
      </c>
      <c r="U789" s="43">
        <f ca="1">_xll.BInterpol('Base CDI'!$H$4:$H$28,'Base CDI'!$I$4:$I$29,S789,"Cubic","Extrapolate=Linear","MultiX=Average","Skip=True","Sort=True")</f>
        <v>14.721295477580169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46496</v>
      </c>
      <c r="T790" s="43">
        <f ca="1">_xll.BInterpol('Base CDI'!$H$4:$H$28,'Base CDI'!$J$4:$J$29,S790,"Cubic","Extrapolate=Linear","MultiX=Average","Skip=True","Sort=True")</f>
        <v>14.693328202863141</v>
      </c>
      <c r="U790" s="43">
        <f ca="1">_xll.BInterpol('Base CDI'!$H$4:$H$28,'Base CDI'!$I$4:$I$29,S790,"Cubic","Extrapolate=Linear","MultiX=Average","Skip=True","Sort=True")</f>
        <v>14.72094671126542</v>
      </c>
    </row>
    <row r="791" spans="16:21" x14ac:dyDescent="0.25">
      <c r="P791" s="10">
        <v>35662</v>
      </c>
      <c r="Q791">
        <v>2.846238</v>
      </c>
      <c r="S791" s="42">
        <f t="shared" ca="1" si="17"/>
        <v>46497</v>
      </c>
      <c r="T791" s="43">
        <f ca="1">_xll.BInterpol('Base CDI'!$H$4:$H$28,'Base CDI'!$J$4:$J$29,S791,"Cubic","Extrapolate=Linear","MultiX=Average","Skip=True","Sort=True")</f>
        <v>14.692976899727345</v>
      </c>
      <c r="U791" s="43">
        <f ca="1">_xll.BInterpol('Base CDI'!$H$4:$H$28,'Base CDI'!$I$4:$I$29,S791,"Cubic","Extrapolate=Linear","MultiX=Average","Skip=True","Sort=True")</f>
        <v>14.720600029281186</v>
      </c>
    </row>
    <row r="792" spans="16:21" x14ac:dyDescent="0.25">
      <c r="P792" s="10">
        <v>35663</v>
      </c>
      <c r="Q792">
        <v>2.848373</v>
      </c>
      <c r="S792" s="42">
        <f t="shared" ca="1" si="17"/>
        <v>46498</v>
      </c>
      <c r="T792" s="43">
        <f ca="1">_xll.BInterpol('Base CDI'!$H$4:$H$28,'Base CDI'!$J$4:$J$29,S792,"Cubic","Extrapolate=Linear","MultiX=Average","Skip=True","Sort=True")</f>
        <v>14.692627257347494</v>
      </c>
      <c r="U792" s="43">
        <f ca="1">_xll.BInterpol('Base CDI'!$H$4:$H$28,'Base CDI'!$I$4:$I$29,S792,"Cubic","Extrapolate=Linear","MultiX=Average","Skip=True","Sort=True")</f>
        <v>14.720255426172454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46499</v>
      </c>
      <c r="T793" s="43">
        <f ca="1">_xll.BInterpol('Base CDI'!$H$4:$H$28,'Base CDI'!$J$4:$J$29,S793,"Cubic","Extrapolate=Linear","MultiX=Average","Skip=True","Sort=True")</f>
        <v>14.692279272988564</v>
      </c>
      <c r="U793" s="43">
        <f ca="1">_xll.BInterpol('Base CDI'!$H$4:$H$28,'Base CDI'!$I$4:$I$29,S793,"Cubic","Extrapolate=Linear","MultiX=Average","Skip=True","Sort=True")</f>
        <v>14.719912896484212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46500</v>
      </c>
      <c r="T794" s="43">
        <f ca="1">_xll.BInterpol('Base CDI'!$H$4:$H$28,'Base CDI'!$J$4:$J$29,S794,"Cubic","Extrapolate=Linear","MultiX=Average","Skip=True","Sort=True")</f>
        <v>14.691932943915532</v>
      </c>
      <c r="U794" s="43">
        <f ca="1">_xll.BInterpol('Base CDI'!$H$4:$H$28,'Base CDI'!$I$4:$I$29,S794,"Cubic","Extrapolate=Linear","MultiX=Average","Skip=True","Sort=True")</f>
        <v>14.719572434761448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46501</v>
      </c>
      <c r="T795" s="43">
        <f ca="1">_xll.BInterpol('Base CDI'!$H$4:$H$28,'Base CDI'!$J$4:$J$29,S795,"Cubic","Extrapolate=Linear","MultiX=Average","Skip=True","Sort=True")</f>
        <v>14.691588267393376</v>
      </c>
      <c r="U795" s="43">
        <f ca="1">_xll.BInterpol('Base CDI'!$H$4:$H$28,'Base CDI'!$I$4:$I$29,S795,"Cubic","Extrapolate=Linear","MultiX=Average","Skip=True","Sort=True")</f>
        <v>14.719234035549148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46502</v>
      </c>
      <c r="T796" s="43">
        <f ca="1">_xll.BInterpol('Base CDI'!$H$4:$H$28,'Base CDI'!$J$4:$J$29,S796,"Cubic","Extrapolate=Linear","MultiX=Average","Skip=True","Sort=True")</f>
        <v>14.691245240687072</v>
      </c>
      <c r="U796" s="43">
        <f ca="1">_xll.BInterpol('Base CDI'!$H$4:$H$28,'Base CDI'!$I$4:$I$29,S796,"Cubic","Extrapolate=Linear","MultiX=Average","Skip=True","Sort=True")</f>
        <v>14.718897693392298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46503</v>
      </c>
      <c r="T797" s="43">
        <f ca="1">_xll.BInterpol('Base CDI'!$H$4:$H$28,'Base CDI'!$J$4:$J$29,S797,"Cubic","Extrapolate=Linear","MultiX=Average","Skip=True","Sort=True")</f>
        <v>14.690903861061598</v>
      </c>
      <c r="U797" s="43">
        <f ca="1">_xll.BInterpol('Base CDI'!$H$4:$H$28,'Base CDI'!$I$4:$I$29,S797,"Cubic","Extrapolate=Linear","MultiX=Average","Skip=True","Sort=True")</f>
        <v>14.718563402835889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46504</v>
      </c>
      <c r="T798" s="43">
        <f ca="1">_xll.BInterpol('Base CDI'!$H$4:$H$28,'Base CDI'!$J$4:$J$29,S798,"Cubic","Extrapolate=Linear","MultiX=Average","Skip=True","Sort=True")</f>
        <v>14.690564125781929</v>
      </c>
      <c r="U798" s="43">
        <f ca="1">_xll.BInterpol('Base CDI'!$H$4:$H$28,'Base CDI'!$I$4:$I$29,S798,"Cubic","Extrapolate=Linear","MultiX=Average","Skip=True","Sort=True")</f>
        <v>14.718231158424903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46505</v>
      </c>
      <c r="T799" s="43">
        <f ca="1">_xll.BInterpol('Base CDI'!$H$4:$H$28,'Base CDI'!$J$4:$J$29,S799,"Cubic","Extrapolate=Linear","MultiX=Average","Skip=True","Sort=True")</f>
        <v>14.690226032113042</v>
      </c>
      <c r="U799" s="43">
        <f ca="1">_xll.BInterpol('Base CDI'!$H$4:$H$28,'Base CDI'!$I$4:$I$29,S799,"Cubic","Extrapolate=Linear","MultiX=Average","Skip=True","Sort=True")</f>
        <v>14.717900954704332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46506</v>
      </c>
      <c r="T800" s="43">
        <f ca="1">_xll.BInterpol('Base CDI'!$H$4:$H$28,'Base CDI'!$J$4:$J$29,S800,"Cubic","Extrapolate=Linear","MultiX=Average","Skip=True","Sort=True")</f>
        <v>14.689889577319917</v>
      </c>
      <c r="U800" s="43">
        <f ca="1">_xll.BInterpol('Base CDI'!$H$4:$H$28,'Base CDI'!$I$4:$I$29,S800,"Cubic","Extrapolate=Linear","MultiX=Average","Skip=True","Sort=True")</f>
        <v>14.71757278621916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46507</v>
      </c>
      <c r="T801" s="43">
        <f ca="1">_xll.BInterpol('Base CDI'!$H$4:$H$28,'Base CDI'!$J$4:$J$29,S801,"Cubic","Extrapolate=Linear","MultiX=Average","Skip=True","Sort=True")</f>
        <v>14.68955475866753</v>
      </c>
      <c r="U801" s="43">
        <f ca="1">_xll.BInterpol('Base CDI'!$H$4:$H$28,'Base CDI'!$I$4:$I$29,S801,"Cubic","Extrapolate=Linear","MultiX=Average","Skip=True","Sort=True")</f>
        <v>14.717246647514376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46508</v>
      </c>
      <c r="T802" s="43">
        <f ca="1">_xll.BInterpol('Base CDI'!$H$4:$H$28,'Base CDI'!$J$4:$J$29,S802,"Cubic","Extrapolate=Linear","MultiX=Average","Skip=True","Sort=True")</f>
        <v>14.689221573420856</v>
      </c>
      <c r="U802" s="43">
        <f ca="1">_xll.BInterpol('Base CDI'!$H$4:$H$28,'Base CDI'!$I$4:$I$29,S802,"Cubic","Extrapolate=Linear","MultiX=Average","Skip=True","Sort=True")</f>
        <v>14.716922533134966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46509</v>
      </c>
      <c r="T803" s="43">
        <f ca="1">_xll.BInterpol('Base CDI'!$H$4:$H$28,'Base CDI'!$J$4:$J$29,S803,"Cubic","Extrapolate=Linear","MultiX=Average","Skip=True","Sort=True")</f>
        <v>14.688890018844873</v>
      </c>
      <c r="U803" s="43">
        <f ca="1">_xll.BInterpol('Base CDI'!$H$4:$H$28,'Base CDI'!$I$4:$I$29,S803,"Cubic","Extrapolate=Linear","MultiX=Average","Skip=True","Sort=True")</f>
        <v>14.716600437625917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46510</v>
      </c>
      <c r="T804" s="43">
        <f ca="1">_xll.BInterpol('Base CDI'!$H$4:$H$28,'Base CDI'!$J$4:$J$29,S804,"Cubic","Extrapolate=Linear","MultiX=Average","Skip=True","Sort=True")</f>
        <v>14.688560092204558</v>
      </c>
      <c r="U804" s="43">
        <f ca="1">_xll.BInterpol('Base CDI'!$H$4:$H$28,'Base CDI'!$I$4:$I$29,S804,"Cubic","Extrapolate=Linear","MultiX=Average","Skip=True","Sort=True")</f>
        <v>14.716280355532218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46511</v>
      </c>
      <c r="T805" s="43">
        <f ca="1">_xll.BInterpol('Base CDI'!$H$4:$H$28,'Base CDI'!$J$4:$J$29,S805,"Cubic","Extrapolate=Linear","MultiX=Average","Skip=True","Sort=True")</f>
        <v>14.688231790764886</v>
      </c>
      <c r="U805" s="43">
        <f ca="1">_xll.BInterpol('Base CDI'!$H$4:$H$28,'Base CDI'!$I$4:$I$29,S805,"Cubic","Extrapolate=Linear","MultiX=Average","Skip=True","Sort=True")</f>
        <v>14.715962281398854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46512</v>
      </c>
      <c r="T806" s="43">
        <f ca="1">_xll.BInterpol('Base CDI'!$H$4:$H$28,'Base CDI'!$J$4:$J$29,S806,"Cubic","Extrapolate=Linear","MultiX=Average","Skip=True","Sort=True")</f>
        <v>14.687905111790839</v>
      </c>
      <c r="U806" s="43">
        <f ca="1">_xll.BInterpol('Base CDI'!$H$4:$H$28,'Base CDI'!$I$4:$I$29,S806,"Cubic","Extrapolate=Linear","MultiX=Average","Skip=True","Sort=True")</f>
        <v>14.715646209770814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46513</v>
      </c>
      <c r="T807" s="43">
        <f ca="1">_xll.BInterpol('Base CDI'!$H$4:$H$28,'Base CDI'!$J$4:$J$29,S807,"Cubic","Extrapolate=Linear","MultiX=Average","Skip=True","Sort=True")</f>
        <v>14.687580052547389</v>
      </c>
      <c r="U807" s="43">
        <f ca="1">_xll.BInterpol('Base CDI'!$H$4:$H$28,'Base CDI'!$I$4:$I$29,S807,"Cubic","Extrapolate=Linear","MultiX=Average","Skip=True","Sort=True")</f>
        <v>14.715332135193083</v>
      </c>
    </row>
    <row r="808" spans="16:21" x14ac:dyDescent="0.25">
      <c r="P808" s="10">
        <v>35685</v>
      </c>
      <c r="Q808">
        <v>2.881767</v>
      </c>
      <c r="S808" s="42">
        <f t="shared" ca="1" si="17"/>
        <v>46514</v>
      </c>
      <c r="T808" s="43">
        <f ca="1">_xll.BInterpol('Base CDI'!$H$4:$H$28,'Base CDI'!$J$4:$J$29,S808,"Cubic","Extrapolate=Linear","MultiX=Average","Skip=True","Sort=True")</f>
        <v>14.687256610299515</v>
      </c>
      <c r="U808" s="43">
        <f ca="1">_xll.BInterpol('Base CDI'!$H$4:$H$28,'Base CDI'!$I$4:$I$29,S808,"Cubic","Extrapolate=Linear","MultiX=Average","Skip=True","Sort=True")</f>
        <v>14.715020052210653</v>
      </c>
    </row>
    <row r="809" spans="16:21" x14ac:dyDescent="0.25">
      <c r="P809" s="10">
        <v>35688</v>
      </c>
      <c r="Q809">
        <v>2.883842</v>
      </c>
      <c r="S809" s="42">
        <f t="shared" ca="1" si="17"/>
        <v>46515</v>
      </c>
      <c r="T809" s="43">
        <f ca="1">_xll.BInterpol('Base CDI'!$H$4:$H$28,'Base CDI'!$J$4:$J$29,S809,"Cubic","Extrapolate=Linear","MultiX=Average","Skip=True","Sort=True")</f>
        <v>14.686934782312196</v>
      </c>
      <c r="U809" s="43">
        <f ca="1">_xll.BInterpol('Base CDI'!$H$4:$H$28,'Base CDI'!$I$4:$I$29,S809,"Cubic","Extrapolate=Linear","MultiX=Average","Skip=True","Sort=True")</f>
        <v>14.714709955368505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46516</v>
      </c>
      <c r="T810" s="43">
        <f ca="1">_xll.BInterpol('Base CDI'!$H$4:$H$28,'Base CDI'!$J$4:$J$29,S810,"Cubic","Extrapolate=Linear","MultiX=Average","Skip=True","Sort=True")</f>
        <v>14.686614565850405</v>
      </c>
      <c r="U810" s="43">
        <f ca="1">_xll.BInterpol('Base CDI'!$H$4:$H$28,'Base CDI'!$I$4:$I$29,S810,"Cubic","Extrapolate=Linear","MultiX=Average","Skip=True","Sort=True")</f>
        <v>14.714401839211629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46517</v>
      </c>
      <c r="T811" s="43">
        <f ca="1">_xll.BInterpol('Base CDI'!$H$4:$H$28,'Base CDI'!$J$4:$J$29,S811,"Cubic","Extrapolate=Linear","MultiX=Average","Skip=True","Sort=True")</f>
        <v>14.686295958179121</v>
      </c>
      <c r="U811" s="43">
        <f ca="1">_xll.BInterpol('Base CDI'!$H$4:$H$28,'Base CDI'!$I$4:$I$29,S811,"Cubic","Extrapolate=Linear","MultiX=Average","Skip=True","Sort=True")</f>
        <v>14.714095698285012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46518</v>
      </c>
      <c r="T812" s="43">
        <f ca="1">_xll.BInterpol('Base CDI'!$H$4:$H$28,'Base CDI'!$J$4:$J$29,S812,"Cubic","Extrapolate=Linear","MultiX=Average","Skip=True","Sort=True")</f>
        <v>14.68597895656332</v>
      </c>
      <c r="U812" s="43">
        <f ca="1">_xll.BInterpol('Base CDI'!$H$4:$H$28,'Base CDI'!$I$4:$I$29,S812,"Cubic","Extrapolate=Linear","MultiX=Average","Skip=True","Sort=True")</f>
        <v>14.713791527133644</v>
      </c>
    </row>
    <row r="813" spans="16:21" x14ac:dyDescent="0.25">
      <c r="P813" s="10">
        <v>35692</v>
      </c>
      <c r="Q813">
        <v>2.892128</v>
      </c>
      <c r="S813" s="42">
        <f t="shared" ca="1" si="17"/>
        <v>46519</v>
      </c>
      <c r="T813" s="43">
        <f ca="1">_xll.BInterpol('Base CDI'!$H$4:$H$28,'Base CDI'!$J$4:$J$29,S813,"Cubic","Extrapolate=Linear","MultiX=Average","Skip=True","Sort=True")</f>
        <v>14.685663558267979</v>
      </c>
      <c r="U813" s="43">
        <f ca="1">_xll.BInterpol('Base CDI'!$H$4:$H$28,'Base CDI'!$I$4:$I$29,S813,"Cubic","Extrapolate=Linear","MultiX=Average","Skip=True","Sort=True")</f>
        <v>14.713489320302507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46520</v>
      </c>
      <c r="T814" s="43">
        <f ca="1">_xll.BInterpol('Base CDI'!$H$4:$H$28,'Base CDI'!$J$4:$J$29,S814,"Cubic","Extrapolate=Linear","MultiX=Average","Skip=True","Sort=True")</f>
        <v>14.685349760558077</v>
      </c>
      <c r="U814" s="43">
        <f ca="1">_xll.BInterpol('Base CDI'!$H$4:$H$28,'Base CDI'!$I$4:$I$29,S814,"Cubic","Extrapolate=Linear","MultiX=Average","Skip=True","Sort=True")</f>
        <v>14.713189072336592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46521</v>
      </c>
      <c r="T815" s="43">
        <f ca="1">_xll.BInterpol('Base CDI'!$H$4:$H$28,'Base CDI'!$J$4:$J$29,S815,"Cubic","Extrapolate=Linear","MultiX=Average","Skip=True","Sort=True")</f>
        <v>14.685037560698591</v>
      </c>
      <c r="U815" s="43">
        <f ca="1">_xll.BInterpol('Base CDI'!$H$4:$H$28,'Base CDI'!$I$4:$I$29,S815,"Cubic","Extrapolate=Linear","MultiX=Average","Skip=True","Sort=True")</f>
        <v>14.712890777780883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46522</v>
      </c>
      <c r="T816" s="43">
        <f ca="1">_xll.BInterpol('Base CDI'!$H$4:$H$28,'Base CDI'!$J$4:$J$29,S816,"Cubic","Extrapolate=Linear","MultiX=Average","Skip=True","Sort=True")</f>
        <v>14.684726955954494</v>
      </c>
      <c r="U816" s="43">
        <f ca="1">_xll.BInterpol('Base CDI'!$H$4:$H$28,'Base CDI'!$I$4:$I$29,S816,"Cubic","Extrapolate=Linear","MultiX=Average","Skip=True","Sort=True")</f>
        <v>14.712594431180371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46523</v>
      </c>
      <c r="T817" s="43">
        <f ca="1">_xll.BInterpol('Base CDI'!$H$4:$H$28,'Base CDI'!$J$4:$J$29,S817,"Cubic","Extrapolate=Linear","MultiX=Average","Skip=True","Sort=True")</f>
        <v>14.684417943590766</v>
      </c>
      <c r="U817" s="43">
        <f ca="1">_xll.BInterpol('Base CDI'!$H$4:$H$28,'Base CDI'!$I$4:$I$29,S817,"Cubic","Extrapolate=Linear","MultiX=Average","Skip=True","Sort=True")</f>
        <v>14.71230002708004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46524</v>
      </c>
      <c r="T818" s="43">
        <f ca="1">_xll.BInterpol('Base CDI'!$H$4:$H$28,'Base CDI'!$J$4:$J$29,S818,"Cubic","Extrapolate=Linear","MultiX=Average","Skip=True","Sort=True")</f>
        <v>14.684110520872386</v>
      </c>
      <c r="U818" s="43">
        <f ca="1">_xll.BInterpol('Base CDI'!$H$4:$H$28,'Base CDI'!$I$4:$I$29,S818,"Cubic","Extrapolate=Linear","MultiX=Average","Skip=True","Sort=True")</f>
        <v>14.71200756002488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46525</v>
      </c>
      <c r="T819" s="43">
        <f ca="1">_xll.BInterpol('Base CDI'!$H$4:$H$28,'Base CDI'!$J$4:$J$29,S819,"Cubic","Extrapolate=Linear","MultiX=Average","Skip=True","Sort=True")</f>
        <v>14.683804685064326</v>
      </c>
      <c r="U819" s="43">
        <f ca="1">_xll.BInterpol('Base CDI'!$H$4:$H$28,'Base CDI'!$I$4:$I$29,S819,"Cubic","Extrapolate=Linear","MultiX=Average","Skip=True","Sort=True")</f>
        <v>14.711717024559876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46526</v>
      </c>
      <c r="T820" s="43">
        <f ca="1">_xll.BInterpol('Base CDI'!$H$4:$H$28,'Base CDI'!$J$4:$J$29,S820,"Cubic","Extrapolate=Linear","MultiX=Average","Skip=True","Sort=True")</f>
        <v>14.683500433431565</v>
      </c>
      <c r="U820" s="43">
        <f ca="1">_xll.BInterpol('Base CDI'!$H$4:$H$28,'Base CDI'!$I$4:$I$29,S820,"Cubic","Extrapolate=Linear","MultiX=Average","Skip=True","Sort=True")</f>
        <v>14.711428415230015</v>
      </c>
    </row>
    <row r="821" spans="16:21" x14ac:dyDescent="0.25">
      <c r="P821" s="10">
        <v>35704</v>
      </c>
      <c r="Q821">
        <v>2.908509</v>
      </c>
      <c r="S821" s="42">
        <f t="shared" ca="1" si="17"/>
        <v>46527</v>
      </c>
      <c r="T821" s="43">
        <f ca="1">_xll.BInterpol('Base CDI'!$H$4:$H$28,'Base CDI'!$J$4:$J$29,S821,"Cubic","Extrapolate=Linear","MultiX=Average","Skip=True","Sort=True")</f>
        <v>14.683197763239081</v>
      </c>
      <c r="U821" s="43">
        <f ca="1">_xll.BInterpol('Base CDI'!$H$4:$H$28,'Base CDI'!$I$4:$I$29,S821,"Cubic","Extrapolate=Linear","MultiX=Average","Skip=True","Sort=True")</f>
        <v>14.711141726580287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46528</v>
      </c>
      <c r="T822" s="43">
        <f ca="1">_xll.BInterpol('Base CDI'!$H$4:$H$28,'Base CDI'!$J$4:$J$29,S822,"Cubic","Extrapolate=Linear","MultiX=Average","Skip=True","Sort=True")</f>
        <v>14.68289667175185</v>
      </c>
      <c r="U822" s="43">
        <f ca="1">_xll.BInterpol('Base CDI'!$H$4:$H$28,'Base CDI'!$I$4:$I$29,S822,"Cubic","Extrapolate=Linear","MultiX=Average","Skip=True","Sort=True")</f>
        <v>14.710856953155675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46529</v>
      </c>
      <c r="T823" s="43">
        <f ca="1">_xll.BInterpol('Base CDI'!$H$4:$H$28,'Base CDI'!$J$4:$J$29,S823,"Cubic","Extrapolate=Linear","MultiX=Average","Skip=True","Sort=True")</f>
        <v>14.68259715623485</v>
      </c>
      <c r="U823" s="43">
        <f ca="1">_xll.BInterpol('Base CDI'!$H$4:$H$28,'Base CDI'!$I$4:$I$29,S823,"Cubic","Extrapolate=Linear","MultiX=Average","Skip=True","Sort=True")</f>
        <v>14.71057408950117</v>
      </c>
    </row>
    <row r="824" spans="16:21" x14ac:dyDescent="0.25">
      <c r="P824" s="10">
        <v>35709</v>
      </c>
      <c r="Q824">
        <v>2.914485</v>
      </c>
      <c r="S824" s="42">
        <f t="shared" ca="1" si="17"/>
        <v>46530</v>
      </c>
      <c r="T824" s="43">
        <f ca="1">_xll.BInterpol('Base CDI'!$H$4:$H$28,'Base CDI'!$J$4:$J$29,S824,"Cubic","Extrapolate=Linear","MultiX=Average","Skip=True","Sort=True")</f>
        <v>14.682299213953058</v>
      </c>
      <c r="U824" s="43">
        <f ca="1">_xll.BInterpol('Base CDI'!$H$4:$H$28,'Base CDI'!$I$4:$I$29,S824,"Cubic","Extrapolate=Linear","MultiX=Average","Skip=True","Sort=True")</f>
        <v>14.710293130161757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46531</v>
      </c>
      <c r="T825" s="43">
        <f ca="1">_xll.BInterpol('Base CDI'!$H$4:$H$28,'Base CDI'!$J$4:$J$29,S825,"Cubic","Extrapolate=Linear","MultiX=Average","Skip=True","Sort=True")</f>
        <v>14.68200284217145</v>
      </c>
      <c r="U825" s="43">
        <f ca="1">_xll.BInterpol('Base CDI'!$H$4:$H$28,'Base CDI'!$I$4:$I$29,S825,"Cubic","Extrapolate=Linear","MultiX=Average","Skip=True","Sort=True")</f>
        <v>14.710014069682424</v>
      </c>
    </row>
    <row r="826" spans="16:21" x14ac:dyDescent="0.25">
      <c r="P826" s="10">
        <v>35711</v>
      </c>
      <c r="Q826">
        <v>2.918469</v>
      </c>
      <c r="S826" s="42">
        <f t="shared" ca="1" si="17"/>
        <v>46532</v>
      </c>
      <c r="T826" s="43">
        <f ca="1">_xll.BInterpol('Base CDI'!$H$4:$H$28,'Base CDI'!$J$4:$J$29,S826,"Cubic","Extrapolate=Linear","MultiX=Average","Skip=True","Sort=True")</f>
        <v>14.681708038155001</v>
      </c>
      <c r="U826" s="43">
        <f ca="1">_xll.BInterpol('Base CDI'!$H$4:$H$28,'Base CDI'!$I$4:$I$29,S826,"Cubic","Extrapolate=Linear","MultiX=Average","Skip=True","Sort=True")</f>
        <v>14.709736902608158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46533</v>
      </c>
      <c r="T827" s="43">
        <f ca="1">_xll.BInterpol('Base CDI'!$H$4:$H$28,'Base CDI'!$J$4:$J$29,S827,"Cubic","Extrapolate=Linear","MultiX=Average","Skip=True","Sort=True")</f>
        <v>14.681414799168692</v>
      </c>
      <c r="U827" s="43">
        <f ca="1">_xll.BInterpol('Base CDI'!$H$4:$H$28,'Base CDI'!$I$4:$I$29,S827,"Cubic","Extrapolate=Linear","MultiX=Average","Skip=True","Sort=True")</f>
        <v>14.709461623483946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46534</v>
      </c>
      <c r="T828" s="43">
        <f ca="1">_xll.BInterpol('Base CDI'!$H$4:$H$28,'Base CDI'!$J$4:$J$29,S828,"Cubic","Extrapolate=Linear","MultiX=Average","Skip=True","Sort=True")</f>
        <v>14.681123122477498</v>
      </c>
      <c r="U828" s="43">
        <f ca="1">_xll.BInterpol('Base CDI'!$H$4:$H$28,'Base CDI'!$I$4:$I$29,S828,"Cubic","Extrapolate=Linear","MultiX=Average","Skip=True","Sort=True")</f>
        <v>14.709188226854776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46535</v>
      </c>
      <c r="T829" s="43">
        <f ca="1">_xll.BInterpol('Base CDI'!$H$4:$H$28,'Base CDI'!$J$4:$J$29,S829,"Cubic","Extrapolate=Linear","MultiX=Average","Skip=True","Sort=True")</f>
        <v>14.680833005346395</v>
      </c>
      <c r="U829" s="43">
        <f ca="1">_xll.BInterpol('Base CDI'!$H$4:$H$28,'Base CDI'!$I$4:$I$29,S829,"Cubic","Extrapolate=Linear","MultiX=Average","Skip=True","Sort=True")</f>
        <v>14.708916707265633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46536</v>
      </c>
      <c r="T830" s="43">
        <f ca="1">_xll.BInterpol('Base CDI'!$H$4:$H$28,'Base CDI'!$J$4:$J$29,S830,"Cubic","Extrapolate=Linear","MultiX=Average","Skip=True","Sort=True")</f>
        <v>14.680544445040363</v>
      </c>
      <c r="U830" s="43">
        <f ca="1">_xll.BInterpol('Base CDI'!$H$4:$H$28,'Base CDI'!$I$4:$I$29,S830,"Cubic","Extrapolate=Linear","MultiX=Average","Skip=True","Sort=True")</f>
        <v>14.708647059261507</v>
      </c>
    </row>
    <row r="831" spans="16:21" x14ac:dyDescent="0.25">
      <c r="P831" s="10">
        <v>35718</v>
      </c>
      <c r="Q831">
        <v>2.928464</v>
      </c>
      <c r="S831" s="42">
        <f t="shared" ca="1" si="17"/>
        <v>46537</v>
      </c>
      <c r="T831" s="43">
        <f ca="1">_xll.BInterpol('Base CDI'!$H$4:$H$28,'Base CDI'!$J$4:$J$29,S831,"Cubic","Extrapolate=Linear","MultiX=Average","Skip=True","Sort=True")</f>
        <v>14.680257438824375</v>
      </c>
      <c r="U831" s="43">
        <f ca="1">_xll.BInterpol('Base CDI'!$H$4:$H$28,'Base CDI'!$I$4:$I$29,S831,"Cubic","Extrapolate=Linear","MultiX=Average","Skip=True","Sort=True")</f>
        <v>14.708379277387383</v>
      </c>
    </row>
    <row r="832" spans="16:21" x14ac:dyDescent="0.25">
      <c r="P832" s="10">
        <v>35719</v>
      </c>
      <c r="Q832">
        <v>2.930485</v>
      </c>
      <c r="S832" s="42">
        <f t="shared" ca="1" si="17"/>
        <v>46538</v>
      </c>
      <c r="T832" s="43">
        <f ca="1">_xll.BInterpol('Base CDI'!$H$4:$H$28,'Base CDI'!$J$4:$J$29,S832,"Cubic","Extrapolate=Linear","MultiX=Average","Skip=True","Sort=True")</f>
        <v>14.67997198396341</v>
      </c>
      <c r="U832" s="43">
        <f ca="1">_xll.BInterpol('Base CDI'!$H$4:$H$28,'Base CDI'!$I$4:$I$29,S832,"Cubic","Extrapolate=Linear","MultiX=Average","Skip=True","Sort=True")</f>
        <v>14.70811335618825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46539</v>
      </c>
      <c r="T833" s="43">
        <f ca="1">_xll.BInterpol('Base CDI'!$H$4:$H$28,'Base CDI'!$J$4:$J$29,S833,"Cubic","Extrapolate=Linear","MultiX=Average","Skip=True","Sort=True")</f>
        <v>14.679688077722446</v>
      </c>
      <c r="U833" s="43">
        <f ca="1">_xll.BInterpol('Base CDI'!$H$4:$H$28,'Base CDI'!$I$4:$I$29,S833,"Cubic","Extrapolate=Linear","MultiX=Average","Skip=True","Sort=True")</f>
        <v>14.707849290209094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46540</v>
      </c>
      <c r="T834" s="43">
        <f ca="1">_xll.BInterpol('Base CDI'!$H$4:$H$28,'Base CDI'!$J$4:$J$29,S834,"Cubic","Extrapolate=Linear","MultiX=Average","Skip=True","Sort=True")</f>
        <v>14.679405717366459</v>
      </c>
      <c r="U834" s="43">
        <f ca="1">_xll.BInterpol('Base CDI'!$H$4:$H$28,'Base CDI'!$I$4:$I$29,S834,"Cubic","Extrapolate=Linear","MultiX=Average","Skip=True","Sort=True")</f>
        <v>14.707587073994903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46541</v>
      </c>
      <c r="T835" s="43">
        <f ca="1">_xll.BInterpol('Base CDI'!$H$4:$H$28,'Base CDI'!$J$4:$J$29,S835,"Cubic","Extrapolate=Linear","MultiX=Average","Skip=True","Sort=True")</f>
        <v>14.679124900160426</v>
      </c>
      <c r="U835" s="43">
        <f ca="1">_xll.BInterpol('Base CDI'!$H$4:$H$28,'Base CDI'!$I$4:$I$29,S835,"Cubic","Extrapolate=Linear","MultiX=Average","Skip=True","Sort=True")</f>
        <v>14.707326702090663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46542</v>
      </c>
      <c r="T836" s="43">
        <f ca="1">_xll.BInterpol('Base CDI'!$H$4:$H$28,'Base CDI'!$J$4:$J$29,S836,"Cubic","Extrapolate=Linear","MultiX=Average","Skip=True","Sort=True")</f>
        <v>14.678845623369323</v>
      </c>
      <c r="U836" s="43">
        <f ca="1">_xll.BInterpol('Base CDI'!$H$4:$H$28,'Base CDI'!$I$4:$I$29,S836,"Cubic","Extrapolate=Linear","MultiX=Average","Skip=True","Sort=True")</f>
        <v>14.707068169041362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46543</v>
      </c>
      <c r="T837" s="43">
        <f ca="1">_xll.BInterpol('Base CDI'!$H$4:$H$28,'Base CDI'!$J$4:$J$29,S837,"Cubic","Extrapolate=Linear","MultiX=Average","Skip=True","Sort=True")</f>
        <v>14.678567884258127</v>
      </c>
      <c r="U837" s="43">
        <f ca="1">_xll.BInterpol('Base CDI'!$H$4:$H$28,'Base CDI'!$I$4:$I$29,S837,"Cubic","Extrapolate=Linear","MultiX=Average","Skip=True","Sort=True")</f>
        <v>14.706811469391987</v>
      </c>
    </row>
    <row r="838" spans="16:21" x14ac:dyDescent="0.25">
      <c r="P838" s="10">
        <v>35727</v>
      </c>
      <c r="Q838">
        <v>2.942599</v>
      </c>
      <c r="S838" s="42">
        <f t="shared" ca="1" si="17"/>
        <v>46544</v>
      </c>
      <c r="T838" s="43">
        <f ca="1">_xll.BInterpol('Base CDI'!$H$4:$H$28,'Base CDI'!$J$4:$J$29,S838,"Cubic","Extrapolate=Linear","MultiX=Average","Skip=True","Sort=True")</f>
        <v>14.678291680091817</v>
      </c>
      <c r="U838" s="43">
        <f ca="1">_xll.BInterpol('Base CDI'!$H$4:$H$28,'Base CDI'!$I$4:$I$29,S838,"Cubic","Extrapolate=Linear","MultiX=Average","Skip=True","Sort=True")</f>
        <v>14.706556597687525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46545</v>
      </c>
      <c r="T839" s="43">
        <f ca="1">_xll.BInterpol('Base CDI'!$H$4:$H$28,'Base CDI'!$J$4:$J$29,S839,"Cubic","Extrapolate=Linear","MultiX=Average","Skip=True","Sort=True")</f>
        <v>14.678017008135368</v>
      </c>
      <c r="U839" s="43">
        <f ca="1">_xll.BInterpol('Base CDI'!$H$4:$H$28,'Base CDI'!$I$4:$I$29,S839,"Cubic","Extrapolate=Linear","MultiX=Average","Skip=True","Sort=True")</f>
        <v>14.706303548472965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46546</v>
      </c>
      <c r="T840" s="43">
        <f ca="1">_xll.BInterpol('Base CDI'!$H$4:$H$28,'Base CDI'!$J$4:$J$29,S840,"Cubic","Extrapolate=Linear","MultiX=Average","Skip=True","Sort=True")</f>
        <v>14.67774386565376</v>
      </c>
      <c r="U840" s="43">
        <f ca="1">_xll.BInterpol('Base CDI'!$H$4:$H$28,'Base CDI'!$I$4:$I$29,S840,"Cubic","Extrapolate=Linear","MultiX=Average","Skip=True","Sort=True")</f>
        <v>14.70605231629329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46547</v>
      </c>
      <c r="T841" s="43">
        <f ca="1">_xll.BInterpol('Base CDI'!$H$4:$H$28,'Base CDI'!$J$4:$J$29,S841,"Cubic","Extrapolate=Linear","MultiX=Average","Skip=True","Sort=True")</f>
        <v>14.677472249911965</v>
      </c>
      <c r="U841" s="43">
        <f ca="1">_xll.BInterpol('Base CDI'!$H$4:$H$28,'Base CDI'!$I$4:$I$29,S841,"Cubic","Extrapolate=Linear","MultiX=Average","Skip=True","Sort=True")</f>
        <v>14.705802895693491</v>
      </c>
    </row>
    <row r="842" spans="16:21" x14ac:dyDescent="0.25">
      <c r="P842" s="10">
        <v>35733</v>
      </c>
      <c r="Q842">
        <v>2.950739</v>
      </c>
      <c r="S842" s="42">
        <f t="shared" ca="1" si="17"/>
        <v>46548</v>
      </c>
      <c r="T842" s="43">
        <f ca="1">_xll.BInterpol('Base CDI'!$H$4:$H$28,'Base CDI'!$J$4:$J$29,S842,"Cubic","Extrapolate=Linear","MultiX=Average","Skip=True","Sort=True")</f>
        <v>14.677202158174962</v>
      </c>
      <c r="U842" s="43">
        <f ca="1">_xll.BInterpol('Base CDI'!$H$4:$H$28,'Base CDI'!$I$4:$I$29,S842,"Cubic","Extrapolate=Linear","MultiX=Average","Skip=True","Sort=True")</f>
        <v>14.705555281218555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46549</v>
      </c>
      <c r="T843" s="43">
        <f ca="1">_xll.BInterpol('Base CDI'!$H$4:$H$28,'Base CDI'!$J$4:$J$29,S843,"Cubic","Extrapolate=Linear","MultiX=Average","Skip=True","Sort=True")</f>
        <v>14.676933587707731</v>
      </c>
      <c r="U843" s="43">
        <f ca="1">_xll.BInterpol('Base CDI'!$H$4:$H$28,'Base CDI'!$I$4:$I$29,S843,"Cubic","Extrapolate=Linear","MultiX=Average","Skip=True","Sort=True")</f>
        <v>14.705309467413468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46550</v>
      </c>
      <c r="T844" s="43">
        <f ca="1">_xll.BInterpol('Base CDI'!$H$4:$H$28,'Base CDI'!$J$4:$J$29,S844,"Cubic","Extrapolate=Linear","MultiX=Average","Skip=True","Sort=True")</f>
        <v>14.676666535775245</v>
      </c>
      <c r="U844" s="43">
        <f ca="1">_xll.BInterpol('Base CDI'!$H$4:$H$28,'Base CDI'!$I$4:$I$29,S844,"Cubic","Extrapolate=Linear","MultiX=Average","Skip=True","Sort=True")</f>
        <v>14.705065448823216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46551</v>
      </c>
      <c r="T845" s="43">
        <f ca="1">_xll.BInterpol('Base CDI'!$H$4:$H$28,'Base CDI'!$J$4:$J$29,S845,"Cubic","Extrapolate=Linear","MultiX=Average","Skip=True","Sort=True")</f>
        <v>14.676400999642484</v>
      </c>
      <c r="U845" s="43">
        <f ca="1">_xll.BInterpol('Base CDI'!$H$4:$H$28,'Base CDI'!$I$4:$I$29,S845,"Cubic","Extrapolate=Linear","MultiX=Average","Skip=True","Sort=True")</f>
        <v>14.704823219992788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46552</v>
      </c>
      <c r="T846" s="43">
        <f ca="1">_xll.BInterpol('Base CDI'!$H$4:$H$28,'Base CDI'!$J$4:$J$29,S846,"Cubic","Extrapolate=Linear","MultiX=Average","Skip=True","Sort=True")</f>
        <v>14.676136976574421</v>
      </c>
      <c r="U846" s="43">
        <f ca="1">_xll.BInterpol('Base CDI'!$H$4:$H$28,'Base CDI'!$I$4:$I$29,S846,"Cubic","Extrapolate=Linear","MultiX=Average","Skip=True","Sort=True")</f>
        <v>14.704582775467172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46553</v>
      </c>
      <c r="T847" s="43">
        <f ca="1">_xll.BInterpol('Base CDI'!$H$4:$H$28,'Base CDI'!$J$4:$J$29,S847,"Cubic","Extrapolate=Linear","MultiX=Average","Skip=True","Sort=True")</f>
        <v>14.675874463836037</v>
      </c>
      <c r="U847" s="43">
        <f ca="1">_xll.BInterpol('Base CDI'!$H$4:$H$28,'Base CDI'!$I$4:$I$29,S847,"Cubic","Extrapolate=Linear","MultiX=Average","Skip=True","Sort=True")</f>
        <v>14.704344109791352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46554</v>
      </c>
      <c r="T848" s="43">
        <f ca="1">_xll.BInterpol('Base CDI'!$H$4:$H$28,'Base CDI'!$J$4:$J$29,S848,"Cubic","Extrapolate=Linear","MultiX=Average","Skip=True","Sort=True")</f>
        <v>14.675613458692307</v>
      </c>
      <c r="U848" s="43">
        <f ca="1">_xll.BInterpol('Base CDI'!$H$4:$H$28,'Base CDI'!$I$4:$I$29,S848,"Cubic","Extrapolate=Linear","MultiX=Average","Skip=True","Sort=True")</f>
        <v>14.704107217510318</v>
      </c>
    </row>
    <row r="849" spans="16:21" x14ac:dyDescent="0.25">
      <c r="P849" s="10">
        <v>35744</v>
      </c>
      <c r="Q849">
        <v>2.979241</v>
      </c>
      <c r="S849" s="42">
        <f t="shared" ca="1" si="18"/>
        <v>46555</v>
      </c>
      <c r="T849" s="43">
        <f ca="1">_xll.BInterpol('Base CDI'!$H$4:$H$28,'Base CDI'!$J$4:$J$29,S849,"Cubic","Extrapolate=Linear","MultiX=Average","Skip=True","Sort=True")</f>
        <v>14.675353958408209</v>
      </c>
      <c r="U849" s="43">
        <f ca="1">_xll.BInterpol('Base CDI'!$H$4:$H$28,'Base CDI'!$I$4:$I$29,S849,"Cubic","Extrapolate=Linear","MultiX=Average","Skip=True","Sort=True")</f>
        <v>14.703872093169057</v>
      </c>
    </row>
    <row r="850" spans="16:21" x14ac:dyDescent="0.25">
      <c r="P850" s="10">
        <v>35745</v>
      </c>
      <c r="Q850">
        <v>2.98366</v>
      </c>
      <c r="S850" s="42">
        <f t="shared" ca="1" si="18"/>
        <v>46556</v>
      </c>
      <c r="T850" s="43">
        <f ca="1">_xll.BInterpol('Base CDI'!$H$4:$H$28,'Base CDI'!$J$4:$J$29,S850,"Cubic","Extrapolate=Linear","MultiX=Average","Skip=True","Sort=True")</f>
        <v>14.675095960248719</v>
      </c>
      <c r="U850" s="43">
        <f ca="1">_xll.BInterpol('Base CDI'!$H$4:$H$28,'Base CDI'!$I$4:$I$29,S850,"Cubic","Extrapolate=Linear","MultiX=Average","Skip=True","Sort=True")</f>
        <v>14.703638731312555</v>
      </c>
    </row>
    <row r="851" spans="16:21" x14ac:dyDescent="0.25">
      <c r="P851" s="10">
        <v>35746</v>
      </c>
      <c r="Q851">
        <v>2.988086</v>
      </c>
      <c r="S851" s="42">
        <f t="shared" ca="1" si="18"/>
        <v>46557</v>
      </c>
      <c r="T851" s="43">
        <f ca="1">_xll.BInterpol('Base CDI'!$H$4:$H$28,'Base CDI'!$J$4:$J$29,S851,"Cubic","Extrapolate=Linear","MultiX=Average","Skip=True","Sort=True")</f>
        <v>14.674839461478813</v>
      </c>
      <c r="U851" s="43">
        <f ca="1">_xll.BInterpol('Base CDI'!$H$4:$H$28,'Base CDI'!$I$4:$I$29,S851,"Cubic","Extrapolate=Linear","MultiX=Average","Skip=True","Sort=True")</f>
        <v>14.7034071264858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46558</v>
      </c>
      <c r="T852" s="43">
        <f ca="1">_xll.BInterpol('Base CDI'!$H$4:$H$28,'Base CDI'!$J$4:$J$29,S852,"Cubic","Extrapolate=Linear","MultiX=Average","Skip=True","Sort=True")</f>
        <v>14.674584459363471</v>
      </c>
      <c r="U852" s="43">
        <f ca="1">_xll.BInterpol('Base CDI'!$H$4:$H$28,'Base CDI'!$I$4:$I$29,S852,"Cubic","Extrapolate=Linear","MultiX=Average","Skip=True","Sort=True")</f>
        <v>14.703177273233777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46559</v>
      </c>
      <c r="T853" s="43">
        <f ca="1">_xll.BInterpol('Base CDI'!$H$4:$H$28,'Base CDI'!$J$4:$J$29,S853,"Cubic","Extrapolate=Linear","MultiX=Average","Skip=True","Sort=True")</f>
        <v>14.674330951167667</v>
      </c>
      <c r="U853" s="43">
        <f ca="1">_xll.BInterpol('Base CDI'!$H$4:$H$28,'Base CDI'!$I$4:$I$29,S853,"Cubic","Extrapolate=Linear","MultiX=Average","Skip=True","Sort=True")</f>
        <v>14.702949166101478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46560</v>
      </c>
      <c r="T854" s="43">
        <f ca="1">_xll.BInterpol('Base CDI'!$H$4:$H$28,'Base CDI'!$J$4:$J$29,S854,"Cubic","Extrapolate=Linear","MultiX=Average","Skip=True","Sort=True")</f>
        <v>14.674078934156379</v>
      </c>
      <c r="U854" s="43">
        <f ca="1">_xll.BInterpol('Base CDI'!$H$4:$H$28,'Base CDI'!$I$4:$I$29,S854,"Cubic","Extrapolate=Linear","MultiX=Average","Skip=True","Sort=True")</f>
        <v>14.702722799633884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46561</v>
      </c>
      <c r="T855" s="43">
        <f ca="1">_xll.BInterpol('Base CDI'!$H$4:$H$28,'Base CDI'!$J$4:$J$29,S855,"Cubic","Extrapolate=Linear","MultiX=Average","Skip=True","Sort=True")</f>
        <v>14.673828405594586</v>
      </c>
      <c r="U855" s="43">
        <f ca="1">_xll.BInterpol('Base CDI'!$H$4:$H$28,'Base CDI'!$I$4:$I$29,S855,"Cubic","Extrapolate=Linear","MultiX=Average","Skip=True","Sort=True")</f>
        <v>14.702498168375987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46562</v>
      </c>
      <c r="T856" s="43">
        <f ca="1">_xll.BInterpol('Base CDI'!$H$4:$H$28,'Base CDI'!$J$4:$J$29,S856,"Cubic","Extrapolate=Linear","MultiX=Average","Skip=True","Sort=True")</f>
        <v>14.67357936274726</v>
      </c>
      <c r="U856" s="43">
        <f ca="1">_xll.BInterpol('Base CDI'!$H$4:$H$28,'Base CDI'!$I$4:$I$29,S856,"Cubic","Extrapolate=Linear","MultiX=Average","Skip=True","Sort=True")</f>
        <v>14.702275266872773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46563</v>
      </c>
      <c r="T857" s="43">
        <f ca="1">_xll.BInterpol('Base CDI'!$H$4:$H$28,'Base CDI'!$J$4:$J$29,S857,"Cubic","Extrapolate=Linear","MultiX=Average","Skip=True","Sort=True")</f>
        <v>14.673331802879384</v>
      </c>
      <c r="U857" s="43">
        <f ca="1">_xll.BInterpol('Base CDI'!$H$4:$H$28,'Base CDI'!$I$4:$I$29,S857,"Cubic","Extrapolate=Linear","MultiX=Average","Skip=True","Sort=True")</f>
        <v>14.702054089669229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46564</v>
      </c>
      <c r="T858" s="43">
        <f ca="1">_xll.BInterpol('Base CDI'!$H$4:$H$28,'Base CDI'!$J$4:$J$29,S858,"Cubic","Extrapolate=Linear","MultiX=Average","Skip=True","Sort=True")</f>
        <v>14.67308572325593</v>
      </c>
      <c r="U858" s="43">
        <f ca="1">_xll.BInterpol('Base CDI'!$H$4:$H$28,'Base CDI'!$I$4:$I$29,S858,"Cubic","Extrapolate=Linear","MultiX=Average","Skip=True","Sort=True")</f>
        <v>14.701834631310343</v>
      </c>
    </row>
    <row r="859" spans="16:21" x14ac:dyDescent="0.25">
      <c r="P859" s="10">
        <v>35758</v>
      </c>
      <c r="Q859">
        <v>3.02373</v>
      </c>
      <c r="S859" s="42">
        <f t="shared" ca="1" si="18"/>
        <v>46565</v>
      </c>
      <c r="T859" s="43">
        <f ca="1">_xll.BInterpol('Base CDI'!$H$4:$H$28,'Base CDI'!$J$4:$J$29,S859,"Cubic","Extrapolate=Linear","MultiX=Average","Skip=True","Sort=True")</f>
        <v>14.672841121141877</v>
      </c>
      <c r="U859" s="43">
        <f ca="1">_xll.BInterpol('Base CDI'!$H$4:$H$28,'Base CDI'!$I$4:$I$29,S859,"Cubic","Extrapolate=Linear","MultiX=Average","Skip=True","Sort=True")</f>
        <v>14.701616886341098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46566</v>
      </c>
      <c r="T860" s="43">
        <f ca="1">_xll.BInterpol('Base CDI'!$H$4:$H$28,'Base CDI'!$J$4:$J$29,S860,"Cubic","Extrapolate=Linear","MultiX=Average","Skip=True","Sort=True")</f>
        <v>14.672597993802203</v>
      </c>
      <c r="U860" s="43">
        <f ca="1">_xll.BInterpol('Base CDI'!$H$4:$H$28,'Base CDI'!$I$4:$I$29,S860,"Cubic","Extrapolate=Linear","MultiX=Average","Skip=True","Sort=True")</f>
        <v>14.701400849306486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46567</v>
      </c>
      <c r="T861" s="43">
        <f ca="1">_xll.BInterpol('Base CDI'!$H$4:$H$28,'Base CDI'!$J$4:$J$29,S861,"Cubic","Extrapolate=Linear","MultiX=Average","Skip=True","Sort=True")</f>
        <v>14.672356338501883</v>
      </c>
      <c r="U861" s="43">
        <f ca="1">_xll.BInterpol('Base CDI'!$H$4:$H$28,'Base CDI'!$I$4:$I$29,S861,"Cubic","Extrapolate=Linear","MultiX=Average","Skip=True","Sort=True")</f>
        <v>14.701186514751493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46568</v>
      </c>
      <c r="T862" s="43">
        <f ca="1">_xll.BInterpol('Base CDI'!$H$4:$H$28,'Base CDI'!$J$4:$J$29,S862,"Cubic","Extrapolate=Linear","MultiX=Average","Skip=True","Sort=True")</f>
        <v>14.672116152505897</v>
      </c>
      <c r="U862" s="43">
        <f ca="1">_xll.BInterpol('Base CDI'!$H$4:$H$28,'Base CDI'!$I$4:$I$29,S862,"Cubic","Extrapolate=Linear","MultiX=Average","Skip=True","Sort=True")</f>
        <v>14.700973877221106</v>
      </c>
    </row>
    <row r="863" spans="16:21" x14ac:dyDescent="0.25">
      <c r="P863" s="10">
        <v>35762</v>
      </c>
      <c r="Q863">
        <v>3.041741</v>
      </c>
      <c r="S863" s="42">
        <f t="shared" ca="1" si="18"/>
        <v>46569</v>
      </c>
      <c r="T863" s="43">
        <f ca="1">_xll.BInterpol('Base CDI'!$H$4:$H$28,'Base CDI'!$J$4:$J$29,S863,"Cubic","Extrapolate=Linear","MultiX=Average","Skip=True","Sort=True")</f>
        <v>14.671877433079217</v>
      </c>
      <c r="U863" s="43">
        <f ca="1">_xll.BInterpol('Base CDI'!$H$4:$H$28,'Base CDI'!$I$4:$I$29,S863,"Cubic","Extrapolate=Linear","MultiX=Average","Skip=True","Sort=True")</f>
        <v>14.700762931260311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46570</v>
      </c>
      <c r="T864" s="43">
        <f ca="1">_xll.BInterpol('Base CDI'!$H$4:$H$28,'Base CDI'!$J$4:$J$29,S864,"Cubic","Extrapolate=Linear","MultiX=Average","Skip=True","Sort=True")</f>
        <v>14.671640177486823</v>
      </c>
      <c r="U864" s="43">
        <f ca="1">_xll.BInterpol('Base CDI'!$H$4:$H$28,'Base CDI'!$I$4:$I$29,S864,"Cubic","Extrapolate=Linear","MultiX=Average","Skip=True","Sort=True")</f>
        <v>14.700553671414097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46571</v>
      </c>
      <c r="T865" s="43">
        <f ca="1">_xll.BInterpol('Base CDI'!$H$4:$H$28,'Base CDI'!$J$4:$J$29,S865,"Cubic","Extrapolate=Linear","MultiX=Average","Skip=True","Sort=True")</f>
        <v>14.671404382993694</v>
      </c>
      <c r="U865" s="43">
        <f ca="1">_xll.BInterpol('Base CDI'!$H$4:$H$28,'Base CDI'!$I$4:$I$29,S865,"Cubic","Extrapolate=Linear","MultiX=Average","Skip=True","Sort=True")</f>
        <v>14.700346092227448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46572</v>
      </c>
      <c r="T866" s="43">
        <f ca="1">_xll.BInterpol('Base CDI'!$H$4:$H$28,'Base CDI'!$J$4:$J$29,S866,"Cubic","Extrapolate=Linear","MultiX=Average","Skip=True","Sort=True")</f>
        <v>14.671170046864804</v>
      </c>
      <c r="U866" s="43">
        <f ca="1">_xll.BInterpol('Base CDI'!$H$4:$H$28,'Base CDI'!$I$4:$I$29,S866,"Cubic","Extrapolate=Linear","MultiX=Average","Skip=True","Sort=True")</f>
        <v>14.700140188245356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46573</v>
      </c>
      <c r="T867" s="43">
        <f ca="1">_xll.BInterpol('Base CDI'!$H$4:$H$28,'Base CDI'!$J$4:$J$29,S867,"Cubic","Extrapolate=Linear","MultiX=Average","Skip=True","Sort=True")</f>
        <v>14.67093716636513</v>
      </c>
      <c r="U867" s="43">
        <f ca="1">_xll.BInterpol('Base CDI'!$H$4:$H$28,'Base CDI'!$I$4:$I$29,S867,"Cubic","Extrapolate=Linear","MultiX=Average","Skip=True","Sort=True")</f>
        <v>14.699935954012805</v>
      </c>
    </row>
    <row r="868" spans="16:21" x14ac:dyDescent="0.25">
      <c r="P868" s="10">
        <v>35769</v>
      </c>
      <c r="Q868">
        <v>3.06141</v>
      </c>
      <c r="S868" s="42">
        <f t="shared" ca="1" si="18"/>
        <v>46574</v>
      </c>
      <c r="T868" s="43">
        <f ca="1">_xll.BInterpol('Base CDI'!$H$4:$H$28,'Base CDI'!$J$4:$J$29,S868,"Cubic","Extrapolate=Linear","MultiX=Average","Skip=True","Sort=True")</f>
        <v>14.670705738759649</v>
      </c>
      <c r="U868" s="43">
        <f ca="1">_xll.BInterpol('Base CDI'!$H$4:$H$28,'Base CDI'!$I$4:$I$29,S868,"Cubic","Extrapolate=Linear","MultiX=Average","Skip=True","Sort=True")</f>
        <v>14.699733384074783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46575</v>
      </c>
      <c r="T869" s="43">
        <f ca="1">_xll.BInterpol('Base CDI'!$H$4:$H$28,'Base CDI'!$J$4:$J$29,S869,"Cubic","Extrapolate=Linear","MultiX=Average","Skip=True","Sort=True")</f>
        <v>14.670475761313339</v>
      </c>
      <c r="U869" s="43">
        <f ca="1">_xll.BInterpol('Base CDI'!$H$4:$H$28,'Base CDI'!$I$4:$I$29,S869,"Cubic","Extrapolate=Linear","MultiX=Average","Skip=True","Sort=True")</f>
        <v>14.699532472976278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46576</v>
      </c>
      <c r="T870" s="43">
        <f ca="1">_xll.BInterpol('Base CDI'!$H$4:$H$28,'Base CDI'!$J$4:$J$29,S870,"Cubic","Extrapolate=Linear","MultiX=Average","Skip=True","Sort=True")</f>
        <v>14.670247231291178</v>
      </c>
      <c r="U870" s="43">
        <f ca="1">_xll.BInterpol('Base CDI'!$H$4:$H$28,'Base CDI'!$I$4:$I$29,S870,"Cubic","Extrapolate=Linear","MultiX=Average","Skip=True","Sort=True")</f>
        <v>14.699333215262275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46577</v>
      </c>
      <c r="T871" s="43">
        <f ca="1">_xll.BInterpol('Base CDI'!$H$4:$H$28,'Base CDI'!$J$4:$J$29,S871,"Cubic","Extrapolate=Linear","MultiX=Average","Skip=True","Sort=True")</f>
        <v>14.670020145958139</v>
      </c>
      <c r="U871" s="43">
        <f ca="1">_xll.BInterpol('Base CDI'!$H$4:$H$28,'Base CDI'!$I$4:$I$29,S871,"Cubic","Extrapolate=Linear","MultiX=Average","Skip=True","Sort=True")</f>
        <v>14.699135605477762</v>
      </c>
    </row>
    <row r="872" spans="16:21" x14ac:dyDescent="0.25">
      <c r="P872" s="10">
        <v>35775</v>
      </c>
      <c r="Q872">
        <v>3.077248</v>
      </c>
      <c r="S872" s="42">
        <f t="shared" ca="1" si="18"/>
        <v>46578</v>
      </c>
      <c r="T872" s="43">
        <f ca="1">_xll.BInterpol('Base CDI'!$H$4:$H$28,'Base CDI'!$J$4:$J$29,S872,"Cubic","Extrapolate=Linear","MultiX=Average","Skip=True","Sort=True")</f>
        <v>14.669794502579203</v>
      </c>
      <c r="U872" s="43">
        <f ca="1">_xll.BInterpol('Base CDI'!$H$4:$H$28,'Base CDI'!$I$4:$I$29,S872,"Cubic","Extrapolate=Linear","MultiX=Average","Skip=True","Sort=True")</f>
        <v>14.698939638167728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46579</v>
      </c>
      <c r="T873" s="43">
        <f ca="1">_xll.BInterpol('Base CDI'!$H$4:$H$28,'Base CDI'!$J$4:$J$29,S873,"Cubic","Extrapolate=Linear","MultiX=Average","Skip=True","Sort=True")</f>
        <v>14.669570298419346</v>
      </c>
      <c r="U873" s="43">
        <f ca="1">_xll.BInterpol('Base CDI'!$H$4:$H$28,'Base CDI'!$I$4:$I$29,S873,"Cubic","Extrapolate=Linear","MultiX=Average","Skip=True","Sort=True")</f>
        <v>14.698745307877157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46580</v>
      </c>
      <c r="T874" s="43">
        <f ca="1">_xll.BInterpol('Base CDI'!$H$4:$H$28,'Base CDI'!$J$4:$J$29,S874,"Cubic","Extrapolate=Linear","MultiX=Average","Skip=True","Sort=True")</f>
        <v>14.669347530743543</v>
      </c>
      <c r="U874" s="43">
        <f ca="1">_xll.BInterpol('Base CDI'!$H$4:$H$28,'Base CDI'!$I$4:$I$29,S874,"Cubic","Extrapolate=Linear","MultiX=Average","Skip=True","Sort=True")</f>
        <v>14.69855260915104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46581</v>
      </c>
      <c r="T875" s="43">
        <f ca="1">_xll.BInterpol('Base CDI'!$H$4:$H$28,'Base CDI'!$J$4:$J$29,S875,"Cubic","Extrapolate=Linear","MultiX=Average","Skip=True","Sort=True")</f>
        <v>14.669126196816773</v>
      </c>
      <c r="U875" s="43">
        <f ca="1">_xll.BInterpol('Base CDI'!$H$4:$H$28,'Base CDI'!$I$4:$I$29,S875,"Cubic","Extrapolate=Linear","MultiX=Average","Skip=True","Sort=True")</f>
        <v>14.69836153653436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46582</v>
      </c>
      <c r="T876" s="43">
        <f ca="1">_xll.BInterpol('Base CDI'!$H$4:$H$28,'Base CDI'!$J$4:$J$29,S876,"Cubic","Extrapolate=Linear","MultiX=Average","Skip=True","Sort=True")</f>
        <v>14.668906293904012</v>
      </c>
      <c r="U876" s="43">
        <f ca="1">_xll.BInterpol('Base CDI'!$H$4:$H$28,'Base CDI'!$I$4:$I$29,S876,"Cubic","Extrapolate=Linear","MultiX=Average","Skip=True","Sort=True")</f>
        <v>14.698172084572109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46583</v>
      </c>
      <c r="T877" s="43">
        <f ca="1">_xll.BInterpol('Base CDI'!$H$4:$H$28,'Base CDI'!$J$4:$J$29,S877,"Cubic","Extrapolate=Linear","MultiX=Average","Skip=True","Sort=True")</f>
        <v>14.668687819270238</v>
      </c>
      <c r="U877" s="43">
        <f ca="1">_xll.BInterpol('Base CDI'!$H$4:$H$28,'Base CDI'!$I$4:$I$29,S877,"Cubic","Extrapolate=Linear","MultiX=Average","Skip=True","Sort=True")</f>
        <v>14.69798424780927</v>
      </c>
    </row>
    <row r="878" spans="16:21" x14ac:dyDescent="0.25">
      <c r="P878" s="10">
        <v>35783</v>
      </c>
      <c r="Q878">
        <v>3.101308</v>
      </c>
      <c r="S878" s="42">
        <f t="shared" ca="1" si="18"/>
        <v>46584</v>
      </c>
      <c r="T878" s="43">
        <f ca="1">_xll.BInterpol('Base CDI'!$H$4:$H$28,'Base CDI'!$J$4:$J$29,S878,"Cubic","Extrapolate=Linear","MultiX=Average","Skip=True","Sort=True")</f>
        <v>14.668470770180427</v>
      </c>
      <c r="U878" s="43">
        <f ca="1">_xll.BInterpol('Base CDI'!$H$4:$H$28,'Base CDI'!$I$4:$I$29,S878,"Cubic","Extrapolate=Linear","MultiX=Average","Skip=True","Sort=True")</f>
        <v>14.697798020790831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46585</v>
      </c>
      <c r="T879" s="43">
        <f ca="1">_xll.BInterpol('Base CDI'!$H$4:$H$28,'Base CDI'!$J$4:$J$29,S879,"Cubic","Extrapolate=Linear","MultiX=Average","Skip=True","Sort=True")</f>
        <v>14.668255143899556</v>
      </c>
      <c r="U879" s="43">
        <f ca="1">_xll.BInterpol('Base CDI'!$H$4:$H$28,'Base CDI'!$I$4:$I$29,S879,"Cubic","Extrapolate=Linear","MultiX=Average","Skip=True","Sort=True")</f>
        <v>14.697613398061781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46586</v>
      </c>
      <c r="T880" s="43">
        <f ca="1">_xll.BInterpol('Base CDI'!$H$4:$H$28,'Base CDI'!$J$4:$J$29,S880,"Cubic","Extrapolate=Linear","MultiX=Average","Skip=True","Sort=True")</f>
        <v>14.668040937692602</v>
      </c>
      <c r="U880" s="43">
        <f ca="1">_xll.BInterpol('Base CDI'!$H$4:$H$28,'Base CDI'!$I$4:$I$29,S880,"Cubic","Extrapolate=Linear","MultiX=Average","Skip=True","Sort=True")</f>
        <v>14.697430374167107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46587</v>
      </c>
      <c r="T881" s="43">
        <f ca="1">_xll.BInterpol('Base CDI'!$H$4:$H$28,'Base CDI'!$J$4:$J$29,S881,"Cubic","Extrapolate=Linear","MultiX=Average","Skip=True","Sort=True")</f>
        <v>14.667828148824544</v>
      </c>
      <c r="U881" s="43">
        <f ca="1">_xll.BInterpol('Base CDI'!$H$4:$H$28,'Base CDI'!$I$4:$I$29,S881,"Cubic","Extrapolate=Linear","MultiX=Average","Skip=True","Sort=True")</f>
        <v>14.697248943651793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46588</v>
      </c>
      <c r="T882" s="43">
        <f ca="1">_xll.BInterpol('Base CDI'!$H$4:$H$28,'Base CDI'!$J$4:$J$29,S882,"Cubic","Extrapolate=Linear","MultiX=Average","Skip=True","Sort=True")</f>
        <v>14.667616774560354</v>
      </c>
      <c r="U882" s="43">
        <f ca="1">_xll.BInterpol('Base CDI'!$H$4:$H$28,'Base CDI'!$I$4:$I$29,S882,"Cubic","Extrapolate=Linear","MultiX=Average","Skip=True","Sort=True")</f>
        <v>14.69706910106083</v>
      </c>
    </row>
    <row r="883" spans="16:21" x14ac:dyDescent="0.25">
      <c r="P883" s="10">
        <v>35793</v>
      </c>
      <c r="Q883">
        <v>3.122112</v>
      </c>
      <c r="S883" s="42">
        <f t="shared" ca="1" si="18"/>
        <v>46589</v>
      </c>
      <c r="T883" s="43">
        <f ca="1">_xll.BInterpol('Base CDI'!$H$4:$H$28,'Base CDI'!$J$4:$J$29,S883,"Cubic","Extrapolate=Linear","MultiX=Average","Skip=True","Sort=True")</f>
        <v>14.667406812165014</v>
      </c>
      <c r="U883" s="43">
        <f ca="1">_xll.BInterpol('Base CDI'!$H$4:$H$28,'Base CDI'!$I$4:$I$29,S883,"Cubic","Extrapolate=Linear","MultiX=Average","Skip=True","Sort=True")</f>
        <v>14.696890840939204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46590</v>
      </c>
      <c r="T884" s="43">
        <f ca="1">_xll.BInterpol('Base CDI'!$H$4:$H$28,'Base CDI'!$J$4:$J$29,S884,"Cubic","Extrapolate=Linear","MultiX=Average","Skip=True","Sort=True")</f>
        <v>14.667198258903499</v>
      </c>
      <c r="U884" s="43">
        <f ca="1">_xll.BInterpol('Base CDI'!$H$4:$H$28,'Base CDI'!$I$4:$I$29,S884,"Cubic","Extrapolate=Linear","MultiX=Average","Skip=True","Sort=True")</f>
        <v>14.6967141578319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46591</v>
      </c>
      <c r="T885" s="43">
        <f ca="1">_xll.BInterpol('Base CDI'!$H$4:$H$28,'Base CDI'!$J$4:$J$29,S885,"Cubic","Extrapolate=Linear","MultiX=Average","Skip=True","Sort=True")</f>
        <v>14.666991112040785</v>
      </c>
      <c r="U885" s="43">
        <f ca="1">_xll.BInterpol('Base CDI'!$H$4:$H$28,'Base CDI'!$I$4:$I$29,S885,"Cubic","Extrapolate=Linear","MultiX=Average","Skip=True","Sort=True")</f>
        <v>14.69653904628391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46592</v>
      </c>
      <c r="T886" s="43">
        <f ca="1">_xll.BInterpol('Base CDI'!$H$4:$H$28,'Base CDI'!$J$4:$J$29,S886,"Cubic","Extrapolate=Linear","MultiX=Average","Skip=True","Sort=True")</f>
        <v>14.666785368841852</v>
      </c>
      <c r="U886" s="43">
        <f ca="1">_xll.BInterpol('Base CDI'!$H$4:$H$28,'Base CDI'!$I$4:$I$29,S886,"Cubic","Extrapolate=Linear","MultiX=Average","Skip=True","Sort=True")</f>
        <v>14.696365500840216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46593</v>
      </c>
      <c r="T887" s="43">
        <f ca="1">_xll.BInterpol('Base CDI'!$H$4:$H$28,'Base CDI'!$J$4:$J$29,S887,"Cubic","Extrapolate=Linear","MultiX=Average","Skip=True","Sort=True")</f>
        <v>14.666581026571674</v>
      </c>
      <c r="U887" s="43">
        <f ca="1">_xll.BInterpol('Base CDI'!$H$4:$H$28,'Base CDI'!$I$4:$I$29,S887,"Cubic","Extrapolate=Linear","MultiX=Average","Skip=True","Sort=True")</f>
        <v>14.696193516045808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46594</v>
      </c>
      <c r="T888" s="43">
        <f ca="1">_xll.BInterpol('Base CDI'!$H$4:$H$28,'Base CDI'!$J$4:$J$29,S888,"Cubic","Extrapolate=Linear","MultiX=Average","Skip=True","Sort=True")</f>
        <v>14.666378082495227</v>
      </c>
      <c r="U888" s="43">
        <f ca="1">_xll.BInterpol('Base CDI'!$H$4:$H$28,'Base CDI'!$I$4:$I$29,S888,"Cubic","Extrapolate=Linear","MultiX=Average","Skip=True","Sort=True")</f>
        <v>14.696023086445672</v>
      </c>
    </row>
    <row r="889" spans="16:21" x14ac:dyDescent="0.25">
      <c r="P889" s="10">
        <v>35802</v>
      </c>
      <c r="Q889">
        <v>3.146544</v>
      </c>
      <c r="S889" s="42">
        <f t="shared" ca="1" si="18"/>
        <v>46595</v>
      </c>
      <c r="T889" s="43">
        <f ca="1">_xll.BInterpol('Base CDI'!$H$4:$H$28,'Base CDI'!$J$4:$J$29,S889,"Cubic","Extrapolate=Linear","MultiX=Average","Skip=True","Sort=True")</f>
        <v>14.666176533877492</v>
      </c>
      <c r="U889" s="43">
        <f ca="1">_xll.BInterpol('Base CDI'!$H$4:$H$28,'Base CDI'!$I$4:$I$29,S889,"Cubic","Extrapolate=Linear","MultiX=Average","Skip=True","Sort=True")</f>
        <v>14.695854206584798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46596</v>
      </c>
      <c r="T890" s="43">
        <f ca="1">_xll.BInterpol('Base CDI'!$H$4:$H$28,'Base CDI'!$J$4:$J$29,S890,"Cubic","Extrapolate=Linear","MultiX=Average","Skip=True","Sort=True")</f>
        <v>14.665976377983442</v>
      </c>
      <c r="U890" s="43">
        <f ca="1">_xll.BInterpol('Base CDI'!$H$4:$H$28,'Base CDI'!$I$4:$I$29,S890,"Cubic","Extrapolate=Linear","MultiX=Average","Skip=True","Sort=True")</f>
        <v>14.695686871008169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46597</v>
      </c>
      <c r="T891" s="43">
        <f ca="1">_xll.BInterpol('Base CDI'!$H$4:$H$28,'Base CDI'!$J$4:$J$29,S891,"Cubic","Extrapolate=Linear","MultiX=Average","Skip=True","Sort=True")</f>
        <v>14.665777612078058</v>
      </c>
      <c r="U891" s="43">
        <f ca="1">_xll.BInterpol('Base CDI'!$H$4:$H$28,'Base CDI'!$I$4:$I$29,S891,"Cubic","Extrapolate=Linear","MultiX=Average","Skip=True","Sort=True")</f>
        <v>14.695521074260775</v>
      </c>
    </row>
    <row r="892" spans="16:21" x14ac:dyDescent="0.25">
      <c r="P892" s="10">
        <v>35807</v>
      </c>
      <c r="Q892">
        <v>3.158658</v>
      </c>
      <c r="S892" s="42">
        <f t="shared" ca="1" si="18"/>
        <v>46598</v>
      </c>
      <c r="T892" s="43">
        <f ca="1">_xll.BInterpol('Base CDI'!$H$4:$H$28,'Base CDI'!$J$4:$J$29,S892,"Cubic","Extrapolate=Linear","MultiX=Average","Skip=True","Sort=True")</f>
        <v>14.665580233426313</v>
      </c>
      <c r="U892" s="43">
        <f ca="1">_xll.BInterpol('Base CDI'!$H$4:$H$28,'Base CDI'!$I$4:$I$29,S892,"Cubic","Extrapolate=Linear","MultiX=Average","Skip=True","Sort=True")</f>
        <v>14.695356810887603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46599</v>
      </c>
      <c r="T893" s="43">
        <f ca="1">_xll.BInterpol('Base CDI'!$H$4:$H$28,'Base CDI'!$J$4:$J$29,S893,"Cubic","Extrapolate=Linear","MultiX=Average","Skip=True","Sort=True")</f>
        <v>14.665384239293187</v>
      </c>
      <c r="U893" s="43">
        <f ca="1">_xll.BInterpol('Base CDI'!$H$4:$H$28,'Base CDI'!$I$4:$I$29,S893,"Cubic","Extrapolate=Linear","MultiX=Average","Skip=True","Sort=True")</f>
        <v>14.695194075433637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46600</v>
      </c>
      <c r="T894" s="43">
        <f ca="1">_xll.BInterpol('Base CDI'!$H$4:$H$28,'Base CDI'!$J$4:$J$29,S894,"Cubic","Extrapolate=Linear","MultiX=Average","Skip=True","Sort=True")</f>
        <v>14.665189626943654</v>
      </c>
      <c r="U894" s="43">
        <f ca="1">_xll.BInterpol('Base CDI'!$H$4:$H$28,'Base CDI'!$I$4:$I$29,S894,"Cubic","Extrapolate=Linear","MultiX=Average","Skip=True","Sort=True")</f>
        <v>14.695032862443869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46601</v>
      </c>
      <c r="T895" s="43">
        <f ca="1">_xll.BInterpol('Base CDI'!$H$4:$H$28,'Base CDI'!$J$4:$J$29,S895,"Cubic","Extrapolate=Linear","MultiX=Average","Skip=True","Sort=True")</f>
        <v>14.664996393642694</v>
      </c>
      <c r="U895" s="43">
        <f ca="1">_xll.BInterpol('Base CDI'!$H$4:$H$28,'Base CDI'!$I$4:$I$29,S895,"Cubic","Extrapolate=Linear","MultiX=Average","Skip=True","Sort=True")</f>
        <v>14.694873166463283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46602</v>
      </c>
      <c r="T896" s="43">
        <f ca="1">_xll.BInterpol('Base CDI'!$H$4:$H$28,'Base CDI'!$J$4:$J$29,S896,"Cubic","Extrapolate=Linear","MultiX=Average","Skip=True","Sort=True")</f>
        <v>14.664804536655282</v>
      </c>
      <c r="U896" s="43">
        <f ca="1">_xll.BInterpol('Base CDI'!$H$4:$H$28,'Base CDI'!$I$4:$I$29,S896,"Cubic","Extrapolate=Linear","MultiX=Average","Skip=True","Sort=True")</f>
        <v>14.694714982036867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46603</v>
      </c>
      <c r="T897" s="43">
        <f ca="1">_xll.BInterpol('Base CDI'!$H$4:$H$28,'Base CDI'!$J$4:$J$29,S897,"Cubic","Extrapolate=Linear","MultiX=Average","Skip=True","Sort=True")</f>
        <v>14.664614053246396</v>
      </c>
      <c r="U897" s="43">
        <f ca="1">_xll.BInterpol('Base CDI'!$H$4:$H$28,'Base CDI'!$I$4:$I$29,S897,"Cubic","Extrapolate=Linear","MultiX=Average","Skip=True","Sort=True")</f>
        <v>14.694558303709609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46604</v>
      </c>
      <c r="T898" s="43">
        <f ca="1">_xll.BInterpol('Base CDI'!$H$4:$H$28,'Base CDI'!$J$4:$J$29,S898,"Cubic","Extrapolate=Linear","MultiX=Average","Skip=True","Sort=True")</f>
        <v>14.664424940681013</v>
      </c>
      <c r="U898" s="43">
        <f ca="1">_xll.BInterpol('Base CDI'!$H$4:$H$28,'Base CDI'!$I$4:$I$29,S898,"Cubic","Extrapolate=Linear","MultiX=Average","Skip=True","Sort=True")</f>
        <v>14.694403126026495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46605</v>
      </c>
      <c r="T899" s="43">
        <f ca="1">_xll.BInterpol('Base CDI'!$H$4:$H$28,'Base CDI'!$J$4:$J$29,S899,"Cubic","Extrapolate=Linear","MultiX=Average","Skip=True","Sort=True")</f>
        <v>14.664237196224109</v>
      </c>
      <c r="U899" s="43">
        <f ca="1">_xll.BInterpol('Base CDI'!$H$4:$H$28,'Base CDI'!$I$4:$I$29,S899,"Cubic","Extrapolate=Linear","MultiX=Average","Skip=True","Sort=True")</f>
        <v>14.694249443532515</v>
      </c>
    </row>
    <row r="900" spans="16:21" x14ac:dyDescent="0.25">
      <c r="P900" s="10">
        <v>35817</v>
      </c>
      <c r="Q900">
        <v>3.190839</v>
      </c>
      <c r="S900" s="42">
        <f t="shared" ca="1" si="18"/>
        <v>46606</v>
      </c>
      <c r="T900" s="43">
        <f ca="1">_xll.BInterpol('Base CDI'!$H$4:$H$28,'Base CDI'!$J$4:$J$29,S900,"Cubic","Extrapolate=Linear","MultiX=Average","Skip=True","Sort=True")</f>
        <v>14.66405081714066</v>
      </c>
      <c r="U900" s="43">
        <f ca="1">_xll.BInterpol('Base CDI'!$H$4:$H$28,'Base CDI'!$I$4:$I$29,S900,"Cubic","Extrapolate=Linear","MultiX=Average","Skip=True","Sort=True")</f>
        <v>14.694097250772652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46607</v>
      </c>
      <c r="T901" s="43">
        <f ca="1">_xll.BInterpol('Base CDI'!$H$4:$H$28,'Base CDI'!$J$4:$J$29,S901,"Cubic","Extrapolate=Linear","MultiX=Average","Skip=True","Sort=True")</f>
        <v>14.663865800695646</v>
      </c>
      <c r="U901" s="43">
        <f ca="1">_xll.BInterpol('Base CDI'!$H$4:$H$28,'Base CDI'!$I$4:$I$29,S901,"Cubic","Extrapolate=Linear","MultiX=Average","Skip=True","Sort=True")</f>
        <v>14.693946542291894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46608</v>
      </c>
      <c r="T902" s="43">
        <f ca="1">_xll.BInterpol('Base CDI'!$H$4:$H$28,'Base CDI'!$J$4:$J$29,S902,"Cubic","Extrapolate=Linear","MultiX=Average","Skip=True","Sort=True")</f>
        <v>14.663682144154043</v>
      </c>
      <c r="U902" s="43">
        <f ca="1">_xll.BInterpol('Base CDI'!$H$4:$H$28,'Base CDI'!$I$4:$I$29,S902,"Cubic","Extrapolate=Linear","MultiX=Average","Skip=True","Sort=True")</f>
        <v>14.69379731263523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46609</v>
      </c>
      <c r="T903" s="43">
        <f ca="1">_xll.BInterpol('Base CDI'!$H$4:$H$28,'Base CDI'!$J$4:$J$29,S903,"Cubic","Extrapolate=Linear","MultiX=Average","Skip=True","Sort=True")</f>
        <v>14.663499844780826</v>
      </c>
      <c r="U903" s="43">
        <f ca="1">_xll.BInterpol('Base CDI'!$H$4:$H$28,'Base CDI'!$I$4:$I$29,S903,"Cubic","Extrapolate=Linear","MultiX=Average","Skip=True","Sort=True")</f>
        <v>14.693649556347648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46610</v>
      </c>
      <c r="T904" s="43">
        <f ca="1">_xll.BInterpol('Base CDI'!$H$4:$H$28,'Base CDI'!$J$4:$J$29,S904,"Cubic","Extrapolate=Linear","MultiX=Average","Skip=True","Sort=True")</f>
        <v>14.663318899840974</v>
      </c>
      <c r="U904" s="43">
        <f ca="1">_xll.BInterpol('Base CDI'!$H$4:$H$28,'Base CDI'!$I$4:$I$29,S904,"Cubic","Extrapolate=Linear","MultiX=Average","Skip=True","Sort=True")</f>
        <v>14.693503267974132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46611</v>
      </c>
      <c r="T905" s="43">
        <f ca="1">_xll.BInterpol('Base CDI'!$H$4:$H$28,'Base CDI'!$J$4:$J$29,S905,"Cubic","Extrapolate=Linear","MultiX=Average","Skip=True","Sort=True")</f>
        <v>14.663139306599463</v>
      </c>
      <c r="U905" s="43">
        <f ca="1">_xll.BInterpol('Base CDI'!$H$4:$H$28,'Base CDI'!$I$4:$I$29,S905,"Cubic","Extrapolate=Linear","MultiX=Average","Skip=True","Sort=True")</f>
        <v>14.693358442059671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46612</v>
      </c>
      <c r="T906" s="43">
        <f ca="1">_xll.BInterpol('Base CDI'!$H$4:$H$28,'Base CDI'!$J$4:$J$29,S906,"Cubic","Extrapolate=Linear","MultiX=Average","Skip=True","Sort=True")</f>
        <v>14.662961062321269</v>
      </c>
      <c r="U906" s="43">
        <f ca="1">_xll.BInterpol('Base CDI'!$H$4:$H$28,'Base CDI'!$I$4:$I$29,S906,"Cubic","Extrapolate=Linear","MultiX=Average","Skip=True","Sort=True")</f>
        <v>14.693215073149252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46613</v>
      </c>
      <c r="T907" s="43">
        <f ca="1">_xll.BInterpol('Base CDI'!$H$4:$H$28,'Base CDI'!$J$4:$J$29,S907,"Cubic","Extrapolate=Linear","MultiX=Average","Skip=True","Sort=True")</f>
        <v>14.662784164271372</v>
      </c>
      <c r="U907" s="43">
        <f ca="1">_xll.BInterpol('Base CDI'!$H$4:$H$28,'Base CDI'!$I$4:$I$29,S907,"Cubic","Extrapolate=Linear","MultiX=Average","Skip=True","Sort=True")</f>
        <v>14.693073155787863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46614</v>
      </c>
      <c r="T908" s="43">
        <f ca="1">_xll.BInterpol('Base CDI'!$H$4:$H$28,'Base CDI'!$J$4:$J$29,S908,"Cubic","Extrapolate=Linear","MultiX=Average","Skip=True","Sort=True")</f>
        <v>14.662608609714747</v>
      </c>
      <c r="U908" s="43">
        <f ca="1">_xll.BInterpol('Base CDI'!$H$4:$H$28,'Base CDI'!$I$4:$I$29,S908,"Cubic","Extrapolate=Linear","MultiX=Average","Skip=True","Sort=True")</f>
        <v>14.692932684520489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46615</v>
      </c>
      <c r="T909" s="43">
        <f ca="1">_xll.BInterpol('Base CDI'!$H$4:$H$28,'Base CDI'!$J$4:$J$29,S909,"Cubic","Extrapolate=Linear","MultiX=Average","Skip=True","Sort=True")</f>
        <v>14.662434395916371</v>
      </c>
      <c r="U909" s="43">
        <f ca="1">_xll.BInterpol('Base CDI'!$H$4:$H$28,'Base CDI'!$I$4:$I$29,S909,"Cubic","Extrapolate=Linear","MultiX=Average","Skip=True","Sort=True")</f>
        <v>14.692793653892119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46616</v>
      </c>
      <c r="T910" s="43">
        <f ca="1">_xll.BInterpol('Base CDI'!$H$4:$H$28,'Base CDI'!$J$4:$J$29,S910,"Cubic","Extrapolate=Linear","MultiX=Average","Skip=True","Sort=True")</f>
        <v>14.66226152014122</v>
      </c>
      <c r="U910" s="43">
        <f ca="1">_xll.BInterpol('Base CDI'!$H$4:$H$28,'Base CDI'!$I$4:$I$29,S910,"Cubic","Extrapolate=Linear","MultiX=Average","Skip=True","Sort=True")</f>
        <v>14.69265605844774</v>
      </c>
    </row>
    <row r="911" spans="16:21" x14ac:dyDescent="0.25">
      <c r="P911" s="10">
        <v>35832</v>
      </c>
      <c r="Q911">
        <v>3.233114</v>
      </c>
      <c r="S911" s="42">
        <f t="shared" ca="1" si="19"/>
        <v>46617</v>
      </c>
      <c r="T911" s="43">
        <f ca="1">_xll.BInterpol('Base CDI'!$H$4:$H$28,'Base CDI'!$J$4:$J$29,S911,"Cubic","Extrapolate=Linear","MultiX=Average","Skip=True","Sort=True")</f>
        <v>14.662089979654272</v>
      </c>
      <c r="U911" s="43">
        <f ca="1">_xll.BInterpol('Base CDI'!$H$4:$H$28,'Base CDI'!$I$4:$I$29,S911,"Cubic","Extrapolate=Linear","MultiX=Average","Skip=True","Sort=True")</f>
        <v>14.692519892732339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46618</v>
      </c>
      <c r="T912" s="43">
        <f ca="1">_xll.BInterpol('Base CDI'!$H$4:$H$28,'Base CDI'!$J$4:$J$29,S912,"Cubic","Extrapolate=Linear","MultiX=Average","Skip=True","Sort=True")</f>
        <v>14.661919771720505</v>
      </c>
      <c r="U912" s="43">
        <f ca="1">_xll.BInterpol('Base CDI'!$H$4:$H$28,'Base CDI'!$I$4:$I$29,S912,"Cubic","Extrapolate=Linear","MultiX=Average","Skip=True","Sort=True")</f>
        <v>14.692385151290903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46619</v>
      </c>
      <c r="T913" s="43">
        <f ca="1">_xll.BInterpol('Base CDI'!$H$4:$H$28,'Base CDI'!$J$4:$J$29,S913,"Cubic","Extrapolate=Linear","MultiX=Average","Skip=True","Sort=True")</f>
        <v>14.661750893604895</v>
      </c>
      <c r="U913" s="43">
        <f ca="1">_xll.BInterpol('Base CDI'!$H$4:$H$28,'Base CDI'!$I$4:$I$29,S913,"Cubic","Extrapolate=Linear","MultiX=Average","Skip=True","Sort=True")</f>
        <v>14.69225182866842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46620</v>
      </c>
      <c r="T914" s="43">
        <f ca="1">_xll.BInterpol('Base CDI'!$H$4:$H$28,'Base CDI'!$J$4:$J$29,S914,"Cubic","Extrapolate=Linear","MultiX=Average","Skip=True","Sort=True")</f>
        <v>14.661583342572419</v>
      </c>
      <c r="U914" s="43">
        <f ca="1">_xll.BInterpol('Base CDI'!$H$4:$H$28,'Base CDI'!$I$4:$I$29,S914,"Cubic","Extrapolate=Linear","MultiX=Average","Skip=True","Sort=True")</f>
        <v>14.692119919409876</v>
      </c>
    </row>
    <row r="915" spans="16:21" x14ac:dyDescent="0.25">
      <c r="P915" s="10">
        <v>35838</v>
      </c>
      <c r="Q915">
        <v>3.248224</v>
      </c>
      <c r="S915" s="42">
        <f t="shared" ca="1" si="19"/>
        <v>46621</v>
      </c>
      <c r="T915" s="43">
        <f ca="1">_xll.BInterpol('Base CDI'!$H$4:$H$28,'Base CDI'!$J$4:$J$29,S915,"Cubic","Extrapolate=Linear","MultiX=Average","Skip=True","Sort=True")</f>
        <v>14.661417115888053</v>
      </c>
      <c r="U915" s="43">
        <f ca="1">_xll.BInterpol('Base CDI'!$H$4:$H$28,'Base CDI'!$I$4:$I$29,S915,"Cubic","Extrapolate=Linear","MultiX=Average","Skip=True","Sort=True")</f>
        <v>14.691989418060258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46622</v>
      </c>
      <c r="T916" s="43">
        <f ca="1">_xll.BInterpol('Base CDI'!$H$4:$H$28,'Base CDI'!$J$4:$J$29,S916,"Cubic","Extrapolate=Linear","MultiX=Average","Skip=True","Sort=True")</f>
        <v>14.661252210816775</v>
      </c>
      <c r="U916" s="43">
        <f ca="1">_xll.BInterpol('Base CDI'!$H$4:$H$28,'Base CDI'!$I$4:$I$29,S916,"Cubic","Extrapolate=Linear","MultiX=Average","Skip=True","Sort=True")</f>
        <v>14.691860319164554</v>
      </c>
    </row>
    <row r="917" spans="16:21" x14ac:dyDescent="0.25">
      <c r="P917" s="10">
        <v>35842</v>
      </c>
      <c r="Q917">
        <v>3.255792</v>
      </c>
      <c r="S917" s="42">
        <f t="shared" ca="1" si="19"/>
        <v>46623</v>
      </c>
      <c r="T917" s="43">
        <f ca="1">_xll.BInterpol('Base CDI'!$H$4:$H$28,'Base CDI'!$J$4:$J$29,S917,"Cubic","Extrapolate=Linear","MultiX=Average","Skip=True","Sort=True")</f>
        <v>14.661088624623563</v>
      </c>
      <c r="U917" s="43">
        <f ca="1">_xll.BInterpol('Base CDI'!$H$4:$H$28,'Base CDI'!$I$4:$I$29,S917,"Cubic","Extrapolate=Linear","MultiX=Average","Skip=True","Sort=True")</f>
        <v>14.691732617267753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46624</v>
      </c>
      <c r="T918" s="43">
        <f ca="1">_xll.BInterpol('Base CDI'!$H$4:$H$28,'Base CDI'!$J$4:$J$29,S918,"Cubic","Extrapolate=Linear","MultiX=Average","Skip=True","Sort=True")</f>
        <v>14.660926354573391</v>
      </c>
      <c r="U918" s="43">
        <f ca="1">_xll.BInterpol('Base CDI'!$H$4:$H$28,'Base CDI'!$I$4:$I$29,S918,"Cubic","Extrapolate=Linear","MultiX=Average","Skip=True","Sort=True")</f>
        <v>14.691606306914839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46625</v>
      </c>
      <c r="T919" s="43">
        <f ca="1">_xll.BInterpol('Base CDI'!$H$4:$H$28,'Base CDI'!$J$4:$J$29,S919,"Cubic","Extrapolate=Linear","MultiX=Average","Skip=True","Sort=True")</f>
        <v>14.66076539793124</v>
      </c>
      <c r="U919" s="43">
        <f ca="1">_xll.BInterpol('Base CDI'!$H$4:$H$28,'Base CDI'!$I$4:$I$29,S919,"Cubic","Extrapolate=Linear","MultiX=Average","Skip=True","Sort=True")</f>
        <v>14.6914813826508</v>
      </c>
    </row>
    <row r="920" spans="16:21" x14ac:dyDescent="0.25">
      <c r="P920" s="10">
        <v>35845</v>
      </c>
      <c r="Q920">
        <v>3.267137</v>
      </c>
      <c r="S920" s="42">
        <f t="shared" ca="1" si="19"/>
        <v>46626</v>
      </c>
      <c r="T920" s="43">
        <f ca="1">_xll.BInterpol('Base CDI'!$H$4:$H$28,'Base CDI'!$J$4:$J$29,S920,"Cubic","Extrapolate=Linear","MultiX=Average","Skip=True","Sort=True")</f>
        <v>14.660605751962082</v>
      </c>
      <c r="U920" s="43">
        <f ca="1">_xll.BInterpol('Base CDI'!$H$4:$H$28,'Base CDI'!$I$4:$I$29,S920,"Cubic","Extrapolate=Linear","MultiX=Average","Skip=True","Sort=True")</f>
        <v>14.691357839020624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46627</v>
      </c>
      <c r="T921" s="43">
        <f ca="1">_xll.BInterpol('Base CDI'!$H$4:$H$28,'Base CDI'!$J$4:$J$29,S921,"Cubic","Extrapolate=Linear","MultiX=Average","Skip=True","Sort=True")</f>
        <v>14.660447413930898</v>
      </c>
      <c r="U921" s="43">
        <f ca="1">_xll.BInterpol('Base CDI'!$H$4:$H$28,'Base CDI'!$I$4:$I$29,S921,"Cubic","Extrapolate=Linear","MultiX=Average","Skip=True","Sort=True")</f>
        <v>14.691235670569299</v>
      </c>
    </row>
    <row r="922" spans="16:21" x14ac:dyDescent="0.25">
      <c r="P922" s="10">
        <v>35851</v>
      </c>
      <c r="Q922">
        <v>3.274651</v>
      </c>
      <c r="S922" s="42">
        <f t="shared" ca="1" si="19"/>
        <v>46628</v>
      </c>
      <c r="T922" s="43">
        <f ca="1">_xll.BInterpol('Base CDI'!$H$4:$H$28,'Base CDI'!$J$4:$J$29,S922,"Cubic","Extrapolate=Linear","MultiX=Average","Skip=True","Sort=True")</f>
        <v>14.660290381102664</v>
      </c>
      <c r="U922" s="43">
        <f ca="1">_xll.BInterpol('Base CDI'!$H$4:$H$28,'Base CDI'!$I$4:$I$29,S922,"Cubic","Extrapolate=Linear","MultiX=Average","Skip=True","Sort=True")</f>
        <v>14.691114871841808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46629</v>
      </c>
      <c r="T923" s="43">
        <f ca="1">_xll.BInterpol('Base CDI'!$H$4:$H$28,'Base CDI'!$J$4:$J$29,S923,"Cubic","Extrapolate=Linear","MultiX=Average","Skip=True","Sort=True")</f>
        <v>14.660134650742357</v>
      </c>
      <c r="U923" s="43">
        <f ca="1">_xll.BInterpol('Base CDI'!$H$4:$H$28,'Base CDI'!$I$4:$I$29,S923,"Cubic","Extrapolate=Linear","MultiX=Average","Skip=True","Sort=True")</f>
        <v>14.690995437383144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46630</v>
      </c>
      <c r="T924" s="43">
        <f ca="1">_xll.BInterpol('Base CDI'!$H$4:$H$28,'Base CDI'!$J$4:$J$29,S924,"Cubic","Extrapolate=Linear","MultiX=Average","Skip=True","Sort=True")</f>
        <v>14.659980220114953</v>
      </c>
      <c r="U924" s="43">
        <f ca="1">_xll.BInterpol('Base CDI'!$H$4:$H$28,'Base CDI'!$I$4:$I$29,S924,"Cubic","Extrapolate=Linear","MultiX=Average","Skip=True","Sort=True")</f>
        <v>14.69087736173829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46631</v>
      </c>
      <c r="T925" s="43">
        <f ca="1">_xll.BInterpol('Base CDI'!$H$4:$H$28,'Base CDI'!$J$4:$J$29,S925,"Cubic","Extrapolate=Linear","MultiX=Average","Skip=True","Sort=True")</f>
        <v>14.659827086485429</v>
      </c>
      <c r="U925" s="43">
        <f ca="1">_xll.BInterpol('Base CDI'!$H$4:$H$28,'Base CDI'!$I$4:$I$29,S925,"Cubic","Extrapolate=Linear","MultiX=Average","Skip=True","Sort=True")</f>
        <v>14.690760639452234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46632</v>
      </c>
      <c r="T926" s="43">
        <f ca="1">_xll.BInterpol('Base CDI'!$H$4:$H$28,'Base CDI'!$J$4:$J$29,S926,"Cubic","Extrapolate=Linear","MultiX=Average","Skip=True","Sort=True")</f>
        <v>14.659675247118763</v>
      </c>
      <c r="U926" s="43">
        <f ca="1">_xll.BInterpol('Base CDI'!$H$4:$H$28,'Base CDI'!$I$4:$I$29,S926,"Cubic","Extrapolate=Linear","MultiX=Average","Skip=True","Sort=True")</f>
        <v>14.690645265069966</v>
      </c>
    </row>
    <row r="927" spans="16:21" x14ac:dyDescent="0.25">
      <c r="P927" s="10">
        <v>35858</v>
      </c>
      <c r="Q927">
        <v>3.29332</v>
      </c>
      <c r="S927" s="42">
        <f t="shared" ca="1" si="19"/>
        <v>46633</v>
      </c>
      <c r="T927" s="43">
        <f ca="1">_xll.BInterpol('Base CDI'!$H$4:$H$28,'Base CDI'!$J$4:$J$29,S927,"Cubic","Extrapolate=Linear","MultiX=Average","Skip=True","Sort=True")</f>
        <v>14.659524699279931</v>
      </c>
      <c r="U927" s="43">
        <f ca="1">_xll.BInterpol('Base CDI'!$H$4:$H$28,'Base CDI'!$I$4:$I$29,S927,"Cubic","Extrapolate=Linear","MultiX=Average","Skip=True","Sort=True")</f>
        <v>14.69053123313647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46634</v>
      </c>
      <c r="T928" s="43">
        <f ca="1">_xll.BInterpol('Base CDI'!$H$4:$H$28,'Base CDI'!$J$4:$J$29,S928,"Cubic","Extrapolate=Linear","MultiX=Average","Skip=True","Sort=True")</f>
        <v>14.65937544023391</v>
      </c>
      <c r="U928" s="43">
        <f ca="1">_xll.BInterpol('Base CDI'!$H$4:$H$28,'Base CDI'!$I$4:$I$29,S928,"Cubic","Extrapolate=Linear","MultiX=Average","Skip=True","Sort=True")</f>
        <v>14.690418538196733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46635</v>
      </c>
      <c r="T929" s="43">
        <f ca="1">_xll.BInterpol('Base CDI'!$H$4:$H$28,'Base CDI'!$J$4:$J$29,S929,"Cubic","Extrapolate=Linear","MultiX=Average","Skip=True","Sort=True")</f>
        <v>14.659227467245678</v>
      </c>
      <c r="U929" s="43">
        <f ca="1">_xll.BInterpol('Base CDI'!$H$4:$H$28,'Base CDI'!$I$4:$I$29,S929,"Cubic","Extrapolate=Linear","MultiX=Average","Skip=True","Sort=True")</f>
        <v>14.690307174795745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46636</v>
      </c>
      <c r="T930" s="43">
        <f ca="1">_xll.BInterpol('Base CDI'!$H$4:$H$28,'Base CDI'!$J$4:$J$29,S930,"Cubic","Extrapolate=Linear","MultiX=Average","Skip=True","Sort=True")</f>
        <v>14.659080777580211</v>
      </c>
      <c r="U930" s="43">
        <f ca="1">_xll.BInterpol('Base CDI'!$H$4:$H$28,'Base CDI'!$I$4:$I$29,S930,"Cubic","Extrapolate=Linear","MultiX=Average","Skip=True","Sort=True")</f>
        <v>14.69019713747849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46637</v>
      </c>
      <c r="T931" s="43">
        <f ca="1">_xll.BInterpol('Base CDI'!$H$4:$H$28,'Base CDI'!$J$4:$J$29,S931,"Cubic","Extrapolate=Linear","MultiX=Average","Skip=True","Sort=True")</f>
        <v>14.658935368502489</v>
      </c>
      <c r="U931" s="43">
        <f ca="1">_xll.BInterpol('Base CDI'!$H$4:$H$28,'Base CDI'!$I$4:$I$29,S931,"Cubic","Extrapolate=Linear","MultiX=Average","Skip=True","Sort=True")</f>
        <v>14.690088420789959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46638</v>
      </c>
      <c r="T932" s="43">
        <f ca="1">_xll.BInterpol('Base CDI'!$H$4:$H$28,'Base CDI'!$J$4:$J$29,S932,"Cubic","Extrapolate=Linear","MultiX=Average","Skip=True","Sort=True")</f>
        <v>14.658791237277482</v>
      </c>
      <c r="U932" s="43">
        <f ca="1">_xll.BInterpol('Base CDI'!$H$4:$H$28,'Base CDI'!$I$4:$I$29,S932,"Cubic","Extrapolate=Linear","MultiX=Average","Skip=True","Sort=True")</f>
        <v>14.689981019275134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46639</v>
      </c>
      <c r="T933" s="43">
        <f ca="1">_xll.BInterpol('Base CDI'!$H$4:$H$28,'Base CDI'!$J$4:$J$29,S933,"Cubic","Extrapolate=Linear","MultiX=Average","Skip=True","Sort=True")</f>
        <v>14.658648381170174</v>
      </c>
      <c r="U933" s="43">
        <f ca="1">_xll.BInterpol('Base CDI'!$H$4:$H$28,'Base CDI'!$I$4:$I$29,S933,"Cubic","Extrapolate=Linear","MultiX=Average","Skip=True","Sort=True")</f>
        <v>14.689874927479007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46640</v>
      </c>
      <c r="T934" s="43">
        <f ca="1">_xll.BInterpol('Base CDI'!$H$4:$H$28,'Base CDI'!$J$4:$J$29,S934,"Cubic","Extrapolate=Linear","MultiX=Average","Skip=True","Sort=True")</f>
        <v>14.658506797445538</v>
      </c>
      <c r="U934" s="43">
        <f ca="1">_xll.BInterpol('Base CDI'!$H$4:$H$28,'Base CDI'!$I$4:$I$29,S934,"Cubic","Extrapolate=Linear","MultiX=Average","Skip=True","Sort=True")</f>
        <v>14.689770139946562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46641</v>
      </c>
      <c r="T935" s="43">
        <f ca="1">_xll.BInterpol('Base CDI'!$H$4:$H$28,'Base CDI'!$J$4:$J$29,S935,"Cubic","Extrapolate=Linear","MultiX=Average","Skip=True","Sort=True")</f>
        <v>14.658366483368553</v>
      </c>
      <c r="U935" s="43">
        <f ca="1">_xll.BInterpol('Base CDI'!$H$4:$H$28,'Base CDI'!$I$4:$I$29,S935,"Cubic","Extrapolate=Linear","MultiX=Average","Skip=True","Sort=True")</f>
        <v>14.689666651222788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46642</v>
      </c>
      <c r="T936" s="43">
        <f ca="1">_xll.BInterpol('Base CDI'!$H$4:$H$28,'Base CDI'!$J$4:$J$29,S936,"Cubic","Extrapolate=Linear","MultiX=Average","Skip=True","Sort=True")</f>
        <v>14.658227436204195</v>
      </c>
      <c r="U936" s="43">
        <f ca="1">_xll.BInterpol('Base CDI'!$H$4:$H$28,'Base CDI'!$I$4:$I$29,S936,"Cubic","Extrapolate=Linear","MultiX=Average","Skip=True","Sort=True")</f>
        <v>14.689564455852672</v>
      </c>
    </row>
    <row r="937" spans="16:21" x14ac:dyDescent="0.25">
      <c r="P937" s="10">
        <v>35872</v>
      </c>
      <c r="Q937">
        <v>3.325447</v>
      </c>
      <c r="S937" s="42">
        <f t="shared" ca="1" si="19"/>
        <v>46643</v>
      </c>
      <c r="T937" s="43">
        <f ca="1">_xll.BInterpol('Base CDI'!$H$4:$H$28,'Base CDI'!$J$4:$J$29,S937,"Cubic","Extrapolate=Linear","MultiX=Average","Skip=True","Sort=True")</f>
        <v>14.65808965321744</v>
      </c>
      <c r="U937" s="43">
        <f ca="1">_xll.BInterpol('Base CDI'!$H$4:$H$28,'Base CDI'!$I$4:$I$29,S937,"Cubic","Extrapolate=Linear","MultiX=Average","Skip=True","Sort=True")</f>
        <v>14.6894635483812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46644</v>
      </c>
      <c r="T938" s="43">
        <f ca="1">_xll.BInterpol('Base CDI'!$H$4:$H$28,'Base CDI'!$J$4:$J$29,S938,"Cubic","Extrapolate=Linear","MultiX=Average","Skip=True","Sort=True")</f>
        <v>14.657953131673267</v>
      </c>
      <c r="U938" s="43">
        <f ca="1">_xll.BInterpol('Base CDI'!$H$4:$H$28,'Base CDI'!$I$4:$I$29,S938,"Cubic","Extrapolate=Linear","MultiX=Average","Skip=True","Sort=True")</f>
        <v>14.68936392335336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46645</v>
      </c>
      <c r="T939" s="43">
        <f ca="1">_xll.BInterpol('Base CDI'!$H$4:$H$28,'Base CDI'!$J$4:$J$29,S939,"Cubic","Extrapolate=Linear","MultiX=Average","Skip=True","Sort=True")</f>
        <v>14.657817868836652</v>
      </c>
      <c r="U939" s="43">
        <f ca="1">_xll.BInterpol('Base CDI'!$H$4:$H$28,'Base CDI'!$I$4:$I$29,S939,"Cubic","Extrapolate=Linear","MultiX=Average","Skip=True","Sort=True")</f>
        <v>14.68926557531414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46646</v>
      </c>
      <c r="T940" s="43">
        <f ca="1">_xll.BInterpol('Base CDI'!$H$4:$H$28,'Base CDI'!$J$4:$J$29,S940,"Cubic","Extrapolate=Linear","MultiX=Average","Skip=True","Sort=True")</f>
        <v>14.657683861972572</v>
      </c>
      <c r="U940" s="43">
        <f ca="1">_xll.BInterpol('Base CDI'!$H$4:$H$28,'Base CDI'!$I$4:$I$29,S940,"Cubic","Extrapolate=Linear","MultiX=Average","Skip=True","Sort=True")</f>
        <v>14.689168498808527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46647</v>
      </c>
      <c r="T941" s="43">
        <f ca="1">_xll.BInterpol('Base CDI'!$H$4:$H$28,'Base CDI'!$J$4:$J$29,S941,"Cubic","Extrapolate=Linear","MultiX=Average","Skip=True","Sort=True")</f>
        <v>14.657551108346004</v>
      </c>
      <c r="U941" s="43">
        <f ca="1">_xll.BInterpol('Base CDI'!$H$4:$H$28,'Base CDI'!$I$4:$I$29,S941,"Cubic","Extrapolate=Linear","MultiX=Average","Skip=True","Sort=True")</f>
        <v>14.689072688381506</v>
      </c>
    </row>
    <row r="942" spans="16:21" x14ac:dyDescent="0.25">
      <c r="P942" s="10">
        <v>35879</v>
      </c>
      <c r="Q942">
        <v>3.341466</v>
      </c>
      <c r="S942" s="42">
        <f t="shared" ca="1" si="19"/>
        <v>46648</v>
      </c>
      <c r="T942" s="43">
        <f ca="1">_xll.BInterpol('Base CDI'!$H$4:$H$28,'Base CDI'!$J$4:$J$29,S942,"Cubic","Extrapolate=Linear","MultiX=Average","Skip=True","Sort=True")</f>
        <v>14.657419605221923</v>
      </c>
      <c r="U942" s="43">
        <f ca="1">_xll.BInterpol('Base CDI'!$H$4:$H$28,'Base CDI'!$I$4:$I$29,S942,"Cubic","Extrapolate=Linear","MultiX=Average","Skip=True","Sort=True")</f>
        <v>14.688978138578067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46649</v>
      </c>
      <c r="T943" s="43">
        <f ca="1">_xll.BInterpol('Base CDI'!$H$4:$H$28,'Base CDI'!$J$4:$J$29,S943,"Cubic","Extrapolate=Linear","MultiX=Average","Skip=True","Sort=True")</f>
        <v>14.657289349865311</v>
      </c>
      <c r="U943" s="43">
        <f ca="1">_xll.BInterpol('Base CDI'!$H$4:$H$28,'Base CDI'!$I$4:$I$29,S943,"Cubic","Extrapolate=Linear","MultiX=Average","Skip=True","Sort=True")</f>
        <v>14.688884843943196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46650</v>
      </c>
      <c r="T944" s="43">
        <f ca="1">_xll.BInterpol('Base CDI'!$H$4:$H$28,'Base CDI'!$J$4:$J$29,S944,"Cubic","Extrapolate=Linear","MultiX=Average","Skip=True","Sort=True")</f>
        <v>14.657160339541139</v>
      </c>
      <c r="U944" s="43">
        <f ca="1">_xll.BInterpol('Base CDI'!$H$4:$H$28,'Base CDI'!$I$4:$I$29,S944,"Cubic","Extrapolate=Linear","MultiX=Average","Skip=True","Sort=True")</f>
        <v>14.688792799021879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46651</v>
      </c>
      <c r="T945" s="43">
        <f ca="1">_xll.BInterpol('Base CDI'!$H$4:$H$28,'Base CDI'!$J$4:$J$29,S945,"Cubic","Extrapolate=Linear","MultiX=Average","Skip=True","Sort=True")</f>
        <v>14.657032571514389</v>
      </c>
      <c r="U945" s="43">
        <f ca="1">_xll.BInterpol('Base CDI'!$H$4:$H$28,'Base CDI'!$I$4:$I$29,S945,"Cubic","Extrapolate=Linear","MultiX=Average","Skip=True","Sort=True")</f>
        <v>14.688701998359106</v>
      </c>
    </row>
    <row r="946" spans="16:21" x14ac:dyDescent="0.25">
      <c r="P946" s="10">
        <v>35885</v>
      </c>
      <c r="Q946">
        <v>3.354304</v>
      </c>
      <c r="S946" s="42">
        <f t="shared" ca="1" si="19"/>
        <v>46652</v>
      </c>
      <c r="T946" s="43">
        <f ca="1">_xll.BInterpol('Base CDI'!$H$4:$H$28,'Base CDI'!$J$4:$J$29,S946,"Cubic","Extrapolate=Linear","MultiX=Average","Skip=True","Sort=True")</f>
        <v>14.656906043050034</v>
      </c>
      <c r="U946" s="43">
        <f ca="1">_xll.BInterpol('Base CDI'!$H$4:$H$28,'Base CDI'!$I$4:$I$29,S946,"Cubic","Extrapolate=Linear","MultiX=Average","Skip=True","Sort=True")</f>
        <v>14.688612436499861</v>
      </c>
    </row>
    <row r="947" spans="16:21" x14ac:dyDescent="0.25">
      <c r="P947" s="10">
        <v>35886</v>
      </c>
      <c r="Q947">
        <v>3.35751</v>
      </c>
      <c r="S947" s="42">
        <f t="shared" ca="1" si="19"/>
        <v>46653</v>
      </c>
      <c r="T947" s="43">
        <f ca="1">_xll.BInterpol('Base CDI'!$H$4:$H$28,'Base CDI'!$J$4:$J$29,S947,"Cubic","Extrapolate=Linear","MultiX=Average","Skip=True","Sort=True")</f>
        <v>14.656780751413054</v>
      </c>
      <c r="U947" s="43">
        <f ca="1">_xll.BInterpol('Base CDI'!$H$4:$H$28,'Base CDI'!$I$4:$I$29,S947,"Cubic","Extrapolate=Linear","MultiX=Average","Skip=True","Sort=True")</f>
        <v>14.688524107989133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46654</v>
      </c>
      <c r="T948" s="43">
        <f ca="1">_xll.BInterpol('Base CDI'!$H$4:$H$28,'Base CDI'!$J$4:$J$29,S948,"Cubic","Extrapolate=Linear","MultiX=Average","Skip=True","Sort=True")</f>
        <v>14.656656693868424</v>
      </c>
      <c r="U948" s="43">
        <f ca="1">_xll.BInterpol('Base CDI'!$H$4:$H$28,'Base CDI'!$I$4:$I$29,S948,"Cubic","Extrapolate=Linear","MultiX=Average","Skip=True","Sort=True")</f>
        <v>14.68843700737191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46655</v>
      </c>
      <c r="T949" s="43">
        <f ca="1">_xll.BInterpol('Base CDI'!$H$4:$H$28,'Base CDI'!$J$4:$J$29,S949,"Cubic","Extrapolate=Linear","MultiX=Average","Skip=True","Sort=True")</f>
        <v>14.656533867681121</v>
      </c>
      <c r="U949" s="43">
        <f ca="1">_xll.BInterpol('Base CDI'!$H$4:$H$28,'Base CDI'!$I$4:$I$29,S949,"Cubic","Extrapolate=Linear","MultiX=Average","Skip=True","Sort=True")</f>
        <v>14.688351129193176</v>
      </c>
    </row>
    <row r="950" spans="16:21" x14ac:dyDescent="0.25">
      <c r="P950" s="10">
        <v>35891</v>
      </c>
      <c r="Q950">
        <v>3.367165</v>
      </c>
      <c r="S950" s="42">
        <f t="shared" ca="1" si="19"/>
        <v>46656</v>
      </c>
      <c r="T950" s="43">
        <f ca="1">_xll.BInterpol('Base CDI'!$H$4:$H$28,'Base CDI'!$J$4:$J$29,S950,"Cubic","Extrapolate=Linear","MultiX=Average","Skip=True","Sort=True")</f>
        <v>14.656412270116125</v>
      </c>
      <c r="U950" s="43">
        <f ca="1">_xll.BInterpol('Base CDI'!$H$4:$H$28,'Base CDI'!$I$4:$I$29,S950,"Cubic","Extrapolate=Linear","MultiX=Average","Skip=True","Sort=True")</f>
        <v>14.688266467997922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46657</v>
      </c>
      <c r="T951" s="43">
        <f ca="1">_xll.BInterpol('Base CDI'!$H$4:$H$28,'Base CDI'!$J$4:$J$29,S951,"Cubic","Extrapolate=Linear","MultiX=Average","Skip=True","Sort=True")</f>
        <v>14.656291898438408</v>
      </c>
      <c r="U951" s="43">
        <f ca="1">_xll.BInterpol('Base CDI'!$H$4:$H$28,'Base CDI'!$I$4:$I$29,S951,"Cubic","Extrapolate=Linear","MultiX=Average","Skip=True","Sort=True")</f>
        <v>14.688183018331133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46658</v>
      </c>
      <c r="T952" s="43">
        <f ca="1">_xll.BInterpol('Base CDI'!$H$4:$H$28,'Base CDI'!$J$4:$J$29,S952,"Cubic","Extrapolate=Linear","MultiX=Average","Skip=True","Sort=True")</f>
        <v>14.656172749912951</v>
      </c>
      <c r="U952" s="43">
        <f ca="1">_xll.BInterpol('Base CDI'!$H$4:$H$28,'Base CDI'!$I$4:$I$29,S952,"Cubic","Extrapolate=Linear","MultiX=Average","Skip=True","Sort=True")</f>
        <v>14.688100774737796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46659</v>
      </c>
      <c r="T953" s="43">
        <f ca="1">_xll.BInterpol('Base CDI'!$H$4:$H$28,'Base CDI'!$J$4:$J$29,S953,"Cubic","Extrapolate=Linear","MultiX=Average","Skip=True","Sort=True")</f>
        <v>14.656054821804728</v>
      </c>
      <c r="U953" s="43">
        <f ca="1">_xll.BInterpol('Base CDI'!$H$4:$H$28,'Base CDI'!$I$4:$I$29,S953,"Cubic","Extrapolate=Linear","MultiX=Average","Skip=True","Sort=True")</f>
        <v>14.6880197317629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46660</v>
      </c>
      <c r="T954" s="43">
        <f ca="1">_xll.BInterpol('Base CDI'!$H$4:$H$28,'Base CDI'!$J$4:$J$29,S954,"Cubic","Extrapolate=Linear","MultiX=Average","Skip=True","Sort=True")</f>
        <v>14.655938111378719</v>
      </c>
      <c r="U954" s="43">
        <f ca="1">_xll.BInterpol('Base CDI'!$H$4:$H$28,'Base CDI'!$I$4:$I$29,S954,"Cubic","Extrapolate=Linear","MultiX=Average","Skip=True","Sort=True")</f>
        <v>14.687939883951429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46661</v>
      </c>
      <c r="T955" s="43">
        <f ca="1">_xll.BInterpol('Base CDI'!$H$4:$H$28,'Base CDI'!$J$4:$J$29,S955,"Cubic","Extrapolate=Linear","MultiX=Average","Skip=True","Sort=True")</f>
        <v>14.655822615899899</v>
      </c>
      <c r="U955" s="43">
        <f ca="1">_xll.BInterpol('Base CDI'!$H$4:$H$28,'Base CDI'!$I$4:$I$29,S955,"Cubic","Extrapolate=Linear","MultiX=Average","Skip=True","Sort=True")</f>
        <v>14.687861225848375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46662</v>
      </c>
      <c r="T956" s="43">
        <f ca="1">_xll.BInterpol('Base CDI'!$H$4:$H$28,'Base CDI'!$J$4:$J$29,S956,"Cubic","Extrapolate=Linear","MultiX=Average","Skip=True","Sort=True")</f>
        <v>14.655708332633244</v>
      </c>
      <c r="U956" s="43">
        <f ca="1">_xll.BInterpol('Base CDI'!$H$4:$H$28,'Base CDI'!$I$4:$I$29,S956,"Cubic","Extrapolate=Linear","MultiX=Average","Skip=True","Sort=True")</f>
        <v>14.687783751998721</v>
      </c>
    </row>
    <row r="957" spans="16:21" x14ac:dyDescent="0.25">
      <c r="P957" s="10">
        <v>35902</v>
      </c>
      <c r="Q957">
        <v>3.389122</v>
      </c>
      <c r="S957" s="42">
        <f t="shared" ca="1" si="19"/>
        <v>46663</v>
      </c>
      <c r="T957" s="43">
        <f ca="1">_xll.BInterpol('Base CDI'!$H$4:$H$28,'Base CDI'!$J$4:$J$29,S957,"Cubic","Extrapolate=Linear","MultiX=Average","Skip=True","Sort=True")</f>
        <v>14.655595258843734</v>
      </c>
      <c r="U957" s="43">
        <f ca="1">_xll.BInterpol('Base CDI'!$H$4:$H$28,'Base CDI'!$I$4:$I$29,S957,"Cubic","Extrapolate=Linear","MultiX=Average","Skip=True","Sort=True")</f>
        <v>14.687707456947455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46664</v>
      </c>
      <c r="T958" s="43">
        <f ca="1">_xll.BInterpol('Base CDI'!$H$4:$H$28,'Base CDI'!$J$4:$J$29,S958,"Cubic","Extrapolate=Linear","MultiX=Average","Skip=True","Sort=True")</f>
        <v>14.655483391796343</v>
      </c>
      <c r="U958" s="43">
        <f ca="1">_xll.BInterpol('Base CDI'!$H$4:$H$28,'Base CDI'!$I$4:$I$29,S958,"Cubic","Extrapolate=Linear","MultiX=Average","Skip=True","Sort=True")</f>
        <v>14.687632335239565</v>
      </c>
    </row>
    <row r="959" spans="16:21" x14ac:dyDescent="0.25">
      <c r="P959" s="10">
        <v>35907</v>
      </c>
      <c r="Q959">
        <v>3.394749</v>
      </c>
      <c r="S959" s="42">
        <f t="shared" ca="1" si="19"/>
        <v>46665</v>
      </c>
      <c r="T959" s="43">
        <f ca="1">_xll.BInterpol('Base CDI'!$H$4:$H$28,'Base CDI'!$J$4:$J$29,S959,"Cubic","Extrapolate=Linear","MultiX=Average","Skip=True","Sort=True")</f>
        <v>14.655372728756051</v>
      </c>
      <c r="U959" s="43">
        <f ca="1">_xll.BInterpol('Base CDI'!$H$4:$H$28,'Base CDI'!$I$4:$I$29,S959,"Cubic","Extrapolate=Linear","MultiX=Average","Skip=True","Sort=True")</f>
        <v>14.687558381420038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46666</v>
      </c>
      <c r="T960" s="43">
        <f ca="1">_xll.BInterpol('Base CDI'!$H$4:$H$28,'Base CDI'!$J$4:$J$29,S960,"Cubic","Extrapolate=Linear","MultiX=Average","Skip=True","Sort=True")</f>
        <v>14.655263266987832</v>
      </c>
      <c r="U960" s="43">
        <f ca="1">_xll.BInterpol('Base CDI'!$H$4:$H$28,'Base CDI'!$I$4:$I$29,S960,"Cubic","Extrapolate=Linear","MultiX=Average","Skip=True","Sort=True")</f>
        <v>14.687485590033862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46667</v>
      </c>
      <c r="T961" s="43">
        <f ca="1">_xll.BInterpol('Base CDI'!$H$4:$H$28,'Base CDI'!$J$4:$J$29,S961,"Cubic","Extrapolate=Linear","MultiX=Average","Skip=True","Sort=True")</f>
        <v>14.655155003756665</v>
      </c>
      <c r="U961" s="43">
        <f ca="1">_xll.BInterpol('Base CDI'!$H$4:$H$28,'Base CDI'!$I$4:$I$29,S961,"Cubic","Extrapolate=Linear","MultiX=Average","Skip=True","Sort=True")</f>
        <v>14.687413955626022</v>
      </c>
    </row>
    <row r="962" spans="16:21" x14ac:dyDescent="0.25">
      <c r="P962" s="10">
        <v>35912</v>
      </c>
      <c r="Q962">
        <v>3.403187</v>
      </c>
      <c r="S962" s="42">
        <f t="shared" ca="1" si="19"/>
        <v>46668</v>
      </c>
      <c r="T962" s="43">
        <f ca="1">_xll.BInterpol('Base CDI'!$H$4:$H$28,'Base CDI'!$J$4:$J$29,S962,"Cubic","Extrapolate=Linear","MultiX=Average","Skip=True","Sort=True")</f>
        <v>14.655047936327525</v>
      </c>
      <c r="U962" s="43">
        <f ca="1">_xll.BInterpol('Base CDI'!$H$4:$H$28,'Base CDI'!$I$4:$I$29,S962,"Cubic","Extrapolate=Linear","MultiX=Average","Skip=True","Sort=True")</f>
        <v>14.687343472741508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46669</v>
      </c>
      <c r="T963" s="43">
        <f ca="1">_xll.BInterpol('Base CDI'!$H$4:$H$28,'Base CDI'!$J$4:$J$29,S963,"Cubic","Extrapolate=Linear","MultiX=Average","Skip=True","Sort=True")</f>
        <v>14.654942061965391</v>
      </c>
      <c r="U963" s="43">
        <f ca="1">_xll.BInterpol('Base CDI'!$H$4:$H$28,'Base CDI'!$I$4:$I$29,S963,"Cubic","Extrapolate=Linear","MultiX=Average","Skip=True","Sort=True")</f>
        <v>14.687274135925305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46670</v>
      </c>
      <c r="T964" s="43">
        <f ca="1">_xll.BInterpol('Base CDI'!$H$4:$H$28,'Base CDI'!$J$4:$J$29,S964,"Cubic","Extrapolate=Linear","MultiX=Average","Skip=True","Sort=True")</f>
        <v>14.654837377935239</v>
      </c>
      <c r="U964" s="43">
        <f ca="1">_xll.BInterpol('Base CDI'!$H$4:$H$28,'Base CDI'!$I$4:$I$29,S964,"Cubic","Extrapolate=Linear","MultiX=Average","Skip=True","Sort=True")</f>
        <v>14.687205939722402</v>
      </c>
    </row>
    <row r="965" spans="16:21" x14ac:dyDescent="0.25">
      <c r="P965" s="10">
        <v>35915</v>
      </c>
      <c r="Q965">
        <v>3.411629</v>
      </c>
      <c r="S965" s="42">
        <f t="shared" ca="1" si="19"/>
        <v>46671</v>
      </c>
      <c r="T965" s="43">
        <f ca="1">_xll.BInterpol('Base CDI'!$H$4:$H$28,'Base CDI'!$J$4:$J$29,S965,"Cubic","Extrapolate=Linear","MultiX=Average","Skip=True","Sort=True")</f>
        <v>14.654733881502047</v>
      </c>
      <c r="U965" s="43">
        <f ca="1">_xll.BInterpol('Base CDI'!$H$4:$H$28,'Base CDI'!$I$4:$I$29,S965,"Cubic","Extrapolate=Linear","MultiX=Average","Skip=True","Sort=True")</f>
        <v>14.687138878677784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46672</v>
      </c>
      <c r="T966" s="43">
        <f ca="1">_xll.BInterpol('Base CDI'!$H$4:$H$28,'Base CDI'!$J$4:$J$29,S966,"Cubic","Extrapolate=Linear","MultiX=Average","Skip=True","Sort=True")</f>
        <v>14.654631569930789</v>
      </c>
      <c r="U966" s="43">
        <f ca="1">_xll.BInterpol('Base CDI'!$H$4:$H$28,'Base CDI'!$I$4:$I$29,S966,"Cubic","Extrapolate=Linear","MultiX=Average","Skip=True","Sort=True")</f>
        <v>14.687072947336439</v>
      </c>
    </row>
    <row r="967" spans="16:21" x14ac:dyDescent="0.25">
      <c r="P967" s="10">
        <v>35920</v>
      </c>
      <c r="Q967">
        <v>3.417224</v>
      </c>
      <c r="S967" s="42">
        <f t="shared" ca="1" si="19"/>
        <v>46673</v>
      </c>
      <c r="T967" s="43">
        <f ca="1">_xll.BInterpol('Base CDI'!$H$4:$H$28,'Base CDI'!$J$4:$J$29,S967,"Cubic","Extrapolate=Linear","MultiX=Average","Skip=True","Sort=True")</f>
        <v>14.654530440486445</v>
      </c>
      <c r="U967" s="43">
        <f ca="1">_xll.BInterpol('Base CDI'!$H$4:$H$28,'Base CDI'!$I$4:$I$29,S967,"Cubic","Extrapolate=Linear","MultiX=Average","Skip=True","Sort=True")</f>
        <v>14.687008140243353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46674</v>
      </c>
      <c r="T968" s="43">
        <f ca="1">_xll.BInterpol('Base CDI'!$H$4:$H$28,'Base CDI'!$J$4:$J$29,S968,"Cubic","Extrapolate=Linear","MultiX=Average","Skip=True","Sort=True")</f>
        <v>14.65443049043399</v>
      </c>
      <c r="U968" s="43">
        <f ca="1">_xll.BInterpol('Base CDI'!$H$4:$H$28,'Base CDI'!$I$4:$I$29,S968,"Cubic","Extrapolate=Linear","MultiX=Average","Skip=True","Sort=True")</f>
        <v>14.686944451943518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46675</v>
      </c>
      <c r="T969" s="43">
        <f ca="1">_xll.BInterpol('Base CDI'!$H$4:$H$28,'Base CDI'!$J$4:$J$29,S969,"Cubic","Extrapolate=Linear","MultiX=Average","Skip=True","Sort=True")</f>
        <v>14.654331717038403</v>
      </c>
      <c r="U969" s="43">
        <f ca="1">_xll.BInterpol('Base CDI'!$H$4:$H$28,'Base CDI'!$I$4:$I$29,S969,"Cubic","Extrapolate=Linear","MultiX=Average","Skip=True","Sort=True")</f>
        <v>14.686881876981916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46676</v>
      </c>
      <c r="T970" s="43">
        <f ca="1">_xll.BInterpol('Base CDI'!$H$4:$H$28,'Base CDI'!$J$4:$J$29,S970,"Cubic","Extrapolate=Linear","MultiX=Average","Skip=True","Sort=True")</f>
        <v>14.654234117564659</v>
      </c>
      <c r="U970" s="43">
        <f ca="1">_xll.BInterpol('Base CDI'!$H$4:$H$28,'Base CDI'!$I$4:$I$29,S970,"Cubic","Extrapolate=Linear","MultiX=Average","Skip=True","Sort=True")</f>
        <v>14.686820409903536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46677</v>
      </c>
      <c r="T971" s="43">
        <f ca="1">_xll.BInterpol('Base CDI'!$H$4:$H$28,'Base CDI'!$J$4:$J$29,S971,"Cubic","Extrapolate=Linear","MultiX=Average","Skip=True","Sort=True")</f>
        <v>14.654137689277738</v>
      </c>
      <c r="U971" s="43">
        <f ca="1">_xll.BInterpol('Base CDI'!$H$4:$H$28,'Base CDI'!$I$4:$I$29,S971,"Cubic","Extrapolate=Linear","MultiX=Average","Skip=True","Sort=True")</f>
        <v>14.686760045253365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46678</v>
      </c>
      <c r="T972" s="43">
        <f ca="1">_xll.BInterpol('Base CDI'!$H$4:$H$28,'Base CDI'!$J$4:$J$29,S972,"Cubic","Extrapolate=Linear","MultiX=Average","Skip=True","Sort=True")</f>
        <v>14.654042429442612</v>
      </c>
      <c r="U972" s="43">
        <f ca="1">_xll.BInterpol('Base CDI'!$H$4:$H$28,'Base CDI'!$I$4:$I$29,S972,"Cubic","Extrapolate=Linear","MultiX=Average","Skip=True","Sort=True")</f>
        <v>14.686700777576391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46679</v>
      </c>
      <c r="T973" s="43">
        <f ca="1">_xll.BInterpol('Base CDI'!$H$4:$H$28,'Base CDI'!$J$4:$J$29,S973,"Cubic","Extrapolate=Linear","MultiX=Average","Skip=True","Sort=True")</f>
        <v>14.653948335324262</v>
      </c>
      <c r="U973" s="43">
        <f ca="1">_xll.BInterpol('Base CDI'!$H$4:$H$28,'Base CDI'!$I$4:$I$29,S973,"Cubic","Extrapolate=Linear","MultiX=Average","Skip=True","Sort=True")</f>
        <v>14.686642601417601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46680</v>
      </c>
      <c r="T974" s="43">
        <f ca="1">_xll.BInterpol('Base CDI'!$H$4:$H$28,'Base CDI'!$J$4:$J$29,S974,"Cubic","Extrapolate=Linear","MultiX=Average","Skip=True","Sort=True")</f>
        <v>14.653855404187663</v>
      </c>
      <c r="U974" s="43">
        <f ca="1">_xll.BInterpol('Base CDI'!$H$4:$H$28,'Base CDI'!$I$4:$I$29,S974,"Cubic","Extrapolate=Linear","MultiX=Average","Skip=True","Sort=True")</f>
        <v>14.686585511321981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46681</v>
      </c>
      <c r="T975" s="43">
        <f ca="1">_xll.BInterpol('Base CDI'!$H$4:$H$28,'Base CDI'!$J$4:$J$29,S975,"Cubic","Extrapolate=Linear","MultiX=Average","Skip=True","Sort=True")</f>
        <v>14.653763633297794</v>
      </c>
      <c r="U975" s="43">
        <f ca="1">_xll.BInterpol('Base CDI'!$H$4:$H$28,'Base CDI'!$I$4:$I$29,S975,"Cubic","Extrapolate=Linear","MultiX=Average","Skip=True","Sort=True")</f>
        <v>14.686529501834519</v>
      </c>
    </row>
    <row r="976" spans="16:21" x14ac:dyDescent="0.25">
      <c r="P976" s="10">
        <v>35933</v>
      </c>
      <c r="Q976">
        <v>3.442806</v>
      </c>
      <c r="S976" s="42">
        <f t="shared" ca="1" si="20"/>
        <v>46682</v>
      </c>
      <c r="T976" s="43">
        <f ca="1">_xll.BInterpol('Base CDI'!$H$4:$H$28,'Base CDI'!$J$4:$J$29,S976,"Cubic","Extrapolate=Linear","MultiX=Average","Skip=True","Sort=True")</f>
        <v>14.65367301991963</v>
      </c>
      <c r="U976" s="43">
        <f ca="1">_xll.BInterpol('Base CDI'!$H$4:$H$28,'Base CDI'!$I$4:$I$29,S976,"Cubic","Extrapolate=Linear","MultiX=Average","Skip=True","Sort=True")</f>
        <v>14.686474567500202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46683</v>
      </c>
      <c r="T977" s="43">
        <f ca="1">_xll.BInterpol('Base CDI'!$H$4:$H$28,'Base CDI'!$J$4:$J$29,S977,"Cubic","Extrapolate=Linear","MultiX=Average","Skip=True","Sort=True")</f>
        <v>14.653583561318149</v>
      </c>
      <c r="U977" s="43">
        <f ca="1">_xll.BInterpol('Base CDI'!$H$4:$H$28,'Base CDI'!$I$4:$I$29,S977,"Cubic","Extrapolate=Linear","MultiX=Average","Skip=True","Sort=True")</f>
        <v>14.686420702864019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46684</v>
      </c>
      <c r="T978" s="43">
        <f ca="1">_xll.BInterpol('Base CDI'!$H$4:$H$28,'Base CDI'!$J$4:$J$29,S978,"Cubic","Extrapolate=Linear","MultiX=Average","Skip=True","Sort=True")</f>
        <v>14.653495254758326</v>
      </c>
      <c r="U978" s="43">
        <f ca="1">_xll.BInterpol('Base CDI'!$H$4:$H$28,'Base CDI'!$I$4:$I$29,S978,"Cubic","Extrapolate=Linear","MultiX=Average","Skip=True","Sort=True")</f>
        <v>14.686367902470954</v>
      </c>
    </row>
    <row r="979" spans="16:21" x14ac:dyDescent="0.25">
      <c r="P979" s="10">
        <v>35936</v>
      </c>
      <c r="Q979">
        <v>3.451206</v>
      </c>
      <c r="S979" s="42">
        <f t="shared" ca="1" si="20"/>
        <v>46685</v>
      </c>
      <c r="T979" s="43">
        <f ca="1">_xll.BInterpol('Base CDI'!$H$4:$H$28,'Base CDI'!$J$4:$J$29,S979,"Cubic","Extrapolate=Linear","MultiX=Average","Skip=True","Sort=True")</f>
        <v>14.653408097505141</v>
      </c>
      <c r="U979" s="43">
        <f ca="1">_xll.BInterpol('Base CDI'!$H$4:$H$28,'Base CDI'!$I$4:$I$29,S979,"Cubic","Extrapolate=Linear","MultiX=Average","Skip=True","Sort=True")</f>
        <v>14.686316160865996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46686</v>
      </c>
      <c r="T980" s="43">
        <f ca="1">_xll.BInterpol('Base CDI'!$H$4:$H$28,'Base CDI'!$J$4:$J$29,S980,"Cubic","Extrapolate=Linear","MultiX=Average","Skip=True","Sort=True")</f>
        <v>14.65332208682357</v>
      </c>
      <c r="U980" s="43">
        <f ca="1">_xll.BInterpol('Base CDI'!$H$4:$H$28,'Base CDI'!$I$4:$I$29,S980,"Cubic","Extrapolate=Linear","MultiX=Average","Skip=True","Sort=True")</f>
        <v>14.686265472594132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46687</v>
      </c>
      <c r="T981" s="43">
        <f ca="1">_xll.BInterpol('Base CDI'!$H$4:$H$28,'Base CDI'!$J$4:$J$29,S981,"Cubic","Extrapolate=Linear","MultiX=Average","Skip=True","Sort=True")</f>
        <v>14.653237219978587</v>
      </c>
      <c r="U981" s="43">
        <f ca="1">_xll.BInterpol('Base CDI'!$H$4:$H$28,'Base CDI'!$I$4:$I$29,S981,"Cubic","Extrapolate=Linear","MultiX=Average","Skip=True","Sort=True")</f>
        <v>14.686215832200348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46688</v>
      </c>
      <c r="T982" s="43">
        <f ca="1">_xll.BInterpol('Base CDI'!$H$4:$H$28,'Base CDI'!$J$4:$J$29,S982,"Cubic","Extrapolate=Linear","MultiX=Average","Skip=True","Sort=True")</f>
        <v>14.653153494235173</v>
      </c>
      <c r="U982" s="43">
        <f ca="1">_xll.BInterpol('Base CDI'!$H$4:$H$28,'Base CDI'!$I$4:$I$29,S982,"Cubic","Extrapolate=Linear","MultiX=Average","Skip=True","Sort=True")</f>
        <v>14.686167234229634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46689</v>
      </c>
      <c r="T983" s="43">
        <f ca="1">_xll.BInterpol('Base CDI'!$H$4:$H$28,'Base CDI'!$J$4:$J$29,S983,"Cubic","Extrapolate=Linear","MultiX=Average","Skip=True","Sort=True")</f>
        <v>14.653070906858304</v>
      </c>
      <c r="U983" s="43">
        <f ca="1">_xll.BInterpol('Base CDI'!$H$4:$H$28,'Base CDI'!$I$4:$I$29,S983,"Cubic","Extrapolate=Linear","MultiX=Average","Skip=True","Sort=True")</f>
        <v>14.686119673226974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46690</v>
      </c>
      <c r="T984" s="43">
        <f ca="1">_xll.BInterpol('Base CDI'!$H$4:$H$28,'Base CDI'!$J$4:$J$29,S984,"Cubic","Extrapolate=Linear","MultiX=Average","Skip=True","Sort=True")</f>
        <v>14.652989455112955</v>
      </c>
      <c r="U984" s="43">
        <f ca="1">_xll.BInterpol('Base CDI'!$H$4:$H$28,'Base CDI'!$I$4:$I$29,S984,"Cubic","Extrapolate=Linear","MultiX=Average","Skip=True","Sort=True")</f>
        <v>14.686073143737358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46691</v>
      </c>
      <c r="T985" s="43">
        <f ca="1">_xll.BInterpol('Base CDI'!$H$4:$H$28,'Base CDI'!$J$4:$J$29,S985,"Cubic","Extrapolate=Linear","MultiX=Average","Skip=True","Sort=True")</f>
        <v>14.652909136264105</v>
      </c>
      <c r="U985" s="43">
        <f ca="1">_xll.BInterpol('Base CDI'!$H$4:$H$28,'Base CDI'!$I$4:$I$29,S985,"Cubic","Extrapolate=Linear","MultiX=Average","Skip=True","Sort=True")</f>
        <v>14.68602764030577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46692</v>
      </c>
      <c r="T986" s="43">
        <f ca="1">_xll.BInterpol('Base CDI'!$H$4:$H$28,'Base CDI'!$J$4:$J$29,S986,"Cubic","Extrapolate=Linear","MultiX=Average","Skip=True","Sort=True")</f>
        <v>14.652829947576731</v>
      </c>
      <c r="U986" s="43">
        <f ca="1">_xll.BInterpol('Base CDI'!$H$4:$H$28,'Base CDI'!$I$4:$I$29,S986,"Cubic","Extrapolate=Linear","MultiX=Average","Skip=True","Sort=True")</f>
        <v>14.685983157477201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46693</v>
      </c>
      <c r="T987" s="43">
        <f ca="1">_xll.BInterpol('Base CDI'!$H$4:$H$28,'Base CDI'!$J$4:$J$29,S987,"Cubic","Extrapolate=Linear","MultiX=Average","Skip=True","Sort=True")</f>
        <v>14.652751886315809</v>
      </c>
      <c r="U987" s="43">
        <f ca="1">_xll.BInterpol('Base CDI'!$H$4:$H$28,'Base CDI'!$I$4:$I$29,S987,"Cubic","Extrapolate=Linear","MultiX=Average","Skip=True","Sort=True")</f>
        <v>14.685939689796635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46694</v>
      </c>
      <c r="T988" s="43">
        <f ca="1">_xll.BInterpol('Base CDI'!$H$4:$H$28,'Base CDI'!$J$4:$J$29,S988,"Cubic","Extrapolate=Linear","MultiX=Average","Skip=True","Sort=True")</f>
        <v>14.652674949746315</v>
      </c>
      <c r="U988" s="43">
        <f ca="1">_xll.BInterpol('Base CDI'!$H$4:$H$28,'Base CDI'!$I$4:$I$29,S988,"Cubic","Extrapolate=Linear","MultiX=Average","Skip=True","Sort=True")</f>
        <v>14.685897231809061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46695</v>
      </c>
      <c r="T989" s="43">
        <f ca="1">_xll.BInterpol('Base CDI'!$H$4:$H$28,'Base CDI'!$J$4:$J$29,S989,"Cubic","Extrapolate=Linear","MultiX=Average","Skip=True","Sort=True")</f>
        <v>14.652599135133228</v>
      </c>
      <c r="U989" s="43">
        <f ca="1">_xll.BInterpol('Base CDI'!$H$4:$H$28,'Base CDI'!$I$4:$I$29,S989,"Cubic","Extrapolate=Linear","MultiX=Average","Skip=True","Sort=True")</f>
        <v>14.685855778059466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46696</v>
      </c>
      <c r="T990" s="43">
        <f ca="1">_xll.BInterpol('Base CDI'!$H$4:$H$28,'Base CDI'!$J$4:$J$29,S990,"Cubic","Extrapolate=Linear","MultiX=Average","Skip=True","Sort=True")</f>
        <v>14.652524439741523</v>
      </c>
      <c r="U990" s="43">
        <f ca="1">_xll.BInterpol('Base CDI'!$H$4:$H$28,'Base CDI'!$I$4:$I$29,S990,"Cubic","Extrapolate=Linear","MultiX=Average","Skip=True","Sort=True")</f>
        <v>14.685815323092836</v>
      </c>
    </row>
    <row r="991" spans="16:21" x14ac:dyDescent="0.25">
      <c r="P991" s="10">
        <v>35954</v>
      </c>
      <c r="Q991">
        <v>3.483196</v>
      </c>
      <c r="S991" s="42">
        <f t="shared" ca="1" si="20"/>
        <v>46697</v>
      </c>
      <c r="T991" s="43">
        <f ca="1">_xll.BInterpol('Base CDI'!$H$4:$H$28,'Base CDI'!$J$4:$J$29,S991,"Cubic","Extrapolate=Linear","MultiX=Average","Skip=True","Sort=True")</f>
        <v>14.652450860836179</v>
      </c>
      <c r="U991" s="43">
        <f ca="1">_xll.BInterpol('Base CDI'!$H$4:$H$28,'Base CDI'!$I$4:$I$29,S991,"Cubic","Extrapolate=Linear","MultiX=Average","Skip=True","Sort=True")</f>
        <v>14.685775861454159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46698</v>
      </c>
      <c r="T992" s="43">
        <f ca="1">_xll.BInterpol('Base CDI'!$H$4:$H$28,'Base CDI'!$J$4:$J$29,S992,"Cubic","Extrapolate=Linear","MultiX=Average","Skip=True","Sort=True")</f>
        <v>14.652378395682172</v>
      </c>
      <c r="U992" s="43">
        <f ca="1">_xll.BInterpol('Base CDI'!$H$4:$H$28,'Base CDI'!$I$4:$I$29,S992,"Cubic","Extrapolate=Linear","MultiX=Average","Skip=True","Sort=True")</f>
        <v>14.685737387688423</v>
      </c>
    </row>
    <row r="993" spans="16:21" x14ac:dyDescent="0.25">
      <c r="P993" s="10">
        <v>35956</v>
      </c>
      <c r="Q993">
        <v>3.488483</v>
      </c>
      <c r="S993" s="42">
        <f t="shared" ca="1" si="20"/>
        <v>46699</v>
      </c>
      <c r="T993" s="43">
        <f ca="1">_xll.BInterpol('Base CDI'!$H$4:$H$28,'Base CDI'!$J$4:$J$29,S993,"Cubic","Extrapolate=Linear","MultiX=Average","Skip=True","Sort=True")</f>
        <v>14.65230704154448</v>
      </c>
      <c r="U993" s="43">
        <f ca="1">_xll.BInterpol('Base CDI'!$H$4:$H$28,'Base CDI'!$I$4:$I$29,S993,"Cubic","Extrapolate=Linear","MultiX=Average","Skip=True","Sort=True")</f>
        <v>14.685699896340614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46700</v>
      </c>
      <c r="T994" s="43">
        <f ca="1">_xll.BInterpol('Base CDI'!$H$4:$H$28,'Base CDI'!$J$4:$J$29,S994,"Cubic","Extrapolate=Linear","MultiX=Average","Skip=True","Sort=True")</f>
        <v>14.652236795688077</v>
      </c>
      <c r="U994" s="43">
        <f ca="1">_xll.BInterpol('Base CDI'!$H$4:$H$28,'Base CDI'!$I$4:$I$29,S994,"Cubic","Extrapolate=Linear","MultiX=Average","Skip=True","Sort=True")</f>
        <v>14.685663381955719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46701</v>
      </c>
      <c r="T995" s="43">
        <f ca="1">_xll.BInterpol('Base CDI'!$H$4:$H$28,'Base CDI'!$J$4:$J$29,S995,"Cubic","Extrapolate=Linear","MultiX=Average","Skip=True","Sort=True")</f>
        <v>14.652167655377944</v>
      </c>
      <c r="U995" s="43">
        <f ca="1">_xll.BInterpol('Base CDI'!$H$4:$H$28,'Base CDI'!$I$4:$I$29,S995,"Cubic","Extrapolate=Linear","MultiX=Average","Skip=True","Sort=True")</f>
        <v>14.685627839078725</v>
      </c>
    </row>
    <row r="996" spans="16:21" x14ac:dyDescent="0.25">
      <c r="P996" s="10">
        <v>35962</v>
      </c>
      <c r="Q996">
        <v>3.496429</v>
      </c>
      <c r="S996" s="42">
        <f t="shared" ca="1" si="20"/>
        <v>46702</v>
      </c>
      <c r="T996" s="43">
        <f ca="1">_xll.BInterpol('Base CDI'!$H$4:$H$28,'Base CDI'!$J$4:$J$29,S996,"Cubic","Extrapolate=Linear","MultiX=Average","Skip=True","Sort=True")</f>
        <v>14.652099617879054</v>
      </c>
      <c r="U996" s="43">
        <f ca="1">_xll.BInterpol('Base CDI'!$H$4:$H$28,'Base CDI'!$I$4:$I$29,S996,"Cubic","Extrapolate=Linear","MultiX=Average","Skip=True","Sort=True")</f>
        <v>14.685593262254621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46703</v>
      </c>
      <c r="T997" s="43">
        <f ca="1">_xll.BInterpol('Base CDI'!$H$4:$H$28,'Base CDI'!$J$4:$J$29,S997,"Cubic","Extrapolate=Linear","MultiX=Average","Skip=True","Sort=True")</f>
        <v>14.652032680456387</v>
      </c>
      <c r="U997" s="43">
        <f ca="1">_xll.BInterpol('Base CDI'!$H$4:$H$28,'Base CDI'!$I$4:$I$29,S997,"Cubic","Extrapolate=Linear","MultiX=Average","Skip=True","Sort=True")</f>
        <v>14.685559646028393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46704</v>
      </c>
      <c r="T998" s="43">
        <f ca="1">_xll.BInterpol('Base CDI'!$H$4:$H$28,'Base CDI'!$J$4:$J$29,S998,"Cubic","Extrapolate=Linear","MultiX=Average","Skip=True","Sort=True")</f>
        <v>14.651966840374918</v>
      </c>
      <c r="U998" s="43">
        <f ca="1">_xll.BInterpol('Base CDI'!$H$4:$H$28,'Base CDI'!$I$4:$I$29,S998,"Cubic","Extrapolate=Linear","MultiX=Average","Skip=True","Sort=True")</f>
        <v>14.685526984945028</v>
      </c>
    </row>
    <row r="999" spans="16:21" x14ac:dyDescent="0.25">
      <c r="P999" s="10">
        <v>35965</v>
      </c>
      <c r="Q999">
        <v>3.504407</v>
      </c>
      <c r="S999" s="42">
        <f t="shared" ca="1" si="20"/>
        <v>46705</v>
      </c>
      <c r="T999" s="43">
        <f ca="1">_xll.BInterpol('Base CDI'!$H$4:$H$28,'Base CDI'!$J$4:$J$29,S999,"Cubic","Extrapolate=Linear","MultiX=Average","Skip=True","Sort=True")</f>
        <v>14.651902094899626</v>
      </c>
      <c r="U999" s="43">
        <f ca="1">_xll.BInterpol('Base CDI'!$H$4:$H$28,'Base CDI'!$I$4:$I$29,S999,"Cubic","Extrapolate=Linear","MultiX=Average","Skip=True","Sort=True")</f>
        <v>14.685495273549515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46706</v>
      </c>
      <c r="T1000" s="43">
        <f ca="1">_xll.BInterpol('Base CDI'!$H$4:$H$28,'Base CDI'!$J$4:$J$29,S1000,"Cubic","Extrapolate=Linear","MultiX=Average","Skip=True","Sort=True")</f>
        <v>14.651838441295485</v>
      </c>
      <c r="U1000" s="43">
        <f ca="1">_xll.BInterpol('Base CDI'!$H$4:$H$28,'Base CDI'!$I$4:$I$29,S1000,"Cubic","Extrapolate=Linear","MultiX=Average","Skip=True","Sort=True")</f>
        <v>14.685464506386838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46707</v>
      </c>
      <c r="T1001" s="43">
        <f ca="1">_xll.BInterpol('Base CDI'!$H$4:$H$28,'Base CDI'!$J$4:$J$29,S1001,"Cubic","Extrapolate=Linear","MultiX=Average","Skip=True","Sort=True")</f>
        <v>14.651775876827475</v>
      </c>
      <c r="U1001" s="43">
        <f ca="1">_xll.BInterpol('Base CDI'!$H$4:$H$28,'Base CDI'!$I$4:$I$29,S1001,"Cubic","Extrapolate=Linear","MultiX=Average","Skip=True","Sort=True")</f>
        <v>14.685434678001986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46708</v>
      </c>
      <c r="T1002" s="43">
        <f ca="1">_xll.BInterpol('Base CDI'!$H$4:$H$28,'Base CDI'!$J$4:$J$29,S1002,"Cubic","Extrapolate=Linear","MultiX=Average","Skip=True","Sort=True")</f>
        <v>14.651714398760573</v>
      </c>
      <c r="U1002" s="43">
        <f ca="1">_xll.BInterpol('Base CDI'!$H$4:$H$28,'Base CDI'!$I$4:$I$29,S1002,"Cubic","Extrapolate=Linear","MultiX=Average","Skip=True","Sort=True")</f>
        <v>14.685405782939947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46709</v>
      </c>
      <c r="T1003" s="43">
        <f ca="1">_xll.BInterpol('Base CDI'!$H$4:$H$28,'Base CDI'!$J$4:$J$29,S1003,"Cubic","Extrapolate=Linear","MultiX=Average","Skip=True","Sort=True")</f>
        <v>14.651654004359752</v>
      </c>
      <c r="U1003" s="43">
        <f ca="1">_xll.BInterpol('Base CDI'!$H$4:$H$28,'Base CDI'!$I$4:$I$29,S1003,"Cubic","Extrapolate=Linear","MultiX=Average","Skip=True","Sort=True")</f>
        <v>14.685377815745706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46710</v>
      </c>
      <c r="T1004" s="43">
        <f ca="1">_xll.BInterpol('Base CDI'!$H$4:$H$28,'Base CDI'!$J$4:$J$29,S1004,"Cubic","Extrapolate=Linear","MultiX=Average","Skip=True","Sort=True")</f>
        <v>14.651594690889993</v>
      </c>
      <c r="U1004" s="43">
        <f ca="1">_xll.BInterpol('Base CDI'!$H$4:$H$28,'Base CDI'!$I$4:$I$29,S1004,"Cubic","Extrapolate=Linear","MultiX=Average","Skip=True","Sort=True")</f>
        <v>14.685350770964252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46711</v>
      </c>
      <c r="T1005" s="43">
        <f ca="1">_xll.BInterpol('Base CDI'!$H$4:$H$28,'Base CDI'!$J$4:$J$29,S1005,"Cubic","Extrapolate=Linear","MultiX=Average","Skip=True","Sort=True")</f>
        <v>14.651536455616272</v>
      </c>
      <c r="U1005" s="43">
        <f ca="1">_xll.BInterpol('Base CDI'!$H$4:$H$28,'Base CDI'!$I$4:$I$29,S1005,"Cubic","Extrapolate=Linear","MultiX=Average","Skip=True","Sort=True")</f>
        <v>14.685324643140572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46712</v>
      </c>
      <c r="T1006" s="43">
        <f ca="1">_xll.BInterpol('Base CDI'!$H$4:$H$28,'Base CDI'!$J$4:$J$29,S1006,"Cubic","Extrapolate=Linear","MultiX=Average","Skip=True","Sort=True")</f>
        <v>14.651479295803565</v>
      </c>
      <c r="U1006" s="43">
        <f ca="1">_xll.BInterpol('Base CDI'!$H$4:$H$28,'Base CDI'!$I$4:$I$29,S1006,"Cubic","Extrapolate=Linear","MultiX=Average","Skip=True","Sort=True")</f>
        <v>14.68529942681965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46713</v>
      </c>
      <c r="T1007" s="43">
        <f ca="1">_xll.BInterpol('Base CDI'!$H$4:$H$28,'Base CDI'!$J$4:$J$29,S1007,"Cubic","Extrapolate=Linear","MultiX=Average","Skip=True","Sort=True")</f>
        <v>14.651423208716848</v>
      </c>
      <c r="U1007" s="43">
        <f ca="1">_xll.BInterpol('Base CDI'!$H$4:$H$28,'Base CDI'!$I$4:$I$29,S1007,"Cubic","Extrapolate=Linear","MultiX=Average","Skip=True","Sort=True")</f>
        <v>14.68527511654648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46714</v>
      </c>
      <c r="T1008" s="43">
        <f ca="1">_xll.BInterpol('Base CDI'!$H$4:$H$28,'Base CDI'!$J$4:$J$29,S1008,"Cubic","Extrapolate=Linear","MultiX=Average","Skip=True","Sort=True")</f>
        <v>14.651368191621101</v>
      </c>
      <c r="U1008" s="43">
        <f ca="1">_xll.BInterpol('Base CDI'!$H$4:$H$28,'Base CDI'!$I$4:$I$29,S1008,"Cubic","Extrapolate=Linear","MultiX=Average","Skip=True","Sort=True")</f>
        <v>14.685251706866042</v>
      </c>
    </row>
    <row r="1009" spans="16:21" x14ac:dyDescent="0.25">
      <c r="P1009" s="10">
        <v>35979</v>
      </c>
      <c r="Q1009">
        <v>3.530605</v>
      </c>
      <c r="S1009" s="42">
        <f t="shared" ca="1" si="20"/>
        <v>46715</v>
      </c>
      <c r="T1009" s="43">
        <f ca="1">_xll.BInterpol('Base CDI'!$H$4:$H$28,'Base CDI'!$J$4:$J$29,S1009,"Cubic","Extrapolate=Linear","MultiX=Average","Skip=True","Sort=True")</f>
        <v>14.651314241781298</v>
      </c>
      <c r="U1009" s="43">
        <f ca="1">_xll.BInterpol('Base CDI'!$H$4:$H$28,'Base CDI'!$I$4:$I$29,S1009,"Cubic","Extrapolate=Linear","MultiX=Average","Skip=True","Sort=True")</f>
        <v>14.685229192323328</v>
      </c>
    </row>
    <row r="1010" spans="16:21" x14ac:dyDescent="0.25">
      <c r="P1010" s="10">
        <v>35982</v>
      </c>
      <c r="Q1010">
        <v>3.533201</v>
      </c>
      <c r="S1010" s="42">
        <f t="shared" ca="1" si="20"/>
        <v>46716</v>
      </c>
      <c r="T1010" s="43">
        <f ca="1">_xll.BInterpol('Base CDI'!$H$4:$H$28,'Base CDI'!$J$4:$J$29,S1010,"Cubic","Extrapolate=Linear","MultiX=Average","Skip=True","Sort=True")</f>
        <v>14.65126135646242</v>
      </c>
      <c r="U1010" s="43">
        <f ca="1">_xll.BInterpol('Base CDI'!$H$4:$H$28,'Base CDI'!$I$4:$I$29,S1010,"Cubic","Extrapolate=Linear","MultiX=Average","Skip=True","Sort=True")</f>
        <v>14.685207567463324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46717</v>
      </c>
      <c r="T1011" s="43">
        <f ca="1">_xll.BInterpol('Base CDI'!$H$4:$H$28,'Base CDI'!$J$4:$J$29,S1011,"Cubic","Extrapolate=Linear","MultiX=Average","Skip=True","Sort=True")</f>
        <v>14.651209532929439</v>
      </c>
      <c r="U1011" s="43">
        <f ca="1">_xll.BInterpol('Base CDI'!$H$4:$H$28,'Base CDI'!$I$4:$I$29,S1011,"Cubic","Extrapolate=Linear","MultiX=Average","Skip=True","Sort=True")</f>
        <v>14.685186826831016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46718</v>
      </c>
      <c r="T1012" s="43">
        <f ca="1">_xll.BInterpol('Base CDI'!$H$4:$H$28,'Base CDI'!$J$4:$J$29,S1012,"Cubic","Extrapolate=Linear","MultiX=Average","Skip=True","Sort=True")</f>
        <v>14.651158768447335</v>
      </c>
      <c r="U1012" s="43">
        <f ca="1">_xll.BInterpol('Base CDI'!$H$4:$H$28,'Base CDI'!$I$4:$I$29,S1012,"Cubic","Extrapolate=Linear","MultiX=Average","Skip=True","Sort=True")</f>
        <v>14.685166964971392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46719</v>
      </c>
      <c r="T1013" s="43">
        <f ca="1">_xll.BInterpol('Base CDI'!$H$4:$H$28,'Base CDI'!$J$4:$J$29,S1013,"Cubic","Extrapolate=Linear","MultiX=Average","Skip=True","Sort=True")</f>
        <v>14.651109060281085</v>
      </c>
      <c r="U1013" s="43">
        <f ca="1">_xll.BInterpol('Base CDI'!$H$4:$H$28,'Base CDI'!$I$4:$I$29,S1013,"Cubic","Extrapolate=Linear","MultiX=Average","Skip=True","Sort=True")</f>
        <v>14.685147976429439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46720</v>
      </c>
      <c r="T1014" s="43">
        <f ca="1">_xll.BInterpol('Base CDI'!$H$4:$H$28,'Base CDI'!$J$4:$J$29,S1014,"Cubic","Extrapolate=Linear","MultiX=Average","Skip=True","Sort=True")</f>
        <v>14.651060405695665</v>
      </c>
      <c r="U1014" s="43">
        <f ca="1">_xll.BInterpol('Base CDI'!$H$4:$H$28,'Base CDI'!$I$4:$I$29,S1014,"Cubic","Extrapolate=Linear","MultiX=Average","Skip=True","Sort=True")</f>
        <v>14.685129855750144</v>
      </c>
    </row>
    <row r="1015" spans="16:21" x14ac:dyDescent="0.25">
      <c r="P1015" s="10">
        <v>35989</v>
      </c>
      <c r="Q1015">
        <v>3.546227</v>
      </c>
      <c r="S1015" s="42">
        <f t="shared" ca="1" si="20"/>
        <v>46721</v>
      </c>
      <c r="T1015" s="43">
        <f ca="1">_xll.BInterpol('Base CDI'!$H$4:$H$28,'Base CDI'!$J$4:$J$29,S1015,"Cubic","Extrapolate=Linear","MultiX=Average","Skip=True","Sort=True")</f>
        <v>14.651012801956051</v>
      </c>
      <c r="U1015" s="43">
        <f ca="1">_xll.BInterpol('Base CDI'!$H$4:$H$28,'Base CDI'!$I$4:$I$29,S1015,"Cubic","Extrapolate=Linear","MultiX=Average","Skip=True","Sort=True")</f>
        <v>14.685112597478495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46722</v>
      </c>
      <c r="T1016" s="43">
        <f ca="1">_xll.BInterpol('Base CDI'!$H$4:$H$28,'Base CDI'!$J$4:$J$29,S1016,"Cubic","Extrapolate=Linear","MultiX=Average","Skip=True","Sort=True")</f>
        <v>14.650966246327222</v>
      </c>
      <c r="U1016" s="43">
        <f ca="1">_xll.BInterpol('Base CDI'!$H$4:$H$28,'Base CDI'!$I$4:$I$29,S1016,"Cubic","Extrapolate=Linear","MultiX=Average","Skip=True","Sort=True")</f>
        <v>14.685096196159478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46723</v>
      </c>
      <c r="T1017" s="43">
        <f ca="1">_xll.BInterpol('Base CDI'!$H$4:$H$28,'Base CDI'!$J$4:$J$29,S1017,"Cubic","Extrapolate=Linear","MultiX=Average","Skip=True","Sort=True")</f>
        <v>14.650920736074156</v>
      </c>
      <c r="U1017" s="43">
        <f ca="1">_xll.BInterpol('Base CDI'!$H$4:$H$28,'Base CDI'!$I$4:$I$29,S1017,"Cubic","Extrapolate=Linear","MultiX=Average","Skip=True","Sort=True")</f>
        <v>14.685080646338081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46724</v>
      </c>
      <c r="T1018" s="43">
        <f ca="1">_xll.BInterpol('Base CDI'!$H$4:$H$28,'Base CDI'!$J$4:$J$29,S1018,"Cubic","Extrapolate=Linear","MultiX=Average","Skip=True","Sort=True")</f>
        <v>14.650876268461825</v>
      </c>
      <c r="U1018" s="43">
        <f ca="1">_xll.BInterpol('Base CDI'!$H$4:$H$28,'Base CDI'!$I$4:$I$29,S1018,"Cubic","Extrapolate=Linear","MultiX=Average","Skip=True","Sort=True")</f>
        <v>14.685065942559293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46725</v>
      </c>
      <c r="T1019" s="43">
        <f ca="1">_xll.BInterpol('Base CDI'!$H$4:$H$28,'Base CDI'!$J$4:$J$29,S1019,"Cubic","Extrapolate=Linear","MultiX=Average","Skip=True","Sort=True")</f>
        <v>14.650832840755211</v>
      </c>
      <c r="U1019" s="43">
        <f ca="1">_xll.BInterpol('Base CDI'!$H$4:$H$28,'Base CDI'!$I$4:$I$29,S1019,"Cubic","Extrapolate=Linear","MultiX=Average","Skip=True","Sort=True")</f>
        <v>14.685052079368097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46726</v>
      </c>
      <c r="T1020" s="43">
        <f ca="1">_xll.BInterpol('Base CDI'!$H$4:$H$28,'Base CDI'!$J$4:$J$29,S1020,"Cubic","Extrapolate=Linear","MultiX=Average","Skip=True","Sort=True")</f>
        <v>14.650790450219286</v>
      </c>
      <c r="U1020" s="43">
        <f ca="1">_xll.BInterpol('Base CDI'!$H$4:$H$28,'Base CDI'!$I$4:$I$29,S1020,"Cubic","Extrapolate=Linear","MultiX=Average","Skip=True","Sort=True")</f>
        <v>14.685039051309483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46727</v>
      </c>
      <c r="T1021" s="43">
        <f ca="1">_xll.BInterpol('Base CDI'!$H$4:$H$28,'Base CDI'!$J$4:$J$29,S1021,"Cubic","Extrapolate=Linear","MultiX=Average","Skip=True","Sort=True")</f>
        <v>14.650749094119034</v>
      </c>
      <c r="U1021" s="43">
        <f ca="1">_xll.BInterpol('Base CDI'!$H$4:$H$28,'Base CDI'!$I$4:$I$29,S1021,"Cubic","Extrapolate=Linear","MultiX=Average","Skip=True","Sort=True")</f>
        <v>14.685026852928438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46728</v>
      </c>
      <c r="T1022" s="43">
        <f ca="1">_xll.BInterpol('Base CDI'!$H$4:$H$28,'Base CDI'!$J$4:$J$29,S1022,"Cubic","Extrapolate=Linear","MultiX=Average","Skip=True","Sort=True")</f>
        <v>14.650708769719426</v>
      </c>
      <c r="U1022" s="43">
        <f ca="1">_xll.BInterpol('Base CDI'!$H$4:$H$28,'Base CDI'!$I$4:$I$29,S1022,"Cubic","Extrapolate=Linear","MultiX=Average","Skip=True","Sort=True")</f>
        <v>14.685015478769948</v>
      </c>
    </row>
    <row r="1023" spans="16:21" x14ac:dyDescent="0.25">
      <c r="P1023" s="10">
        <v>35999</v>
      </c>
      <c r="Q1023">
        <v>3.567148</v>
      </c>
      <c r="S1023" s="42">
        <f t="shared" ca="1" si="20"/>
        <v>46729</v>
      </c>
      <c r="T1023" s="43">
        <f ca="1">_xll.BInterpol('Base CDI'!$H$4:$H$28,'Base CDI'!$J$4:$J$29,S1023,"Cubic","Extrapolate=Linear","MultiX=Average","Skip=True","Sort=True")</f>
        <v>14.65066947428544</v>
      </c>
      <c r="U1023" s="43">
        <f ca="1">_xll.BInterpol('Base CDI'!$H$4:$H$28,'Base CDI'!$I$4:$I$29,S1023,"Cubic","Extrapolate=Linear","MultiX=Average","Skip=True","Sort=True")</f>
        <v>14.685004923379001</v>
      </c>
    </row>
    <row r="1024" spans="16:21" x14ac:dyDescent="0.25">
      <c r="P1024" s="10">
        <v>36000</v>
      </c>
      <c r="Q1024">
        <v>3.56975</v>
      </c>
      <c r="S1024" s="42">
        <f t="shared" ca="1" si="20"/>
        <v>46730</v>
      </c>
      <c r="T1024" s="43">
        <f ca="1">_xll.BInterpol('Base CDI'!$H$4:$H$28,'Base CDI'!$J$4:$J$29,S1024,"Cubic","Extrapolate=Linear","MultiX=Average","Skip=True","Sort=True")</f>
        <v>14.650631205082055</v>
      </c>
      <c r="U1024" s="43">
        <f ca="1">_xll.BInterpol('Base CDI'!$H$4:$H$28,'Base CDI'!$I$4:$I$29,S1024,"Cubic","Extrapolate=Linear","MultiX=Average","Skip=True","Sort=True")</f>
        <v>14.684995181300584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46731</v>
      </c>
      <c r="T1025" s="43">
        <f ca="1">_xll.BInterpol('Base CDI'!$H$4:$H$28,'Base CDI'!$J$4:$J$29,S1025,"Cubic","Extrapolate=Linear","MultiX=Average","Skip=True","Sort=True")</f>
        <v>14.650593959374248</v>
      </c>
      <c r="U1025" s="43">
        <f ca="1">_xll.BInterpol('Base CDI'!$H$4:$H$28,'Base CDI'!$I$4:$I$29,S1025,"Cubic","Extrapolate=Linear","MultiX=Average","Skip=True","Sort=True")</f>
        <v>14.684986247079685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46732</v>
      </c>
      <c r="T1026" s="43">
        <f ca="1">_xll.BInterpol('Base CDI'!$H$4:$H$28,'Base CDI'!$J$4:$J$29,S1026,"Cubic","Extrapolate=Linear","MultiX=Average","Skip=True","Sort=True")</f>
        <v>14.650557734426993</v>
      </c>
      <c r="U1026" s="43">
        <f ca="1">_xll.BInterpol('Base CDI'!$H$4:$H$28,'Base CDI'!$I$4:$I$29,S1026,"Cubic","Extrapolate=Linear","MultiX=Average","Skip=True","Sort=True")</f>
        <v>14.684978115261291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46733</v>
      </c>
      <c r="T1027" s="43">
        <f ca="1">_xll.BInterpol('Base CDI'!$H$4:$H$28,'Base CDI'!$J$4:$J$29,S1027,"Cubic","Extrapolate=Linear","MultiX=Average","Skip=True","Sort=True")</f>
        <v>14.65052252750527</v>
      </c>
      <c r="U1027" s="43">
        <f ca="1">_xll.BInterpol('Base CDI'!$H$4:$H$28,'Base CDI'!$I$4:$I$29,S1027,"Cubic","Extrapolate=Linear","MultiX=Average","Skip=True","Sort=True")</f>
        <v>14.684970780390389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46734</v>
      </c>
      <c r="T1028" s="43">
        <f ca="1">_xll.BInterpol('Base CDI'!$H$4:$H$28,'Base CDI'!$J$4:$J$29,S1028,"Cubic","Extrapolate=Linear","MultiX=Average","Skip=True","Sort=True")</f>
        <v>14.650488335874053</v>
      </c>
      <c r="U1028" s="43">
        <f ca="1">_xll.BInterpol('Base CDI'!$H$4:$H$28,'Base CDI'!$I$4:$I$29,S1028,"Cubic","Extrapolate=Linear","MultiX=Average","Skip=True","Sort=True")</f>
        <v>14.684964237011965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46735</v>
      </c>
      <c r="T1029" s="43">
        <f ca="1">_xll.BInterpol('Base CDI'!$H$4:$H$28,'Base CDI'!$J$4:$J$29,S1029,"Cubic","Extrapolate=Linear","MultiX=Average","Skip=True","Sort=True")</f>
        <v>14.650455156798323</v>
      </c>
      <c r="U1029" s="43">
        <f ca="1">_xll.BInterpol('Base CDI'!$H$4:$H$28,'Base CDI'!$I$4:$I$29,S1029,"Cubic","Extrapolate=Linear","MultiX=Average","Skip=True","Sort=True")</f>
        <v>14.684958479671007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46736</v>
      </c>
      <c r="T1030" s="43">
        <f ca="1">_xll.BInterpol('Base CDI'!$H$4:$H$28,'Base CDI'!$J$4:$J$29,S1030,"Cubic","Extrapolate=Linear","MultiX=Average","Skip=True","Sort=True")</f>
        <v>14.650422987543052</v>
      </c>
      <c r="U1030" s="43">
        <f ca="1">_xll.BInterpol('Base CDI'!$H$4:$H$28,'Base CDI'!$I$4:$I$29,S1030,"Cubic","Extrapolate=Linear","MultiX=Average","Skip=True","Sort=True")</f>
        <v>14.684953502912501</v>
      </c>
    </row>
    <row r="1031" spans="16:21" x14ac:dyDescent="0.25">
      <c r="P1031" s="10">
        <v>36011</v>
      </c>
      <c r="Q1031">
        <v>3.587656</v>
      </c>
      <c r="S1031" s="42">
        <f t="shared" ca="1" si="20"/>
        <v>46737</v>
      </c>
      <c r="T1031" s="43">
        <f ca="1">_xll.BInterpol('Base CDI'!$H$4:$H$28,'Base CDI'!$J$4:$J$29,S1031,"Cubic","Extrapolate=Linear","MultiX=Average","Skip=True","Sort=True")</f>
        <v>14.650391825373221</v>
      </c>
      <c r="U1031" s="43">
        <f ca="1">_xll.BInterpol('Base CDI'!$H$4:$H$28,'Base CDI'!$I$4:$I$29,S1031,"Cubic","Extrapolate=Linear","MultiX=Average","Skip=True","Sort=True")</f>
        <v>14.684949301281437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46738</v>
      </c>
      <c r="T1032" s="43">
        <f ca="1">_xll.BInterpol('Base CDI'!$H$4:$H$28,'Base CDI'!$J$4:$J$29,S1032,"Cubic","Extrapolate=Linear","MultiX=Average","Skip=True","Sort=True")</f>
        <v>14.650361667553806</v>
      </c>
      <c r="U1032" s="43">
        <f ca="1">_xll.BInterpol('Base CDI'!$H$4:$H$28,'Base CDI'!$I$4:$I$29,S1032,"Cubic","Extrapolate=Linear","MultiX=Average","Skip=True","Sort=True")</f>
        <v>14.684945869322801</v>
      </c>
    </row>
    <row r="1033" spans="16:21" x14ac:dyDescent="0.25">
      <c r="P1033" s="10">
        <v>36013</v>
      </c>
      <c r="Q1033">
        <v>3.592714</v>
      </c>
      <c r="S1033" s="42">
        <f t="shared" ca="1" si="20"/>
        <v>46739</v>
      </c>
      <c r="T1033" s="43">
        <f ca="1">_xll.BInterpol('Base CDI'!$H$4:$H$28,'Base CDI'!$J$4:$J$29,S1033,"Cubic","Extrapolate=Linear","MultiX=Average","Skip=True","Sort=True")</f>
        <v>14.650332511349783</v>
      </c>
      <c r="U1033" s="43">
        <f ca="1">_xll.BInterpol('Base CDI'!$H$4:$H$28,'Base CDI'!$I$4:$I$29,S1033,"Cubic","Extrapolate=Linear","MultiX=Average","Skip=True","Sort=True")</f>
        <v>14.68494320158158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46740</v>
      </c>
      <c r="T1034" s="43">
        <f ca="1">_xll.BInterpol('Base CDI'!$H$4:$H$28,'Base CDI'!$J$4:$J$29,S1034,"Cubic","Extrapolate=Linear","MultiX=Average","Skip=True","Sort=True")</f>
        <v>14.65030435402613</v>
      </c>
      <c r="U1034" s="43">
        <f ca="1">_xll.BInterpol('Base CDI'!$H$4:$H$28,'Base CDI'!$I$4:$I$29,S1034,"Cubic","Extrapolate=Linear","MultiX=Average","Skip=True","Sort=True")</f>
        <v>14.68494129260276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46741</v>
      </c>
      <c r="T1035" s="43">
        <f ca="1">_xll.BInterpol('Base CDI'!$H$4:$H$28,'Base CDI'!$J$4:$J$29,S1035,"Cubic","Extrapolate=Linear","MultiX=Average","Skip=True","Sort=True")</f>
        <v>14.650277192847822</v>
      </c>
      <c r="U1035" s="43">
        <f ca="1">_xll.BInterpol('Base CDI'!$H$4:$H$28,'Base CDI'!$I$4:$I$29,S1035,"Cubic","Extrapolate=Linear","MultiX=Average","Skip=True","Sort=True")</f>
        <v>14.684940136931329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46742</v>
      </c>
      <c r="T1036" s="43">
        <f ca="1">_xll.BInterpol('Base CDI'!$H$4:$H$28,'Base CDI'!$J$4:$J$29,S1036,"Cubic","Extrapolate=Linear","MultiX=Average","Skip=True","Sort=True")</f>
        <v>14.650251025079838</v>
      </c>
      <c r="U1036" s="43">
        <f ca="1">_xll.BInterpol('Base CDI'!$H$4:$H$28,'Base CDI'!$I$4:$I$29,S1036,"Cubic","Extrapolate=Linear","MultiX=Average","Skip=True","Sort=True")</f>
        <v>14.684939729112276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46743</v>
      </c>
      <c r="T1037" s="43">
        <f ca="1">_xll.BInterpol('Base CDI'!$H$4:$H$28,'Base CDI'!$J$4:$J$29,S1037,"Cubic","Extrapolate=Linear","MultiX=Average","Skip=True","Sort=True")</f>
        <v>14.650225847987155</v>
      </c>
      <c r="U1037" s="43">
        <f ca="1">_xll.BInterpol('Base CDI'!$H$4:$H$28,'Base CDI'!$I$4:$I$29,S1037,"Cubic","Extrapolate=Linear","MultiX=Average","Skip=True","Sort=True")</f>
        <v>14.684940063690586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46744</v>
      </c>
      <c r="T1038" s="43">
        <f ca="1">_xll.BInterpol('Base CDI'!$H$4:$H$28,'Base CDI'!$J$4:$J$29,S1038,"Cubic","Extrapolate=Linear","MultiX=Average","Skip=True","Sort=True")</f>
        <v>14.650201658834749</v>
      </c>
      <c r="U1038" s="43">
        <f ca="1">_xll.BInterpol('Base CDI'!$H$4:$H$28,'Base CDI'!$I$4:$I$29,S1038,"Cubic","Extrapolate=Linear","MultiX=Average","Skip=True","Sort=True")</f>
        <v>14.684941135211247</v>
      </c>
    </row>
    <row r="1039" spans="16:21" x14ac:dyDescent="0.25">
      <c r="P1039" s="10">
        <v>36021</v>
      </c>
      <c r="Q1039">
        <v>3.607802</v>
      </c>
      <c r="S1039" s="42">
        <f t="shared" ca="1" si="21"/>
        <v>46745</v>
      </c>
      <c r="T1039" s="43">
        <f ca="1">_xll.BInterpol('Base CDI'!$H$4:$H$28,'Base CDI'!$J$4:$J$29,S1039,"Cubic","Extrapolate=Linear","MultiX=Average","Skip=True","Sort=True")</f>
        <v>14.650178454887598</v>
      </c>
      <c r="U1039" s="43">
        <f ca="1">_xll.BInterpol('Base CDI'!$H$4:$H$28,'Base CDI'!$I$4:$I$29,S1039,"Cubic","Extrapolate=Linear","MultiX=Average","Skip=True","Sort=True")</f>
        <v>14.684942938219244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46746</v>
      </c>
      <c r="T1040" s="43">
        <f ca="1">_xll.BInterpol('Base CDI'!$H$4:$H$28,'Base CDI'!$J$4:$J$29,S1040,"Cubic","Extrapolate=Linear","MultiX=Average","Skip=True","Sort=True")</f>
        <v>14.650156233410677</v>
      </c>
      <c r="U1040" s="43">
        <f ca="1">_xll.BInterpol('Base CDI'!$H$4:$H$28,'Base CDI'!$I$4:$I$29,S1040,"Cubic","Extrapolate=Linear","MultiX=Average","Skip=True","Sort=True")</f>
        <v>14.684945467259569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46747</v>
      </c>
      <c r="T1041" s="43">
        <f ca="1">_xll.BInterpol('Base CDI'!$H$4:$H$28,'Base CDI'!$J$4:$J$29,S1041,"Cubic","Extrapolate=Linear","MultiX=Average","Skip=True","Sort=True")</f>
        <v>14.650134991668965</v>
      </c>
      <c r="U1041" s="43">
        <f ca="1">_xll.BInterpol('Base CDI'!$H$4:$H$28,'Base CDI'!$I$4:$I$29,S1041,"Cubic","Extrapolate=Linear","MultiX=Average","Skip=True","Sort=True")</f>
        <v>14.684948716877205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46748</v>
      </c>
      <c r="T1042" s="43">
        <f ca="1">_xll.BInterpol('Base CDI'!$H$4:$H$28,'Base CDI'!$J$4:$J$29,S1042,"Cubic","Extrapolate=Linear","MultiX=Average","Skip=True","Sort=True")</f>
        <v>14.650114726927438</v>
      </c>
      <c r="U1042" s="43">
        <f ca="1">_xll.BInterpol('Base CDI'!$H$4:$H$28,'Base CDI'!$I$4:$I$29,S1042,"Cubic","Extrapolate=Linear","MultiX=Average","Skip=True","Sort=True")</f>
        <v>14.684952681617141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46749</v>
      </c>
      <c r="T1043" s="43">
        <f ca="1">_xll.BInterpol('Base CDI'!$H$4:$H$28,'Base CDI'!$J$4:$J$29,S1043,"Cubic","Extrapolate=Linear","MultiX=Average","Skip=True","Sort=True")</f>
        <v>14.650095436451073</v>
      </c>
      <c r="U1043" s="43">
        <f ca="1">_xll.BInterpol('Base CDI'!$H$4:$H$28,'Base CDI'!$I$4:$I$29,S1043,"Cubic","Extrapolate=Linear","MultiX=Average","Skip=True","Sort=True")</f>
        <v>14.684957356024363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46750</v>
      </c>
      <c r="T1044" s="43">
        <f ca="1">_xll.BInterpol('Base CDI'!$H$4:$H$28,'Base CDI'!$J$4:$J$29,S1044,"Cubic","Extrapolate=Linear","MultiX=Average","Skip=True","Sort=True")</f>
        <v>14.650077117504848</v>
      </c>
      <c r="U1044" s="43">
        <f ca="1">_xll.BInterpol('Base CDI'!$H$4:$H$28,'Base CDI'!$I$4:$I$29,S1044,"Cubic","Extrapolate=Linear","MultiX=Average","Skip=True","Sort=True")</f>
        <v>14.684962734643859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46751</v>
      </c>
      <c r="T1045" s="43">
        <f ca="1">_xll.BInterpol('Base CDI'!$H$4:$H$28,'Base CDI'!$J$4:$J$29,S1045,"Cubic","Extrapolate=Linear","MultiX=Average","Skip=True","Sort=True")</f>
        <v>14.650059767353738</v>
      </c>
      <c r="U1045" s="43">
        <f ca="1">_xll.BInterpol('Base CDI'!$H$4:$H$28,'Base CDI'!$I$4:$I$29,S1045,"Cubic","Extrapolate=Linear","MultiX=Average","Skip=True","Sort=True")</f>
        <v>14.684968812020616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46752</v>
      </c>
      <c r="T1046" s="43">
        <f ca="1">_xll.BInterpol('Base CDI'!$H$4:$H$28,'Base CDI'!$J$4:$J$29,S1046,"Cubic","Extrapolate=Linear","MultiX=Average","Skip=True","Sort=True")</f>
        <v>14.650043383262721</v>
      </c>
      <c r="U1046" s="43">
        <f ca="1">_xll.BInterpol('Base CDI'!$H$4:$H$28,'Base CDI'!$I$4:$I$29,S1046,"Cubic","Extrapolate=Linear","MultiX=Average","Skip=True","Sort=True")</f>
        <v>14.684975582699622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46753</v>
      </c>
      <c r="T1047" s="43">
        <f ca="1">_xll.BInterpol('Base CDI'!$H$4:$H$28,'Base CDI'!$J$4:$J$29,S1047,"Cubic","Extrapolate=Linear","MultiX=Average","Skip=True","Sort=True")</f>
        <v>14.650027962496775</v>
      </c>
      <c r="U1047" s="43">
        <f ca="1">_xll.BInterpol('Base CDI'!$H$4:$H$28,'Base CDI'!$I$4:$I$29,S1047,"Cubic","Extrapolate=Linear","MultiX=Average","Skip=True","Sort=True")</f>
        <v>14.684983041225863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46754</v>
      </c>
      <c r="T1048" s="43">
        <f ca="1">_xll.BInterpol('Base CDI'!$H$4:$H$28,'Base CDI'!$J$4:$J$29,S1048,"Cubic","Extrapolate=Linear","MultiX=Average","Skip=True","Sort=True")</f>
        <v>14.650013502320876</v>
      </c>
      <c r="U1048" s="43">
        <f ca="1">_xll.BInterpol('Base CDI'!$H$4:$H$28,'Base CDI'!$I$4:$I$29,S1048,"Cubic","Extrapolate=Linear","MultiX=Average","Skip=True","Sort=True")</f>
        <v>14.684991182144326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46755</v>
      </c>
      <c r="T1049" s="43">
        <f ca="1">_xll.BInterpol('Base CDI'!$H$4:$H$28,'Base CDI'!$J$4:$J$29,S1049,"Cubic","Extrapolate=Linear","MultiX=Average","Skip=True","Sort=True")</f>
        <v>14.65</v>
      </c>
      <c r="U1049" s="43">
        <f ca="1">_xll.BInterpol('Base CDI'!$H$4:$H$28,'Base CDI'!$I$4:$I$29,S1049,"Cubic","Extrapolate=Linear","MultiX=Average","Skip=True","Sort=True")</f>
        <v>14.685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46756</v>
      </c>
      <c r="T1050" s="43">
        <f ca="1">_xll.BInterpol('Base CDI'!$H$4:$H$28,'Base CDI'!$J$4:$J$29,S1050,"Cubic","Extrapolate=Linear","MultiX=Average","Skip=True","Sort=True")</f>
        <v>14.649987452866927</v>
      </c>
      <c r="U1050" s="43">
        <f ca="1">_xll.BInterpol('Base CDI'!$H$4:$H$28,'Base CDI'!$I$4:$I$29,S1050,"Cubic","Extrapolate=Linear","MultiX=Average","Skip=True","Sort=True")</f>
        <v>14.685009490081073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46757</v>
      </c>
      <c r="T1051" s="43">
        <f ca="1">_xll.BInterpol('Base CDI'!$H$4:$H$28,'Base CDI'!$J$4:$J$29,S1051,"Cubic","Extrapolate=Linear","MultiX=Average","Skip=True","Sort=True")</f>
        <v>14.649975858525641</v>
      </c>
      <c r="U1051" s="43">
        <f ca="1">_xll.BInterpol('Base CDI'!$H$4:$H$28,'Base CDI'!$I$4:$I$29,S1051,"Cubic","Extrapolate=Linear","MultiX=Average","Skip=True","Sort=True")</f>
        <v>14.68501965064854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46758</v>
      </c>
      <c r="T1052" s="43">
        <f ca="1">_xll.BInterpol('Base CDI'!$H$4:$H$28,'Base CDI'!$J$4:$J$29,S1052,"Cubic","Extrapolate=Linear","MultiX=Average","Skip=True","Sort=True")</f>
        <v>14.649965214647928</v>
      </c>
      <c r="U1052" s="43">
        <f ca="1">_xll.BInterpol('Base CDI'!$H$4:$H$28,'Base CDI'!$I$4:$I$29,S1052,"Cubic","Extrapolate=Linear","MultiX=Average","Skip=True","Sort=True")</f>
        <v>14.685030480706599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46759</v>
      </c>
      <c r="T1053" s="43">
        <f ca="1">_xll.BInterpol('Base CDI'!$H$4:$H$28,'Base CDI'!$J$4:$J$29,S1053,"Cubic","Extrapolate=Linear","MultiX=Average","Skip=True","Sort=True")</f>
        <v>14.649955518905571</v>
      </c>
      <c r="U1053" s="43">
        <f ca="1">_xll.BInterpol('Base CDI'!$H$4:$H$28,'Base CDI'!$I$4:$I$29,S1053,"Cubic","Extrapolate=Linear","MultiX=Average","Skip=True","Sort=True")</f>
        <v>14.685041979259447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46760</v>
      </c>
      <c r="T1054" s="43">
        <f ca="1">_xll.BInterpol('Base CDI'!$H$4:$H$28,'Base CDI'!$J$4:$J$29,S1054,"Cubic","Extrapolate=Linear","MultiX=Average","Skip=True","Sort=True")</f>
        <v>14.649946768970361</v>
      </c>
      <c r="U1054" s="43">
        <f ca="1">_xll.BInterpol('Base CDI'!$H$4:$H$28,'Base CDI'!$I$4:$I$29,S1054,"Cubic","Extrapolate=Linear","MultiX=Average","Skip=True","Sort=True")</f>
        <v>14.685054145311282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46761</v>
      </c>
      <c r="T1055" s="43">
        <f ca="1">_xll.BInterpol('Base CDI'!$H$4:$H$28,'Base CDI'!$J$4:$J$29,S1055,"Cubic","Extrapolate=Linear","MultiX=Average","Skip=True","Sort=True")</f>
        <v>14.649938962514081</v>
      </c>
      <c r="U1055" s="43">
        <f ca="1">_xll.BInterpol('Base CDI'!$H$4:$H$28,'Base CDI'!$I$4:$I$29,S1055,"Cubic","Extrapolate=Linear","MultiX=Average","Skip=True","Sort=True")</f>
        <v>14.685066977866301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46762</v>
      </c>
      <c r="T1056" s="43">
        <f ca="1">_xll.BInterpol('Base CDI'!$H$4:$H$28,'Base CDI'!$J$4:$J$29,S1056,"Cubic","Extrapolate=Linear","MultiX=Average","Skip=True","Sort=True")</f>
        <v>14.649932097208517</v>
      </c>
      <c r="U1056" s="43">
        <f ca="1">_xll.BInterpol('Base CDI'!$H$4:$H$28,'Base CDI'!$I$4:$I$29,S1056,"Cubic","Extrapolate=Linear","MultiX=Average","Skip=True","Sort=True")</f>
        <v>14.685080475928702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46763</v>
      </c>
      <c r="T1057" s="43">
        <f ca="1">_xll.BInterpol('Base CDI'!$H$4:$H$28,'Base CDI'!$J$4:$J$29,S1057,"Cubic","Extrapolate=Linear","MultiX=Average","Skip=True","Sort=True")</f>
        <v>14.649926170725456</v>
      </c>
      <c r="U1057" s="43">
        <f ca="1">_xll.BInterpol('Base CDI'!$H$4:$H$28,'Base CDI'!$I$4:$I$29,S1057,"Cubic","Extrapolate=Linear","MultiX=Average","Skip=True","Sort=True")</f>
        <v>14.685094638502683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46764</v>
      </c>
      <c r="T1058" s="43">
        <f ca="1">_xll.BInterpol('Base CDI'!$H$4:$H$28,'Base CDI'!$J$4:$J$29,S1058,"Cubic","Extrapolate=Linear","MultiX=Average","Skip=True","Sort=True")</f>
        <v>14.649921180736682</v>
      </c>
      <c r="U1058" s="43">
        <f ca="1">_xll.BInterpol('Base CDI'!$H$4:$H$28,'Base CDI'!$I$4:$I$29,S1058,"Cubic","Extrapolate=Linear","MultiX=Average","Skip=True","Sort=True")</f>
        <v>14.68510946459244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46765</v>
      </c>
      <c r="T1059" s="43">
        <f ca="1">_xll.BInterpol('Base CDI'!$H$4:$H$28,'Base CDI'!$J$4:$J$29,S1059,"Cubic","Extrapolate=Linear","MultiX=Average","Skip=True","Sort=True")</f>
        <v>14.649917124913982</v>
      </c>
      <c r="U1059" s="43">
        <f ca="1">_xll.BInterpol('Base CDI'!$H$4:$H$28,'Base CDI'!$I$4:$I$29,S1059,"Cubic","Extrapolate=Linear","MultiX=Average","Skip=True","Sort=True")</f>
        <v>14.685124953202171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46766</v>
      </c>
      <c r="T1060" s="43">
        <f ca="1">_xll.BInterpol('Base CDI'!$H$4:$H$28,'Base CDI'!$J$4:$J$29,S1060,"Cubic","Extrapolate=Linear","MultiX=Average","Skip=True","Sort=True")</f>
        <v>14.649914000929142</v>
      </c>
      <c r="U1060" s="43">
        <f ca="1">_xll.BInterpol('Base CDI'!$H$4:$H$28,'Base CDI'!$I$4:$I$29,S1060,"Cubic","Extrapolate=Linear","MultiX=Average","Skip=True","Sort=True")</f>
        <v>14.685141103336074</v>
      </c>
    </row>
    <row r="1061" spans="16:21" x14ac:dyDescent="0.25">
      <c r="P1061" s="10">
        <v>36054</v>
      </c>
      <c r="Q1061">
        <v>3.674531</v>
      </c>
      <c r="S1061" s="42">
        <f t="shared" ca="1" si="21"/>
        <v>46767</v>
      </c>
      <c r="T1061" s="43">
        <f ca="1">_xll.BInterpol('Base CDI'!$H$4:$H$28,'Base CDI'!$J$4:$J$29,S1061,"Cubic","Extrapolate=Linear","MultiX=Average","Skip=True","Sort=True")</f>
        <v>14.649911806453947</v>
      </c>
      <c r="U1061" s="43">
        <f ca="1">_xll.BInterpol('Base CDI'!$H$4:$H$28,'Base CDI'!$I$4:$I$29,S1061,"Cubic","Extrapolate=Linear","MultiX=Average","Skip=True","Sort=True")</f>
        <v>14.685157913998346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46768</v>
      </c>
      <c r="T1062" s="43">
        <f ca="1">_xll.BInterpol('Base CDI'!$H$4:$H$28,'Base CDI'!$J$4:$J$29,S1062,"Cubic","Extrapolate=Linear","MultiX=Average","Skip=True","Sort=True")</f>
        <v>14.649910539160185</v>
      </c>
      <c r="U1062" s="43">
        <f ca="1">_xll.BInterpol('Base CDI'!$H$4:$H$28,'Base CDI'!$I$4:$I$29,S1062,"Cubic","Extrapolate=Linear","MultiX=Average","Skip=True","Sort=True")</f>
        <v>14.685175384193183</v>
      </c>
    </row>
    <row r="1063" spans="16:21" x14ac:dyDescent="0.25">
      <c r="P1063" s="10">
        <v>36056</v>
      </c>
      <c r="Q1063">
        <v>3.684186</v>
      </c>
      <c r="S1063" s="42">
        <f t="shared" ca="1" si="21"/>
        <v>46769</v>
      </c>
      <c r="T1063" s="43">
        <f ca="1">_xll.BInterpol('Base CDI'!$H$4:$H$28,'Base CDI'!$J$4:$J$29,S1063,"Cubic","Extrapolate=Linear","MultiX=Average","Skip=True","Sort=True")</f>
        <v>14.64991019671964</v>
      </c>
      <c r="U1063" s="43">
        <f ca="1">_xll.BInterpol('Base CDI'!$H$4:$H$28,'Base CDI'!$I$4:$I$29,S1063,"Cubic","Extrapolate=Linear","MultiX=Average","Skip=True","Sort=True")</f>
        <v>14.685193512924785</v>
      </c>
    </row>
    <row r="1064" spans="16:21" x14ac:dyDescent="0.25">
      <c r="P1064" s="10">
        <v>36059</v>
      </c>
      <c r="Q1064">
        <v>3.689038</v>
      </c>
      <c r="S1064" s="42">
        <f t="shared" ca="1" si="21"/>
        <v>46770</v>
      </c>
      <c r="T1064" s="43">
        <f ca="1">_xll.BInterpol('Base CDI'!$H$4:$H$28,'Base CDI'!$J$4:$J$29,S1064,"Cubic","Extrapolate=Linear","MultiX=Average","Skip=True","Sort=True")</f>
        <v>14.649910776804099</v>
      </c>
      <c r="U1064" s="43">
        <f ca="1">_xll.BInterpol('Base CDI'!$H$4:$H$28,'Base CDI'!$I$4:$I$29,S1064,"Cubic","Extrapolate=Linear","MultiX=Average","Skip=True","Sort=True")</f>
        <v>14.685212299197349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46771</v>
      </c>
      <c r="T1065" s="43">
        <f ca="1">_xll.BInterpol('Base CDI'!$H$4:$H$28,'Base CDI'!$J$4:$J$29,S1065,"Cubic","Extrapolate=Linear","MultiX=Average","Skip=True","Sort=True")</f>
        <v>14.649912277085345</v>
      </c>
      <c r="U1065" s="43">
        <f ca="1">_xll.BInterpol('Base CDI'!$H$4:$H$28,'Base CDI'!$I$4:$I$29,S1065,"Cubic","Extrapolate=Linear","MultiX=Average","Skip=True","Sort=True")</f>
        <v>14.685231742015072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46772</v>
      </c>
      <c r="T1066" s="43">
        <f ca="1">_xll.BInterpol('Base CDI'!$H$4:$H$28,'Base CDI'!$J$4:$J$29,S1066,"Cubic","Extrapolate=Linear","MultiX=Average","Skip=True","Sort=True")</f>
        <v>14.649914695235168</v>
      </c>
      <c r="U1066" s="43">
        <f ca="1">_xll.BInterpol('Base CDI'!$H$4:$H$28,'Base CDI'!$I$4:$I$29,S1066,"Cubic","Extrapolate=Linear","MultiX=Average","Skip=True","Sort=True")</f>
        <v>14.685251840382149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46773</v>
      </c>
      <c r="T1067" s="43">
        <f ca="1">_xll.BInterpol('Base CDI'!$H$4:$H$28,'Base CDI'!$J$4:$J$29,S1067,"Cubic","Extrapolate=Linear","MultiX=Average","Skip=True","Sort=True")</f>
        <v>14.649918028925352</v>
      </c>
      <c r="U1067" s="43">
        <f ca="1">_xll.BInterpol('Base CDI'!$H$4:$H$28,'Base CDI'!$I$4:$I$29,S1067,"Cubic","Extrapolate=Linear","MultiX=Average","Skip=True","Sort=True")</f>
        <v>14.685272593302781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46774</v>
      </c>
      <c r="T1068" s="43">
        <f ca="1">_xll.BInterpol('Base CDI'!$H$4:$H$28,'Base CDI'!$J$4:$J$29,S1068,"Cubic","Extrapolate=Linear","MultiX=Average","Skip=True","Sort=True")</f>
        <v>14.649922275827683</v>
      </c>
      <c r="U1068" s="43">
        <f ca="1">_xll.BInterpol('Base CDI'!$H$4:$H$28,'Base CDI'!$I$4:$I$29,S1068,"Cubic","Extrapolate=Linear","MultiX=Average","Skip=True","Sort=True")</f>
        <v>14.685293999781164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46775</v>
      </c>
      <c r="T1069" s="43">
        <f ca="1">_xll.BInterpol('Base CDI'!$H$4:$H$28,'Base CDI'!$J$4:$J$29,S1069,"Cubic","Extrapolate=Linear","MultiX=Average","Skip=True","Sort=True")</f>
        <v>14.649927433613948</v>
      </c>
      <c r="U1069" s="43">
        <f ca="1">_xll.BInterpol('Base CDI'!$H$4:$H$28,'Base CDI'!$I$4:$I$29,S1069,"Cubic","Extrapolate=Linear","MultiX=Average","Skip=True","Sort=True")</f>
        <v>14.685316058821495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46776</v>
      </c>
      <c r="T1070" s="43">
        <f ca="1">_xll.BInterpol('Base CDI'!$H$4:$H$28,'Base CDI'!$J$4:$J$29,S1070,"Cubic","Extrapolate=Linear","MultiX=Average","Skip=True","Sort=True")</f>
        <v>14.64993349995593</v>
      </c>
      <c r="U1070" s="43">
        <f ca="1">_xll.BInterpol('Base CDI'!$H$4:$H$28,'Base CDI'!$I$4:$I$29,S1070,"Cubic","Extrapolate=Linear","MultiX=Average","Skip=True","Sort=True")</f>
        <v>14.685338769427974</v>
      </c>
    </row>
    <row r="1071" spans="16:21" x14ac:dyDescent="0.25">
      <c r="P1071" s="10">
        <v>36068</v>
      </c>
      <c r="Q1071">
        <v>3.723592</v>
      </c>
      <c r="S1071" s="42">
        <f t="shared" ca="1" si="21"/>
        <v>46777</v>
      </c>
      <c r="T1071" s="43">
        <f ca="1">_xll.BInterpol('Base CDI'!$H$4:$H$28,'Base CDI'!$J$4:$J$29,S1071,"Cubic","Extrapolate=Linear","MultiX=Average","Skip=True","Sort=True")</f>
        <v>14.649940472525417</v>
      </c>
      <c r="U1071" s="43">
        <f ca="1">_xll.BInterpol('Base CDI'!$H$4:$H$28,'Base CDI'!$I$4:$I$29,S1071,"Cubic","Extrapolate=Linear","MultiX=Average","Skip=True","Sort=True")</f>
        <v>14.685362130604794</v>
      </c>
    </row>
    <row r="1072" spans="16:21" x14ac:dyDescent="0.25">
      <c r="P1072" s="10">
        <v>36069</v>
      </c>
      <c r="Q1072">
        <v>3.728593</v>
      </c>
      <c r="S1072" s="42">
        <f t="shared" ca="1" si="21"/>
        <v>46778</v>
      </c>
      <c r="T1072" s="43">
        <f ca="1">_xll.BInterpol('Base CDI'!$H$4:$H$28,'Base CDI'!$J$4:$J$29,S1072,"Cubic","Extrapolate=Linear","MultiX=Average","Skip=True","Sort=True")</f>
        <v>14.649948348994196</v>
      </c>
      <c r="U1072" s="43">
        <f ca="1">_xll.BInterpol('Base CDI'!$H$4:$H$28,'Base CDI'!$I$4:$I$29,S1072,"Cubic","Extrapolate=Linear","MultiX=Average","Skip=True","Sort=True")</f>
        <v>14.685386141356156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46779</v>
      </c>
      <c r="T1073" s="43">
        <f ca="1">_xll.BInterpol('Base CDI'!$H$4:$H$28,'Base CDI'!$J$4:$J$29,S1073,"Cubic","Extrapolate=Linear","MultiX=Average","Skip=True","Sort=True")</f>
        <v>14.64995712703405</v>
      </c>
      <c r="U1073" s="43">
        <f ca="1">_xll.BInterpol('Base CDI'!$H$4:$H$28,'Base CDI'!$I$4:$I$29,S1073,"Cubic","Extrapolate=Linear","MultiX=Average","Skip=True","Sort=True")</f>
        <v>14.685410800686258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46780</v>
      </c>
      <c r="T1074" s="43">
        <f ca="1">_xll.BInterpol('Base CDI'!$H$4:$H$28,'Base CDI'!$J$4:$J$29,S1074,"Cubic","Extrapolate=Linear","MultiX=Average","Skip=True","Sort=True")</f>
        <v>14.649966804316767</v>
      </c>
      <c r="U1074" s="43">
        <f ca="1">_xll.BInterpol('Base CDI'!$H$4:$H$28,'Base CDI'!$I$4:$I$29,S1074,"Cubic","Extrapolate=Linear","MultiX=Average","Skip=True","Sort=True")</f>
        <v>14.685436107599294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46781</v>
      </c>
      <c r="T1075" s="43">
        <f ca="1">_xll.BInterpol('Base CDI'!$H$4:$H$28,'Base CDI'!$J$4:$J$29,S1075,"Cubic","Extrapolate=Linear","MultiX=Average","Skip=True","Sort=True")</f>
        <v>14.649977378514132</v>
      </c>
      <c r="U1075" s="43">
        <f ca="1">_xll.BInterpol('Base CDI'!$H$4:$H$28,'Base CDI'!$I$4:$I$29,S1075,"Cubic","Extrapolate=Linear","MultiX=Average","Skip=True","Sort=True")</f>
        <v>14.685462061099463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46782</v>
      </c>
      <c r="T1076" s="43">
        <f ca="1">_xll.BInterpol('Base CDI'!$H$4:$H$28,'Base CDI'!$J$4:$J$29,S1076,"Cubic","Extrapolate=Linear","MultiX=Average","Skip=True","Sort=True")</f>
        <v>14.64998884729793</v>
      </c>
      <c r="U1076" s="43">
        <f ca="1">_xll.BInterpol('Base CDI'!$H$4:$H$28,'Base CDI'!$I$4:$I$29,S1076,"Cubic","Extrapolate=Linear","MultiX=Average","Skip=True","Sort=True")</f>
        <v>14.685488660190964</v>
      </c>
    </row>
    <row r="1077" spans="16:21" x14ac:dyDescent="0.25">
      <c r="P1077" s="10">
        <v>36076</v>
      </c>
      <c r="Q1077">
        <v>3.753889</v>
      </c>
      <c r="S1077" s="42">
        <f t="shared" ca="1" si="21"/>
        <v>46783</v>
      </c>
      <c r="T1077" s="43">
        <f ca="1">_xll.BInterpol('Base CDI'!$H$4:$H$28,'Base CDI'!$J$4:$J$29,S1077,"Cubic","Extrapolate=Linear","MultiX=Average","Skip=True","Sort=True")</f>
        <v>14.650001208339949</v>
      </c>
      <c r="U1077" s="43">
        <f ca="1">_xll.BInterpol('Base CDI'!$H$4:$H$28,'Base CDI'!$I$4:$I$29,S1077,"Cubic","Extrapolate=Linear","MultiX=Average","Skip=True","Sort=True")</f>
        <v>14.685515903877992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46784</v>
      </c>
      <c r="T1078" s="43">
        <f ca="1">_xll.BInterpol('Base CDI'!$H$4:$H$28,'Base CDI'!$J$4:$J$29,S1078,"Cubic","Extrapolate=Linear","MultiX=Average","Skip=True","Sort=True")</f>
        <v>14.650014459311976</v>
      </c>
      <c r="U1078" s="43">
        <f ca="1">_xll.BInterpol('Base CDI'!$H$4:$H$28,'Base CDI'!$I$4:$I$29,S1078,"Cubic","Extrapolate=Linear","MultiX=Average","Skip=True","Sort=True")</f>
        <v>14.685543791164747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46785</v>
      </c>
      <c r="T1079" s="43">
        <f ca="1">_xll.BInterpol('Base CDI'!$H$4:$H$28,'Base CDI'!$J$4:$J$29,S1079,"Cubic","Extrapolate=Linear","MultiX=Average","Skip=True","Sort=True")</f>
        <v>14.650028597885793</v>
      </c>
      <c r="U1079" s="43">
        <f ca="1">_xll.BInterpol('Base CDI'!$H$4:$H$28,'Base CDI'!$I$4:$I$29,S1079,"Cubic","Extrapolate=Linear","MultiX=Average","Skip=True","Sort=True")</f>
        <v>14.685572321055423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46786</v>
      </c>
      <c r="T1080" s="43">
        <f ca="1">_xll.BInterpol('Base CDI'!$H$4:$H$28,'Base CDI'!$J$4:$J$29,S1080,"Cubic","Extrapolate=Linear","MultiX=Average","Skip=True","Sort=True")</f>
        <v>14.650043621733188</v>
      </c>
      <c r="U1080" s="43">
        <f ca="1">_xll.BInterpol('Base CDI'!$H$4:$H$28,'Base CDI'!$I$4:$I$29,S1080,"Cubic","Extrapolate=Linear","MultiX=Average","Skip=True","Sort=True")</f>
        <v>14.685601492554222</v>
      </c>
    </row>
    <row r="1081" spans="16:21" x14ac:dyDescent="0.25">
      <c r="P1081" s="10">
        <v>36083</v>
      </c>
      <c r="Q1081">
        <v>3.774448</v>
      </c>
      <c r="S1081" s="42">
        <f t="shared" ca="1" si="21"/>
        <v>46787</v>
      </c>
      <c r="T1081" s="43">
        <f ca="1">_xll.BInterpol('Base CDI'!$H$4:$H$28,'Base CDI'!$J$4:$J$29,S1081,"Cubic","Extrapolate=Linear","MultiX=Average","Skip=True","Sort=True")</f>
        <v>14.650059528525945</v>
      </c>
      <c r="U1081" s="43">
        <f ca="1">_xll.BInterpol('Base CDI'!$H$4:$H$28,'Base CDI'!$I$4:$I$29,S1081,"Cubic","Extrapolate=Linear","MultiX=Average","Skip=True","Sort=True")</f>
        <v>14.685631304665337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46788</v>
      </c>
      <c r="T1082" s="43">
        <f ca="1">_xll.BInterpol('Base CDI'!$H$4:$H$28,'Base CDI'!$J$4:$J$29,S1082,"Cubic","Extrapolate=Linear","MultiX=Average","Skip=True","Sort=True")</f>
        <v>14.650076315935854</v>
      </c>
      <c r="U1082" s="43">
        <f ca="1">_xll.BInterpol('Base CDI'!$H$4:$H$28,'Base CDI'!$I$4:$I$29,S1082,"Cubic","Extrapolate=Linear","MultiX=Average","Skip=True","Sort=True")</f>
        <v>14.685661756392967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46789</v>
      </c>
      <c r="T1083" s="43">
        <f ca="1">_xll.BInterpol('Base CDI'!$H$4:$H$28,'Base CDI'!$J$4:$J$29,S1083,"Cubic","Extrapolate=Linear","MultiX=Average","Skip=True","Sort=True")</f>
        <v>14.650093981634697</v>
      </c>
      <c r="U1083" s="43">
        <f ca="1">_xll.BInterpol('Base CDI'!$H$4:$H$28,'Base CDI'!$I$4:$I$29,S1083,"Cubic","Extrapolate=Linear","MultiX=Average","Skip=True","Sort=True")</f>
        <v>14.685692846741311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46790</v>
      </c>
      <c r="T1084" s="43">
        <f ca="1">_xll.BInterpol('Base CDI'!$H$4:$H$28,'Base CDI'!$J$4:$J$29,S1084,"Cubic","Extrapolate=Linear","MultiX=Average","Skip=True","Sort=True")</f>
        <v>14.650112523294261</v>
      </c>
      <c r="U1084" s="43">
        <f ca="1">_xll.BInterpol('Base CDI'!$H$4:$H$28,'Base CDI'!$I$4:$I$29,S1084,"Cubic","Extrapolate=Linear","MultiX=Average","Skip=True","Sort=True")</f>
        <v>14.685724574714566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46791</v>
      </c>
      <c r="T1085" s="43">
        <f ca="1">_xll.BInterpol('Base CDI'!$H$4:$H$28,'Base CDI'!$J$4:$J$29,S1085,"Cubic","Extrapolate=Linear","MultiX=Average","Skip=True","Sort=True")</f>
        <v>14.650131938586334</v>
      </c>
      <c r="U1085" s="43">
        <f ca="1">_xll.BInterpol('Base CDI'!$H$4:$H$28,'Base CDI'!$I$4:$I$29,S1085,"Cubic","Extrapolate=Linear","MultiX=Average","Skip=True","Sort=True")</f>
        <v>14.685756939316928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46792</v>
      </c>
      <c r="T1086" s="43">
        <f ca="1">_xll.BInterpol('Base CDI'!$H$4:$H$28,'Base CDI'!$J$4:$J$29,S1086,"Cubic","Extrapolate=Linear","MultiX=Average","Skip=True","Sort=True")</f>
        <v>14.650152225182699</v>
      </c>
      <c r="U1086" s="43">
        <f ca="1">_xll.BInterpol('Base CDI'!$H$4:$H$28,'Base CDI'!$I$4:$I$29,S1086,"Cubic","Extrapolate=Linear","MultiX=Average","Skip=True","Sort=True")</f>
        <v>14.685789939552595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46793</v>
      </c>
      <c r="T1087" s="43">
        <f ca="1">_xll.BInterpol('Base CDI'!$H$4:$H$28,'Base CDI'!$J$4:$J$29,S1087,"Cubic","Extrapolate=Linear","MultiX=Average","Skip=True","Sort=True")</f>
        <v>14.650173380755144</v>
      </c>
      <c r="U1087" s="43">
        <f ca="1">_xll.BInterpol('Base CDI'!$H$4:$H$28,'Base CDI'!$I$4:$I$29,S1087,"Cubic","Extrapolate=Linear","MultiX=Average","Skip=True","Sort=True")</f>
        <v>14.685823574425767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46794</v>
      </c>
      <c r="T1088" s="43">
        <f ca="1">_xll.BInterpol('Base CDI'!$H$4:$H$28,'Base CDI'!$J$4:$J$29,S1088,"Cubic","Extrapolate=Linear","MultiX=Average","Skip=True","Sort=True")</f>
        <v>14.650195402975452</v>
      </c>
      <c r="U1088" s="43">
        <f ca="1">_xll.BInterpol('Base CDI'!$H$4:$H$28,'Base CDI'!$I$4:$I$29,S1088,"Cubic","Extrapolate=Linear","MultiX=Average","Skip=True","Sort=True")</f>
        <v>14.685857842940635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46795</v>
      </c>
      <c r="T1089" s="43">
        <f ca="1">_xll.BInterpol('Base CDI'!$H$4:$H$28,'Base CDI'!$J$4:$J$29,S1089,"Cubic","Extrapolate=Linear","MultiX=Average","Skip=True","Sort=True")</f>
        <v>14.650218289515411</v>
      </c>
      <c r="U1089" s="43">
        <f ca="1">_xll.BInterpol('Base CDI'!$H$4:$H$28,'Base CDI'!$I$4:$I$29,S1089,"Cubic","Extrapolate=Linear","MultiX=Average","Skip=True","Sort=True")</f>
        <v>14.685892744101404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46796</v>
      </c>
      <c r="T1090" s="43">
        <f ca="1">_xll.BInterpol('Base CDI'!$H$4:$H$28,'Base CDI'!$J$4:$J$29,S1090,"Cubic","Extrapolate=Linear","MultiX=Average","Skip=True","Sort=True")</f>
        <v>14.650242038046809</v>
      </c>
      <c r="U1090" s="43">
        <f ca="1">_xll.BInterpol('Base CDI'!$H$4:$H$28,'Base CDI'!$I$4:$I$29,S1090,"Cubic","Extrapolate=Linear","MultiX=Average","Skip=True","Sort=True")</f>
        <v>14.685928276912266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46797</v>
      </c>
      <c r="T1091" s="43">
        <f ca="1">_xll.BInterpol('Base CDI'!$H$4:$H$28,'Base CDI'!$J$4:$J$29,S1091,"Cubic","Extrapolate=Linear","MultiX=Average","Skip=True","Sort=True")</f>
        <v>14.650266646241427</v>
      </c>
      <c r="U1091" s="43">
        <f ca="1">_xll.BInterpol('Base CDI'!$H$4:$H$28,'Base CDI'!$I$4:$I$29,S1091,"Cubic","Extrapolate=Linear","MultiX=Average","Skip=True","Sort=True")</f>
        <v>14.685964440377422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46798</v>
      </c>
      <c r="T1092" s="43">
        <f ca="1">_xll.BInterpol('Base CDI'!$H$4:$H$28,'Base CDI'!$J$4:$J$29,S1092,"Cubic","Extrapolate=Linear","MultiX=Average","Skip=True","Sort=True")</f>
        <v>14.650292111771055</v>
      </c>
      <c r="U1092" s="43">
        <f ca="1">_xll.BInterpol('Base CDI'!$H$4:$H$28,'Base CDI'!$I$4:$I$29,S1092,"Cubic","Extrapolate=Linear","MultiX=Average","Skip=True","Sort=True")</f>
        <v>14.686001233501067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46799</v>
      </c>
      <c r="T1093" s="43">
        <f ca="1">_xll.BInterpol('Base CDI'!$H$4:$H$28,'Base CDI'!$J$4:$J$29,S1093,"Cubic","Extrapolate=Linear","MultiX=Average","Skip=True","Sort=True")</f>
        <v>14.650318432307476</v>
      </c>
      <c r="U1093" s="43">
        <f ca="1">_xll.BInterpol('Base CDI'!$H$4:$H$28,'Base CDI'!$I$4:$I$29,S1093,"Cubic","Extrapolate=Linear","MultiX=Average","Skip=True","Sort=True")</f>
        <v>14.686038655287399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46800</v>
      </c>
      <c r="T1094" s="43">
        <f ca="1">_xll.BInterpol('Base CDI'!$H$4:$H$28,'Base CDI'!$J$4:$J$29,S1094,"Cubic","Extrapolate=Linear","MultiX=Average","Skip=True","Sort=True")</f>
        <v>14.650345605522478</v>
      </c>
      <c r="U1094" s="43">
        <f ca="1">_xll.BInterpol('Base CDI'!$H$4:$H$28,'Base CDI'!$I$4:$I$29,S1094,"Cubic","Extrapolate=Linear","MultiX=Average","Skip=True","Sort=True")</f>
        <v>14.686076704740616</v>
      </c>
    </row>
    <row r="1095" spans="16:21" x14ac:dyDescent="0.25">
      <c r="P1095" s="10">
        <v>36104</v>
      </c>
      <c r="Q1095">
        <v>3.848382</v>
      </c>
      <c r="S1095" s="42">
        <f t="shared" ca="1" si="21"/>
        <v>46801</v>
      </c>
      <c r="T1095" s="43">
        <f ca="1">_xll.BInterpol('Base CDI'!$H$4:$H$28,'Base CDI'!$J$4:$J$29,S1095,"Cubic","Extrapolate=Linear","MultiX=Average","Skip=True","Sort=True")</f>
        <v>14.650373629087847</v>
      </c>
      <c r="U1095" s="43">
        <f ca="1">_xll.BInterpol('Base CDI'!$H$4:$H$28,'Base CDI'!$I$4:$I$29,S1095,"Cubic","Extrapolate=Linear","MultiX=Average","Skip=True","Sort=True")</f>
        <v>14.686115380864916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46802</v>
      </c>
      <c r="T1096" s="43">
        <f ca="1">_xll.BInterpol('Base CDI'!$H$4:$H$28,'Base CDI'!$J$4:$J$29,S1096,"Cubic","Extrapolate=Linear","MultiX=Average","Skip=True","Sort=True")</f>
        <v>14.650402500675368</v>
      </c>
      <c r="U1096" s="43">
        <f ca="1">_xll.BInterpol('Base CDI'!$H$4:$H$28,'Base CDI'!$I$4:$I$29,S1096,"Cubic","Extrapolate=Linear","MultiX=Average","Skip=True","Sort=True")</f>
        <v>14.686154682664494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46803</v>
      </c>
      <c r="T1097" s="43">
        <f ca="1">_xll.BInterpol('Base CDI'!$H$4:$H$28,'Base CDI'!$J$4:$J$29,S1097,"Cubic","Extrapolate=Linear","MultiX=Average","Skip=True","Sort=True")</f>
        <v>14.650432217956824</v>
      </c>
      <c r="U1097" s="43">
        <f ca="1">_xll.BInterpol('Base CDI'!$H$4:$H$28,'Base CDI'!$I$4:$I$29,S1097,"Cubic","Extrapolate=Linear","MultiX=Average","Skip=True","Sort=True")</f>
        <v>14.68619460914355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46804</v>
      </c>
      <c r="T1098" s="43">
        <f ca="1">_xll.BInterpol('Base CDI'!$H$4:$H$28,'Base CDI'!$J$4:$J$29,S1098,"Cubic","Extrapolate=Linear","MultiX=Average","Skip=True","Sort=True")</f>
        <v>14.650462778604007</v>
      </c>
      <c r="U1098" s="43">
        <f ca="1">_xll.BInterpol('Base CDI'!$H$4:$H$28,'Base CDI'!$I$4:$I$29,S1098,"Cubic","Extrapolate=Linear","MultiX=Average","Skip=True","Sort=True")</f>
        <v>14.686235159306282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46805</v>
      </c>
      <c r="T1099" s="43">
        <f ca="1">_xll.BInterpol('Base CDI'!$H$4:$H$28,'Base CDI'!$J$4:$J$29,S1099,"Cubic","Extrapolate=Linear","MultiX=Average","Skip=True","Sort=True")</f>
        <v>14.6504941802887</v>
      </c>
      <c r="U1099" s="43">
        <f ca="1">_xll.BInterpol('Base CDI'!$H$4:$H$28,'Base CDI'!$I$4:$I$29,S1099,"Cubic","Extrapolate=Linear","MultiX=Average","Skip=True","Sort=True")</f>
        <v>14.686276332156885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46806</v>
      </c>
      <c r="T1100" s="43">
        <f ca="1">_xll.BInterpol('Base CDI'!$H$4:$H$28,'Base CDI'!$J$4:$J$29,S1100,"Cubic","Extrapolate=Linear","MultiX=Average","Skip=True","Sort=True")</f>
        <v>14.650526420682686</v>
      </c>
      <c r="U1100" s="43">
        <f ca="1">_xll.BInterpol('Base CDI'!$H$4:$H$28,'Base CDI'!$I$4:$I$29,S1100,"Cubic","Extrapolate=Linear","MultiX=Average","Skip=True","Sort=True")</f>
        <v>14.686318126699557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46807</v>
      </c>
      <c r="T1101" s="43">
        <f ca="1">_xll.BInterpol('Base CDI'!$H$4:$H$28,'Base CDI'!$J$4:$J$29,S1101,"Cubic","Extrapolate=Linear","MultiX=Average","Skip=True","Sort=True")</f>
        <v>14.650559497457756</v>
      </c>
      <c r="U1101" s="43">
        <f ca="1">_xll.BInterpol('Base CDI'!$H$4:$H$28,'Base CDI'!$I$4:$I$29,S1101,"Cubic","Extrapolate=Linear","MultiX=Average","Skip=True","Sort=True")</f>
        <v>14.686360541938496</v>
      </c>
    </row>
    <row r="1102" spans="16:21" x14ac:dyDescent="0.25">
      <c r="P1102" s="10">
        <v>36115</v>
      </c>
      <c r="Q1102">
        <v>3.884541</v>
      </c>
      <c r="S1102" s="42">
        <f t="shared" ca="1" si="22"/>
        <v>46808</v>
      </c>
      <c r="T1102" s="43">
        <f ca="1">_xll.BInterpol('Base CDI'!$H$4:$H$28,'Base CDI'!$J$4:$J$29,S1102,"Cubic","Extrapolate=Linear","MultiX=Average","Skip=True","Sort=True")</f>
        <v>14.650593408285692</v>
      </c>
      <c r="U1102" s="43">
        <f ca="1">_xll.BInterpol('Base CDI'!$H$4:$H$28,'Base CDI'!$I$4:$I$29,S1102,"Cubic","Extrapolate=Linear","MultiX=Average","Skip=True","Sort=True")</f>
        <v>14.6864035768779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46809</v>
      </c>
      <c r="T1103" s="43">
        <f ca="1">_xll.BInterpol('Base CDI'!$H$4:$H$28,'Base CDI'!$J$4:$J$29,S1103,"Cubic","Extrapolate=Linear","MultiX=Average","Skip=True","Sort=True")</f>
        <v>14.650628150838282</v>
      </c>
      <c r="U1103" s="43">
        <f ca="1">_xll.BInterpol('Base CDI'!$H$4:$H$28,'Base CDI'!$I$4:$I$29,S1103,"Cubic","Extrapolate=Linear","MultiX=Average","Skip=True","Sort=True")</f>
        <v>14.686447230521967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46810</v>
      </c>
      <c r="T1104" s="43">
        <f ca="1">_xll.BInterpol('Base CDI'!$H$4:$H$28,'Base CDI'!$J$4:$J$29,S1104,"Cubic","Extrapolate=Linear","MultiX=Average","Skip=True","Sort=True")</f>
        <v>14.650663722787311</v>
      </c>
      <c r="U1104" s="43">
        <f ca="1">_xll.BInterpol('Base CDI'!$H$4:$H$28,'Base CDI'!$I$4:$I$29,S1104,"Cubic","Extrapolate=Linear","MultiX=Average","Skip=True","Sort=True")</f>
        <v>14.686491501874892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46811</v>
      </c>
      <c r="T1105" s="43">
        <f ca="1">_xll.BInterpol('Base CDI'!$H$4:$H$28,'Base CDI'!$J$4:$J$29,S1105,"Cubic","Extrapolate=Linear","MultiX=Average","Skip=True","Sort=True")</f>
        <v>14.650700121804565</v>
      </c>
      <c r="U1105" s="43">
        <f ca="1">_xll.BInterpol('Base CDI'!$H$4:$H$28,'Base CDI'!$I$4:$I$29,S1105,"Cubic","Extrapolate=Linear","MultiX=Average","Skip=True","Sort=True")</f>
        <v>14.686536389940873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46812</v>
      </c>
      <c r="T1106" s="43">
        <f ca="1">_xll.BInterpol('Base CDI'!$H$4:$H$28,'Base CDI'!$J$4:$J$29,S1106,"Cubic","Extrapolate=Linear","MultiX=Average","Skip=True","Sort=True")</f>
        <v>14.650737345561829</v>
      </c>
      <c r="U1106" s="43">
        <f ca="1">_xll.BInterpol('Base CDI'!$H$4:$H$28,'Base CDI'!$I$4:$I$29,S1106,"Cubic","Extrapolate=Linear","MultiX=Average","Skip=True","Sort=True")</f>
        <v>14.686581893724108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46813</v>
      </c>
      <c r="T1107" s="43">
        <f ca="1">_xll.BInterpol('Base CDI'!$H$4:$H$28,'Base CDI'!$J$4:$J$29,S1107,"Cubic","Extrapolate=Linear","MultiX=Average","Skip=True","Sort=True")</f>
        <v>14.650775391730892</v>
      </c>
      <c r="U1107" s="43">
        <f ca="1">_xll.BInterpol('Base CDI'!$H$4:$H$28,'Base CDI'!$I$4:$I$29,S1107,"Cubic","Extrapolate=Linear","MultiX=Average","Skip=True","Sort=True")</f>
        <v>14.686628012228796</v>
      </c>
    </row>
    <row r="1108" spans="16:21" x14ac:dyDescent="0.25">
      <c r="P1108" s="10">
        <v>36123</v>
      </c>
      <c r="Q1108">
        <v>3.913421</v>
      </c>
      <c r="S1108" s="42">
        <f t="shared" ca="1" si="22"/>
        <v>46814</v>
      </c>
      <c r="T1108" s="43">
        <f ca="1">_xll.BInterpol('Base CDI'!$H$4:$H$28,'Base CDI'!$J$4:$J$29,S1108,"Cubic","Extrapolate=Linear","MultiX=Average","Skip=True","Sort=True")</f>
        <v>14.650814257983537</v>
      </c>
      <c r="U1108" s="43">
        <f ca="1">_xll.BInterpol('Base CDI'!$H$4:$H$28,'Base CDI'!$I$4:$I$29,S1108,"Cubic","Extrapolate=Linear","MultiX=Average","Skip=True","Sort=True")</f>
        <v>14.686674744459133</v>
      </c>
    </row>
    <row r="1109" spans="16:21" x14ac:dyDescent="0.25">
      <c r="P1109" s="10">
        <v>36124</v>
      </c>
      <c r="Q1109">
        <v>3.918072</v>
      </c>
      <c r="S1109" s="42">
        <f t="shared" ca="1" si="22"/>
        <v>46815</v>
      </c>
      <c r="T1109" s="43">
        <f ca="1">_xll.BInterpol('Base CDI'!$H$4:$H$28,'Base CDI'!$J$4:$J$29,S1109,"Cubic","Extrapolate=Linear","MultiX=Average","Skip=True","Sort=True")</f>
        <v>14.650853941991551</v>
      </c>
      <c r="U1109" s="43">
        <f ca="1">_xll.BInterpol('Base CDI'!$H$4:$H$28,'Base CDI'!$I$4:$I$29,S1109,"Cubic","Extrapolate=Linear","MultiX=Average","Skip=True","Sort=True")</f>
        <v>14.686722089419316</v>
      </c>
    </row>
    <row r="1110" spans="16:21" x14ac:dyDescent="0.25">
      <c r="P1110" s="10">
        <v>36125</v>
      </c>
      <c r="Q1110">
        <v>3.922682</v>
      </c>
      <c r="S1110" s="42">
        <f t="shared" ca="1" si="22"/>
        <v>46816</v>
      </c>
      <c r="T1110" s="43">
        <f ca="1">_xll.BInterpol('Base CDI'!$H$4:$H$28,'Base CDI'!$J$4:$J$29,S1110,"Cubic","Extrapolate=Linear","MultiX=Average","Skip=True","Sort=True")</f>
        <v>14.650894441426718</v>
      </c>
      <c r="U1110" s="43">
        <f ca="1">_xll.BInterpol('Base CDI'!$H$4:$H$28,'Base CDI'!$I$4:$I$29,S1110,"Cubic","Extrapolate=Linear","MultiX=Average","Skip=True","Sort=True")</f>
        <v>14.686770046113544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46817</v>
      </c>
      <c r="T1111" s="43">
        <f ca="1">_xll.BInterpol('Base CDI'!$H$4:$H$28,'Base CDI'!$J$4:$J$29,S1111,"Cubic","Extrapolate=Linear","MultiX=Average","Skip=True","Sort=True")</f>
        <v>14.650935753960827</v>
      </c>
      <c r="U1111" s="43">
        <f ca="1">_xll.BInterpol('Base CDI'!$H$4:$H$28,'Base CDI'!$I$4:$I$29,S1111,"Cubic","Extrapolate=Linear","MultiX=Average","Skip=True","Sort=True")</f>
        <v>14.686818613546013</v>
      </c>
    </row>
    <row r="1112" spans="16:21" x14ac:dyDescent="0.25">
      <c r="P1112" s="10">
        <v>36129</v>
      </c>
      <c r="Q1112">
        <v>3.931915</v>
      </c>
      <c r="S1112" s="42">
        <f t="shared" ca="1" si="22"/>
        <v>46818</v>
      </c>
      <c r="T1112" s="43">
        <f ca="1">_xll.BInterpol('Base CDI'!$H$4:$H$28,'Base CDI'!$J$4:$J$29,S1112,"Cubic","Extrapolate=Linear","MultiX=Average","Skip=True","Sort=True")</f>
        <v>14.650977877265662</v>
      </c>
      <c r="U1112" s="43">
        <f ca="1">_xll.BInterpol('Base CDI'!$H$4:$H$28,'Base CDI'!$I$4:$I$29,S1112,"Cubic","Extrapolate=Linear","MultiX=Average","Skip=True","Sort=True")</f>
        <v>14.686867790720919</v>
      </c>
    </row>
    <row r="1113" spans="16:21" x14ac:dyDescent="0.25">
      <c r="P1113" s="10">
        <v>36130</v>
      </c>
      <c r="Q1113">
        <v>3.936509</v>
      </c>
      <c r="S1113" s="42">
        <f t="shared" ca="1" si="22"/>
        <v>46819</v>
      </c>
      <c r="T1113" s="43">
        <f ca="1">_xll.BInterpol('Base CDI'!$H$4:$H$28,'Base CDI'!$J$4:$J$29,S1113,"Cubic","Extrapolate=Linear","MultiX=Average","Skip=True","Sort=True")</f>
        <v>14.651020809013009</v>
      </c>
      <c r="U1113" s="43">
        <f ca="1">_xll.BInterpol('Base CDI'!$H$4:$H$28,'Base CDI'!$I$4:$I$29,S1113,"Cubic","Extrapolate=Linear","MultiX=Average","Skip=True","Sort=True")</f>
        <v>14.686917576642465</v>
      </c>
    </row>
    <row r="1114" spans="16:21" x14ac:dyDescent="0.25">
      <c r="P1114" s="10">
        <v>36131</v>
      </c>
      <c r="Q1114">
        <v>3.941074</v>
      </c>
      <c r="S1114" s="42">
        <f t="shared" ca="1" si="22"/>
        <v>46820</v>
      </c>
      <c r="T1114" s="43">
        <f ca="1">_xll.BInterpol('Base CDI'!$H$4:$H$28,'Base CDI'!$J$4:$J$29,S1114,"Cubic","Extrapolate=Linear","MultiX=Average","Skip=True","Sort=True")</f>
        <v>14.651064546874654</v>
      </c>
      <c r="U1114" s="43">
        <f ca="1">_xll.BInterpol('Base CDI'!$H$4:$H$28,'Base CDI'!$I$4:$I$29,S1114,"Cubic","Extrapolate=Linear","MultiX=Average","Skip=True","Sort=True")</f>
        <v>14.686967970314841</v>
      </c>
    </row>
    <row r="1115" spans="16:21" x14ac:dyDescent="0.25">
      <c r="P1115" s="10">
        <v>36132</v>
      </c>
      <c r="Q1115">
        <v>3.945611</v>
      </c>
      <c r="S1115" s="42">
        <f t="shared" ca="1" si="22"/>
        <v>46821</v>
      </c>
      <c r="T1115" s="43">
        <f ca="1">_xll.BInterpol('Base CDI'!$H$4:$H$28,'Base CDI'!$J$4:$J$29,S1115,"Cubic","Extrapolate=Linear","MultiX=Average","Skip=True","Sort=True")</f>
        <v>14.651109088522384</v>
      </c>
      <c r="U1115" s="43">
        <f ca="1">_xll.BInterpol('Base CDI'!$H$4:$H$28,'Base CDI'!$I$4:$I$29,S1115,"Cubic","Extrapolate=Linear","MultiX=Average","Skip=True","Sort=True")</f>
        <v>14.687018970742251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46822</v>
      </c>
      <c r="T1116" s="43">
        <f ca="1">_xll.BInterpol('Base CDI'!$H$4:$H$28,'Base CDI'!$J$4:$J$29,S1116,"Cubic","Extrapolate=Linear","MultiX=Average","Skip=True","Sort=True")</f>
        <v>14.651154431627983</v>
      </c>
      <c r="U1116" s="43">
        <f ca="1">_xll.BInterpol('Base CDI'!$H$4:$H$28,'Base CDI'!$I$4:$I$29,S1116,"Cubic","Extrapolate=Linear","MultiX=Average","Skip=True","Sort=True")</f>
        <v>14.687070576928889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46823</v>
      </c>
      <c r="T1117" s="43">
        <f ca="1">_xll.BInterpol('Base CDI'!$H$4:$H$28,'Base CDI'!$J$4:$J$29,S1117,"Cubic","Extrapolate=Linear","MultiX=Average","Skip=True","Sort=True")</f>
        <v>14.651200573863237</v>
      </c>
      <c r="U1117" s="43">
        <f ca="1">_xll.BInterpol('Base CDI'!$H$4:$H$28,'Base CDI'!$I$4:$I$29,S1117,"Cubic","Extrapolate=Linear","MultiX=Average","Skip=True","Sort=True")</f>
        <v>14.687122787878952</v>
      </c>
    </row>
    <row r="1118" spans="16:21" x14ac:dyDescent="0.25">
      <c r="P1118" s="10">
        <v>36137</v>
      </c>
      <c r="Q1118">
        <v>3.95913</v>
      </c>
      <c r="S1118" s="42">
        <f t="shared" ca="1" si="22"/>
        <v>46824</v>
      </c>
      <c r="T1118" s="43">
        <f ca="1">_xll.BInterpol('Base CDI'!$H$4:$H$28,'Base CDI'!$J$4:$J$29,S1118,"Cubic","Extrapolate=Linear","MultiX=Average","Skip=True","Sort=True")</f>
        <v>14.651247512899936</v>
      </c>
      <c r="U1118" s="43">
        <f ca="1">_xll.BInterpol('Base CDI'!$H$4:$H$28,'Base CDI'!$I$4:$I$29,S1118,"Cubic","Extrapolate=Linear","MultiX=Average","Skip=True","Sort=True")</f>
        <v>14.687175602596639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46825</v>
      </c>
      <c r="T1119" s="43">
        <f ca="1">_xll.BInterpol('Base CDI'!$H$4:$H$28,'Base CDI'!$J$4:$J$29,S1119,"Cubic","Extrapolate=Linear","MultiX=Average","Skip=True","Sort=True")</f>
        <v>14.651295246409859</v>
      </c>
      <c r="U1119" s="43">
        <f ca="1">_xll.BInterpol('Base CDI'!$H$4:$H$28,'Base CDI'!$I$4:$I$29,S1119,"Cubic","Extrapolate=Linear","MultiX=Average","Skip=True","Sort=True")</f>
        <v>14.687229020086148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46826</v>
      </c>
      <c r="T1120" s="43">
        <f ca="1">_xll.BInterpol('Base CDI'!$H$4:$H$28,'Base CDI'!$J$4:$J$29,S1120,"Cubic","Extrapolate=Linear","MultiX=Average","Skip=True","Sort=True")</f>
        <v>14.651343772064797</v>
      </c>
      <c r="U1120" s="43">
        <f ca="1">_xll.BInterpol('Base CDI'!$H$4:$H$28,'Base CDI'!$I$4:$I$29,S1120,"Cubic","Extrapolate=Linear","MultiX=Average","Skip=True","Sort=True")</f>
        <v>14.687283039351675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46827</v>
      </c>
      <c r="T1121" s="43">
        <f ca="1">_xll.BInterpol('Base CDI'!$H$4:$H$28,'Base CDI'!$J$4:$J$29,S1121,"Cubic","Extrapolate=Linear","MultiX=Average","Skip=True","Sort=True")</f>
        <v>14.651393087536535</v>
      </c>
      <c r="U1121" s="43">
        <f ca="1">_xll.BInterpol('Base CDI'!$H$4:$H$28,'Base CDI'!$I$4:$I$29,S1121,"Cubic","Extrapolate=Linear","MultiX=Average","Skip=True","Sort=True")</f>
        <v>14.687337659397418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46828</v>
      </c>
      <c r="T1122" s="43">
        <f ca="1">_xll.BInterpol('Base CDI'!$H$4:$H$28,'Base CDI'!$J$4:$J$29,S1122,"Cubic","Extrapolate=Linear","MultiX=Average","Skip=True","Sort=True")</f>
        <v>14.651443190496858</v>
      </c>
      <c r="U1122" s="43">
        <f ca="1">_xll.BInterpol('Base CDI'!$H$4:$H$28,'Base CDI'!$I$4:$I$29,S1122,"Cubic","Extrapolate=Linear","MultiX=Average","Skip=True","Sort=True")</f>
        <v>14.687392879227573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46829</v>
      </c>
      <c r="T1123" s="43">
        <f ca="1">_xll.BInterpol('Base CDI'!$H$4:$H$28,'Base CDI'!$J$4:$J$29,S1123,"Cubic","Extrapolate=Linear","MultiX=Average","Skip=True","Sort=True")</f>
        <v>14.651494078617551</v>
      </c>
      <c r="U1123" s="43">
        <f ca="1">_xll.BInterpol('Base CDI'!$H$4:$H$28,'Base CDI'!$I$4:$I$29,S1123,"Cubic","Extrapolate=Linear","MultiX=Average","Skip=True","Sort=True")</f>
        <v>14.687448697846341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46830</v>
      </c>
      <c r="T1124" s="43">
        <f ca="1">_xll.BInterpol('Base CDI'!$H$4:$H$28,'Base CDI'!$J$4:$J$29,S1124,"Cubic","Extrapolate=Linear","MultiX=Average","Skip=True","Sort=True")</f>
        <v>14.651545749570403</v>
      </c>
      <c r="U1124" s="43">
        <f ca="1">_xll.BInterpol('Base CDI'!$H$4:$H$28,'Base CDI'!$I$4:$I$29,S1124,"Cubic","Extrapolate=Linear","MultiX=Average","Skip=True","Sort=True")</f>
        <v>14.687505114257917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46831</v>
      </c>
      <c r="T1125" s="43">
        <f ca="1">_xll.BInterpol('Base CDI'!$H$4:$H$28,'Base CDI'!$J$4:$J$29,S1125,"Cubic","Extrapolate=Linear","MultiX=Average","Skip=True","Sort=True")</f>
        <v>14.651598201027197</v>
      </c>
      <c r="U1125" s="43">
        <f ca="1">_xll.BInterpol('Base CDI'!$H$4:$H$28,'Base CDI'!$I$4:$I$29,S1125,"Cubic","Extrapolate=Linear","MultiX=Average","Skip=True","Sort=True")</f>
        <v>14.687562127466498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46832</v>
      </c>
      <c r="T1126" s="43">
        <f ca="1">_xll.BInterpol('Base CDI'!$H$4:$H$28,'Base CDI'!$J$4:$J$29,S1126,"Cubic","Extrapolate=Linear","MultiX=Average","Skip=True","Sort=True")</f>
        <v>14.651651430659721</v>
      </c>
      <c r="U1126" s="43">
        <f ca="1">_xll.BInterpol('Base CDI'!$H$4:$H$28,'Base CDI'!$I$4:$I$29,S1126,"Cubic","Extrapolate=Linear","MultiX=Average","Skip=True","Sort=True")</f>
        <v>14.687619736476282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46833</v>
      </c>
      <c r="T1127" s="43">
        <f ca="1">_xll.BInterpol('Base CDI'!$H$4:$H$28,'Base CDI'!$J$4:$J$29,S1127,"Cubic","Extrapolate=Linear","MultiX=Average","Skip=True","Sort=True")</f>
        <v>14.651705436139757</v>
      </c>
      <c r="U1127" s="43">
        <f ca="1">_xll.BInterpol('Base CDI'!$H$4:$H$28,'Base CDI'!$I$4:$I$29,S1127,"Cubic","Extrapolate=Linear","MultiX=Average","Skip=True","Sort=True")</f>
        <v>14.687677940291467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46834</v>
      </c>
      <c r="T1128" s="43">
        <f ca="1">_xll.BInterpol('Base CDI'!$H$4:$H$28,'Base CDI'!$J$4:$J$29,S1128,"Cubic","Extrapolate=Linear","MultiX=Average","Skip=True","Sort=True")</f>
        <v>14.651760215139095</v>
      </c>
      <c r="U1128" s="43">
        <f ca="1">_xll.BInterpol('Base CDI'!$H$4:$H$28,'Base CDI'!$I$4:$I$29,S1128,"Cubic","Extrapolate=Linear","MultiX=Average","Skip=True","Sort=True")</f>
        <v>14.68773673791625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46835</v>
      </c>
      <c r="T1129" s="43">
        <f ca="1">_xll.BInterpol('Base CDI'!$H$4:$H$28,'Base CDI'!$J$4:$J$29,S1129,"Cubic","Extrapolate=Linear","MultiX=Average","Skip=True","Sort=True")</f>
        <v>14.651815765329522</v>
      </c>
      <c r="U1129" s="43">
        <f ca="1">_xll.BInterpol('Base CDI'!$H$4:$H$28,'Base CDI'!$I$4:$I$29,S1129,"Cubic","Extrapolate=Linear","MultiX=Average","Skip=True","Sort=True")</f>
        <v>14.687796128354828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46836</v>
      </c>
      <c r="T1130" s="43">
        <f ca="1">_xll.BInterpol('Base CDI'!$H$4:$H$28,'Base CDI'!$J$4:$J$29,S1130,"Cubic","Extrapolate=Linear","MultiX=Average","Skip=True","Sort=True")</f>
        <v>14.651872084382818</v>
      </c>
      <c r="U1130" s="43">
        <f ca="1">_xll.BInterpol('Base CDI'!$H$4:$H$28,'Base CDI'!$I$4:$I$29,S1130,"Cubic","Extrapolate=Linear","MultiX=Average","Skip=True","Sort=True")</f>
        <v>14.687856110611399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46837</v>
      </c>
      <c r="T1131" s="43">
        <f ca="1">_xll.BInterpol('Base CDI'!$H$4:$H$28,'Base CDI'!$J$4:$J$29,S1131,"Cubic","Extrapolate=Linear","MultiX=Average","Skip=True","Sort=True")</f>
        <v>14.651929169970774</v>
      </c>
      <c r="U1131" s="43">
        <f ca="1">_xll.BInterpol('Base CDI'!$H$4:$H$28,'Base CDI'!$I$4:$I$29,S1131,"Cubic","Extrapolate=Linear","MultiX=Average","Skip=True","Sort=True")</f>
        <v>14.687916683690162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46838</v>
      </c>
      <c r="T1132" s="43">
        <f ca="1">_xll.BInterpol('Base CDI'!$H$4:$H$28,'Base CDI'!$J$4:$J$29,S1132,"Cubic","Extrapolate=Linear","MultiX=Average","Skip=True","Sort=True")</f>
        <v>14.651987019765174</v>
      </c>
      <c r="U1132" s="43">
        <f ca="1">_xll.BInterpol('Base CDI'!$H$4:$H$28,'Base CDI'!$I$4:$I$29,S1132,"Cubic","Extrapolate=Linear","MultiX=Average","Skip=True","Sort=True")</f>
        <v>14.687977846595311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46839</v>
      </c>
      <c r="T1133" s="43">
        <f ca="1">_xll.BInterpol('Base CDI'!$H$4:$H$28,'Base CDI'!$J$4:$J$29,S1133,"Cubic","Extrapolate=Linear","MultiX=Average","Skip=True","Sort=True")</f>
        <v>14.652045631437804</v>
      </c>
      <c r="U1133" s="43">
        <f ca="1">_xll.BInterpol('Base CDI'!$H$4:$H$28,'Base CDI'!$I$4:$I$29,S1133,"Cubic","Extrapolate=Linear","MultiX=Average","Skip=True","Sort=True")</f>
        <v>14.688039598331047</v>
      </c>
    </row>
    <row r="1134" spans="16:21" x14ac:dyDescent="0.25">
      <c r="P1134" s="10">
        <v>36160</v>
      </c>
      <c r="Q1134">
        <v>4.026046</v>
      </c>
      <c r="S1134" s="42">
        <f t="shared" ca="1" si="22"/>
        <v>46840</v>
      </c>
      <c r="T1134" s="43">
        <f ca="1">_xll.BInterpol('Base CDI'!$H$4:$H$28,'Base CDI'!$J$4:$J$29,S1134,"Cubic","Extrapolate=Linear","MultiX=Average","Skip=True","Sort=True")</f>
        <v>14.652105002660452</v>
      </c>
      <c r="U1134" s="43">
        <f ca="1">_xll.BInterpol('Base CDI'!$H$4:$H$28,'Base CDI'!$I$4:$I$29,S1134,"Cubic","Extrapolate=Linear","MultiX=Average","Skip=True","Sort=True")</f>
        <v>14.688101937901564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46841</v>
      </c>
      <c r="T1135" s="43">
        <f ca="1">_xll.BInterpol('Base CDI'!$H$4:$H$28,'Base CDI'!$J$4:$J$29,S1135,"Cubic","Extrapolate=Linear","MultiX=Average","Skip=True","Sort=True")</f>
        <v>14.652165131104899</v>
      </c>
      <c r="U1135" s="43">
        <f ca="1">_xll.BInterpol('Base CDI'!$H$4:$H$28,'Base CDI'!$I$4:$I$29,S1135,"Cubic","Extrapolate=Linear","MultiX=Average","Skip=True","Sort=True")</f>
        <v>14.688164864311062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46842</v>
      </c>
      <c r="T1136" s="43">
        <f ca="1">_xll.BInterpol('Base CDI'!$H$4:$H$28,'Base CDI'!$J$4:$J$29,S1136,"Cubic","Extrapolate=Linear","MultiX=Average","Skip=True","Sort=True")</f>
        <v>14.652226014442936</v>
      </c>
      <c r="U1136" s="43">
        <f ca="1">_xll.BInterpol('Base CDI'!$H$4:$H$28,'Base CDI'!$I$4:$I$29,S1136,"Cubic","Extrapolate=Linear","MultiX=Average","Skip=True","Sort=True")</f>
        <v>14.688228376563739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46843</v>
      </c>
      <c r="T1137" s="43">
        <f ca="1">_xll.BInterpol('Base CDI'!$H$4:$H$28,'Base CDI'!$J$4:$J$29,S1137,"Cubic","Extrapolate=Linear","MultiX=Average","Skip=True","Sort=True")</f>
        <v>14.652287650346345</v>
      </c>
      <c r="U1137" s="43">
        <f ca="1">_xll.BInterpol('Base CDI'!$H$4:$H$28,'Base CDI'!$I$4:$I$29,S1137,"Cubic","Extrapolate=Linear","MultiX=Average","Skip=True","Sort=True")</f>
        <v>14.68829247366379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46844</v>
      </c>
      <c r="T1138" s="43">
        <f ca="1">_xll.BInterpol('Base CDI'!$H$4:$H$28,'Base CDI'!$J$4:$J$29,S1138,"Cubic","Extrapolate=Linear","MultiX=Average","Skip=True","Sort=True")</f>
        <v>14.652350036486915</v>
      </c>
      <c r="U1138" s="43">
        <f ca="1">_xll.BInterpol('Base CDI'!$H$4:$H$28,'Base CDI'!$I$4:$I$29,S1138,"Cubic","Extrapolate=Linear","MultiX=Average","Skip=True","Sort=True")</f>
        <v>14.688357154615412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46845</v>
      </c>
      <c r="T1139" s="43">
        <f ca="1">_xll.BInterpol('Base CDI'!$H$4:$H$28,'Base CDI'!$J$4:$J$29,S1139,"Cubic","Extrapolate=Linear","MultiX=Average","Skip=True","Sort=True")</f>
        <v>14.65241317053643</v>
      </c>
      <c r="U1139" s="43">
        <f ca="1">_xll.BInterpol('Base CDI'!$H$4:$H$28,'Base CDI'!$I$4:$I$29,S1139,"Cubic","Extrapolate=Linear","MultiX=Average","Skip=True","Sort=True")</f>
        <v>14.688422418422807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46846</v>
      </c>
      <c r="T1140" s="43">
        <f ca="1">_xll.BInterpol('Base CDI'!$H$4:$H$28,'Base CDI'!$J$4:$J$29,S1140,"Cubic","Extrapolate=Linear","MultiX=Average","Skip=True","Sort=True")</f>
        <v>14.652477050166677</v>
      </c>
      <c r="U1140" s="43">
        <f ca="1">_xll.BInterpol('Base CDI'!$H$4:$H$28,'Base CDI'!$I$4:$I$29,S1140,"Cubic","Extrapolate=Linear","MultiX=Average","Skip=True","Sort=True")</f>
        <v>14.688488264090168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46847</v>
      </c>
      <c r="T1141" s="43">
        <f ca="1">_xll.BInterpol('Base CDI'!$H$4:$H$28,'Base CDI'!$J$4:$J$29,S1141,"Cubic","Extrapolate=Linear","MultiX=Average","Skip=True","Sort=True")</f>
        <v>14.65254167304944</v>
      </c>
      <c r="U1141" s="43">
        <f ca="1">_xll.BInterpol('Base CDI'!$H$4:$H$28,'Base CDI'!$I$4:$I$29,S1141,"Cubic","Extrapolate=Linear","MultiX=Average","Skip=True","Sort=True")</f>
        <v>14.688554690621693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46848</v>
      </c>
      <c r="T1142" s="43">
        <f ca="1">_xll.BInterpol('Base CDI'!$H$4:$H$28,'Base CDI'!$J$4:$J$29,S1142,"Cubic","Extrapolate=Linear","MultiX=Average","Skip=True","Sort=True")</f>
        <v>14.652607036856507</v>
      </c>
      <c r="U1142" s="43">
        <f ca="1">_xll.BInterpol('Base CDI'!$H$4:$H$28,'Base CDI'!$I$4:$I$29,S1142,"Cubic","Extrapolate=Linear","MultiX=Average","Skip=True","Sort=True")</f>
        <v>14.688621697021581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46849</v>
      </c>
      <c r="T1143" s="43">
        <f ca="1">_xll.BInterpol('Base CDI'!$H$4:$H$28,'Base CDI'!$J$4:$J$29,S1143,"Cubic","Extrapolate=Linear","MultiX=Average","Skip=True","Sort=True")</f>
        <v>14.652673139259663</v>
      </c>
      <c r="U1143" s="43">
        <f ca="1">_xll.BInterpol('Base CDI'!$H$4:$H$28,'Base CDI'!$I$4:$I$29,S1143,"Cubic","Extrapolate=Linear","MultiX=Average","Skip=True","Sort=True")</f>
        <v>14.68868928229403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46850</v>
      </c>
      <c r="T1144" s="43">
        <f ca="1">_xll.BInterpol('Base CDI'!$H$4:$H$28,'Base CDI'!$J$4:$J$29,S1144,"Cubic","Extrapolate=Linear","MultiX=Average","Skip=True","Sort=True")</f>
        <v>14.652739977930695</v>
      </c>
      <c r="U1144" s="43">
        <f ca="1">_xll.BInterpol('Base CDI'!$H$4:$H$28,'Base CDI'!$I$4:$I$29,S1144,"Cubic","Extrapolate=Linear","MultiX=Average","Skip=True","Sort=True")</f>
        <v>14.688757445443235</v>
      </c>
    </row>
    <row r="1145" spans="16:21" x14ac:dyDescent="0.25">
      <c r="P1145" s="10">
        <v>36178</v>
      </c>
      <c r="Q1145">
        <v>4.071332</v>
      </c>
      <c r="S1145" s="42">
        <f t="shared" ca="1" si="22"/>
        <v>46851</v>
      </c>
      <c r="T1145" s="43">
        <f ca="1">_xll.BInterpol('Base CDI'!$H$4:$H$28,'Base CDI'!$J$4:$J$29,S1145,"Cubic","Extrapolate=Linear","MultiX=Average","Skip=True","Sort=True")</f>
        <v>14.652807550541386</v>
      </c>
      <c r="U1145" s="43">
        <f ca="1">_xll.BInterpol('Base CDI'!$H$4:$H$28,'Base CDI'!$I$4:$I$29,S1145,"Cubic","Extrapolate=Linear","MultiX=Average","Skip=True","Sort=True")</f>
        <v>14.688826185473395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46852</v>
      </c>
      <c r="T1146" s="43">
        <f ca="1">_xll.BInterpol('Base CDI'!$H$4:$H$28,'Base CDI'!$J$4:$J$29,S1146,"Cubic","Extrapolate=Linear","MultiX=Average","Skip=True","Sort=True")</f>
        <v>14.652875854763526</v>
      </c>
      <c r="U1146" s="43">
        <f ca="1">_xll.BInterpol('Base CDI'!$H$4:$H$28,'Base CDI'!$I$4:$I$29,S1146,"Cubic","Extrapolate=Linear","MultiX=Average","Skip=True","Sort=True")</f>
        <v>14.688895501388707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46853</v>
      </c>
      <c r="T1147" s="43">
        <f ca="1">_xll.BInterpol('Base CDI'!$H$4:$H$28,'Base CDI'!$J$4:$J$29,S1147,"Cubic","Extrapolate=Linear","MultiX=Average","Skip=True","Sort=True")</f>
        <v>14.652944888268896</v>
      </c>
      <c r="U1147" s="43">
        <f ca="1">_xll.BInterpol('Base CDI'!$H$4:$H$28,'Base CDI'!$I$4:$I$29,S1147,"Cubic","Extrapolate=Linear","MultiX=Average","Skip=True","Sort=True")</f>
        <v>14.688965392193369</v>
      </c>
    </row>
    <row r="1148" spans="16:21" x14ac:dyDescent="0.25">
      <c r="P1148" s="10">
        <v>36181</v>
      </c>
      <c r="Q1148">
        <v>4.084543</v>
      </c>
      <c r="S1148" s="42">
        <f t="shared" ca="1" si="22"/>
        <v>46854</v>
      </c>
      <c r="T1148" s="43">
        <f ca="1">_xll.BInterpol('Base CDI'!$H$4:$H$28,'Base CDI'!$J$4:$J$29,S1148,"Cubic","Extrapolate=Linear","MultiX=Average","Skip=True","Sort=True")</f>
        <v>14.653014648729286</v>
      </c>
      <c r="U1148" s="43">
        <f ca="1">_xll.BInterpol('Base CDI'!$H$4:$H$28,'Base CDI'!$I$4:$I$29,S1148,"Cubic","Extrapolate=Linear","MultiX=Average","Skip=True","Sort=True")</f>
        <v>14.689035856891579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46855</v>
      </c>
      <c r="T1149" s="43">
        <f ca="1">_xll.BInterpol('Base CDI'!$H$4:$H$28,'Base CDI'!$J$4:$J$29,S1149,"Cubic","Extrapolate=Linear","MultiX=Average","Skip=True","Sort=True")</f>
        <v>14.65308513381648</v>
      </c>
      <c r="U1149" s="43">
        <f ca="1">_xll.BInterpol('Base CDI'!$H$4:$H$28,'Base CDI'!$I$4:$I$29,S1149,"Cubic","Extrapolate=Linear","MultiX=Average","Skip=True","Sort=True")</f>
        <v>14.689106894487532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46856</v>
      </c>
      <c r="T1150" s="43">
        <f ca="1">_xll.BInterpol('Base CDI'!$H$4:$H$28,'Base CDI'!$J$4:$J$29,S1150,"Cubic","Extrapolate=Linear","MultiX=Average","Skip=True","Sort=True")</f>
        <v>14.653156341202266</v>
      </c>
      <c r="U1150" s="43">
        <f ca="1">_xll.BInterpol('Base CDI'!$H$4:$H$28,'Base CDI'!$I$4:$I$29,S1150,"Cubic","Extrapolate=Linear","MultiX=Average","Skip=True","Sort=True")</f>
        <v>14.689178503985428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46857</v>
      </c>
      <c r="T1151" s="43">
        <f ca="1">_xll.BInterpol('Base CDI'!$H$4:$H$28,'Base CDI'!$J$4:$J$29,S1151,"Cubic","Extrapolate=Linear","MultiX=Average","Skip=True","Sort=True")</f>
        <v>14.653228268558427</v>
      </c>
      <c r="U1151" s="43">
        <f ca="1">_xll.BInterpol('Base CDI'!$H$4:$H$28,'Base CDI'!$I$4:$I$29,S1151,"Cubic","Extrapolate=Linear","MultiX=Average","Skip=True","Sort=True")</f>
        <v>14.689250684389462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46858</v>
      </c>
      <c r="T1152" s="43">
        <f ca="1">_xll.BInterpol('Base CDI'!$H$4:$H$28,'Base CDI'!$J$4:$J$29,S1152,"Cubic","Extrapolate=Linear","MultiX=Average","Skip=True","Sort=True")</f>
        <v>14.65330091355675</v>
      </c>
      <c r="U1152" s="43">
        <f ca="1">_xll.BInterpol('Base CDI'!$H$4:$H$28,'Base CDI'!$I$4:$I$29,S1152,"Cubic","Extrapolate=Linear","MultiX=Average","Skip=True","Sort=True")</f>
        <v>14.689323434703834</v>
      </c>
    </row>
    <row r="1153" spans="16:21" x14ac:dyDescent="0.25">
      <c r="P1153" s="10">
        <v>36188</v>
      </c>
      <c r="Q1153">
        <v>4.107634</v>
      </c>
      <c r="S1153" s="42">
        <f t="shared" ca="1" si="22"/>
        <v>46859</v>
      </c>
      <c r="T1153" s="43">
        <f ca="1">_xll.BInterpol('Base CDI'!$H$4:$H$28,'Base CDI'!$J$4:$J$29,S1153,"Cubic","Extrapolate=Linear","MultiX=Average","Skip=True","Sort=True")</f>
        <v>14.653374273869021</v>
      </c>
      <c r="U1153" s="43">
        <f ca="1">_xll.BInterpol('Base CDI'!$H$4:$H$28,'Base CDI'!$I$4:$I$29,S1153,"Cubic","Extrapolate=Linear","MultiX=Average","Skip=True","Sort=True")</f>
        <v>14.689396753932739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46860</v>
      </c>
      <c r="T1154" s="43">
        <f ca="1">_xll.BInterpol('Base CDI'!$H$4:$H$28,'Base CDI'!$J$4:$J$29,S1154,"Cubic","Extrapolate=Linear","MultiX=Average","Skip=True","Sort=True")</f>
        <v>14.653448347167027</v>
      </c>
      <c r="U1154" s="43">
        <f ca="1">_xll.BInterpol('Base CDI'!$H$4:$H$28,'Base CDI'!$I$4:$I$29,S1154,"Cubic","Extrapolate=Linear","MultiX=Average","Skip=True","Sort=True")</f>
        <v>14.689470641080376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46861</v>
      </c>
      <c r="T1155" s="43">
        <f ca="1">_xll.BInterpol('Base CDI'!$H$4:$H$28,'Base CDI'!$J$4:$J$29,S1155,"Cubic","Extrapolate=Linear","MultiX=Average","Skip=True","Sort=True")</f>
        <v>14.653523131122553</v>
      </c>
      <c r="U1155" s="43">
        <f ca="1">_xll.BInterpol('Base CDI'!$H$4:$H$28,'Base CDI'!$I$4:$I$29,S1155,"Cubic","Extrapolate=Linear","MultiX=Average","Skip=True","Sort=True")</f>
        <v>14.689545095150944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46862</v>
      </c>
      <c r="T1156" s="43">
        <f ca="1">_xll.BInterpol('Base CDI'!$H$4:$H$28,'Base CDI'!$J$4:$J$29,S1156,"Cubic","Extrapolate=Linear","MultiX=Average","Skip=True","Sort=True")</f>
        <v>14.653598623407383</v>
      </c>
      <c r="U1156" s="43">
        <f ca="1">_xll.BInterpol('Base CDI'!$H$4:$H$28,'Base CDI'!$I$4:$I$29,S1156,"Cubic","Extrapolate=Linear","MultiX=Average","Skip=True","Sort=True")</f>
        <v>14.689620115148637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46863</v>
      </c>
      <c r="T1157" s="43">
        <f ca="1">_xll.BInterpol('Base CDI'!$H$4:$H$28,'Base CDI'!$J$4:$J$29,S1157,"Cubic","Extrapolate=Linear","MultiX=Average","Skip=True","Sort=True")</f>
        <v>14.653674821693306</v>
      </c>
      <c r="U1157" s="43">
        <f ca="1">_xll.BInterpol('Base CDI'!$H$4:$H$28,'Base CDI'!$I$4:$I$29,S1157,"Cubic","Extrapolate=Linear","MultiX=Average","Skip=True","Sort=True")</f>
        <v>14.689695700077655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46864</v>
      </c>
      <c r="T1158" s="43">
        <f ca="1">_xll.BInterpol('Base CDI'!$H$4:$H$28,'Base CDI'!$J$4:$J$29,S1158,"Cubic","Extrapolate=Linear","MultiX=Average","Skip=True","Sort=True")</f>
        <v>14.653751723652105</v>
      </c>
      <c r="U1158" s="43">
        <f ca="1">_xll.BInterpol('Base CDI'!$H$4:$H$28,'Base CDI'!$I$4:$I$29,S1158,"Cubic","Extrapolate=Linear","MultiX=Average","Skip=True","Sort=True")</f>
        <v>14.689771848942195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46865</v>
      </c>
      <c r="T1159" s="43">
        <f ca="1">_xll.BInterpol('Base CDI'!$H$4:$H$28,'Base CDI'!$J$4:$J$29,S1159,"Cubic","Extrapolate=Linear","MultiX=Average","Skip=True","Sort=True")</f>
        <v>14.653829326955568</v>
      </c>
      <c r="U1159" s="43">
        <f ca="1">_xll.BInterpol('Base CDI'!$H$4:$H$28,'Base CDI'!$I$4:$I$29,S1159,"Cubic","Extrapolate=Linear","MultiX=Average","Skip=True","Sort=True")</f>
        <v>14.689848560746453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46866</v>
      </c>
      <c r="T1160" s="43">
        <f ca="1">_xll.BInterpol('Base CDI'!$H$4:$H$28,'Base CDI'!$J$4:$J$29,S1160,"Cubic","Extrapolate=Linear","MultiX=Average","Skip=True","Sort=True")</f>
        <v>14.653907629275482</v>
      </c>
      <c r="U1160" s="43">
        <f ca="1">_xll.BInterpol('Base CDI'!$H$4:$H$28,'Base CDI'!$I$4:$I$29,S1160,"Cubic","Extrapolate=Linear","MultiX=Average","Skip=True","Sort=True")</f>
        <v>14.689925834494627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46867</v>
      </c>
      <c r="T1161" s="43">
        <f ca="1">_xll.BInterpol('Base CDI'!$H$4:$H$28,'Base CDI'!$J$4:$J$29,S1161,"Cubic","Extrapolate=Linear","MultiX=Average","Skip=True","Sort=True")</f>
        <v>14.653986628283629</v>
      </c>
      <c r="U1161" s="43">
        <f ca="1">_xll.BInterpol('Base CDI'!$H$4:$H$28,'Base CDI'!$I$4:$I$29,S1161,"Cubic","Extrapolate=Linear","MultiX=Average","Skip=True","Sort=True")</f>
        <v>14.690003669190917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46868</v>
      </c>
      <c r="T1162" s="43">
        <f ca="1">_xll.BInterpol('Base CDI'!$H$4:$H$28,'Base CDI'!$J$4:$J$29,S1162,"Cubic","Extrapolate=Linear","MultiX=Average","Skip=True","Sort=True")</f>
        <v>14.654066321651799</v>
      </c>
      <c r="U1162" s="43">
        <f ca="1">_xll.BInterpol('Base CDI'!$H$4:$H$28,'Base CDI'!$I$4:$I$29,S1162,"Cubic","Extrapolate=Linear","MultiX=Average","Skip=True","Sort=True")</f>
        <v>14.690082063839515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46869</v>
      </c>
      <c r="T1163" s="43">
        <f ca="1">_xll.BInterpol('Base CDI'!$H$4:$H$28,'Base CDI'!$J$4:$J$29,S1163,"Cubic","Extrapolate=Linear","MultiX=Average","Skip=True","Sort=True")</f>
        <v>14.654146707051774</v>
      </c>
      <c r="U1163" s="43">
        <f ca="1">_xll.BInterpol('Base CDI'!$H$4:$H$28,'Base CDI'!$I$4:$I$29,S1163,"Cubic","Extrapolate=Linear","MultiX=Average","Skip=True","Sort=True")</f>
        <v>14.690161017444625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46870</v>
      </c>
      <c r="T1164" s="43">
        <f ca="1">_xll.BInterpol('Base CDI'!$H$4:$H$28,'Base CDI'!$J$4:$J$29,S1164,"Cubic","Extrapolate=Linear","MultiX=Average","Skip=True","Sort=True")</f>
        <v>14.654227782155344</v>
      </c>
      <c r="U1164" s="43">
        <f ca="1">_xll.BInterpol('Base CDI'!$H$4:$H$28,'Base CDI'!$I$4:$I$29,S1164,"Cubic","Extrapolate=Linear","MultiX=Average","Skip=True","Sort=True")</f>
        <v>14.69024052901044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46871</v>
      </c>
      <c r="T1165" s="43">
        <f ca="1">_xll.BInterpol('Base CDI'!$H$4:$H$28,'Base CDI'!$J$4:$J$29,S1165,"Cubic","Extrapolate=Linear","MultiX=Average","Skip=True","Sort=True")</f>
        <v>14.654309544634291</v>
      </c>
      <c r="U1165" s="43">
        <f ca="1">_xll.BInterpol('Base CDI'!$H$4:$H$28,'Base CDI'!$I$4:$I$29,S1165,"Cubic","Extrapolate=Linear","MultiX=Average","Skip=True","Sort=True")</f>
        <v>14.690320597541159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46872</v>
      </c>
      <c r="T1166" s="43">
        <f ca="1">_xll.BInterpol('Base CDI'!$H$4:$H$28,'Base CDI'!$J$4:$J$29,S1166,"Cubic","Extrapolate=Linear","MultiX=Average","Skip=True","Sort=True")</f>
        <v>14.654391992160404</v>
      </c>
      <c r="U1166" s="43">
        <f ca="1">_xll.BInterpol('Base CDI'!$H$4:$H$28,'Base CDI'!$I$4:$I$29,S1166,"Cubic","Extrapolate=Linear","MultiX=Average","Skip=True","Sort=True")</f>
        <v>14.690401222040979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46873</v>
      </c>
      <c r="T1167" s="43">
        <f ca="1">_xll.BInterpol('Base CDI'!$H$4:$H$28,'Base CDI'!$J$4:$J$29,S1167,"Cubic","Extrapolate=Linear","MultiX=Average","Skip=True","Sort=True")</f>
        <v>14.654475122405467</v>
      </c>
      <c r="U1167" s="43">
        <f ca="1">_xll.BInterpol('Base CDI'!$H$4:$H$28,'Base CDI'!$I$4:$I$29,S1167,"Cubic","Extrapolate=Linear","MultiX=Average","Skip=True","Sort=True")</f>
        <v>14.690482401514098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46874</v>
      </c>
      <c r="T1168" s="43">
        <f ca="1">_xll.BInterpol('Base CDI'!$H$4:$H$28,'Base CDI'!$J$4:$J$29,S1168,"Cubic","Extrapolate=Linear","MultiX=Average","Skip=True","Sort=True")</f>
        <v>14.654558933041267</v>
      </c>
      <c r="U1168" s="43">
        <f ca="1">_xll.BInterpol('Base CDI'!$H$4:$H$28,'Base CDI'!$I$4:$I$29,S1168,"Cubic","Extrapolate=Linear","MultiX=Average","Skip=True","Sort=True")</f>
        <v>14.690564134964712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46875</v>
      </c>
      <c r="T1169" s="43">
        <f ca="1">_xll.BInterpol('Base CDI'!$H$4:$H$28,'Base CDI'!$J$4:$J$29,S1169,"Cubic","Extrapolate=Linear","MultiX=Average","Skip=True","Sort=True")</f>
        <v>14.654643421739587</v>
      </c>
      <c r="U1169" s="43">
        <f ca="1">_xll.BInterpol('Base CDI'!$H$4:$H$28,'Base CDI'!$I$4:$I$29,S1169,"Cubic","Extrapolate=Linear","MultiX=Average","Skip=True","Sort=True")</f>
        <v>14.69064642139702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46876</v>
      </c>
      <c r="T1170" s="43">
        <f ca="1">_xll.BInterpol('Base CDI'!$H$4:$H$28,'Base CDI'!$J$4:$J$29,S1170,"Cubic","Extrapolate=Linear","MultiX=Average","Skip=True","Sort=True")</f>
        <v>14.654728586172219</v>
      </c>
      <c r="U1170" s="43">
        <f ca="1">_xll.BInterpol('Base CDI'!$H$4:$H$28,'Base CDI'!$I$4:$I$29,S1170,"Cubic","Extrapolate=Linear","MultiX=Average","Skip=True","Sort=True")</f>
        <v>14.690729259815219</v>
      </c>
    </row>
    <row r="1171" spans="16:21" x14ac:dyDescent="0.25">
      <c r="P1171" s="10">
        <v>36216</v>
      </c>
      <c r="Q1171">
        <v>4.203627</v>
      </c>
      <c r="S1171" s="42">
        <f t="shared" ca="1" si="23"/>
        <v>46877</v>
      </c>
      <c r="T1171" s="43">
        <f ca="1">_xll.BInterpol('Base CDI'!$H$4:$H$28,'Base CDI'!$J$4:$J$29,S1171,"Cubic","Extrapolate=Linear","MultiX=Average","Skip=True","Sort=True")</f>
        <v>14.654814424010942</v>
      </c>
      <c r="U1171" s="43">
        <f ca="1">_xll.BInterpol('Base CDI'!$H$4:$H$28,'Base CDI'!$I$4:$I$29,S1171,"Cubic","Extrapolate=Linear","MultiX=Average","Skip=True","Sort=True")</f>
        <v>14.690812649223506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46878</v>
      </c>
      <c r="T1172" s="43">
        <f ca="1">_xll.BInterpol('Base CDI'!$H$4:$H$28,'Base CDI'!$J$4:$J$29,S1172,"Cubic","Extrapolate=Linear","MultiX=Average","Skip=True","Sort=True")</f>
        <v>14.654900932927546</v>
      </c>
      <c r="U1172" s="43">
        <f ca="1">_xll.BInterpol('Base CDI'!$H$4:$H$28,'Base CDI'!$I$4:$I$29,S1172,"Cubic","Extrapolate=Linear","MultiX=Average","Skip=True","Sort=True")</f>
        <v>14.69089658862608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46879</v>
      </c>
      <c r="T1173" s="43">
        <f ca="1">_xll.BInterpol('Base CDI'!$H$4:$H$28,'Base CDI'!$J$4:$J$29,S1173,"Cubic","Extrapolate=Linear","MultiX=Average","Skip=True","Sort=True")</f>
        <v>14.654988110593816</v>
      </c>
      <c r="U1173" s="43">
        <f ca="1">_xll.BInterpol('Base CDI'!$H$4:$H$28,'Base CDI'!$I$4:$I$29,S1173,"Cubic","Extrapolate=Linear","MultiX=Average","Skip=True","Sort=True")</f>
        <v>14.690981077027136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46880</v>
      </c>
      <c r="T1174" s="43">
        <f ca="1">_xll.BInterpol('Base CDI'!$H$4:$H$28,'Base CDI'!$J$4:$J$29,S1174,"Cubic","Extrapolate=Linear","MultiX=Average","Skip=True","Sort=True")</f>
        <v>14.655075954681539</v>
      </c>
      <c r="U1174" s="43">
        <f ca="1">_xll.BInterpol('Base CDI'!$H$4:$H$28,'Base CDI'!$I$4:$I$29,S1174,"Cubic","Extrapolate=Linear","MultiX=Average","Skip=True","Sort=True")</f>
        <v>14.691066113430873</v>
      </c>
    </row>
    <row r="1175" spans="16:21" x14ac:dyDescent="0.25">
      <c r="P1175" s="10">
        <v>36222</v>
      </c>
      <c r="Q1175">
        <v>4.225365</v>
      </c>
      <c r="S1175" s="42">
        <f t="shared" ca="1" si="23"/>
        <v>46881</v>
      </c>
      <c r="T1175" s="43">
        <f ca="1">_xll.BInterpol('Base CDI'!$H$4:$H$28,'Base CDI'!$J$4:$J$29,S1175,"Cubic","Extrapolate=Linear","MultiX=Average","Skip=True","Sort=True")</f>
        <v>14.6551644628625</v>
      </c>
      <c r="U1175" s="43">
        <f ca="1">_xll.BInterpol('Base CDI'!$H$4:$H$28,'Base CDI'!$I$4:$I$29,S1175,"Cubic","Extrapolate=Linear","MultiX=Average","Skip=True","Sort=True")</f>
        <v>14.691151696841487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46882</v>
      </c>
      <c r="T1176" s="43">
        <f ca="1">_xll.BInterpol('Base CDI'!$H$4:$H$28,'Base CDI'!$J$4:$J$29,S1176,"Cubic","Extrapolate=Linear","MultiX=Average","Skip=True","Sort=True")</f>
        <v>14.655253632808483</v>
      </c>
      <c r="U1176" s="43">
        <f ca="1">_xll.BInterpol('Base CDI'!$H$4:$H$28,'Base CDI'!$I$4:$I$29,S1176,"Cubic","Extrapolate=Linear","MultiX=Average","Skip=True","Sort=True")</f>
        <v>14.69123782626318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46883</v>
      </c>
      <c r="T1177" s="43">
        <f ca="1">_xll.BInterpol('Base CDI'!$H$4:$H$28,'Base CDI'!$J$4:$J$29,S1177,"Cubic","Extrapolate=Linear","MultiX=Average","Skip=True","Sort=True")</f>
        <v>14.655343462191276</v>
      </c>
      <c r="U1177" s="43">
        <f ca="1">_xll.BInterpol('Base CDI'!$H$4:$H$28,'Base CDI'!$I$4:$I$29,S1177,"Cubic","Extrapolate=Linear","MultiX=Average","Skip=True","Sort=True")</f>
        <v>14.691324500700143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46884</v>
      </c>
      <c r="T1178" s="43">
        <f ca="1">_xll.BInterpol('Base CDI'!$H$4:$H$28,'Base CDI'!$J$4:$J$29,S1178,"Cubic","Extrapolate=Linear","MultiX=Average","Skip=True","Sort=True")</f>
        <v>14.655433948682663</v>
      </c>
      <c r="U1178" s="43">
        <f ca="1">_xll.BInterpol('Base CDI'!$H$4:$H$28,'Base CDI'!$I$4:$I$29,S1178,"Cubic","Extrapolate=Linear","MultiX=Average","Skip=True","Sort=True")</f>
        <v>14.691411719156578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46885</v>
      </c>
      <c r="T1179" s="43">
        <f ca="1">_xll.BInterpol('Base CDI'!$H$4:$H$28,'Base CDI'!$J$4:$J$29,S1179,"Cubic","Extrapolate=Linear","MultiX=Average","Skip=True","Sort=True")</f>
        <v>14.655525089954434</v>
      </c>
      <c r="U1179" s="43">
        <f ca="1">_xll.BInterpol('Base CDI'!$H$4:$H$28,'Base CDI'!$I$4:$I$29,S1179,"Cubic","Extrapolate=Linear","MultiX=Average","Skip=True","Sort=True")</f>
        <v>14.691499480636681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46886</v>
      </c>
      <c r="T1180" s="43">
        <f ca="1">_xll.BInterpol('Base CDI'!$H$4:$H$28,'Base CDI'!$J$4:$J$29,S1180,"Cubic","Extrapolate=Linear","MultiX=Average","Skip=True","Sort=True")</f>
        <v>14.65561688367837</v>
      </c>
      <c r="U1180" s="43">
        <f ca="1">_xll.BInterpol('Base CDI'!$H$4:$H$28,'Base CDI'!$I$4:$I$29,S1180,"Cubic","Extrapolate=Linear","MultiX=Average","Skip=True","Sort=True")</f>
        <v>14.691587784144648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46887</v>
      </c>
      <c r="T1181" s="43">
        <f ca="1">_xll.BInterpol('Base CDI'!$H$4:$H$28,'Base CDI'!$J$4:$J$29,S1181,"Cubic","Extrapolate=Linear","MultiX=Average","Skip=True","Sort=True")</f>
        <v>14.65570932752626</v>
      </c>
      <c r="U1181" s="43">
        <f ca="1">_xll.BInterpol('Base CDI'!$H$4:$H$28,'Base CDI'!$I$4:$I$29,S1181,"Cubic","Extrapolate=Linear","MultiX=Average","Skip=True","Sort=True")</f>
        <v>14.69167662868468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46888</v>
      </c>
      <c r="T1182" s="43">
        <f ca="1">_xll.BInterpol('Base CDI'!$H$4:$H$28,'Base CDI'!$J$4:$J$29,S1182,"Cubic","Extrapolate=Linear","MultiX=Average","Skip=True","Sort=True")</f>
        <v>14.655802419169889</v>
      </c>
      <c r="U1182" s="43">
        <f ca="1">_xll.BInterpol('Base CDI'!$H$4:$H$28,'Base CDI'!$I$4:$I$29,S1182,"Cubic","Extrapolate=Linear","MultiX=Average","Skip=True","Sort=True")</f>
        <v>14.69176601326097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46889</v>
      </c>
      <c r="T1183" s="43">
        <f ca="1">_xll.BInterpol('Base CDI'!$H$4:$H$28,'Base CDI'!$J$4:$J$29,S1183,"Cubic","Extrapolate=Linear","MultiX=Average","Skip=True","Sort=True")</f>
        <v>14.655896156281043</v>
      </c>
      <c r="U1183" s="43">
        <f ca="1">_xll.BInterpol('Base CDI'!$H$4:$H$28,'Base CDI'!$I$4:$I$29,S1183,"Cubic","Extrapolate=Linear","MultiX=Average","Skip=True","Sort=True")</f>
        <v>14.691855936877721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46890</v>
      </c>
      <c r="T1184" s="43">
        <f ca="1">_xll.BInterpol('Base CDI'!$H$4:$H$28,'Base CDI'!$J$4:$J$29,S1184,"Cubic","Extrapolate=Linear","MultiX=Average","Skip=True","Sort=True")</f>
        <v>14.655990536531508</v>
      </c>
      <c r="U1184" s="43">
        <f ca="1">_xll.BInterpol('Base CDI'!$H$4:$H$28,'Base CDI'!$I$4:$I$29,S1184,"Cubic","Extrapolate=Linear","MultiX=Average","Skip=True","Sort=True")</f>
        <v>14.691946398539125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46891</v>
      </c>
      <c r="T1185" s="43">
        <f ca="1">_xll.BInterpol('Base CDI'!$H$4:$H$28,'Base CDI'!$J$4:$J$29,S1185,"Cubic","Extrapolate=Linear","MultiX=Average","Skip=True","Sort=True")</f>
        <v>14.65608555759307</v>
      </c>
      <c r="U1185" s="43">
        <f ca="1">_xll.BInterpol('Base CDI'!$H$4:$H$28,'Base CDI'!$I$4:$I$29,S1185,"Cubic","Extrapolate=Linear","MultiX=Average","Skip=True","Sort=True")</f>
        <v>14.692037397249381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46892</v>
      </c>
      <c r="T1186" s="43">
        <f ca="1">_xll.BInterpol('Base CDI'!$H$4:$H$28,'Base CDI'!$J$4:$J$29,S1186,"Cubic","Extrapolate=Linear","MultiX=Average","Skip=True","Sort=True")</f>
        <v>14.656181217137513</v>
      </c>
      <c r="U1186" s="43">
        <f ca="1">_xll.BInterpol('Base CDI'!$H$4:$H$28,'Base CDI'!$I$4:$I$29,S1186,"Cubic","Extrapolate=Linear","MultiX=Average","Skip=True","Sort=True")</f>
        <v>14.69212893201269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46893</v>
      </c>
      <c r="T1187" s="43">
        <f ca="1">_xll.BInterpol('Base CDI'!$H$4:$H$28,'Base CDI'!$J$4:$J$29,S1187,"Cubic","Extrapolate=Linear","MultiX=Average","Skip=True","Sort=True")</f>
        <v>14.656277512836626</v>
      </c>
      <c r="U1187" s="43">
        <f ca="1">_xll.BInterpol('Base CDI'!$H$4:$H$28,'Base CDI'!$I$4:$I$29,S1187,"Cubic","Extrapolate=Linear","MultiX=Average","Skip=True","Sort=True")</f>
        <v>14.692221001833243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46894</v>
      </c>
      <c r="T1188" s="43">
        <f ca="1">_xll.BInterpol('Base CDI'!$H$4:$H$28,'Base CDI'!$J$4:$J$29,S1188,"Cubic","Extrapolate=Linear","MultiX=Average","Skip=True","Sort=True")</f>
        <v>14.656374442362193</v>
      </c>
      <c r="U1188" s="43">
        <f ca="1">_xll.BInterpol('Base CDI'!$H$4:$H$28,'Base CDI'!$I$4:$I$29,S1188,"Cubic","Extrapolate=Linear","MultiX=Average","Skip=True","Sort=True")</f>
        <v>14.692313605715244</v>
      </c>
    </row>
    <row r="1189" spans="16:21" x14ac:dyDescent="0.25">
      <c r="P1189" s="10">
        <v>36242</v>
      </c>
      <c r="Q1189">
        <v>4.310873</v>
      </c>
      <c r="S1189" s="42">
        <f t="shared" ca="1" si="23"/>
        <v>46895</v>
      </c>
      <c r="T1189" s="43">
        <f ca="1">_xll.BInterpol('Base CDI'!$H$4:$H$28,'Base CDI'!$J$4:$J$29,S1189,"Cubic","Extrapolate=Linear","MultiX=Average","Skip=True","Sort=True")</f>
        <v>14.656472003386</v>
      </c>
      <c r="U1189" s="43">
        <f ca="1">_xll.BInterpol('Base CDI'!$H$4:$H$28,'Base CDI'!$I$4:$I$29,S1189,"Cubic","Extrapolate=Linear","MultiX=Average","Skip=True","Sort=True")</f>
        <v>14.692406742662886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46896</v>
      </c>
      <c r="T1190" s="43">
        <f ca="1">_xll.BInterpol('Base CDI'!$H$4:$H$28,'Base CDI'!$J$4:$J$29,S1190,"Cubic","Extrapolate=Linear","MultiX=Average","Skip=True","Sort=True")</f>
        <v>14.656570193579832</v>
      </c>
      <c r="U1190" s="43">
        <f ca="1">_xll.BInterpol('Base CDI'!$H$4:$H$28,'Base CDI'!$I$4:$I$29,S1190,"Cubic","Extrapolate=Linear","MultiX=Average","Skip=True","Sort=True")</f>
        <v>14.692500411680367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46897</v>
      </c>
      <c r="T1191" s="43">
        <f ca="1">_xll.BInterpol('Base CDI'!$H$4:$H$28,'Base CDI'!$J$4:$J$29,S1191,"Cubic","Extrapolate=Linear","MultiX=Average","Skip=True","Sort=True")</f>
        <v>14.656669010615477</v>
      </c>
      <c r="U1191" s="43">
        <f ca="1">_xll.BInterpol('Base CDI'!$H$4:$H$28,'Base CDI'!$I$4:$I$29,S1191,"Cubic","Extrapolate=Linear","MultiX=Average","Skip=True","Sort=True")</f>
        <v>14.692594611771888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46898</v>
      </c>
      <c r="T1192" s="43">
        <f ca="1">_xll.BInterpol('Base CDI'!$H$4:$H$28,'Base CDI'!$J$4:$J$29,S1192,"Cubic","Extrapolate=Linear","MultiX=Average","Skip=True","Sort=True")</f>
        <v>14.656768452164721</v>
      </c>
      <c r="U1192" s="43">
        <f ca="1">_xll.BInterpol('Base CDI'!$H$4:$H$28,'Base CDI'!$I$4:$I$29,S1192,"Cubic","Extrapolate=Linear","MultiX=Average","Skip=True","Sort=True")</f>
        <v>14.692689341941641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46899</v>
      </c>
      <c r="T1193" s="43">
        <f ca="1">_xll.BInterpol('Base CDI'!$H$4:$H$28,'Base CDI'!$J$4:$J$29,S1193,"Cubic","Extrapolate=Linear","MultiX=Average","Skip=True","Sort=True")</f>
        <v>14.656868515899347</v>
      </c>
      <c r="U1193" s="43">
        <f ca="1">_xll.BInterpol('Base CDI'!$H$4:$H$28,'Base CDI'!$I$4:$I$29,S1193,"Cubic","Extrapolate=Linear","MultiX=Average","Skip=True","Sort=True")</f>
        <v>14.692784601193829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46900</v>
      </c>
      <c r="T1194" s="43">
        <f ca="1">_xll.BInterpol('Base CDI'!$H$4:$H$28,'Base CDI'!$J$4:$J$29,S1194,"Cubic","Extrapolate=Linear","MultiX=Average","Skip=True","Sort=True")</f>
        <v>14.656969199491144</v>
      </c>
      <c r="U1194" s="43">
        <f ca="1">_xll.BInterpol('Base CDI'!$H$4:$H$28,'Base CDI'!$I$4:$I$29,S1194,"Cubic","Extrapolate=Linear","MultiX=Average","Skip=True","Sort=True")</f>
        <v>14.692880388532645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46901</v>
      </c>
      <c r="T1195" s="43">
        <f ca="1">_xll.BInterpol('Base CDI'!$H$4:$H$28,'Base CDI'!$J$4:$J$29,S1195,"Cubic","Extrapolate=Linear","MultiX=Average","Skip=True","Sort=True")</f>
        <v>14.657070500611898</v>
      </c>
      <c r="U1195" s="43">
        <f ca="1">_xll.BInterpol('Base CDI'!$H$4:$H$28,'Base CDI'!$I$4:$I$29,S1195,"Cubic","Extrapolate=Linear","MultiX=Average","Skip=True","Sort=True")</f>
        <v>14.692976702962287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46902</v>
      </c>
      <c r="T1196" s="43">
        <f ca="1">_xll.BInterpol('Base CDI'!$H$4:$H$28,'Base CDI'!$J$4:$J$29,S1196,"Cubic","Extrapolate=Linear","MultiX=Average","Skip=True","Sort=True")</f>
        <v>14.65717241693339</v>
      </c>
      <c r="U1196" s="43">
        <f ca="1">_xll.BInterpol('Base CDI'!$H$4:$H$28,'Base CDI'!$I$4:$I$29,S1196,"Cubic","Extrapolate=Linear","MultiX=Average","Skip=True","Sort=True")</f>
        <v>14.693073543486957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46903</v>
      </c>
      <c r="T1197" s="43">
        <f ca="1">_xll.BInterpol('Base CDI'!$H$4:$H$28,'Base CDI'!$J$4:$J$29,S1197,"Cubic","Extrapolate=Linear","MultiX=Average","Skip=True","Sort=True")</f>
        <v>14.657274946127412</v>
      </c>
      <c r="U1197" s="43">
        <f ca="1">_xll.BInterpol('Base CDI'!$H$4:$H$28,'Base CDI'!$I$4:$I$29,S1197,"Cubic","Extrapolate=Linear","MultiX=Average","Skip=True","Sort=True")</f>
        <v>14.693170909110847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46904</v>
      </c>
      <c r="T1198" s="43">
        <f ca="1">_xll.BInterpol('Base CDI'!$H$4:$H$28,'Base CDI'!$J$4:$J$29,S1198,"Cubic","Extrapolate=Linear","MultiX=Average","Skip=True","Sort=True")</f>
        <v>14.657378085865746</v>
      </c>
      <c r="U1198" s="43">
        <f ca="1">_xll.BInterpol('Base CDI'!$H$4:$H$28,'Base CDI'!$I$4:$I$29,S1198,"Cubic","Extrapolate=Linear","MultiX=Average","Skip=True","Sort=True")</f>
        <v>14.693268798838156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46905</v>
      </c>
      <c r="T1199" s="43">
        <f ca="1">_xll.BInterpol('Base CDI'!$H$4:$H$28,'Base CDI'!$J$4:$J$29,S1199,"Cubic","Extrapolate=Linear","MultiX=Average","Skip=True","Sort=True")</f>
        <v>14.65748183382018</v>
      </c>
      <c r="U1199" s="43">
        <f ca="1">_xll.BInterpol('Base CDI'!$H$4:$H$28,'Base CDI'!$I$4:$I$29,S1199,"Cubic","Extrapolate=Linear","MultiX=Average","Skip=True","Sort=True")</f>
        <v>14.693367211673083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46906</v>
      </c>
      <c r="T1200" s="43">
        <f ca="1">_xll.BInterpol('Base CDI'!$H$4:$H$28,'Base CDI'!$J$4:$J$29,S1200,"Cubic","Extrapolate=Linear","MultiX=Average","Skip=True","Sort=True")</f>
        <v>14.657586187662499</v>
      </c>
      <c r="U1200" s="43">
        <f ca="1">_xll.BInterpol('Base CDI'!$H$4:$H$28,'Base CDI'!$I$4:$I$29,S1200,"Cubic","Extrapolate=Linear","MultiX=Average","Skip=True","Sort=True")</f>
        <v>14.693466146619825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46907</v>
      </c>
      <c r="T1201" s="43">
        <f ca="1">_xll.BInterpol('Base CDI'!$H$4:$H$28,'Base CDI'!$J$4:$J$29,S1201,"Cubic","Extrapolate=Linear","MultiX=Average","Skip=True","Sort=True")</f>
        <v>14.65769114506449</v>
      </c>
      <c r="U1201" s="43">
        <f ca="1">_xll.BInterpol('Base CDI'!$H$4:$H$28,'Base CDI'!$I$4:$I$29,S1201,"Cubic","Extrapolate=Linear","MultiX=Average","Skip=True","Sort=True")</f>
        <v>14.693565602682577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46908</v>
      </c>
      <c r="T1202" s="43">
        <f ca="1">_xll.BInterpol('Base CDI'!$H$4:$H$28,'Base CDI'!$J$4:$J$29,S1202,"Cubic","Extrapolate=Linear","MultiX=Average","Skip=True","Sort=True")</f>
        <v>14.657796703697937</v>
      </c>
      <c r="U1202" s="43">
        <f ca="1">_xll.BInterpol('Base CDI'!$H$4:$H$28,'Base CDI'!$I$4:$I$29,S1202,"Cubic","Extrapolate=Linear","MultiX=Average","Skip=True","Sort=True")</f>
        <v>14.69366557886554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46909</v>
      </c>
      <c r="T1203" s="43">
        <f ca="1">_xll.BInterpol('Base CDI'!$H$4:$H$28,'Base CDI'!$J$4:$J$29,S1203,"Cubic","Extrapolate=Linear","MultiX=Average","Skip=True","Sort=True")</f>
        <v>14.657902861234627</v>
      </c>
      <c r="U1203" s="43">
        <f ca="1">_xll.BInterpol('Base CDI'!$H$4:$H$28,'Base CDI'!$I$4:$I$29,S1203,"Cubic","Extrapolate=Linear","MultiX=Average","Skip=True","Sort=True")</f>
        <v>14.693766074172908</v>
      </c>
    </row>
    <row r="1204" spans="16:21" x14ac:dyDescent="0.25">
      <c r="P1204" s="10">
        <v>36265</v>
      </c>
      <c r="Q1204">
        <v>4.3975</v>
      </c>
      <c r="S1204" s="42">
        <f t="shared" ca="1" si="23"/>
        <v>46910</v>
      </c>
      <c r="T1204" s="43">
        <f ca="1">_xll.BInterpol('Base CDI'!$H$4:$H$28,'Base CDI'!$J$4:$J$29,S1204,"Cubic","Extrapolate=Linear","MultiX=Average","Skip=True","Sort=True")</f>
        <v>14.658009615346344</v>
      </c>
      <c r="U1204" s="43">
        <f ca="1">_xll.BInterpol('Base CDI'!$H$4:$H$28,'Base CDI'!$I$4:$I$29,S1204,"Cubic","Extrapolate=Linear","MultiX=Average","Skip=True","Sort=True")</f>
        <v>14.693867087608883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46911</v>
      </c>
      <c r="T1205" s="43">
        <f ca="1">_xll.BInterpol('Base CDI'!$H$4:$H$28,'Base CDI'!$J$4:$J$29,S1205,"Cubic","Extrapolate=Linear","MultiX=Average","Skip=True","Sort=True")</f>
        <v>14.658116963704877</v>
      </c>
      <c r="U1205" s="43">
        <f ca="1">_xll.BInterpol('Base CDI'!$H$4:$H$28,'Base CDI'!$I$4:$I$29,S1205,"Cubic","Extrapolate=Linear","MultiX=Average","Skip=True","Sort=True")</f>
        <v>14.693968618177657</v>
      </c>
    </row>
    <row r="1206" spans="16:21" x14ac:dyDescent="0.25">
      <c r="P1206" s="10">
        <v>36269</v>
      </c>
      <c r="Q1206">
        <v>4.407559</v>
      </c>
      <c r="S1206" s="42">
        <f t="shared" ca="1" si="23"/>
        <v>46912</v>
      </c>
      <c r="T1206" s="43">
        <f ca="1">_xll.BInterpol('Base CDI'!$H$4:$H$28,'Base CDI'!$J$4:$J$29,S1206,"Cubic","Extrapolate=Linear","MultiX=Average","Skip=True","Sort=True")</f>
        <v>14.65822490398201</v>
      </c>
      <c r="U1206" s="43">
        <f ca="1">_xll.BInterpol('Base CDI'!$H$4:$H$28,'Base CDI'!$I$4:$I$29,S1206,"Cubic","Extrapolate=Linear","MultiX=Average","Skip=True","Sort=True")</f>
        <v>14.694070664883432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46913</v>
      </c>
      <c r="T1207" s="43">
        <f ca="1">_xll.BInterpol('Base CDI'!$H$4:$H$28,'Base CDI'!$J$4:$J$29,S1207,"Cubic","Extrapolate=Linear","MultiX=Average","Skip=True","Sort=True")</f>
        <v>14.658333433849529</v>
      </c>
      <c r="U1207" s="43">
        <f ca="1">_xll.BInterpol('Base CDI'!$H$4:$H$28,'Base CDI'!$I$4:$I$29,S1207,"Cubic","Extrapolate=Linear","MultiX=Average","Skip=True","Sort=True")</f>
        <v>14.694173226730403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46914</v>
      </c>
      <c r="T1208" s="43">
        <f ca="1">_xll.BInterpol('Base CDI'!$H$4:$H$28,'Base CDI'!$J$4:$J$29,S1208,"Cubic","Extrapolate=Linear","MultiX=Average","Skip=True","Sort=True")</f>
        <v>14.658442550979222</v>
      </c>
      <c r="U1208" s="43">
        <f ca="1">_xll.BInterpol('Base CDI'!$H$4:$H$28,'Base CDI'!$I$4:$I$29,S1208,"Cubic","Extrapolate=Linear","MultiX=Average","Skip=True","Sort=True")</f>
        <v>14.694276302722766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46915</v>
      </c>
      <c r="T1209" s="43">
        <f ca="1">_xll.BInterpol('Base CDI'!$H$4:$H$28,'Base CDI'!$J$4:$J$29,S1209,"Cubic","Extrapolate=Linear","MultiX=Average","Skip=True","Sort=True")</f>
        <v>14.658552253042872</v>
      </c>
      <c r="U1209" s="43">
        <f ca="1">_xll.BInterpol('Base CDI'!$H$4:$H$28,'Base CDI'!$I$4:$I$29,S1209,"Cubic","Extrapolate=Linear","MultiX=Average","Skip=True","Sort=True")</f>
        <v>14.694379891864722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46916</v>
      </c>
      <c r="T1210" s="43">
        <f ca="1">_xll.BInterpol('Base CDI'!$H$4:$H$28,'Base CDI'!$J$4:$J$29,S1210,"Cubic","Extrapolate=Linear","MultiX=Average","Skip=True","Sort=True")</f>
        <v>14.658662537712265</v>
      </c>
      <c r="U1210" s="43">
        <f ca="1">_xll.BInterpol('Base CDI'!$H$4:$H$28,'Base CDI'!$I$4:$I$29,S1210,"Cubic","Extrapolate=Linear","MultiX=Average","Skip=True","Sort=True")</f>
        <v>14.694483993160468</v>
      </c>
    </row>
    <row r="1211" spans="16:21" x14ac:dyDescent="0.25">
      <c r="P1211" s="10">
        <v>36277</v>
      </c>
      <c r="Q1211">
        <v>4.432512</v>
      </c>
      <c r="S1211" s="42">
        <f t="shared" ca="1" si="23"/>
        <v>46917</v>
      </c>
      <c r="T1211" s="43">
        <f ca="1">_xll.BInterpol('Base CDI'!$H$4:$H$28,'Base CDI'!$J$4:$J$29,S1211,"Cubic","Extrapolate=Linear","MultiX=Average","Skip=True","Sort=True")</f>
        <v>14.65877340265919</v>
      </c>
      <c r="U1211" s="43">
        <f ca="1">_xll.BInterpol('Base CDI'!$H$4:$H$28,'Base CDI'!$I$4:$I$29,S1211,"Cubic","Extrapolate=Linear","MultiX=Average","Skip=True","Sort=True")</f>
        <v>14.694588605614198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46918</v>
      </c>
      <c r="T1212" s="43">
        <f ca="1">_xll.BInterpol('Base CDI'!$H$4:$H$28,'Base CDI'!$J$4:$J$29,S1212,"Cubic","Extrapolate=Linear","MultiX=Average","Skip=True","Sort=True")</f>
        <v>14.658884845555431</v>
      </c>
      <c r="U1212" s="43">
        <f ca="1">_xll.BInterpol('Base CDI'!$H$4:$H$28,'Base CDI'!$I$4:$I$29,S1212,"Cubic","Extrapolate=Linear","MultiX=Average","Skip=True","Sort=True")</f>
        <v>14.694693728230114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46919</v>
      </c>
      <c r="T1213" s="43">
        <f ca="1">_xll.BInterpol('Base CDI'!$H$4:$H$28,'Base CDI'!$J$4:$J$29,S1213,"Cubic","Extrapolate=Linear","MultiX=Average","Skip=True","Sort=True")</f>
        <v>14.658996864072773</v>
      </c>
      <c r="U1213" s="43">
        <f ca="1">_xll.BInterpol('Base CDI'!$H$4:$H$28,'Base CDI'!$I$4:$I$29,S1213,"Cubic","Extrapolate=Linear","MultiX=Average","Skip=True","Sort=True")</f>
        <v>14.694799360012411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46920</v>
      </c>
      <c r="T1214" s="43">
        <f ca="1">_xll.BInterpol('Base CDI'!$H$4:$H$28,'Base CDI'!$J$4:$J$29,S1214,"Cubic","Extrapolate=Linear","MultiX=Average","Skip=True","Sort=True")</f>
        <v>14.659109455883002</v>
      </c>
      <c r="U1214" s="43">
        <f ca="1">_xll.BInterpol('Base CDI'!$H$4:$H$28,'Base CDI'!$I$4:$I$29,S1214,"Cubic","Extrapolate=Linear","MultiX=Average","Skip=True","Sort=True")</f>
        <v>14.694905499965286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46921</v>
      </c>
      <c r="T1215" s="43">
        <f ca="1">_xll.BInterpol('Base CDI'!$H$4:$H$28,'Base CDI'!$J$4:$J$29,S1215,"Cubic","Extrapolate=Linear","MultiX=Average","Skip=True","Sort=True")</f>
        <v>14.659222618657903</v>
      </c>
      <c r="U1215" s="43">
        <f ca="1">_xll.BInterpol('Base CDI'!$H$4:$H$28,'Base CDI'!$I$4:$I$29,S1215,"Cubic","Extrapolate=Linear","MultiX=Average","Skip=True","Sort=True")</f>
        <v>14.695012147092937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46922</v>
      </c>
      <c r="T1216" s="43">
        <f ca="1">_xll.BInterpol('Base CDI'!$H$4:$H$28,'Base CDI'!$J$4:$J$29,S1216,"Cubic","Extrapolate=Linear","MultiX=Average","Skip=True","Sort=True")</f>
        <v>14.659336350069266</v>
      </c>
      <c r="U1216" s="43">
        <f ca="1">_xll.BInterpol('Base CDI'!$H$4:$H$28,'Base CDI'!$I$4:$I$29,S1216,"Cubic","Extrapolate=Linear","MultiX=Average","Skip=True","Sort=True")</f>
        <v>14.695119300399561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46923</v>
      </c>
      <c r="T1217" s="43">
        <f ca="1">_xll.BInterpol('Base CDI'!$H$4:$H$28,'Base CDI'!$J$4:$J$29,S1217,"Cubic","Extrapolate=Linear","MultiX=Average","Skip=True","Sort=True")</f>
        <v>14.659450647788873</v>
      </c>
      <c r="U1217" s="43">
        <f ca="1">_xll.BInterpol('Base CDI'!$H$4:$H$28,'Base CDI'!$I$4:$I$29,S1217,"Cubic","Extrapolate=Linear","MultiX=Average","Skip=True","Sort=True")</f>
        <v>14.695226958889359</v>
      </c>
    </row>
    <row r="1218" spans="16:21" x14ac:dyDescent="0.25">
      <c r="P1218" s="10">
        <v>36286</v>
      </c>
      <c r="Q1218">
        <v>4.466475</v>
      </c>
      <c r="S1218" s="42">
        <f t="shared" ca="1" si="23"/>
        <v>46924</v>
      </c>
      <c r="T1218" s="43">
        <f ca="1">_xll.BInterpol('Base CDI'!$H$4:$H$28,'Base CDI'!$J$4:$J$29,S1218,"Cubic","Extrapolate=Linear","MultiX=Average","Skip=True","Sort=True")</f>
        <v>14.659565509488512</v>
      </c>
      <c r="U1218" s="43">
        <f ca="1">_xll.BInterpol('Base CDI'!$H$4:$H$28,'Base CDI'!$I$4:$I$29,S1218,"Cubic","Extrapolate=Linear","MultiX=Average","Skip=True","Sort=True")</f>
        <v>14.695335121566522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46925</v>
      </c>
      <c r="T1219" s="43">
        <f ca="1">_xll.BInterpol('Base CDI'!$H$4:$H$28,'Base CDI'!$J$4:$J$29,S1219,"Cubic","Extrapolate=Linear","MultiX=Average","Skip=True","Sort=True")</f>
        <v>14.659680932839969</v>
      </c>
      <c r="U1219" s="43">
        <f ca="1">_xll.BInterpol('Base CDI'!$H$4:$H$28,'Base CDI'!$I$4:$I$29,S1219,"Cubic","Extrapolate=Linear","MultiX=Average","Skip=True","Sort=True")</f>
        <v>14.695443787435254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46926</v>
      </c>
      <c r="T1220" s="43">
        <f ca="1">_xll.BInterpol('Base CDI'!$H$4:$H$28,'Base CDI'!$J$4:$J$29,S1220,"Cubic","Extrapolate=Linear","MultiX=Average","Skip=True","Sort=True")</f>
        <v>14.659796915515027</v>
      </c>
      <c r="U1220" s="43">
        <f ca="1">_xll.BInterpol('Base CDI'!$H$4:$H$28,'Base CDI'!$I$4:$I$29,S1220,"Cubic","Extrapolate=Linear","MultiX=Average","Skip=True","Sort=True")</f>
        <v>14.695552955499746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46927</v>
      </c>
      <c r="T1221" s="43">
        <f ca="1">_xll.BInterpol('Base CDI'!$H$4:$H$28,'Base CDI'!$J$4:$J$29,S1221,"Cubic","Extrapolate=Linear","MultiX=Average","Skip=True","Sort=True")</f>
        <v>14.659913455185475</v>
      </c>
      <c r="U1221" s="43">
        <f ca="1">_xll.BInterpol('Base CDI'!$H$4:$H$28,'Base CDI'!$I$4:$I$29,S1221,"Cubic","Extrapolate=Linear","MultiX=Average","Skip=True","Sort=True")</f>
        <v>14.695662624764202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46928</v>
      </c>
      <c r="T1222" s="43">
        <f ca="1">_xll.BInterpol('Base CDI'!$H$4:$H$28,'Base CDI'!$J$4:$J$29,S1222,"Cubic","Extrapolate=Linear","MultiX=Average","Skip=True","Sort=True")</f>
        <v>14.660030549523098</v>
      </c>
      <c r="U1222" s="43">
        <f ca="1">_xll.BInterpol('Base CDI'!$H$4:$H$28,'Base CDI'!$I$4:$I$29,S1222,"Cubic","Extrapolate=Linear","MultiX=Average","Skip=True","Sort=True")</f>
        <v>14.695772794232814</v>
      </c>
    </row>
    <row r="1223" spans="16:21" x14ac:dyDescent="0.25">
      <c r="P1223" s="10">
        <v>36293</v>
      </c>
      <c r="Q1223">
        <v>4.48956</v>
      </c>
      <c r="S1223" s="42">
        <f t="shared" ca="1" si="23"/>
        <v>46929</v>
      </c>
      <c r="T1223" s="43">
        <f ca="1">_xll.BInterpol('Base CDI'!$H$4:$H$28,'Base CDI'!$J$4:$J$29,S1223,"Cubic","Extrapolate=Linear","MultiX=Average","Skip=True","Sort=True")</f>
        <v>14.66014819619968</v>
      </c>
      <c r="U1223" s="43">
        <f ca="1">_xll.BInterpol('Base CDI'!$H$4:$H$28,'Base CDI'!$I$4:$I$29,S1223,"Cubic","Extrapolate=Linear","MultiX=Average","Skip=True","Sort=True")</f>
        <v>14.695883462909784</v>
      </c>
    </row>
    <row r="1224" spans="16:21" x14ac:dyDescent="0.25">
      <c r="P1224" s="10">
        <v>36294</v>
      </c>
      <c r="Q1224">
        <v>4.49376</v>
      </c>
      <c r="S1224" s="42">
        <f t="shared" ca="1" si="23"/>
        <v>46930</v>
      </c>
      <c r="T1224" s="43">
        <f ca="1">_xll.BInterpol('Base CDI'!$H$4:$H$28,'Base CDI'!$J$4:$J$29,S1224,"Cubic","Extrapolate=Linear","MultiX=Average","Skip=True","Sort=True")</f>
        <v>14.66026639288701</v>
      </c>
      <c r="U1224" s="43">
        <f ca="1">_xll.BInterpol('Base CDI'!$H$4:$H$28,'Base CDI'!$I$4:$I$29,S1224,"Cubic","Extrapolate=Linear","MultiX=Average","Skip=True","Sort=True")</f>
        <v>14.695994629799305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46931</v>
      </c>
      <c r="T1225" s="43">
        <f ca="1">_xll.BInterpol('Base CDI'!$H$4:$H$28,'Base CDI'!$J$4:$J$29,S1225,"Cubic","Extrapolate=Linear","MultiX=Average","Skip=True","Sort=True")</f>
        <v>14.660385137256872</v>
      </c>
      <c r="U1225" s="43">
        <f ca="1">_xll.BInterpol('Base CDI'!$H$4:$H$28,'Base CDI'!$I$4:$I$29,S1225,"Cubic","Extrapolate=Linear","MultiX=Average","Skip=True","Sort=True")</f>
        <v>14.696106293905578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46932</v>
      </c>
      <c r="T1226" s="43">
        <f ca="1">_xll.BInterpol('Base CDI'!$H$4:$H$28,'Base CDI'!$J$4:$J$29,S1226,"Cubic","Extrapolate=Linear","MultiX=Average","Skip=True","Sort=True")</f>
        <v>14.660504426981053</v>
      </c>
      <c r="U1226" s="43">
        <f ca="1">_xll.BInterpol('Base CDI'!$H$4:$H$28,'Base CDI'!$I$4:$I$29,S1226,"Cubic","Extrapolate=Linear","MultiX=Average","Skip=True","Sort=True")</f>
        <v>14.696218454232799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46933</v>
      </c>
      <c r="T1227" s="43">
        <f ca="1">_xll.BInterpol('Base CDI'!$H$4:$H$28,'Base CDI'!$J$4:$J$29,S1227,"Cubic","Extrapolate=Linear","MultiX=Average","Skip=True","Sort=True")</f>
        <v>14.660624259731337</v>
      </c>
      <c r="U1227" s="43">
        <f ca="1">_xll.BInterpol('Base CDI'!$H$4:$H$28,'Base CDI'!$I$4:$I$29,S1227,"Cubic","Extrapolate=Linear","MultiX=Average","Skip=True","Sort=True")</f>
        <v>14.696331109785165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46934</v>
      </c>
      <c r="T1228" s="43">
        <f ca="1">_xll.BInterpol('Base CDI'!$H$4:$H$28,'Base CDI'!$J$4:$J$29,S1228,"Cubic","Extrapolate=Linear","MultiX=Average","Skip=True","Sort=True")</f>
        <v>14.660744633179513</v>
      </c>
      <c r="U1228" s="43">
        <f ca="1">_xll.BInterpol('Base CDI'!$H$4:$H$28,'Base CDI'!$I$4:$I$29,S1228,"Cubic","Extrapolate=Linear","MultiX=Average","Skip=True","Sort=True")</f>
        <v>14.696444259566874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46935</v>
      </c>
      <c r="T1229" s="43">
        <f ca="1">_xll.BInterpol('Base CDI'!$H$4:$H$28,'Base CDI'!$J$4:$J$29,S1229,"Cubic","Extrapolate=Linear","MultiX=Average","Skip=True","Sort=True")</f>
        <v>14.660865544997364</v>
      </c>
      <c r="U1229" s="43">
        <f ca="1">_xll.BInterpol('Base CDI'!$H$4:$H$28,'Base CDI'!$I$4:$I$29,S1229,"Cubic","Extrapolate=Linear","MultiX=Average","Skip=True","Sort=True")</f>
        <v>14.696557902582123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46936</v>
      </c>
      <c r="T1230" s="43">
        <f ca="1">_xll.BInterpol('Base CDI'!$H$4:$H$28,'Base CDI'!$J$4:$J$29,S1230,"Cubic","Extrapolate=Linear","MultiX=Average","Skip=True","Sort=True")</f>
        <v>14.660986992856676</v>
      </c>
      <c r="U1230" s="43">
        <f ca="1">_xll.BInterpol('Base CDI'!$H$4:$H$28,'Base CDI'!$I$4:$I$29,S1230,"Cubic","Extrapolate=Linear","MultiX=Average","Skip=True","Sort=True")</f>
        <v>14.696672037835111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46937</v>
      </c>
      <c r="T1231" s="43">
        <f ca="1">_xll.BInterpol('Base CDI'!$H$4:$H$28,'Base CDI'!$J$4:$J$29,S1231,"Cubic","Extrapolate=Linear","MultiX=Average","Skip=True","Sort=True")</f>
        <v>14.661108974429238</v>
      </c>
      <c r="U1231" s="43">
        <f ca="1">_xll.BInterpol('Base CDI'!$H$4:$H$28,'Base CDI'!$I$4:$I$29,S1231,"Cubic","Extrapolate=Linear","MultiX=Average","Skip=True","Sort=True")</f>
        <v>14.696786664330034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46938</v>
      </c>
      <c r="T1232" s="43">
        <f ca="1">_xll.BInterpol('Base CDI'!$H$4:$H$28,'Base CDI'!$J$4:$J$29,S1232,"Cubic","Extrapolate=Linear","MultiX=Average","Skip=True","Sort=True")</f>
        <v>14.661231487386832</v>
      </c>
      <c r="U1232" s="43">
        <f ca="1">_xll.BInterpol('Base CDI'!$H$4:$H$28,'Base CDI'!$I$4:$I$29,S1232,"Cubic","Extrapolate=Linear","MultiX=Average","Skip=True","Sort=True")</f>
        <v>14.696901781071089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46939</v>
      </c>
      <c r="T1233" s="43">
        <f ca="1">_xll.BInterpol('Base CDI'!$H$4:$H$28,'Base CDI'!$J$4:$J$29,S1233,"Cubic","Extrapolate=Linear","MultiX=Average","Skip=True","Sort=True")</f>
        <v>14.661354529401246</v>
      </c>
      <c r="U1233" s="43">
        <f ca="1">_xll.BInterpol('Base CDI'!$H$4:$H$28,'Base CDI'!$I$4:$I$29,S1233,"Cubic","Extrapolate=Linear","MultiX=Average","Skip=True","Sort=True")</f>
        <v>14.697017387062475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46940</v>
      </c>
      <c r="T1234" s="43">
        <f ca="1">_xll.BInterpol('Base CDI'!$H$4:$H$28,'Base CDI'!$J$4:$J$29,S1234,"Cubic","Extrapolate=Linear","MultiX=Average","Skip=True","Sort=True")</f>
        <v>14.661478098144267</v>
      </c>
      <c r="U1234" s="43">
        <f ca="1">_xll.BInterpol('Base CDI'!$H$4:$H$28,'Base CDI'!$I$4:$I$29,S1234,"Cubic","Extrapolate=Linear","MultiX=Average","Skip=True","Sort=True")</f>
        <v>14.69713348130839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46941</v>
      </c>
      <c r="T1235" s="43">
        <f ca="1">_xll.BInterpol('Base CDI'!$H$4:$H$28,'Base CDI'!$J$4:$J$29,S1235,"Cubic","Extrapolate=Linear","MultiX=Average","Skip=True","Sort=True")</f>
        <v>14.661602191287677</v>
      </c>
      <c r="U1235" s="43">
        <f ca="1">_xll.BInterpol('Base CDI'!$H$4:$H$28,'Base CDI'!$I$4:$I$29,S1235,"Cubic","Extrapolate=Linear","MultiX=Average","Skip=True","Sort=True")</f>
        <v>14.697250062813028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46942</v>
      </c>
      <c r="T1236" s="43">
        <f ca="1">_xll.BInterpol('Base CDI'!$H$4:$H$28,'Base CDI'!$J$4:$J$29,S1236,"Cubic","Extrapolate=Linear","MultiX=Average","Skip=True","Sort=True")</f>
        <v>14.661726806503266</v>
      </c>
      <c r="U1236" s="43">
        <f ca="1">_xll.BInterpol('Base CDI'!$H$4:$H$28,'Base CDI'!$I$4:$I$29,S1236,"Cubic","Extrapolate=Linear","MultiX=Average","Skip=True","Sort=True")</f>
        <v>14.69736713058059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46943</v>
      </c>
      <c r="T1237" s="43">
        <f ca="1">_xll.BInterpol('Base CDI'!$H$4:$H$28,'Base CDI'!$J$4:$J$29,S1237,"Cubic","Extrapolate=Linear","MultiX=Average","Skip=True","Sort=True")</f>
        <v>14.661851941462817</v>
      </c>
      <c r="U1237" s="43">
        <f ca="1">_xll.BInterpol('Base CDI'!$H$4:$H$28,'Base CDI'!$I$4:$I$29,S1237,"Cubic","Extrapolate=Linear","MultiX=Average","Skip=True","Sort=True")</f>
        <v>14.69748468361527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46944</v>
      </c>
      <c r="T1238" s="43">
        <f ca="1">_xll.BInterpol('Base CDI'!$H$4:$H$28,'Base CDI'!$J$4:$J$29,S1238,"Cubic","Extrapolate=Linear","MultiX=Average","Skip=True","Sort=True")</f>
        <v>14.661977593838118</v>
      </c>
      <c r="U1238" s="43">
        <f ca="1">_xll.BInterpol('Base CDI'!$H$4:$H$28,'Base CDI'!$I$4:$I$29,S1238,"Cubic","Extrapolate=Linear","MultiX=Average","Skip=True","Sort=True")</f>
        <v>14.697602720921269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46945</v>
      </c>
      <c r="T1239" s="43">
        <f ca="1">_xll.BInterpol('Base CDI'!$H$4:$H$28,'Base CDI'!$J$4:$J$29,S1239,"Cubic","Extrapolate=Linear","MultiX=Average","Skip=True","Sort=True")</f>
        <v>14.662103761300953</v>
      </c>
      <c r="U1239" s="43">
        <f ca="1">_xll.BInterpol('Base CDI'!$H$4:$H$28,'Base CDI'!$I$4:$I$29,S1239,"Cubic","Extrapolate=Linear","MultiX=Average","Skip=True","Sort=True")</f>
        <v>14.697721241502784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46946</v>
      </c>
      <c r="T1240" s="43">
        <f ca="1">_xll.BInterpol('Base CDI'!$H$4:$H$28,'Base CDI'!$J$4:$J$29,S1240,"Cubic","Extrapolate=Linear","MultiX=Average","Skip=True","Sort=True")</f>
        <v>14.662230441523111</v>
      </c>
      <c r="U1240" s="43">
        <f ca="1">_xll.BInterpol('Base CDI'!$H$4:$H$28,'Base CDI'!$I$4:$I$29,S1240,"Cubic","Extrapolate=Linear","MultiX=Average","Skip=True","Sort=True")</f>
        <v>14.697840244364009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46947</v>
      </c>
      <c r="T1241" s="43">
        <f ca="1">_xll.BInterpol('Base CDI'!$H$4:$H$28,'Base CDI'!$J$4:$J$29,S1241,"Cubic","Extrapolate=Linear","MultiX=Average","Skip=True","Sort=True")</f>
        <v>14.662357632176374</v>
      </c>
      <c r="U1241" s="43">
        <f ca="1">_xll.BInterpol('Base CDI'!$H$4:$H$28,'Base CDI'!$I$4:$I$29,S1241,"Cubic","Extrapolate=Linear","MultiX=Average","Skip=True","Sort=True")</f>
        <v>14.697959728509145</v>
      </c>
    </row>
    <row r="1242" spans="16:21" x14ac:dyDescent="0.25">
      <c r="P1242" s="10">
        <v>36321</v>
      </c>
      <c r="Q1242">
        <v>4.561083</v>
      </c>
      <c r="S1242" s="42">
        <f t="shared" ca="1" si="24"/>
        <v>46948</v>
      </c>
      <c r="T1242" s="43">
        <f ca="1">_xll.BInterpol('Base CDI'!$H$4:$H$28,'Base CDI'!$J$4:$J$29,S1242,"Cubic","Extrapolate=Linear","MultiX=Average","Skip=True","Sort=True")</f>
        <v>14.66248533093253</v>
      </c>
      <c r="U1242" s="43">
        <f ca="1">_xll.BInterpol('Base CDI'!$H$4:$H$28,'Base CDI'!$I$4:$I$29,S1242,"Cubic","Extrapolate=Linear","MultiX=Average","Skip=True","Sort=True")</f>
        <v>14.69807969294239</v>
      </c>
    </row>
    <row r="1243" spans="16:21" x14ac:dyDescent="0.25">
      <c r="P1243" s="10">
        <v>36322</v>
      </c>
      <c r="Q1243">
        <v>4.564629</v>
      </c>
      <c r="S1243" s="42">
        <f t="shared" ca="1" si="24"/>
        <v>46949</v>
      </c>
      <c r="T1243" s="43">
        <f ca="1">_xll.BInterpol('Base CDI'!$H$4:$H$28,'Base CDI'!$J$4:$J$29,S1243,"Cubic","Extrapolate=Linear","MultiX=Average","Skip=True","Sort=True")</f>
        <v>14.662613535463365</v>
      </c>
      <c r="U1243" s="43">
        <f ca="1">_xll.BInterpol('Base CDI'!$H$4:$H$28,'Base CDI'!$I$4:$I$29,S1243,"Cubic","Extrapolate=Linear","MultiX=Average","Skip=True","Sort=True")</f>
        <v>14.698200136667937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46950</v>
      </c>
      <c r="T1244" s="43">
        <f ca="1">_xll.BInterpol('Base CDI'!$H$4:$H$28,'Base CDI'!$J$4:$J$29,S1244,"Cubic","Extrapolate=Linear","MultiX=Average","Skip=True","Sort=True")</f>
        <v>14.662742243440663</v>
      </c>
      <c r="U1244" s="43">
        <f ca="1">_xll.BInterpol('Base CDI'!$H$4:$H$28,'Base CDI'!$I$4:$I$29,S1244,"Cubic","Extrapolate=Linear","MultiX=Average","Skip=True","Sort=True")</f>
        <v>14.698321058689988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46951</v>
      </c>
      <c r="T1245" s="43">
        <f ca="1">_xll.BInterpol('Base CDI'!$H$4:$H$28,'Base CDI'!$J$4:$J$29,S1245,"Cubic","Extrapolate=Linear","MultiX=Average","Skip=True","Sort=True")</f>
        <v>14.662871452536212</v>
      </c>
      <c r="U1245" s="43">
        <f ca="1">_xll.BInterpol('Base CDI'!$H$4:$H$28,'Base CDI'!$I$4:$I$29,S1245,"Cubic","Extrapolate=Linear","MultiX=Average","Skip=True","Sort=True")</f>
        <v>14.698442458012737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46952</v>
      </c>
      <c r="T1246" s="43">
        <f ca="1">_xll.BInterpol('Base CDI'!$H$4:$H$28,'Base CDI'!$J$4:$J$29,S1246,"Cubic","Extrapolate=Linear","MultiX=Average","Skip=True","Sort=True")</f>
        <v>14.663001160421798</v>
      </c>
      <c r="U1246" s="43">
        <f ca="1">_xll.BInterpol('Base CDI'!$H$4:$H$28,'Base CDI'!$I$4:$I$29,S1246,"Cubic","Extrapolate=Linear","MultiX=Average","Skip=True","Sort=True")</f>
        <v>14.698564333640384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46953</v>
      </c>
      <c r="T1247" s="43">
        <f ca="1">_xll.BInterpol('Base CDI'!$H$4:$H$28,'Base CDI'!$J$4:$J$29,S1247,"Cubic","Extrapolate=Linear","MultiX=Average","Skip=True","Sort=True")</f>
        <v>14.663131364769207</v>
      </c>
      <c r="U1247" s="43">
        <f ca="1">_xll.BInterpol('Base CDI'!$H$4:$H$28,'Base CDI'!$I$4:$I$29,S1247,"Cubic","Extrapolate=Linear","MultiX=Average","Skip=True","Sort=True")</f>
        <v>14.698686684577126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46954</v>
      </c>
      <c r="T1248" s="43">
        <f ca="1">_xll.BInterpol('Base CDI'!$H$4:$H$28,'Base CDI'!$J$4:$J$29,S1248,"Cubic","Extrapolate=Linear","MultiX=Average","Skip=True","Sort=True")</f>
        <v>14.663262063250222</v>
      </c>
      <c r="U1248" s="43">
        <f ca="1">_xll.BInterpol('Base CDI'!$H$4:$H$28,'Base CDI'!$I$4:$I$29,S1248,"Cubic","Extrapolate=Linear","MultiX=Average","Skip=True","Sort=True")</f>
        <v>14.698809509827159</v>
      </c>
    </row>
    <row r="1249" spans="16:21" x14ac:dyDescent="0.25">
      <c r="P1249" s="10">
        <v>36332</v>
      </c>
      <c r="Q1249">
        <v>4.585934</v>
      </c>
      <c r="S1249" s="42">
        <f t="shared" ca="1" si="24"/>
        <v>46955</v>
      </c>
      <c r="T1249" s="43">
        <f ca="1">_xll.BInterpol('Base CDI'!$H$4:$H$28,'Base CDI'!$J$4:$J$29,S1249,"Cubic","Extrapolate=Linear","MultiX=Average","Skip=True","Sort=True")</f>
        <v>14.663393253536633</v>
      </c>
      <c r="U1249" s="43">
        <f ca="1">_xll.BInterpol('Base CDI'!$H$4:$H$28,'Base CDI'!$I$4:$I$29,S1249,"Cubic","Extrapolate=Linear","MultiX=Average","Skip=True","Sort=True")</f>
        <v>14.698932808394682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46956</v>
      </c>
      <c r="T1250" s="43">
        <f ca="1">_xll.BInterpol('Base CDI'!$H$4:$H$28,'Base CDI'!$J$4:$J$29,S1250,"Cubic","Extrapolate=Linear","MultiX=Average","Skip=True","Sort=True")</f>
        <v>14.663524933300222</v>
      </c>
      <c r="U1250" s="43">
        <f ca="1">_xll.BInterpol('Base CDI'!$H$4:$H$28,'Base CDI'!$I$4:$I$29,S1250,"Cubic","Extrapolate=Linear","MultiX=Average","Skip=True","Sort=True")</f>
        <v>14.699056579283893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46957</v>
      </c>
      <c r="T1251" s="43">
        <f ca="1">_xll.BInterpol('Base CDI'!$H$4:$H$28,'Base CDI'!$J$4:$J$29,S1251,"Cubic","Extrapolate=Linear","MultiX=Average","Skip=True","Sort=True")</f>
        <v>14.663657100212777</v>
      </c>
      <c r="U1251" s="43">
        <f ca="1">_xll.BInterpol('Base CDI'!$H$4:$H$28,'Base CDI'!$I$4:$I$29,S1251,"Cubic","Extrapolate=Linear","MultiX=Average","Skip=True","Sort=True")</f>
        <v>14.699180821498986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46958</v>
      </c>
      <c r="T1252" s="43">
        <f ca="1">_xll.BInterpol('Base CDI'!$H$4:$H$28,'Base CDI'!$J$4:$J$29,S1252,"Cubic","Extrapolate=Linear","MultiX=Average","Skip=True","Sort=True")</f>
        <v>14.663789751946084</v>
      </c>
      <c r="U1252" s="43">
        <f ca="1">_xll.BInterpol('Base CDI'!$H$4:$H$28,'Base CDI'!$I$4:$I$29,S1252,"Cubic","Extrapolate=Linear","MultiX=Average","Skip=True","Sort=True")</f>
        <v>14.699305534044163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46959</v>
      </c>
      <c r="T1253" s="43">
        <f ca="1">_xll.BInterpol('Base CDI'!$H$4:$H$28,'Base CDI'!$J$4:$J$29,S1253,"Cubic","Extrapolate=Linear","MultiX=Average","Skip=True","Sort=True")</f>
        <v>14.663922886171928</v>
      </c>
      <c r="U1253" s="43">
        <f ca="1">_xll.BInterpol('Base CDI'!$H$4:$H$28,'Base CDI'!$I$4:$I$29,S1253,"Cubic","Extrapolate=Linear","MultiX=Average","Skip=True","Sort=True")</f>
        <v>14.699430715923617</v>
      </c>
    </row>
    <row r="1254" spans="16:21" x14ac:dyDescent="0.25">
      <c r="P1254" s="10">
        <v>36339</v>
      </c>
      <c r="Q1254">
        <v>4.603173</v>
      </c>
      <c r="S1254" s="42">
        <f t="shared" ca="1" si="24"/>
        <v>46960</v>
      </c>
      <c r="T1254" s="43">
        <f ca="1">_xll.BInterpol('Base CDI'!$H$4:$H$28,'Base CDI'!$J$4:$J$29,S1254,"Cubic","Extrapolate=Linear","MultiX=Average","Skip=True","Sort=True")</f>
        <v>14.664056500562097</v>
      </c>
      <c r="U1254" s="43">
        <f ca="1">_xll.BInterpol('Base CDI'!$H$4:$H$28,'Base CDI'!$I$4:$I$29,S1254,"Cubic","Extrapolate=Linear","MultiX=Average","Skip=True","Sort=True")</f>
        <v>14.699556366141548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46961</v>
      </c>
      <c r="T1255" s="43">
        <f ca="1">_xll.BInterpol('Base CDI'!$H$4:$H$28,'Base CDI'!$J$4:$J$29,S1255,"Cubic","Extrapolate=Linear","MultiX=Average","Skip=True","Sort=True")</f>
        <v>14.664190592788374</v>
      </c>
      <c r="U1255" s="43">
        <f ca="1">_xll.BInterpol('Base CDI'!$H$4:$H$28,'Base CDI'!$I$4:$I$29,S1255,"Cubic","Extrapolate=Linear","MultiX=Average","Skip=True","Sort=True")</f>
        <v>14.699682483702155</v>
      </c>
    </row>
    <row r="1256" spans="16:21" x14ac:dyDescent="0.25">
      <c r="P1256" s="10">
        <v>36341</v>
      </c>
      <c r="Q1256">
        <v>4.610017</v>
      </c>
      <c r="S1256" s="42">
        <f t="shared" ca="1" si="24"/>
        <v>46962</v>
      </c>
      <c r="T1256" s="43">
        <f ca="1">_xll.BInterpol('Base CDI'!$H$4:$H$28,'Base CDI'!$J$4:$J$29,S1256,"Cubic","Extrapolate=Linear","MultiX=Average","Skip=True","Sort=True")</f>
        <v>14.664325160522546</v>
      </c>
      <c r="U1256" s="43">
        <f ca="1">_xll.BInterpol('Base CDI'!$H$4:$H$28,'Base CDI'!$I$4:$I$29,S1256,"Cubic","Extrapolate=Linear","MultiX=Average","Skip=True","Sort=True")</f>
        <v>14.699809067609632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46963</v>
      </c>
      <c r="T1257" s="43">
        <f ca="1">_xll.BInterpol('Base CDI'!$H$4:$H$28,'Base CDI'!$J$4:$J$29,S1257,"Cubic","Extrapolate=Linear","MultiX=Average","Skip=True","Sort=True")</f>
        <v>14.6644602014364</v>
      </c>
      <c r="U1257" s="43">
        <f ca="1">_xll.BInterpol('Base CDI'!$H$4:$H$28,'Base CDI'!$I$4:$I$29,S1257,"Cubic","Extrapolate=Linear","MultiX=Average","Skip=True","Sort=True")</f>
        <v>14.699936116868178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46964</v>
      </c>
      <c r="T1258" s="43">
        <f ca="1">_xll.BInterpol('Base CDI'!$H$4:$H$28,'Base CDI'!$J$4:$J$29,S1258,"Cubic","Extrapolate=Linear","MultiX=Average","Skip=True","Sort=True")</f>
        <v>14.66459571320172</v>
      </c>
      <c r="U1258" s="43">
        <f ca="1">_xll.BInterpol('Base CDI'!$H$4:$H$28,'Base CDI'!$I$4:$I$29,S1258,"Cubic","Extrapolate=Linear","MultiX=Average","Skip=True","Sort=True")</f>
        <v>14.700063630481992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46965</v>
      </c>
      <c r="T1259" s="43">
        <f ca="1">_xll.BInterpol('Base CDI'!$H$4:$H$28,'Base CDI'!$J$4:$J$29,S1259,"Cubic","Extrapolate=Linear","MultiX=Average","Skip=True","Sort=True")</f>
        <v>14.664731693490294</v>
      </c>
      <c r="U1259" s="43">
        <f ca="1">_xll.BInterpol('Base CDI'!$H$4:$H$28,'Base CDI'!$I$4:$I$29,S1259,"Cubic","Extrapolate=Linear","MultiX=Average","Skip=True","Sort=True")</f>
        <v>14.700191607455269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46966</v>
      </c>
      <c r="T1260" s="43">
        <f ca="1">_xll.BInterpol('Base CDI'!$H$4:$H$28,'Base CDI'!$J$4:$J$29,S1260,"Cubic","Extrapolate=Linear","MultiX=Average","Skip=True","Sort=True")</f>
        <v>14.664868139973906</v>
      </c>
      <c r="U1260" s="43">
        <f ca="1">_xll.BInterpol('Base CDI'!$H$4:$H$28,'Base CDI'!$I$4:$I$29,S1260,"Cubic","Extrapolate=Linear","MultiX=Average","Skip=True","Sort=True")</f>
        <v>14.700320046792207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46967</v>
      </c>
      <c r="T1261" s="43">
        <f ca="1">_xll.BInterpol('Base CDI'!$H$4:$H$28,'Base CDI'!$J$4:$J$29,S1261,"Cubic","Extrapolate=Linear","MultiX=Average","Skip=True","Sort=True")</f>
        <v>14.665005050324343</v>
      </c>
      <c r="U1261" s="43">
        <f ca="1">_xll.BInterpol('Base CDI'!$H$4:$H$28,'Base CDI'!$I$4:$I$29,S1261,"Cubic","Extrapolate=Linear","MultiX=Average","Skip=True","Sort=True")</f>
        <v>14.700448947497003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46968</v>
      </c>
      <c r="T1262" s="43">
        <f ca="1">_xll.BInterpol('Base CDI'!$H$4:$H$28,'Base CDI'!$J$4:$J$29,S1262,"Cubic","Extrapolate=Linear","MultiX=Average","Skip=True","Sort=True")</f>
        <v>14.665142422213391</v>
      </c>
      <c r="U1262" s="43">
        <f ca="1">_xll.BInterpol('Base CDI'!$H$4:$H$28,'Base CDI'!$I$4:$I$29,S1262,"Cubic","Extrapolate=Linear","MultiX=Average","Skip=True","Sort=True")</f>
        <v>14.700578308573856</v>
      </c>
    </row>
    <row r="1263" spans="16:21" x14ac:dyDescent="0.25">
      <c r="P1263" s="10">
        <v>36350</v>
      </c>
      <c r="Q1263">
        <v>4.633813</v>
      </c>
      <c r="S1263" s="42">
        <f t="shared" ca="1" si="24"/>
        <v>46969</v>
      </c>
      <c r="T1263" s="43">
        <f ca="1">_xll.BInterpol('Base CDI'!$H$4:$H$28,'Base CDI'!$J$4:$J$29,S1263,"Cubic","Extrapolate=Linear","MultiX=Average","Skip=True","Sort=True")</f>
        <v>14.665280253312835</v>
      </c>
      <c r="U1263" s="43">
        <f ca="1">_xll.BInterpol('Base CDI'!$H$4:$H$28,'Base CDI'!$I$4:$I$29,S1263,"Cubic","Extrapolate=Linear","MultiX=Average","Skip=True","Sort=True")</f>
        <v>14.700708129026964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46970</v>
      </c>
      <c r="T1264" s="43">
        <f ca="1">_xll.BInterpol('Base CDI'!$H$4:$H$28,'Base CDI'!$J$4:$J$29,S1264,"Cubic","Extrapolate=Linear","MultiX=Average","Skip=True","Sort=True")</f>
        <v>14.665418541294461</v>
      </c>
      <c r="U1264" s="43">
        <f ca="1">_xll.BInterpol('Base CDI'!$H$4:$H$28,'Base CDI'!$I$4:$I$29,S1264,"Cubic","Extrapolate=Linear","MultiX=Average","Skip=True","Sort=True")</f>
        <v>14.700838407860521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46971</v>
      </c>
      <c r="T1265" s="43">
        <f ca="1">_xll.BInterpol('Base CDI'!$H$4:$H$28,'Base CDI'!$J$4:$J$29,S1265,"Cubic","Extrapolate=Linear","MultiX=Average","Skip=True","Sort=True")</f>
        <v>14.665557283830056</v>
      </c>
      <c r="U1265" s="43">
        <f ca="1">_xll.BInterpol('Base CDI'!$H$4:$H$28,'Base CDI'!$I$4:$I$29,S1265,"Cubic","Extrapolate=Linear","MultiX=Average","Skip=True","Sort=True")</f>
        <v>14.700969144078728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46972</v>
      </c>
      <c r="T1266" s="43">
        <f ca="1">_xll.BInterpol('Base CDI'!$H$4:$H$28,'Base CDI'!$J$4:$J$29,S1266,"Cubic","Extrapolate=Linear","MultiX=Average","Skip=True","Sort=True")</f>
        <v>14.665696478591403</v>
      </c>
      <c r="U1266" s="43">
        <f ca="1">_xll.BInterpol('Base CDI'!$H$4:$H$28,'Base CDI'!$I$4:$I$29,S1266,"Cubic","Extrapolate=Linear","MultiX=Average","Skip=True","Sort=True")</f>
        <v>14.701100336685782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46973</v>
      </c>
      <c r="T1267" s="43">
        <f ca="1">_xll.BInterpol('Base CDI'!$H$4:$H$28,'Base CDI'!$J$4:$J$29,S1267,"Cubic","Extrapolate=Linear","MultiX=Average","Skip=True","Sort=True")</f>
        <v>14.665836123250292</v>
      </c>
      <c r="U1267" s="43">
        <f ca="1">_xll.BInterpol('Base CDI'!$H$4:$H$28,'Base CDI'!$I$4:$I$29,S1267,"Cubic","Extrapolate=Linear","MultiX=Average","Skip=True","Sort=True")</f>
        <v>14.701231984685878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46974</v>
      </c>
      <c r="T1268" s="43">
        <f ca="1">_xll.BInterpol('Base CDI'!$H$4:$H$28,'Base CDI'!$J$4:$J$29,S1268,"Cubic","Extrapolate=Linear","MultiX=Average","Skip=True","Sort=True")</f>
        <v>14.665976215478507</v>
      </c>
      <c r="U1268" s="43">
        <f ca="1">_xll.BInterpol('Base CDI'!$H$4:$H$28,'Base CDI'!$I$4:$I$29,S1268,"Cubic","Extrapolate=Linear","MultiX=Average","Skip=True","Sort=True")</f>
        <v>14.701364087083215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46975</v>
      </c>
      <c r="T1269" s="43">
        <f ca="1">_xll.BInterpol('Base CDI'!$H$4:$H$28,'Base CDI'!$J$4:$J$29,S1269,"Cubic","Extrapolate=Linear","MultiX=Average","Skip=True","Sort=True")</f>
        <v>14.666116752947834</v>
      </c>
      <c r="U1269" s="43">
        <f ca="1">_xll.BInterpol('Base CDI'!$H$4:$H$28,'Base CDI'!$I$4:$I$29,S1269,"Cubic","Extrapolate=Linear","MultiX=Average","Skip=True","Sort=True")</f>
        <v>14.701496642881992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46976</v>
      </c>
      <c r="T1270" s="43">
        <f ca="1">_xll.BInterpol('Base CDI'!$H$4:$H$28,'Base CDI'!$J$4:$J$29,S1270,"Cubic","Extrapolate=Linear","MultiX=Average","Skip=True","Sort=True")</f>
        <v>14.666257733330058</v>
      </c>
      <c r="U1270" s="43">
        <f ca="1">_xll.BInterpol('Base CDI'!$H$4:$H$28,'Base CDI'!$I$4:$I$29,S1270,"Cubic","Extrapolate=Linear","MultiX=Average","Skip=True","Sort=True")</f>
        <v>14.701629651086403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46977</v>
      </c>
      <c r="T1271" s="43">
        <f ca="1">_xll.BInterpol('Base CDI'!$H$4:$H$28,'Base CDI'!$J$4:$J$29,S1271,"Cubic","Extrapolate=Linear","MultiX=Average","Skip=True","Sort=True")</f>
        <v>14.666399154296967</v>
      </c>
      <c r="U1271" s="43">
        <f ca="1">_xll.BInterpol('Base CDI'!$H$4:$H$28,'Base CDI'!$I$4:$I$29,S1271,"Cubic","Extrapolate=Linear","MultiX=Average","Skip=True","Sort=True")</f>
        <v>14.701763110700648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46978</v>
      </c>
      <c r="T1272" s="43">
        <f ca="1">_xll.BInterpol('Base CDI'!$H$4:$H$28,'Base CDI'!$J$4:$J$29,S1272,"Cubic","Extrapolate=Linear","MultiX=Average","Skip=True","Sort=True")</f>
        <v>14.666541013520344</v>
      </c>
      <c r="U1272" s="43">
        <f ca="1">_xll.BInterpol('Base CDI'!$H$4:$H$28,'Base CDI'!$I$4:$I$29,S1272,"Cubic","Extrapolate=Linear","MultiX=Average","Skip=True","Sort=True")</f>
        <v>14.701897020728923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46979</v>
      </c>
      <c r="T1273" s="43">
        <f ca="1">_xll.BInterpol('Base CDI'!$H$4:$H$28,'Base CDI'!$J$4:$J$29,S1273,"Cubic","Extrapolate=Linear","MultiX=Average","Skip=True","Sort=True")</f>
        <v>14.666683308671976</v>
      </c>
      <c r="U1273" s="43">
        <f ca="1">_xll.BInterpol('Base CDI'!$H$4:$H$28,'Base CDI'!$I$4:$I$29,S1273,"Cubic","Extrapolate=Linear","MultiX=Average","Skip=True","Sort=True")</f>
        <v>14.702031380175427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46980</v>
      </c>
      <c r="T1274" s="43">
        <f ca="1">_xll.BInterpol('Base CDI'!$H$4:$H$28,'Base CDI'!$J$4:$J$29,S1274,"Cubic","Extrapolate=Linear","MultiX=Average","Skip=True","Sort=True")</f>
        <v>14.66682603742365</v>
      </c>
      <c r="U1274" s="43">
        <f ca="1">_xll.BInterpol('Base CDI'!$H$4:$H$28,'Base CDI'!$I$4:$I$29,S1274,"Cubic","Extrapolate=Linear","MultiX=Average","Skip=True","Sort=True")</f>
        <v>14.702166188044357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46981</v>
      </c>
      <c r="T1275" s="43">
        <f ca="1">_xll.BInterpol('Base CDI'!$H$4:$H$28,'Base CDI'!$J$4:$J$29,S1275,"Cubic","Extrapolate=Linear","MultiX=Average","Skip=True","Sort=True")</f>
        <v>14.666969197447152</v>
      </c>
      <c r="U1275" s="43">
        <f ca="1">_xll.BInterpol('Base CDI'!$H$4:$H$28,'Base CDI'!$I$4:$I$29,S1275,"Cubic","Extrapolate=Linear","MultiX=Average","Skip=True","Sort=True")</f>
        <v>14.702301443339909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46982</v>
      </c>
      <c r="T1276" s="43">
        <f ca="1">_xll.BInterpol('Base CDI'!$H$4:$H$28,'Base CDI'!$J$4:$J$29,S1276,"Cubic","Extrapolate=Linear","MultiX=Average","Skip=True","Sort=True")</f>
        <v>14.667112786414267</v>
      </c>
      <c r="U1276" s="43">
        <f ca="1">_xll.BInterpol('Base CDI'!$H$4:$H$28,'Base CDI'!$I$4:$I$29,S1276,"Cubic","Extrapolate=Linear","MultiX=Average","Skip=True","Sort=True")</f>
        <v>14.702437145066282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46983</v>
      </c>
      <c r="T1277" s="43">
        <f ca="1">_xll.BInterpol('Base CDI'!$H$4:$H$28,'Base CDI'!$J$4:$J$29,S1277,"Cubic","Extrapolate=Linear","MultiX=Average","Skip=True","Sort=True")</f>
        <v>14.66725680199678</v>
      </c>
      <c r="U1277" s="43">
        <f ca="1">_xll.BInterpol('Base CDI'!$H$4:$H$28,'Base CDI'!$I$4:$I$29,S1277,"Cubic","Extrapolate=Linear","MultiX=Average","Skip=True","Sort=True")</f>
        <v>14.702573292227674</v>
      </c>
    </row>
    <row r="1278" spans="16:21" x14ac:dyDescent="0.25">
      <c r="P1278" s="10">
        <v>36371</v>
      </c>
      <c r="Q1278">
        <v>4.685009</v>
      </c>
      <c r="S1278" s="42">
        <f t="shared" ca="1" si="24"/>
        <v>46984</v>
      </c>
      <c r="T1278" s="43">
        <f ca="1">_xll.BInterpol('Base CDI'!$H$4:$H$28,'Base CDI'!$J$4:$J$29,S1278,"Cubic","Extrapolate=Linear","MultiX=Average","Skip=True","Sort=True")</f>
        <v>14.667401241866479</v>
      </c>
      <c r="U1278" s="43">
        <f ca="1">_xll.BInterpol('Base CDI'!$H$4:$H$28,'Base CDI'!$I$4:$I$29,S1278,"Cubic","Extrapolate=Linear","MultiX=Average","Skip=True","Sort=True")</f>
        <v>14.70270988382828</v>
      </c>
    </row>
    <row r="1279" spans="16:21" x14ac:dyDescent="0.25">
      <c r="P1279" s="10">
        <v>36374</v>
      </c>
      <c r="Q1279">
        <v>4.688288</v>
      </c>
      <c r="S1279" s="42">
        <f t="shared" ca="1" si="24"/>
        <v>46985</v>
      </c>
      <c r="T1279" s="43">
        <f ca="1">_xll.BInterpol('Base CDI'!$H$4:$H$28,'Base CDI'!$J$4:$J$29,S1279,"Cubic","Extrapolate=Linear","MultiX=Average","Skip=True","Sort=True")</f>
        <v>14.667546103695146</v>
      </c>
      <c r="U1279" s="43">
        <f ca="1">_xll.BInterpol('Base CDI'!$H$4:$H$28,'Base CDI'!$I$4:$I$29,S1279,"Cubic","Extrapolate=Linear","MultiX=Average","Skip=True","Sort=True")</f>
        <v>14.7028469188723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46986</v>
      </c>
      <c r="T1280" s="43">
        <f ca="1">_xll.BInterpol('Base CDI'!$H$4:$H$28,'Base CDI'!$J$4:$J$29,S1280,"Cubic","Extrapolate=Linear","MultiX=Average","Skip=True","Sort=True")</f>
        <v>14.667691385154573</v>
      </c>
      <c r="U1280" s="43">
        <f ca="1">_xll.BInterpol('Base CDI'!$H$4:$H$28,'Base CDI'!$I$4:$I$29,S1280,"Cubic","Extrapolate=Linear","MultiX=Average","Skip=True","Sort=True")</f>
        <v>14.702984396363929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46987</v>
      </c>
      <c r="T1281" s="43">
        <f ca="1">_xll.BInterpol('Base CDI'!$H$4:$H$28,'Base CDI'!$J$4:$J$29,S1281,"Cubic","Extrapolate=Linear","MultiX=Average","Skip=True","Sort=True")</f>
        <v>14.667837083916542</v>
      </c>
      <c r="U1281" s="43">
        <f ca="1">_xll.BInterpol('Base CDI'!$H$4:$H$28,'Base CDI'!$I$4:$I$29,S1281,"Cubic","Extrapolate=Linear","MultiX=Average","Skip=True","Sort=True")</f>
        <v>14.703122315307368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46988</v>
      </c>
      <c r="T1282" s="43">
        <f ca="1">_xll.BInterpol('Base CDI'!$H$4:$H$28,'Base CDI'!$J$4:$J$29,S1282,"Cubic","Extrapolate=Linear","MultiX=Average","Skip=True","Sort=True")</f>
        <v>14.667983197652838</v>
      </c>
      <c r="U1282" s="43">
        <f ca="1">_xll.BInterpol('Base CDI'!$H$4:$H$28,'Base CDI'!$I$4:$I$29,S1282,"Cubic","Extrapolate=Linear","MultiX=Average","Skip=True","Sort=True")</f>
        <v>14.70326067470681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46989</v>
      </c>
      <c r="T1283" s="43">
        <f ca="1">_xll.BInterpol('Base CDI'!$H$4:$H$28,'Base CDI'!$J$4:$J$29,S1283,"Cubic","Extrapolate=Linear","MultiX=Average","Skip=True","Sort=True")</f>
        <v>14.668129724035248</v>
      </c>
      <c r="U1283" s="43">
        <f ca="1">_xll.BInterpol('Base CDI'!$H$4:$H$28,'Base CDI'!$I$4:$I$29,S1283,"Cubic","Extrapolate=Linear","MultiX=Average","Skip=True","Sort=True")</f>
        <v>14.703399473566456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46990</v>
      </c>
      <c r="T1284" s="43">
        <f ca="1">_xll.BInterpol('Base CDI'!$H$4:$H$28,'Base CDI'!$J$4:$J$29,S1284,"Cubic","Extrapolate=Linear","MultiX=Average","Skip=True","Sort=True")</f>
        <v>14.668276660735561</v>
      </c>
      <c r="U1284" s="43">
        <f ca="1">_xll.BInterpol('Base CDI'!$H$4:$H$28,'Base CDI'!$I$4:$I$29,S1284,"Cubic","Extrapolate=Linear","MultiX=Average","Skip=True","Sort=True")</f>
        <v>14.703538710890502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46991</v>
      </c>
      <c r="T1285" s="43">
        <f ca="1">_xll.BInterpol('Base CDI'!$H$4:$H$28,'Base CDI'!$J$4:$J$29,S1285,"Cubic","Extrapolate=Linear","MultiX=Average","Skip=True","Sort=True")</f>
        <v>14.668424005425559</v>
      </c>
      <c r="U1285" s="43">
        <f ca="1">_xll.BInterpol('Base CDI'!$H$4:$H$28,'Base CDI'!$I$4:$I$29,S1285,"Cubic","Extrapolate=Linear","MultiX=Average","Skip=True","Sort=True")</f>
        <v>14.703678385683146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46992</v>
      </c>
      <c r="T1286" s="43">
        <f ca="1">_xll.BInterpol('Base CDI'!$H$4:$H$28,'Base CDI'!$J$4:$J$29,S1286,"Cubic","Extrapolate=Linear","MultiX=Average","Skip=True","Sort=True")</f>
        <v>14.668571755777027</v>
      </c>
      <c r="U1286" s="43">
        <f ca="1">_xll.BInterpol('Base CDI'!$H$4:$H$28,'Base CDI'!$I$4:$I$29,S1286,"Cubic","Extrapolate=Linear","MultiX=Average","Skip=True","Sort=True")</f>
        <v>14.703818496948584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46993</v>
      </c>
      <c r="T1287" s="43">
        <f ca="1">_xll.BInterpol('Base CDI'!$H$4:$H$28,'Base CDI'!$J$4:$J$29,S1287,"Cubic","Extrapolate=Linear","MultiX=Average","Skip=True","Sort=True")</f>
        <v>14.668719909461755</v>
      </c>
      <c r="U1287" s="43">
        <f ca="1">_xll.BInterpol('Base CDI'!$H$4:$H$28,'Base CDI'!$I$4:$I$29,S1287,"Cubic","Extrapolate=Linear","MultiX=Average","Skip=True","Sort=True")</f>
        <v>14.703959043691015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46994</v>
      </c>
      <c r="T1288" s="43">
        <f ca="1">_xll.BInterpol('Base CDI'!$H$4:$H$28,'Base CDI'!$J$4:$J$29,S1288,"Cubic","Extrapolate=Linear","MultiX=Average","Skip=True","Sort=True")</f>
        <v>14.668868464151526</v>
      </c>
      <c r="U1288" s="43">
        <f ca="1">_xll.BInterpol('Base CDI'!$H$4:$H$28,'Base CDI'!$I$4:$I$29,S1288,"Cubic","Extrapolate=Linear","MultiX=Average","Skip=True","Sort=True")</f>
        <v>14.704100024914636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46995</v>
      </c>
      <c r="T1289" s="43">
        <f ca="1">_xll.BInterpol('Base CDI'!$H$4:$H$28,'Base CDI'!$J$4:$J$29,S1289,"Cubic","Extrapolate=Linear","MultiX=Average","Skip=True","Sort=True")</f>
        <v>14.669017417518127</v>
      </c>
      <c r="U1289" s="43">
        <f ca="1">_xll.BInterpol('Base CDI'!$H$4:$H$28,'Base CDI'!$I$4:$I$29,S1289,"Cubic","Extrapolate=Linear","MultiX=Average","Skip=True","Sort=True")</f>
        <v>14.704241439623644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46996</v>
      </c>
      <c r="T1290" s="43">
        <f ca="1">_xll.BInterpol('Base CDI'!$H$4:$H$28,'Base CDI'!$J$4:$J$29,S1290,"Cubic","Extrapolate=Linear","MultiX=Average","Skip=True","Sort=True")</f>
        <v>14.669166767233344</v>
      </c>
      <c r="U1290" s="43">
        <f ca="1">_xll.BInterpol('Base CDI'!$H$4:$H$28,'Base CDI'!$I$4:$I$29,S1290,"Cubic","Extrapolate=Linear","MultiX=Average","Skip=True","Sort=True")</f>
        <v>14.704383286822237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46997</v>
      </c>
      <c r="T1291" s="43">
        <f ca="1">_xll.BInterpol('Base CDI'!$H$4:$H$28,'Base CDI'!$J$4:$J$29,S1291,"Cubic","Extrapolate=Linear","MultiX=Average","Skip=True","Sort=True")</f>
        <v>14.669316510968962</v>
      </c>
      <c r="U1291" s="43">
        <f ca="1">_xll.BInterpol('Base CDI'!$H$4:$H$28,'Base CDI'!$I$4:$I$29,S1291,"Cubic","Extrapolate=Linear","MultiX=Average","Skip=True","Sort=True")</f>
        <v>14.704525565514611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46998</v>
      </c>
      <c r="T1292" s="43">
        <f ca="1">_xll.BInterpol('Base CDI'!$H$4:$H$28,'Base CDI'!$J$4:$J$29,S1292,"Cubic","Extrapolate=Linear","MultiX=Average","Skip=True","Sort=True")</f>
        <v>14.669466646396767</v>
      </c>
      <c r="U1292" s="43">
        <f ca="1">_xll.BInterpol('Base CDI'!$H$4:$H$28,'Base CDI'!$I$4:$I$29,S1292,"Cubic","Extrapolate=Linear","MultiX=Average","Skip=True","Sort=True")</f>
        <v>14.704668274704968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46999</v>
      </c>
      <c r="T1293" s="43">
        <f ca="1">_xll.BInterpol('Base CDI'!$H$4:$H$28,'Base CDI'!$J$4:$J$29,S1293,"Cubic","Extrapolate=Linear","MultiX=Average","Skip=True","Sort=True")</f>
        <v>14.669617171188547</v>
      </c>
      <c r="U1293" s="43">
        <f ca="1">_xll.BInterpol('Base CDI'!$H$4:$H$28,'Base CDI'!$I$4:$I$29,S1293,"Cubic","Extrapolate=Linear","MultiX=Average","Skip=True","Sort=True")</f>
        <v>14.704811413397501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47000</v>
      </c>
      <c r="T1294" s="43">
        <f ca="1">_xll.BInterpol('Base CDI'!$H$4:$H$28,'Base CDI'!$J$4:$J$29,S1294,"Cubic","Extrapolate=Linear","MultiX=Average","Skip=True","Sort=True")</f>
        <v>14.669768083016086</v>
      </c>
      <c r="U1294" s="43">
        <f ca="1">_xll.BInterpol('Base CDI'!$H$4:$H$28,'Base CDI'!$I$4:$I$29,S1294,"Cubic","Extrapolate=Linear","MultiX=Average","Skip=True","Sort=True")</f>
        <v>14.704954980596407</v>
      </c>
    </row>
    <row r="1295" spans="16:21" x14ac:dyDescent="0.25">
      <c r="P1295" s="10">
        <v>36396</v>
      </c>
      <c r="Q1295">
        <v>4.740926</v>
      </c>
      <c r="S1295" s="42">
        <f t="shared" ca="1" si="25"/>
        <v>47001</v>
      </c>
      <c r="T1295" s="43">
        <f ca="1">_xll.BInterpol('Base CDI'!$H$4:$H$28,'Base CDI'!$J$4:$J$29,S1295,"Cubic","Extrapolate=Linear","MultiX=Average","Skip=True","Sort=True")</f>
        <v>14.669919379551168</v>
      </c>
      <c r="U1295" s="43">
        <f ca="1">_xll.BInterpol('Base CDI'!$H$4:$H$28,'Base CDI'!$I$4:$I$29,S1295,"Cubic","Extrapolate=Linear","MultiX=Average","Skip=True","Sort=True")</f>
        <v>14.705098975305885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47002</v>
      </c>
      <c r="T1296" s="43">
        <f ca="1">_xll.BInterpol('Base CDI'!$H$4:$H$28,'Base CDI'!$J$4:$J$29,S1296,"Cubic","Extrapolate=Linear","MultiX=Average","Skip=True","Sort=True")</f>
        <v>14.670071058465583</v>
      </c>
      <c r="U1296" s="43">
        <f ca="1">_xll.BInterpol('Base CDI'!$H$4:$H$28,'Base CDI'!$I$4:$I$29,S1296,"Cubic","Extrapolate=Linear","MultiX=Average","Skip=True","Sort=True")</f>
        <v>14.705243396530134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47003</v>
      </c>
      <c r="T1297" s="43">
        <f ca="1">_xll.BInterpol('Base CDI'!$H$4:$H$28,'Base CDI'!$J$4:$J$29,S1297,"Cubic","Extrapolate=Linear","MultiX=Average","Skip=True","Sort=True")</f>
        <v>14.670223117431114</v>
      </c>
      <c r="U1297" s="43">
        <f ca="1">_xll.BInterpol('Base CDI'!$H$4:$H$28,'Base CDI'!$I$4:$I$29,S1297,"Cubic","Extrapolate=Linear","MultiX=Average","Skip=True","Sort=True")</f>
        <v>14.705388243273349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47004</v>
      </c>
      <c r="T1298" s="43">
        <f ca="1">_xll.BInterpol('Base CDI'!$H$4:$H$28,'Base CDI'!$J$4:$J$29,S1298,"Cubic","Extrapolate=Linear","MultiX=Average","Skip=True","Sort=True")</f>
        <v>14.670375554119547</v>
      </c>
      <c r="U1298" s="43">
        <f ca="1">_xll.BInterpol('Base CDI'!$H$4:$H$28,'Base CDI'!$I$4:$I$29,S1298,"Cubic","Extrapolate=Linear","MultiX=Average","Skip=True","Sort=True")</f>
        <v>14.705533514539729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47005</v>
      </c>
      <c r="T1299" s="43">
        <f ca="1">_xll.BInterpol('Base CDI'!$H$4:$H$28,'Base CDI'!$J$4:$J$29,S1299,"Cubic","Extrapolate=Linear","MultiX=Average","Skip=True","Sort=True")</f>
        <v>14.670528366202671</v>
      </c>
      <c r="U1299" s="43">
        <f ca="1">_xll.BInterpol('Base CDI'!$H$4:$H$28,'Base CDI'!$I$4:$I$29,S1299,"Cubic","Extrapolate=Linear","MultiX=Average","Skip=True","Sort=True")</f>
        <v>14.705679209333471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47006</v>
      </c>
      <c r="T1300" s="43">
        <f ca="1">_xll.BInterpol('Base CDI'!$H$4:$H$28,'Base CDI'!$J$4:$J$29,S1300,"Cubic","Extrapolate=Linear","MultiX=Average","Skip=True","Sort=True")</f>
        <v>14.670681551352267</v>
      </c>
      <c r="U1300" s="43">
        <f ca="1">_xll.BInterpol('Base CDI'!$H$4:$H$28,'Base CDI'!$I$4:$I$29,S1300,"Cubic","Extrapolate=Linear","MultiX=Average","Skip=True","Sort=True")</f>
        <v>14.705825326658774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47007</v>
      </c>
      <c r="T1301" s="43">
        <f ca="1">_xll.BInterpol('Base CDI'!$H$4:$H$28,'Base CDI'!$J$4:$J$29,S1301,"Cubic","Extrapolate=Linear","MultiX=Average","Skip=True","Sort=True")</f>
        <v>14.670835107240125</v>
      </c>
      <c r="U1301" s="43">
        <f ca="1">_xll.BInterpol('Base CDI'!$H$4:$H$28,'Base CDI'!$I$4:$I$29,S1301,"Cubic","Extrapolate=Linear","MultiX=Average","Skip=True","Sort=True")</f>
        <v>14.705971865519832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47008</v>
      </c>
      <c r="T1302" s="43">
        <f ca="1">_xll.BInterpol('Base CDI'!$H$4:$H$28,'Base CDI'!$J$4:$J$29,S1302,"Cubic","Extrapolate=Linear","MultiX=Average","Skip=True","Sort=True")</f>
        <v>14.670989031538028</v>
      </c>
      <c r="U1302" s="43">
        <f ca="1">_xll.BInterpol('Base CDI'!$H$4:$H$28,'Base CDI'!$I$4:$I$29,S1302,"Cubic","Extrapolate=Linear","MultiX=Average","Skip=True","Sort=True")</f>
        <v>14.706118824920843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47009</v>
      </c>
      <c r="T1303" s="43">
        <f ca="1">_xll.BInterpol('Base CDI'!$H$4:$H$28,'Base CDI'!$J$4:$J$29,S1303,"Cubic","Extrapolate=Linear","MultiX=Average","Skip=True","Sort=True")</f>
        <v>14.671143321917764</v>
      </c>
      <c r="U1303" s="43">
        <f ca="1">_xll.BInterpol('Base CDI'!$H$4:$H$28,'Base CDI'!$I$4:$I$29,S1303,"Cubic","Extrapolate=Linear","MultiX=Average","Skip=True","Sort=True")</f>
        <v>14.706266203866008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47010</v>
      </c>
      <c r="T1304" s="43">
        <f ca="1">_xll.BInterpol('Base CDI'!$H$4:$H$28,'Base CDI'!$J$4:$J$29,S1304,"Cubic","Extrapolate=Linear","MultiX=Average","Skip=True","Sort=True")</f>
        <v>14.67129797605112</v>
      </c>
      <c r="U1304" s="43">
        <f ca="1">_xll.BInterpol('Base CDI'!$H$4:$H$28,'Base CDI'!$I$4:$I$29,S1304,"Cubic","Extrapolate=Linear","MultiX=Average","Skip=True","Sort=True")</f>
        <v>14.706414001359519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47011</v>
      </c>
      <c r="T1305" s="43">
        <f ca="1">_xll.BInterpol('Base CDI'!$H$4:$H$28,'Base CDI'!$J$4:$J$29,S1305,"Cubic","Extrapolate=Linear","MultiX=Average","Skip=True","Sort=True")</f>
        <v>14.671452991609877</v>
      </c>
      <c r="U1305" s="43">
        <f ca="1">_xll.BInterpol('Base CDI'!$H$4:$H$28,'Base CDI'!$I$4:$I$29,S1305,"Cubic","Extrapolate=Linear","MultiX=Average","Skip=True","Sort=True")</f>
        <v>14.70656221640558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47012</v>
      </c>
      <c r="T1306" s="43">
        <f ca="1">_xll.BInterpol('Base CDI'!$H$4:$H$28,'Base CDI'!$J$4:$J$29,S1306,"Cubic","Extrapolate=Linear","MultiX=Average","Skip=True","Sort=True")</f>
        <v>14.671608366265826</v>
      </c>
      <c r="U1306" s="43">
        <f ca="1">_xll.BInterpol('Base CDI'!$H$4:$H$28,'Base CDI'!$I$4:$I$29,S1306,"Cubic","Extrapolate=Linear","MultiX=Average","Skip=True","Sort=True")</f>
        <v>14.706710848008383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47013</v>
      </c>
      <c r="T1307" s="43">
        <f ca="1">_xll.BInterpol('Base CDI'!$H$4:$H$28,'Base CDI'!$J$4:$J$29,S1307,"Cubic","Extrapolate=Linear","MultiX=Average","Skip=True","Sort=True")</f>
        <v>14.671764097690749</v>
      </c>
      <c r="U1307" s="43">
        <f ca="1">_xll.BInterpol('Base CDI'!$H$4:$H$28,'Base CDI'!$I$4:$I$29,S1307,"Cubic","Extrapolate=Linear","MultiX=Average","Skip=True","Sort=True")</f>
        <v>14.706859895172128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47014</v>
      </c>
      <c r="T1308" s="43">
        <f ca="1">_xll.BInterpol('Base CDI'!$H$4:$H$28,'Base CDI'!$J$4:$J$29,S1308,"Cubic","Extrapolate=Linear","MultiX=Average","Skip=True","Sort=True")</f>
        <v>14.671920183556436</v>
      </c>
      <c r="U1308" s="43">
        <f ca="1">_xll.BInterpol('Base CDI'!$H$4:$H$28,'Base CDI'!$I$4:$I$29,S1308,"Cubic","Extrapolate=Linear","MultiX=Average","Skip=True","Sort=True")</f>
        <v>14.707009356901013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47015</v>
      </c>
      <c r="T1309" s="43">
        <f ca="1">_xll.BInterpol('Base CDI'!$H$4:$H$28,'Base CDI'!$J$4:$J$29,S1309,"Cubic","Extrapolate=Linear","MultiX=Average","Skip=True","Sort=True")</f>
        <v>14.67207662153467</v>
      </c>
      <c r="U1309" s="43">
        <f ca="1">_xll.BInterpol('Base CDI'!$H$4:$H$28,'Base CDI'!$I$4:$I$29,S1309,"Cubic","Extrapolate=Linear","MultiX=Average","Skip=True","Sort=True")</f>
        <v>14.707159232199233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47016</v>
      </c>
      <c r="T1310" s="43">
        <f ca="1">_xll.BInterpol('Base CDI'!$H$4:$H$28,'Base CDI'!$J$4:$J$29,S1310,"Cubic","Extrapolate=Linear","MultiX=Average","Skip=True","Sort=True")</f>
        <v>14.672233409297236</v>
      </c>
      <c r="U1310" s="43">
        <f ca="1">_xll.BInterpol('Base CDI'!$H$4:$H$28,'Base CDI'!$I$4:$I$29,S1310,"Cubic","Extrapolate=Linear","MultiX=Average","Skip=True","Sort=True")</f>
        <v>14.707309520070988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47017</v>
      </c>
      <c r="T1311" s="43">
        <f ca="1">_xll.BInterpol('Base CDI'!$H$4:$H$28,'Base CDI'!$J$4:$J$29,S1311,"Cubic","Extrapolate=Linear","MultiX=Average","Skip=True","Sort=True")</f>
        <v>14.672390544515922</v>
      </c>
      <c r="U1311" s="43">
        <f ca="1">_xll.BInterpol('Base CDI'!$H$4:$H$28,'Base CDI'!$I$4:$I$29,S1311,"Cubic","Extrapolate=Linear","MultiX=Average","Skip=True","Sort=True")</f>
        <v>14.707460219520472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47018</v>
      </c>
      <c r="T1312" s="43">
        <f ca="1">_xll.BInterpol('Base CDI'!$H$4:$H$28,'Base CDI'!$J$4:$J$29,S1312,"Cubic","Extrapolate=Linear","MultiX=Average","Skip=True","Sort=True")</f>
        <v>14.672548024862515</v>
      </c>
      <c r="U1312" s="43">
        <f ca="1">_xll.BInterpol('Base CDI'!$H$4:$H$28,'Base CDI'!$I$4:$I$29,S1312,"Cubic","Extrapolate=Linear","MultiX=Average","Skip=True","Sort=True")</f>
        <v>14.707611329551886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47019</v>
      </c>
      <c r="T1313" s="43">
        <f ca="1">_xll.BInterpol('Base CDI'!$H$4:$H$28,'Base CDI'!$J$4:$J$29,S1313,"Cubic","Extrapolate=Linear","MultiX=Average","Skip=True","Sort=True")</f>
        <v>14.672705848008798</v>
      </c>
      <c r="U1313" s="43">
        <f ca="1">_xll.BInterpol('Base CDI'!$H$4:$H$28,'Base CDI'!$I$4:$I$29,S1313,"Cubic","Extrapolate=Linear","MultiX=Average","Skip=True","Sort=True")</f>
        <v>14.707762849169427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47020</v>
      </c>
      <c r="T1314" s="43">
        <f ca="1">_xll.BInterpol('Base CDI'!$H$4:$H$28,'Base CDI'!$J$4:$J$29,S1314,"Cubic","Extrapolate=Linear","MultiX=Average","Skip=True","Sort=True")</f>
        <v>14.672864011626558</v>
      </c>
      <c r="U1314" s="43">
        <f ca="1">_xll.BInterpol('Base CDI'!$H$4:$H$28,'Base CDI'!$I$4:$I$29,S1314,"Cubic","Extrapolate=Linear","MultiX=Average","Skip=True","Sort=True")</f>
        <v>14.707914777377292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47021</v>
      </c>
      <c r="T1315" s="43">
        <f ca="1">_xll.BInterpol('Base CDI'!$H$4:$H$28,'Base CDI'!$J$4:$J$29,S1315,"Cubic","Extrapolate=Linear","MultiX=Average","Skip=True","Sort=True")</f>
        <v>14.673022513387581</v>
      </c>
      <c r="U1315" s="43">
        <f ca="1">_xll.BInterpol('Base CDI'!$H$4:$H$28,'Base CDI'!$I$4:$I$29,S1315,"Cubic","Extrapolate=Linear","MultiX=Average","Skip=True","Sort=True")</f>
        <v>14.708067113179677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47022</v>
      </c>
      <c r="T1316" s="43">
        <f ca="1">_xll.BInterpol('Base CDI'!$H$4:$H$28,'Base CDI'!$J$4:$J$29,S1316,"Cubic","Extrapolate=Linear","MultiX=Average","Skip=True","Sort=True")</f>
        <v>14.673181350963652</v>
      </c>
      <c r="U1316" s="43">
        <f ca="1">_xll.BInterpol('Base CDI'!$H$4:$H$28,'Base CDI'!$I$4:$I$29,S1316,"Cubic","Extrapolate=Linear","MultiX=Average","Skip=True","Sort=True")</f>
        <v>14.708219855580781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47023</v>
      </c>
      <c r="T1317" s="43">
        <f ca="1">_xll.BInterpol('Base CDI'!$H$4:$H$28,'Base CDI'!$J$4:$J$29,S1317,"Cubic","Extrapolate=Linear","MultiX=Average","Skip=True","Sort=True")</f>
        <v>14.673340522026558</v>
      </c>
      <c r="U1317" s="43">
        <f ca="1">_xll.BInterpol('Base CDI'!$H$4:$H$28,'Base CDI'!$I$4:$I$29,S1317,"Cubic","Extrapolate=Linear","MultiX=Average","Skip=True","Sort=True")</f>
        <v>14.7083730035848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47024</v>
      </c>
      <c r="T1318" s="43">
        <f ca="1">_xll.BInterpol('Base CDI'!$H$4:$H$28,'Base CDI'!$J$4:$J$29,S1318,"Cubic","Extrapolate=Linear","MultiX=Average","Skip=True","Sort=True")</f>
        <v>14.673500024248087</v>
      </c>
      <c r="U1318" s="43">
        <f ca="1">_xll.BInterpol('Base CDI'!$H$4:$H$28,'Base CDI'!$I$4:$I$29,S1318,"Cubic","Extrapolate=Linear","MultiX=Average","Skip=True","Sort=True")</f>
        <v>14.708526556195933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47025</v>
      </c>
      <c r="T1319" s="43">
        <f ca="1">_xll.BInterpol('Base CDI'!$H$4:$H$28,'Base CDI'!$J$4:$J$29,S1319,"Cubic","Extrapolate=Linear","MultiX=Average","Skip=True","Sort=True")</f>
        <v>14.67365985530002</v>
      </c>
      <c r="U1319" s="43">
        <f ca="1">_xll.BInterpol('Base CDI'!$H$4:$H$28,'Base CDI'!$I$4:$I$29,S1319,"Cubic","Extrapolate=Linear","MultiX=Average","Skip=True","Sort=True")</f>
        <v>14.708680512418377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47026</v>
      </c>
      <c r="T1320" s="43">
        <f ca="1">_xll.BInterpol('Base CDI'!$H$4:$H$28,'Base CDI'!$J$4:$J$29,S1320,"Cubic","Extrapolate=Linear","MultiX=Average","Skip=True","Sort=True")</f>
        <v>14.673820012854147</v>
      </c>
      <c r="U1320" s="43">
        <f ca="1">_xll.BInterpol('Base CDI'!$H$4:$H$28,'Base CDI'!$I$4:$I$29,S1320,"Cubic","Extrapolate=Linear","MultiX=Average","Skip=True","Sort=True")</f>
        <v>14.708834871256329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47027</v>
      </c>
      <c r="T1321" s="43">
        <f ca="1">_xll.BInterpol('Base CDI'!$H$4:$H$28,'Base CDI'!$J$4:$J$29,S1321,"Cubic","Extrapolate=Linear","MultiX=Average","Skip=True","Sort=True")</f>
        <v>14.673980494582251</v>
      </c>
      <c r="U1321" s="43">
        <f ca="1">_xll.BInterpol('Base CDI'!$H$4:$H$28,'Base CDI'!$I$4:$I$29,S1321,"Cubic","Extrapolate=Linear","MultiX=Average","Skip=True","Sort=True")</f>
        <v>14.708989631713987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47028</v>
      </c>
      <c r="T1322" s="43">
        <f ca="1">_xll.BInterpol('Base CDI'!$H$4:$H$28,'Base CDI'!$J$4:$J$29,S1322,"Cubic","Extrapolate=Linear","MultiX=Average","Skip=True","Sort=True")</f>
        <v>14.674141298156121</v>
      </c>
      <c r="U1322" s="43">
        <f ca="1">_xll.BInterpol('Base CDI'!$H$4:$H$28,'Base CDI'!$I$4:$I$29,S1322,"Cubic","Extrapolate=Linear","MultiX=Average","Skip=True","Sort=True")</f>
        <v>14.709144792795549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47029</v>
      </c>
      <c r="T1323" s="43">
        <f ca="1">_xll.BInterpol('Base CDI'!$H$4:$H$28,'Base CDI'!$J$4:$J$29,S1323,"Cubic","Extrapolate=Linear","MultiX=Average","Skip=True","Sort=True")</f>
        <v>14.674302421247539</v>
      </c>
      <c r="U1323" s="43">
        <f ca="1">_xll.BInterpol('Base CDI'!$H$4:$H$28,'Base CDI'!$I$4:$I$29,S1323,"Cubic","Extrapolate=Linear","MultiX=Average","Skip=True","Sort=True")</f>
        <v>14.70930035350521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47030</v>
      </c>
      <c r="T1324" s="43">
        <f ca="1">_xll.BInterpol('Base CDI'!$H$4:$H$28,'Base CDI'!$J$4:$J$29,S1324,"Cubic","Extrapolate=Linear","MultiX=Average","Skip=True","Sort=True")</f>
        <v>14.674463861528295</v>
      </c>
      <c r="U1324" s="43">
        <f ca="1">_xll.BInterpol('Base CDI'!$H$4:$H$28,'Base CDI'!$I$4:$I$29,S1324,"Cubic","Extrapolate=Linear","MultiX=Average","Skip=True","Sort=True")</f>
        <v>14.70945631284717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47031</v>
      </c>
      <c r="T1325" s="43">
        <f ca="1">_xll.BInterpol('Base CDI'!$H$4:$H$28,'Base CDI'!$J$4:$J$29,S1325,"Cubic","Extrapolate=Linear","MultiX=Average","Skip=True","Sort=True")</f>
        <v>14.674625616670172</v>
      </c>
      <c r="U1325" s="43">
        <f ca="1">_xll.BInterpol('Base CDI'!$H$4:$H$28,'Base CDI'!$I$4:$I$29,S1325,"Cubic","Extrapolate=Linear","MultiX=Average","Skip=True","Sort=True")</f>
        <v>14.709612669825626</v>
      </c>
    </row>
    <row r="1326" spans="16:21" x14ac:dyDescent="0.25">
      <c r="P1326" s="10">
        <v>36440</v>
      </c>
      <c r="Q1326">
        <v>4.843915</v>
      </c>
      <c r="S1326" s="42">
        <f t="shared" ca="1" si="25"/>
        <v>47032</v>
      </c>
      <c r="T1326" s="43">
        <f ca="1">_xll.BInterpol('Base CDI'!$H$4:$H$28,'Base CDI'!$J$4:$J$29,S1326,"Cubic","Extrapolate=Linear","MultiX=Average","Skip=True","Sort=True")</f>
        <v>14.674787684344956</v>
      </c>
      <c r="U1326" s="43">
        <f ca="1">_xll.BInterpol('Base CDI'!$H$4:$H$28,'Base CDI'!$I$4:$I$29,S1326,"Cubic","Extrapolate=Linear","MultiX=Average","Skip=True","Sort=True")</f>
        <v>14.709769423444774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47033</v>
      </c>
      <c r="T1327" s="43">
        <f ca="1">_xll.BInterpol('Base CDI'!$H$4:$H$28,'Base CDI'!$J$4:$J$29,S1327,"Cubic","Extrapolate=Linear","MultiX=Average","Skip=True","Sort=True")</f>
        <v>14.674950062224436</v>
      </c>
      <c r="U1327" s="43">
        <f ca="1">_xll.BInterpol('Base CDI'!$H$4:$H$28,'Base CDI'!$I$4:$I$29,S1327,"Cubic","Extrapolate=Linear","MultiX=Average","Skip=True","Sort=True")</f>
        <v>14.709926572708813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47034</v>
      </c>
      <c r="T1328" s="43">
        <f ca="1">_xll.BInterpol('Base CDI'!$H$4:$H$28,'Base CDI'!$J$4:$J$29,S1328,"Cubic","Extrapolate=Linear","MultiX=Average","Skip=True","Sort=True")</f>
        <v>14.675112747980394</v>
      </c>
      <c r="U1328" s="43">
        <f ca="1">_xll.BInterpol('Base CDI'!$H$4:$H$28,'Base CDI'!$I$4:$I$29,S1328,"Cubic","Extrapolate=Linear","MultiX=Average","Skip=True","Sort=True")</f>
        <v>14.710084116621939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47035</v>
      </c>
      <c r="T1329" s="43">
        <f ca="1">_xll.BInterpol('Base CDI'!$H$4:$H$28,'Base CDI'!$J$4:$J$29,S1329,"Cubic","Extrapolate=Linear","MultiX=Average","Skip=True","Sort=True")</f>
        <v>14.675275739284617</v>
      </c>
      <c r="U1329" s="43">
        <f ca="1">_xll.BInterpol('Base CDI'!$H$4:$H$28,'Base CDI'!$I$4:$I$29,S1329,"Cubic","Extrapolate=Linear","MultiX=Average","Skip=True","Sort=True")</f>
        <v>14.710242054188353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47036</v>
      </c>
      <c r="T1330" s="43">
        <f ca="1">_xll.BInterpol('Base CDI'!$H$4:$H$28,'Base CDI'!$J$4:$J$29,S1330,"Cubic","Extrapolate=Linear","MultiX=Average","Skip=True","Sort=True")</f>
        <v>14.675439033808892</v>
      </c>
      <c r="U1330" s="43">
        <f ca="1">_xll.BInterpol('Base CDI'!$H$4:$H$28,'Base CDI'!$I$4:$I$29,S1330,"Cubic","Extrapolate=Linear","MultiX=Average","Skip=True","Sort=True")</f>
        <v>14.710400384412248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47037</v>
      </c>
      <c r="T1331" s="43">
        <f ca="1">_xll.BInterpol('Base CDI'!$H$4:$H$28,'Base CDI'!$J$4:$J$29,S1331,"Cubic","Extrapolate=Linear","MultiX=Average","Skip=True","Sort=True")</f>
        <v>14.675602629225006</v>
      </c>
      <c r="U1331" s="43">
        <f ca="1">_xll.BInterpol('Base CDI'!$H$4:$H$28,'Base CDI'!$I$4:$I$29,S1331,"Cubic","Extrapolate=Linear","MultiX=Average","Skip=True","Sort=True")</f>
        <v>14.710559106297822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47038</v>
      </c>
      <c r="T1332" s="43">
        <f ca="1">_xll.BInterpol('Base CDI'!$H$4:$H$28,'Base CDI'!$J$4:$J$29,S1332,"Cubic","Extrapolate=Linear","MultiX=Average","Skip=True","Sort=True")</f>
        <v>14.675766523204741</v>
      </c>
      <c r="U1332" s="43">
        <f ca="1">_xll.BInterpol('Base CDI'!$H$4:$H$28,'Base CDI'!$I$4:$I$29,S1332,"Cubic","Extrapolate=Linear","MultiX=Average","Skip=True","Sort=True")</f>
        <v>14.710718218849275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47039</v>
      </c>
      <c r="T1333" s="43">
        <f ca="1">_xll.BInterpol('Base CDI'!$H$4:$H$28,'Base CDI'!$J$4:$J$29,S1333,"Cubic","Extrapolate=Linear","MultiX=Average","Skip=True","Sort=True")</f>
        <v>14.675930713419886</v>
      </c>
      <c r="U1333" s="43">
        <f ca="1">_xll.BInterpol('Base CDI'!$H$4:$H$28,'Base CDI'!$I$4:$I$29,S1333,"Cubic","Extrapolate=Linear","MultiX=Average","Skip=True","Sort=True")</f>
        <v>14.710877721070803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47040</v>
      </c>
      <c r="T1334" s="43">
        <f ca="1">_xll.BInterpol('Base CDI'!$H$4:$H$28,'Base CDI'!$J$4:$J$29,S1334,"Cubic","Extrapolate=Linear","MultiX=Average","Skip=True","Sort=True")</f>
        <v>14.676095197542226</v>
      </c>
      <c r="U1334" s="43">
        <f ca="1">_xll.BInterpol('Base CDI'!$H$4:$H$28,'Base CDI'!$I$4:$I$29,S1334,"Cubic","Extrapolate=Linear","MultiX=Average","Skip=True","Sort=True")</f>
        <v>14.711037611966605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47041</v>
      </c>
      <c r="T1335" s="43">
        <f ca="1">_xll.BInterpol('Base CDI'!$H$4:$H$28,'Base CDI'!$J$4:$J$29,S1335,"Cubic","Extrapolate=Linear","MultiX=Average","Skip=True","Sort=True")</f>
        <v>14.676259973243546</v>
      </c>
      <c r="U1335" s="43">
        <f ca="1">_xll.BInterpol('Base CDI'!$H$4:$H$28,'Base CDI'!$I$4:$I$29,S1335,"Cubic","Extrapolate=Linear","MultiX=Average","Skip=True","Sort=True")</f>
        <v>14.711197890540875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47042</v>
      </c>
      <c r="T1336" s="43">
        <f ca="1">_xll.BInterpol('Base CDI'!$H$4:$H$28,'Base CDI'!$J$4:$J$29,S1336,"Cubic","Extrapolate=Linear","MultiX=Average","Skip=True","Sort=True")</f>
        <v>14.676425038195633</v>
      </c>
      <c r="U1336" s="43">
        <f ca="1">_xll.BInterpol('Base CDI'!$H$4:$H$28,'Base CDI'!$I$4:$I$29,S1336,"Cubic","Extrapolate=Linear","MultiX=Average","Skip=True","Sort=True")</f>
        <v>14.711358555797814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47043</v>
      </c>
      <c r="T1337" s="43">
        <f ca="1">_xll.BInterpol('Base CDI'!$H$4:$H$28,'Base CDI'!$J$4:$J$29,S1337,"Cubic","Extrapolate=Linear","MultiX=Average","Skip=True","Sort=True")</f>
        <v>14.676590390070274</v>
      </c>
      <c r="U1337" s="43">
        <f ca="1">_xll.BInterpol('Base CDI'!$H$4:$H$28,'Base CDI'!$I$4:$I$29,S1337,"Cubic","Extrapolate=Linear","MultiX=Average","Skip=True","Sort=True")</f>
        <v>14.711519606741616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47044</v>
      </c>
      <c r="T1338" s="43">
        <f ca="1">_xll.BInterpol('Base CDI'!$H$4:$H$28,'Base CDI'!$J$4:$J$29,S1338,"Cubic","Extrapolate=Linear","MultiX=Average","Skip=True","Sort=True")</f>
        <v>14.676756026539252</v>
      </c>
      <c r="U1338" s="43">
        <f ca="1">_xll.BInterpol('Base CDI'!$H$4:$H$28,'Base CDI'!$I$4:$I$29,S1338,"Cubic","Extrapolate=Linear","MultiX=Average","Skip=True","Sort=True")</f>
        <v>14.711681042376483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47045</v>
      </c>
      <c r="T1339" s="43">
        <f ca="1">_xll.BInterpol('Base CDI'!$H$4:$H$28,'Base CDI'!$J$4:$J$29,S1339,"Cubic","Extrapolate=Linear","MultiX=Average","Skip=True","Sort=True")</f>
        <v>14.676921945274355</v>
      </c>
      <c r="U1339" s="43">
        <f ca="1">_xll.BInterpol('Base CDI'!$H$4:$H$28,'Base CDI'!$I$4:$I$29,S1339,"Cubic","Extrapolate=Linear","MultiX=Average","Skip=True","Sort=True")</f>
        <v>14.711842861706607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47046</v>
      </c>
      <c r="T1340" s="43">
        <f ca="1">_xll.BInterpol('Base CDI'!$H$4:$H$28,'Base CDI'!$J$4:$J$29,S1340,"Cubic","Extrapolate=Linear","MultiX=Average","Skip=True","Sort=True")</f>
        <v>14.677088143947369</v>
      </c>
      <c r="U1340" s="43">
        <f ca="1">_xll.BInterpol('Base CDI'!$H$4:$H$28,'Base CDI'!$I$4:$I$29,S1340,"Cubic","Extrapolate=Linear","MultiX=Average","Skip=True","Sort=True")</f>
        <v>14.712005063736191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47047</v>
      </c>
      <c r="T1341" s="43">
        <f ca="1">_xll.BInterpol('Base CDI'!$H$4:$H$28,'Base CDI'!$J$4:$J$29,S1341,"Cubic","Extrapolate=Linear","MultiX=Average","Skip=True","Sort=True")</f>
        <v>14.677254620230078</v>
      </c>
      <c r="U1341" s="43">
        <f ca="1">_xll.BInterpol('Base CDI'!$H$4:$H$28,'Base CDI'!$I$4:$I$29,S1341,"Cubic","Extrapolate=Linear","MultiX=Average","Skip=True","Sort=True")</f>
        <v>14.712167647469428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47048</v>
      </c>
      <c r="T1342" s="43">
        <f ca="1">_xll.BInterpol('Base CDI'!$H$4:$H$28,'Base CDI'!$J$4:$J$29,S1342,"Cubic","Extrapolate=Linear","MultiX=Average","Skip=True","Sort=True")</f>
        <v>14.677421371794271</v>
      </c>
      <c r="U1342" s="43">
        <f ca="1">_xll.BInterpol('Base CDI'!$H$4:$H$28,'Base CDI'!$I$4:$I$29,S1342,"Cubic","Extrapolate=Linear","MultiX=Average","Skip=True","Sort=True")</f>
        <v>14.712330611910518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47049</v>
      </c>
      <c r="T1343" s="43">
        <f ca="1">_xll.BInterpol('Base CDI'!$H$4:$H$28,'Base CDI'!$J$4:$J$29,S1343,"Cubic","Extrapolate=Linear","MultiX=Average","Skip=True","Sort=True")</f>
        <v>14.67758839631173</v>
      </c>
      <c r="U1343" s="43">
        <f ca="1">_xll.BInterpol('Base CDI'!$H$4:$H$28,'Base CDI'!$I$4:$I$29,S1343,"Cubic","Extrapolate=Linear","MultiX=Average","Skip=True","Sort=True")</f>
        <v>14.712493956063657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47050</v>
      </c>
      <c r="T1344" s="43">
        <f ca="1">_xll.BInterpol('Base CDI'!$H$4:$H$28,'Base CDI'!$J$4:$J$29,S1344,"Cubic","Extrapolate=Linear","MultiX=Average","Skip=True","Sort=True")</f>
        <v>14.677755691454244</v>
      </c>
      <c r="U1344" s="43">
        <f ca="1">_xll.BInterpol('Base CDI'!$H$4:$H$28,'Base CDI'!$I$4:$I$29,S1344,"Cubic","Extrapolate=Linear","MultiX=Average","Skip=True","Sort=True")</f>
        <v>14.712657678933045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47051</v>
      </c>
      <c r="T1345" s="43">
        <f ca="1">_xll.BInterpol('Base CDI'!$H$4:$H$28,'Base CDI'!$J$4:$J$29,S1345,"Cubic","Extrapolate=Linear","MultiX=Average","Skip=True","Sort=True")</f>
        <v>14.677923254893598</v>
      </c>
      <c r="U1345" s="43">
        <f ca="1">_xll.BInterpol('Base CDI'!$H$4:$H$28,'Base CDI'!$I$4:$I$29,S1345,"Cubic","Extrapolate=Linear","MultiX=Average","Skip=True","Sort=True")</f>
        <v>14.712821779522875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47052</v>
      </c>
      <c r="T1346" s="43">
        <f ca="1">_xll.BInterpol('Base CDI'!$H$4:$H$28,'Base CDI'!$J$4:$J$29,S1346,"Cubic","Extrapolate=Linear","MultiX=Average","Skip=True","Sort=True")</f>
        <v>14.678091084301577</v>
      </c>
      <c r="U1346" s="43">
        <f ca="1">_xll.BInterpol('Base CDI'!$H$4:$H$28,'Base CDI'!$I$4:$I$29,S1346,"Cubic","Extrapolate=Linear","MultiX=Average","Skip=True","Sort=True")</f>
        <v>14.712986256837349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47053</v>
      </c>
      <c r="T1347" s="43">
        <f ca="1">_xll.BInterpol('Base CDI'!$H$4:$H$28,'Base CDI'!$J$4:$J$29,S1347,"Cubic","Extrapolate=Linear","MultiX=Average","Skip=True","Sort=True")</f>
        <v>14.678259177349968</v>
      </c>
      <c r="U1347" s="43">
        <f ca="1">_xll.BInterpol('Base CDI'!$H$4:$H$28,'Base CDI'!$I$4:$I$29,S1347,"Cubic","Extrapolate=Linear","MultiX=Average","Skip=True","Sort=True")</f>
        <v>14.713151109880661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47054</v>
      </c>
      <c r="T1348" s="43">
        <f ca="1">_xll.BInterpol('Base CDI'!$H$4:$H$28,'Base CDI'!$J$4:$J$29,S1348,"Cubic","Extrapolate=Linear","MultiX=Average","Skip=True","Sort=True")</f>
        <v>14.678427531710557</v>
      </c>
      <c r="U1348" s="43">
        <f ca="1">_xll.BInterpol('Base CDI'!$H$4:$H$28,'Base CDI'!$I$4:$I$29,S1348,"Cubic","Extrapolate=Linear","MultiX=Average","Skip=True","Sort=True")</f>
        <v>14.713316337657011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47055</v>
      </c>
      <c r="T1349" s="43">
        <f ca="1">_xll.BInterpol('Base CDI'!$H$4:$H$28,'Base CDI'!$J$4:$J$29,S1349,"Cubic","Extrapolate=Linear","MultiX=Average","Skip=True","Sort=True")</f>
        <v>14.678596145055129</v>
      </c>
      <c r="U1349" s="43">
        <f ca="1">_xll.BInterpol('Base CDI'!$H$4:$H$28,'Base CDI'!$I$4:$I$29,S1349,"Cubic","Extrapolate=Linear","MultiX=Average","Skip=True","Sort=True")</f>
        <v>14.713481939170594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47056</v>
      </c>
      <c r="T1350" s="43">
        <f ca="1">_xll.BInterpol('Base CDI'!$H$4:$H$28,'Base CDI'!$J$4:$J$29,S1350,"Cubic","Extrapolate=Linear","MultiX=Average","Skip=True","Sort=True")</f>
        <v>14.67876501505547</v>
      </c>
      <c r="U1350" s="43">
        <f ca="1">_xll.BInterpol('Base CDI'!$H$4:$H$28,'Base CDI'!$I$4:$I$29,S1350,"Cubic","Extrapolate=Linear","MultiX=Average","Skip=True","Sort=True")</f>
        <v>14.713647913425609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47057</v>
      </c>
      <c r="T1351" s="43">
        <f ca="1">_xll.BInterpol('Base CDI'!$H$4:$H$28,'Base CDI'!$J$4:$J$29,S1351,"Cubic","Extrapolate=Linear","MultiX=Average","Skip=True","Sort=True")</f>
        <v>14.678934139383367</v>
      </c>
      <c r="U1351" s="43">
        <f ca="1">_xll.BInterpol('Base CDI'!$H$4:$H$28,'Base CDI'!$I$4:$I$29,S1351,"Cubic","Extrapolate=Linear","MultiX=Average","Skip=True","Sort=True")</f>
        <v>14.713814259426254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47058</v>
      </c>
      <c r="T1352" s="43">
        <f ca="1">_xll.BInterpol('Base CDI'!$H$4:$H$28,'Base CDI'!$J$4:$J$29,S1352,"Cubic","Extrapolate=Linear","MultiX=Average","Skip=True","Sort=True")</f>
        <v>14.679103515710604</v>
      </c>
      <c r="U1352" s="43">
        <f ca="1">_xll.BInterpol('Base CDI'!$H$4:$H$28,'Base CDI'!$I$4:$I$29,S1352,"Cubic","Extrapolate=Linear","MultiX=Average","Skip=True","Sort=True")</f>
        <v>14.713980976176726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47059</v>
      </c>
      <c r="T1353" s="43">
        <f ca="1">_xll.BInterpol('Base CDI'!$H$4:$H$28,'Base CDI'!$J$4:$J$29,S1353,"Cubic","Extrapolate=Linear","MultiX=Average","Skip=True","Sort=True")</f>
        <v>14.679273141708968</v>
      </c>
      <c r="U1353" s="43">
        <f ca="1">_xll.BInterpol('Base CDI'!$H$4:$H$28,'Base CDI'!$I$4:$I$29,S1353,"Cubic","Extrapolate=Linear","MultiX=Average","Skip=True","Sort=True")</f>
        <v>14.714148062681222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47060</v>
      </c>
      <c r="T1354" s="43">
        <f ca="1">_xll.BInterpol('Base CDI'!$H$4:$H$28,'Base CDI'!$J$4:$J$29,S1354,"Cubic","Extrapolate=Linear","MultiX=Average","Skip=True","Sort=True")</f>
        <v>14.679443015050246</v>
      </c>
      <c r="U1354" s="43">
        <f ca="1">_xll.BInterpol('Base CDI'!$H$4:$H$28,'Base CDI'!$I$4:$I$29,S1354,"Cubic","Extrapolate=Linear","MultiX=Average","Skip=True","Sort=True")</f>
        <v>14.714315517943939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47061</v>
      </c>
      <c r="T1355" s="43">
        <f ca="1">_xll.BInterpol('Base CDI'!$H$4:$H$28,'Base CDI'!$J$4:$J$29,S1355,"Cubic","Extrapolate=Linear","MultiX=Average","Skip=True","Sort=True")</f>
        <v>14.679613133406223</v>
      </c>
      <c r="U1355" s="43">
        <f ca="1">_xll.BInterpol('Base CDI'!$H$4:$H$28,'Base CDI'!$I$4:$I$29,S1355,"Cubic","Extrapolate=Linear","MultiX=Average","Skip=True","Sort=True")</f>
        <v>14.714483340969075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47062</v>
      </c>
      <c r="T1356" s="43">
        <f ca="1">_xll.BInterpol('Base CDI'!$H$4:$H$28,'Base CDI'!$J$4:$J$29,S1356,"Cubic","Extrapolate=Linear","MultiX=Average","Skip=True","Sort=True")</f>
        <v>14.679783494448683</v>
      </c>
      <c r="U1356" s="43">
        <f ca="1">_xll.BInterpol('Base CDI'!$H$4:$H$28,'Base CDI'!$I$4:$I$29,S1356,"Cubic","Extrapolate=Linear","MultiX=Average","Skip=True","Sort=True")</f>
        <v>14.714651530760827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47063</v>
      </c>
      <c r="T1357" s="43">
        <f ca="1">_xll.BInterpol('Base CDI'!$H$4:$H$28,'Base CDI'!$J$4:$J$29,S1357,"Cubic","Extrapolate=Linear","MultiX=Average","Skip=True","Sort=True")</f>
        <v>14.679954095849414</v>
      </c>
      <c r="U1357" s="43">
        <f ca="1">_xll.BInterpol('Base CDI'!$H$4:$H$28,'Base CDI'!$I$4:$I$29,S1357,"Cubic","Extrapolate=Linear","MultiX=Average","Skip=True","Sort=True")</f>
        <v>14.714820086323394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47064</v>
      </c>
      <c r="T1358" s="43">
        <f ca="1">_xll.BInterpol('Base CDI'!$H$4:$H$28,'Base CDI'!$J$4:$J$29,S1358,"Cubic","Extrapolate=Linear","MultiX=Average","Skip=True","Sort=True")</f>
        <v>14.680124935280203</v>
      </c>
      <c r="U1358" s="43">
        <f ca="1">_xll.BInterpol('Base CDI'!$H$4:$H$28,'Base CDI'!$I$4:$I$29,S1358,"Cubic","Extrapolate=Linear","MultiX=Average","Skip=True","Sort=True")</f>
        <v>14.714989006660971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47065</v>
      </c>
      <c r="T1359" s="43">
        <f ca="1">_xll.BInterpol('Base CDI'!$H$4:$H$28,'Base CDI'!$J$4:$J$29,S1359,"Cubic","Extrapolate=Linear","MultiX=Average","Skip=True","Sort=True")</f>
        <v>14.680296010412833</v>
      </c>
      <c r="U1359" s="43">
        <f ca="1">_xll.BInterpol('Base CDI'!$H$4:$H$28,'Base CDI'!$I$4:$I$29,S1359,"Cubic","Extrapolate=Linear","MultiX=Average","Skip=True","Sort=True")</f>
        <v>14.71515829077776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47066</v>
      </c>
      <c r="T1360" s="43">
        <f ca="1">_xll.BInterpol('Base CDI'!$H$4:$H$28,'Base CDI'!$J$4:$J$29,S1360,"Cubic","Extrapolate=Linear","MultiX=Average","Skip=True","Sort=True")</f>
        <v>14.68046731891909</v>
      </c>
      <c r="U1360" s="43">
        <f ca="1">_xll.BInterpol('Base CDI'!$H$4:$H$28,'Base CDI'!$I$4:$I$29,S1360,"Cubic","Extrapolate=Linear","MultiX=Average","Skip=True","Sort=True")</f>
        <v>14.715327937677952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47067</v>
      </c>
      <c r="T1361" s="43">
        <f ca="1">_xll.BInterpol('Base CDI'!$H$4:$H$28,'Base CDI'!$J$4:$J$29,S1361,"Cubic","Extrapolate=Linear","MultiX=Average","Skip=True","Sort=True")</f>
        <v>14.680638858470765</v>
      </c>
      <c r="U1361" s="43">
        <f ca="1">_xll.BInterpol('Base CDI'!$H$4:$H$28,'Base CDI'!$I$4:$I$29,S1361,"Cubic","Extrapolate=Linear","MultiX=Average","Skip=True","Sort=True")</f>
        <v>14.715497946365749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47068</v>
      </c>
      <c r="T1362" s="43">
        <f ca="1">_xll.BInterpol('Base CDI'!$H$4:$H$28,'Base CDI'!$J$4:$J$29,S1362,"Cubic","Extrapolate=Linear","MultiX=Average","Skip=True","Sort=True")</f>
        <v>14.680810626739637</v>
      </c>
      <c r="U1362" s="43">
        <f ca="1">_xll.BInterpol('Base CDI'!$H$4:$H$28,'Base CDI'!$I$4:$I$29,S1362,"Cubic","Extrapolate=Linear","MultiX=Average","Skip=True","Sort=True")</f>
        <v>14.715668315845347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47069</v>
      </c>
      <c r="T1363" s="43">
        <f ca="1">_xll.BInterpol('Base CDI'!$H$4:$H$28,'Base CDI'!$J$4:$J$29,S1363,"Cubic","Extrapolate=Linear","MultiX=Average","Skip=True","Sort=True")</f>
        <v>14.680982621397495</v>
      </c>
      <c r="U1363" s="43">
        <f ca="1">_xll.BInterpol('Base CDI'!$H$4:$H$28,'Base CDI'!$I$4:$I$29,S1363,"Cubic","Extrapolate=Linear","MultiX=Average","Skip=True","Sort=True")</f>
        <v>14.715839045120944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47070</v>
      </c>
      <c r="T1364" s="43">
        <f ca="1">_xll.BInterpol('Base CDI'!$H$4:$H$28,'Base CDI'!$J$4:$J$29,S1364,"Cubic","Extrapolate=Linear","MultiX=Average","Skip=True","Sort=True")</f>
        <v>14.681154840116125</v>
      </c>
      <c r="U1364" s="43">
        <f ca="1">_xll.BInterpol('Base CDI'!$H$4:$H$28,'Base CDI'!$I$4:$I$29,S1364,"Cubic","Extrapolate=Linear","MultiX=Average","Skip=True","Sort=True")</f>
        <v>14.716010133196736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47071</v>
      </c>
      <c r="T1365" s="43">
        <f ca="1">_xll.BInterpol('Base CDI'!$H$4:$H$28,'Base CDI'!$J$4:$J$29,S1365,"Cubic","Extrapolate=Linear","MultiX=Average","Skip=True","Sort=True")</f>
        <v>14.681327280567313</v>
      </c>
      <c r="U1365" s="43">
        <f ca="1">_xll.BInterpol('Base CDI'!$H$4:$H$28,'Base CDI'!$I$4:$I$29,S1365,"Cubic","Extrapolate=Linear","MultiX=Average","Skip=True","Sort=True")</f>
        <v>14.716181579076922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47072</v>
      </c>
      <c r="T1366" s="43">
        <f ca="1">_xll.BInterpol('Base CDI'!$H$4:$H$28,'Base CDI'!$J$4:$J$29,S1366,"Cubic","Extrapolate=Linear","MultiX=Average","Skip=True","Sort=True")</f>
        <v>14.681499940422846</v>
      </c>
      <c r="U1366" s="43">
        <f ca="1">_xll.BInterpol('Base CDI'!$H$4:$H$28,'Base CDI'!$I$4:$I$29,S1366,"Cubic","Extrapolate=Linear","MultiX=Average","Skip=True","Sort=True")</f>
        <v>14.7163533817657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47073</v>
      </c>
      <c r="T1367" s="43">
        <f ca="1">_xll.BInterpol('Base CDI'!$H$4:$H$28,'Base CDI'!$J$4:$J$29,S1367,"Cubic","Extrapolate=Linear","MultiX=Average","Skip=True","Sort=True")</f>
        <v>14.681672817354507</v>
      </c>
      <c r="U1367" s="43">
        <f ca="1">_xll.BInterpol('Base CDI'!$H$4:$H$28,'Base CDI'!$I$4:$I$29,S1367,"Cubic","Extrapolate=Linear","MultiX=Average","Skip=True","Sort=True")</f>
        <v>14.716525540267266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47074</v>
      </c>
      <c r="T1368" s="43">
        <f ca="1">_xll.BInterpol('Base CDI'!$H$4:$H$28,'Base CDI'!$J$4:$J$29,S1368,"Cubic","Extrapolate=Linear","MultiX=Average","Skip=True","Sort=True")</f>
        <v>14.681845909034083</v>
      </c>
      <c r="U1368" s="43">
        <f ca="1">_xll.BInterpol('Base CDI'!$H$4:$H$28,'Base CDI'!$I$4:$I$29,S1368,"Cubic","Extrapolate=Linear","MultiX=Average","Skip=True","Sort=True")</f>
        <v>14.716698053585818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47075</v>
      </c>
      <c r="T1369" s="43">
        <f ca="1">_xll.BInterpol('Base CDI'!$H$4:$H$28,'Base CDI'!$J$4:$J$29,S1369,"Cubic","Extrapolate=Linear","MultiX=Average","Skip=True","Sort=True")</f>
        <v>14.682019213133362</v>
      </c>
      <c r="U1369" s="43">
        <f ca="1">_xll.BInterpol('Base CDI'!$H$4:$H$28,'Base CDI'!$I$4:$I$29,S1369,"Cubic","Extrapolate=Linear","MultiX=Average","Skip=True","Sort=True")</f>
        <v>14.716870920725553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47076</v>
      </c>
      <c r="T1370" s="43">
        <f ca="1">_xll.BInterpol('Base CDI'!$H$4:$H$28,'Base CDI'!$J$4:$J$29,S1370,"Cubic","Extrapolate=Linear","MultiX=Average","Skip=True","Sort=True")</f>
        <v>14.682192727324127</v>
      </c>
      <c r="U1370" s="43">
        <f ca="1">_xll.BInterpol('Base CDI'!$H$4:$H$28,'Base CDI'!$I$4:$I$29,S1370,"Cubic","Extrapolate=Linear","MultiX=Average","Skip=True","Sort=True")</f>
        <v>14.717044140690668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47077</v>
      </c>
      <c r="T1371" s="43">
        <f ca="1">_xll.BInterpol('Base CDI'!$H$4:$H$28,'Base CDI'!$J$4:$J$29,S1371,"Cubic","Extrapolate=Linear","MultiX=Average","Skip=True","Sort=True")</f>
        <v>14.682366449278165</v>
      </c>
      <c r="U1371" s="43">
        <f ca="1">_xll.BInterpol('Base CDI'!$H$4:$H$28,'Base CDI'!$I$4:$I$29,S1371,"Cubic","Extrapolate=Linear","MultiX=Average","Skip=True","Sort=True")</f>
        <v>14.717217712485361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47078</v>
      </c>
      <c r="T1372" s="43">
        <f ca="1">_xll.BInterpol('Base CDI'!$H$4:$H$28,'Base CDI'!$J$4:$J$29,S1372,"Cubic","Extrapolate=Linear","MultiX=Average","Skip=True","Sort=True")</f>
        <v>14.682540376667262</v>
      </c>
      <c r="U1372" s="43">
        <f ca="1">_xll.BInterpol('Base CDI'!$H$4:$H$28,'Base CDI'!$I$4:$I$29,S1372,"Cubic","Extrapolate=Linear","MultiX=Average","Skip=True","Sort=True")</f>
        <v>14.717391635113831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47079</v>
      </c>
      <c r="T1373" s="43">
        <f ca="1">_xll.BInterpol('Base CDI'!$H$4:$H$28,'Base CDI'!$J$4:$J$29,S1373,"Cubic","Extrapolate=Linear","MultiX=Average","Skip=True","Sort=True")</f>
        <v>14.682714507163205</v>
      </c>
      <c r="U1373" s="43">
        <f ca="1">_xll.BInterpol('Base CDI'!$H$4:$H$28,'Base CDI'!$I$4:$I$29,S1373,"Cubic","Extrapolate=Linear","MultiX=Average","Skip=True","Sort=True")</f>
        <v>14.717565907580274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47080</v>
      </c>
      <c r="T1374" s="43">
        <f ca="1">_xll.BInterpol('Base CDI'!$H$4:$H$28,'Base CDI'!$J$4:$J$29,S1374,"Cubic","Extrapolate=Linear","MultiX=Average","Skip=True","Sort=True")</f>
        <v>14.682888838437778</v>
      </c>
      <c r="U1374" s="43">
        <f ca="1">_xll.BInterpol('Base CDI'!$H$4:$H$28,'Base CDI'!$I$4:$I$29,S1374,"Cubic","Extrapolate=Linear","MultiX=Average","Skip=True","Sort=True")</f>
        <v>14.717740528888887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47081</v>
      </c>
      <c r="T1375" s="43">
        <f ca="1">_xll.BInterpol('Base CDI'!$H$4:$H$28,'Base CDI'!$J$4:$J$29,S1375,"Cubic","Extrapolate=Linear","MultiX=Average","Skip=True","Sort=True")</f>
        <v>14.683063368162767</v>
      </c>
      <c r="U1375" s="43">
        <f ca="1">_xll.BInterpol('Base CDI'!$H$4:$H$28,'Base CDI'!$I$4:$I$29,S1375,"Cubic","Extrapolate=Linear","MultiX=Average","Skip=True","Sort=True")</f>
        <v>14.717915498043869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47082</v>
      </c>
      <c r="T1376" s="43">
        <f ca="1">_xll.BInterpol('Base CDI'!$H$4:$H$28,'Base CDI'!$J$4:$J$29,S1376,"Cubic","Extrapolate=Linear","MultiX=Average","Skip=True","Sort=True")</f>
        <v>14.683238094009958</v>
      </c>
      <c r="U1376" s="43">
        <f ca="1">_xll.BInterpol('Base CDI'!$H$4:$H$28,'Base CDI'!$I$4:$I$29,S1376,"Cubic","Extrapolate=Linear","MultiX=Average","Skip=True","Sort=True")</f>
        <v>14.718090814049415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47083</v>
      </c>
      <c r="T1377" s="43">
        <f ca="1">_xll.BInterpol('Base CDI'!$H$4:$H$28,'Base CDI'!$J$4:$J$29,S1377,"Cubic","Extrapolate=Linear","MultiX=Average","Skip=True","Sort=True")</f>
        <v>14.683413013651139</v>
      </c>
      <c r="U1377" s="43">
        <f ca="1">_xll.BInterpol('Base CDI'!$H$4:$H$28,'Base CDI'!$I$4:$I$29,S1377,"Cubic","Extrapolate=Linear","MultiX=Average","Skip=True","Sort=True")</f>
        <v>14.718266475909724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47084</v>
      </c>
      <c r="T1378" s="43">
        <f ca="1">_xll.BInterpol('Base CDI'!$H$4:$H$28,'Base CDI'!$J$4:$J$29,S1378,"Cubic","Extrapolate=Linear","MultiX=Average","Skip=True","Sort=True")</f>
        <v>14.683588124758094</v>
      </c>
      <c r="U1378" s="43">
        <f ca="1">_xll.BInterpol('Base CDI'!$H$4:$H$28,'Base CDI'!$I$4:$I$29,S1378,"Cubic","Extrapolate=Linear","MultiX=Average","Skip=True","Sort=True")</f>
        <v>14.718442482628994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47085</v>
      </c>
      <c r="T1379" s="43">
        <f ca="1">_xll.BInterpol('Base CDI'!$H$4:$H$28,'Base CDI'!$J$4:$J$29,S1379,"Cubic","Extrapolate=Linear","MultiX=Average","Skip=True","Sort=True")</f>
        <v>14.68376342500261</v>
      </c>
      <c r="U1379" s="43">
        <f ca="1">_xll.BInterpol('Base CDI'!$H$4:$H$28,'Base CDI'!$I$4:$I$29,S1379,"Cubic","Extrapolate=Linear","MultiX=Average","Skip=True","Sort=True")</f>
        <v>14.718618833211423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47086</v>
      </c>
      <c r="T1380" s="43">
        <f ca="1">_xll.BInterpol('Base CDI'!$H$4:$H$28,'Base CDI'!$J$4:$J$29,S1380,"Cubic","Extrapolate=Linear","MultiX=Average","Skip=True","Sort=True")</f>
        <v>14.683938912056471</v>
      </c>
      <c r="U1380" s="43">
        <f ca="1">_xll.BInterpol('Base CDI'!$H$4:$H$28,'Base CDI'!$I$4:$I$29,S1380,"Cubic","Extrapolate=Linear","MultiX=Average","Skip=True","Sort=True")</f>
        <v>14.718795526661205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47087</v>
      </c>
      <c r="T1381" s="43">
        <f ca="1">_xll.BInterpol('Base CDI'!$H$4:$H$28,'Base CDI'!$J$4:$J$29,S1381,"Cubic","Extrapolate=Linear","MultiX=Average","Skip=True","Sort=True")</f>
        <v>14.684114583591464</v>
      </c>
      <c r="U1381" s="43">
        <f ca="1">_xll.BInterpol('Base CDI'!$H$4:$H$28,'Base CDI'!$I$4:$I$29,S1381,"Cubic","Extrapolate=Linear","MultiX=Average","Skip=True","Sort=True")</f>
        <v>14.718972561982541</v>
      </c>
    </row>
    <row r="1382" spans="16:21" x14ac:dyDescent="0.25">
      <c r="P1382" s="10">
        <v>36523</v>
      </c>
      <c r="Q1382">
        <v>5.032502</v>
      </c>
      <c r="S1382" s="42">
        <f t="shared" ca="1" si="26"/>
        <v>47088</v>
      </c>
      <c r="T1382" s="43">
        <f ca="1">_xll.BInterpol('Base CDI'!$H$4:$H$28,'Base CDI'!$J$4:$J$29,S1382,"Cubic","Extrapolate=Linear","MultiX=Average","Skip=True","Sort=True")</f>
        <v>14.684290437279376</v>
      </c>
      <c r="U1382" s="43">
        <f ca="1">_xll.BInterpol('Base CDI'!$H$4:$H$28,'Base CDI'!$I$4:$I$29,S1382,"Cubic","Extrapolate=Linear","MultiX=Average","Skip=True","Sort=True")</f>
        <v>14.719149938179628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47089</v>
      </c>
      <c r="T1383" s="43">
        <f ca="1">_xll.BInterpol('Base CDI'!$H$4:$H$28,'Base CDI'!$J$4:$J$29,S1383,"Cubic","Extrapolate=Linear","MultiX=Average","Skip=True","Sort=True")</f>
        <v>14.684466470791991</v>
      </c>
      <c r="U1383" s="43">
        <f ca="1">_xll.BInterpol('Base CDI'!$H$4:$H$28,'Base CDI'!$I$4:$I$29,S1383,"Cubic","Extrapolate=Linear","MultiX=Average","Skip=True","Sort=True")</f>
        <v>14.719327654256661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47090</v>
      </c>
      <c r="T1384" s="43">
        <f ca="1">_xll.BInterpol('Base CDI'!$H$4:$H$28,'Base CDI'!$J$4:$J$29,S1384,"Cubic","Extrapolate=Linear","MultiX=Average","Skip=True","Sort=True")</f>
        <v>14.684642681801096</v>
      </c>
      <c r="U1384" s="43">
        <f ca="1">_xll.BInterpol('Base CDI'!$H$4:$H$28,'Base CDI'!$I$4:$I$29,S1384,"Cubic","Extrapolate=Linear","MultiX=Average","Skip=True","Sort=True")</f>
        <v>14.71950570921784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47091</v>
      </c>
      <c r="T1385" s="43">
        <f ca="1">_xll.BInterpol('Base CDI'!$H$4:$H$28,'Base CDI'!$J$4:$J$29,S1385,"Cubic","Extrapolate=Linear","MultiX=Average","Skip=True","Sort=True")</f>
        <v>14.684819067978475</v>
      </c>
      <c r="U1385" s="43">
        <f ca="1">_xll.BInterpol('Base CDI'!$H$4:$H$28,'Base CDI'!$I$4:$I$29,S1385,"Cubic","Extrapolate=Linear","MultiX=Average","Skip=True","Sort=True")</f>
        <v>14.71968410206736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47092</v>
      </c>
      <c r="T1386" s="43">
        <f ca="1">_xll.BInterpol('Base CDI'!$H$4:$H$28,'Base CDI'!$J$4:$J$29,S1386,"Cubic","Extrapolate=Linear","MultiX=Average","Skip=True","Sort=True")</f>
        <v>14.684995626995919</v>
      </c>
      <c r="U1386" s="43">
        <f ca="1">_xll.BInterpol('Base CDI'!$H$4:$H$28,'Base CDI'!$I$4:$I$29,S1386,"Cubic","Extrapolate=Linear","MultiX=Average","Skip=True","Sort=True")</f>
        <v>14.719862831809422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47093</v>
      </c>
      <c r="T1387" s="43">
        <f ca="1">_xll.BInterpol('Base CDI'!$H$4:$H$28,'Base CDI'!$J$4:$J$29,S1387,"Cubic","Extrapolate=Linear","MultiX=Average","Skip=True","Sort=True")</f>
        <v>14.685172356525207</v>
      </c>
      <c r="U1387" s="43">
        <f ca="1">_xll.BInterpol('Base CDI'!$H$4:$H$28,'Base CDI'!$I$4:$I$29,S1387,"Cubic","Extrapolate=Linear","MultiX=Average","Skip=True","Sort=True")</f>
        <v>14.720041897448221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47094</v>
      </c>
      <c r="T1388" s="43">
        <f ca="1">_xll.BInterpol('Base CDI'!$H$4:$H$28,'Base CDI'!$J$4:$J$29,S1388,"Cubic","Extrapolate=Linear","MultiX=Average","Skip=True","Sort=True")</f>
        <v>14.68534925423813</v>
      </c>
      <c r="U1388" s="43">
        <f ca="1">_xll.BInterpol('Base CDI'!$H$4:$H$28,'Base CDI'!$I$4:$I$29,S1388,"Cubic","Extrapolate=Linear","MultiX=Average","Skip=True","Sort=True")</f>
        <v>14.720221297987953</v>
      </c>
    </row>
    <row r="1389" spans="16:21" x14ac:dyDescent="0.25">
      <c r="P1389" s="10">
        <v>36532</v>
      </c>
      <c r="Q1389">
        <v>5.05661</v>
      </c>
      <c r="S1389" s="42">
        <f t="shared" ca="1" si="26"/>
        <v>47095</v>
      </c>
      <c r="T1389" s="43">
        <f ca="1">_xll.BInterpol('Base CDI'!$H$4:$H$28,'Base CDI'!$J$4:$J$29,S1389,"Cubic","Extrapolate=Linear","MultiX=Average","Skip=True","Sort=True")</f>
        <v>14.685526317806472</v>
      </c>
      <c r="U1389" s="43">
        <f ca="1">_xll.BInterpol('Base CDI'!$H$4:$H$28,'Base CDI'!$I$4:$I$29,S1389,"Cubic","Extrapolate=Linear","MultiX=Average","Skip=True","Sort=True")</f>
        <v>14.72040103243282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47096</v>
      </c>
      <c r="T1390" s="43">
        <f ca="1">_xll.BInterpol('Base CDI'!$H$4:$H$28,'Base CDI'!$J$4:$J$29,S1390,"Cubic","Extrapolate=Linear","MultiX=Average","Skip=True","Sort=True")</f>
        <v>14.685703544902019</v>
      </c>
      <c r="U1390" s="43">
        <f ca="1">_xll.BInterpol('Base CDI'!$H$4:$H$28,'Base CDI'!$I$4:$I$29,S1390,"Cubic","Extrapolate=Linear","MultiX=Average","Skip=True","Sort=True")</f>
        <v>14.720581099787015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47097</v>
      </c>
      <c r="T1391" s="43">
        <f ca="1">_xll.BInterpol('Base CDI'!$H$4:$H$28,'Base CDI'!$J$4:$J$29,S1391,"Cubic","Extrapolate=Linear","MultiX=Average","Skip=True","Sort=True")</f>
        <v>14.685880933196557</v>
      </c>
      <c r="U1391" s="43">
        <f ca="1">_xll.BInterpol('Base CDI'!$H$4:$H$28,'Base CDI'!$I$4:$I$29,S1391,"Cubic","Extrapolate=Linear","MultiX=Average","Skip=True","Sort=True")</f>
        <v>14.720761499054737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47098</v>
      </c>
      <c r="T1392" s="43">
        <f ca="1">_xll.BInterpol('Base CDI'!$H$4:$H$28,'Base CDI'!$J$4:$J$29,S1392,"Cubic","Extrapolate=Linear","MultiX=Average","Skip=True","Sort=True")</f>
        <v>14.686058480361872</v>
      </c>
      <c r="U1392" s="43">
        <f ca="1">_xll.BInterpol('Base CDI'!$H$4:$H$28,'Base CDI'!$I$4:$I$29,S1392,"Cubic","Extrapolate=Linear","MultiX=Average","Skip=True","Sort=True")</f>
        <v>14.720942229240185</v>
      </c>
    </row>
    <row r="1393" spans="16:21" x14ac:dyDescent="0.25">
      <c r="P1393" s="10">
        <v>36538</v>
      </c>
      <c r="Q1393">
        <v>5.070424</v>
      </c>
      <c r="S1393" s="42">
        <f t="shared" ca="1" si="26"/>
        <v>47099</v>
      </c>
      <c r="T1393" s="43">
        <f ca="1">_xll.BInterpol('Base CDI'!$H$4:$H$28,'Base CDI'!$J$4:$J$29,S1393,"Cubic","Extrapolate=Linear","MultiX=Average","Skip=True","Sort=True")</f>
        <v>14.686236184069749</v>
      </c>
      <c r="U1393" s="43">
        <f ca="1">_xll.BInterpol('Base CDI'!$H$4:$H$28,'Base CDI'!$I$4:$I$29,S1393,"Cubic","Extrapolate=Linear","MultiX=Average","Skip=True","Sort=True")</f>
        <v>14.721123289347554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47100</v>
      </c>
      <c r="T1394" s="43">
        <f ca="1">_xll.BInterpol('Base CDI'!$H$4:$H$28,'Base CDI'!$J$4:$J$29,S1394,"Cubic","Extrapolate=Linear","MultiX=Average","Skip=True","Sort=True")</f>
        <v>14.686414041991975</v>
      </c>
      <c r="U1394" s="43">
        <f ca="1">_xll.BInterpol('Base CDI'!$H$4:$H$28,'Base CDI'!$I$4:$I$29,S1394,"Cubic","Extrapolate=Linear","MultiX=Average","Skip=True","Sort=True")</f>
        <v>14.721304678381044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47101</v>
      </c>
      <c r="T1395" s="43">
        <f ca="1">_xll.BInterpol('Base CDI'!$H$4:$H$28,'Base CDI'!$J$4:$J$29,S1395,"Cubic","Extrapolate=Linear","MultiX=Average","Skip=True","Sort=True")</f>
        <v>14.686592051800337</v>
      </c>
      <c r="U1395" s="43">
        <f ca="1">_xll.BInterpol('Base CDI'!$H$4:$H$28,'Base CDI'!$I$4:$I$29,S1395,"Cubic","Extrapolate=Linear","MultiX=Average","Skip=True","Sort=True")</f>
        <v>14.721486395344849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47102</v>
      </c>
      <c r="T1396" s="43">
        <f ca="1">_xll.BInterpol('Base CDI'!$H$4:$H$28,'Base CDI'!$J$4:$J$29,S1396,"Cubic","Extrapolate=Linear","MultiX=Average","Skip=True","Sort=True")</f>
        <v>14.686770211166618</v>
      </c>
      <c r="U1396" s="43">
        <f ca="1">_xll.BInterpol('Base CDI'!$H$4:$H$28,'Base CDI'!$I$4:$I$29,S1396,"Cubic","Extrapolate=Linear","MultiX=Average","Skip=True","Sort=True")</f>
        <v>14.721668439243169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47103</v>
      </c>
      <c r="T1397" s="43">
        <f ca="1">_xll.BInterpol('Base CDI'!$H$4:$H$28,'Base CDI'!$J$4:$J$29,S1397,"Cubic","Extrapolate=Linear","MultiX=Average","Skip=True","Sort=True")</f>
        <v>14.686948517762605</v>
      </c>
      <c r="U1397" s="43">
        <f ca="1">_xll.BInterpol('Base CDI'!$H$4:$H$28,'Base CDI'!$I$4:$I$29,S1397,"Cubic","Extrapolate=Linear","MultiX=Average","Skip=True","Sort=True")</f>
        <v>14.721850809080202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47104</v>
      </c>
      <c r="T1398" s="43">
        <f ca="1">_xll.BInterpol('Base CDI'!$H$4:$H$28,'Base CDI'!$J$4:$J$29,S1398,"Cubic","Extrapolate=Linear","MultiX=Average","Skip=True","Sort=True")</f>
        <v>14.687126969260085</v>
      </c>
      <c r="U1398" s="43">
        <f ca="1">_xll.BInterpol('Base CDI'!$H$4:$H$28,'Base CDI'!$I$4:$I$29,S1398,"Cubic","Extrapolate=Linear","MultiX=Average","Skip=True","Sort=True")</f>
        <v>14.722033503860143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47105</v>
      </c>
      <c r="T1399" s="43">
        <f ca="1">_xll.BInterpol('Base CDI'!$H$4:$H$28,'Base CDI'!$J$4:$J$29,S1399,"Cubic","Extrapolate=Linear","MultiX=Average","Skip=True","Sort=True")</f>
        <v>14.687305563330844</v>
      </c>
      <c r="U1399" s="43">
        <f ca="1">_xll.BInterpol('Base CDI'!$H$4:$H$28,'Base CDI'!$I$4:$I$29,S1399,"Cubic","Extrapolate=Linear","MultiX=Average","Skip=True","Sort=True")</f>
        <v>14.722216522587193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47106</v>
      </c>
      <c r="T1400" s="43">
        <f ca="1">_xll.BInterpol('Base CDI'!$H$4:$H$28,'Base CDI'!$J$4:$J$29,S1400,"Cubic","Extrapolate=Linear","MultiX=Average","Skip=True","Sort=True")</f>
        <v>14.687484297646666</v>
      </c>
      <c r="U1400" s="43">
        <f ca="1">_xll.BInterpol('Base CDI'!$H$4:$H$28,'Base CDI'!$I$4:$I$29,S1400,"Cubic","Extrapolate=Linear","MultiX=Average","Skip=True","Sort=True")</f>
        <v>14.722399864265544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47107</v>
      </c>
      <c r="T1401" s="43">
        <f ca="1">_xll.BInterpol('Base CDI'!$H$4:$H$28,'Base CDI'!$J$4:$J$29,S1401,"Cubic","Extrapolate=Linear","MultiX=Average","Skip=True","Sort=True")</f>
        <v>14.687663169879338</v>
      </c>
      <c r="U1401" s="43">
        <f ca="1">_xll.BInterpol('Base CDI'!$H$4:$H$28,'Base CDI'!$I$4:$I$29,S1401,"Cubic","Extrapolate=Linear","MultiX=Average","Skip=True","Sort=True")</f>
        <v>14.722583527899399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47108</v>
      </c>
      <c r="T1402" s="43">
        <f ca="1">_xll.BInterpol('Base CDI'!$H$4:$H$28,'Base CDI'!$J$4:$J$29,S1402,"Cubic","Extrapolate=Linear","MultiX=Average","Skip=True","Sort=True")</f>
        <v>14.687842177700645</v>
      </c>
      <c r="U1402" s="43">
        <f ca="1">_xll.BInterpol('Base CDI'!$H$4:$H$28,'Base CDI'!$I$4:$I$29,S1402,"Cubic","Extrapolate=Linear","MultiX=Average","Skip=True","Sort=True")</f>
        <v>14.722767512492952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47109</v>
      </c>
      <c r="T1403" s="43">
        <f ca="1">_xll.BInterpol('Base CDI'!$H$4:$H$28,'Base CDI'!$J$4:$J$29,S1403,"Cubic","Extrapolate=Linear","MultiX=Average","Skip=True","Sort=True")</f>
        <v>14.688021318782376</v>
      </c>
      <c r="U1403" s="43">
        <f ca="1">_xll.BInterpol('Base CDI'!$H$4:$H$28,'Base CDI'!$I$4:$I$29,S1403,"Cubic","Extrapolate=Linear","MultiX=Average","Skip=True","Sort=True")</f>
        <v>14.722951817050403</v>
      </c>
    </row>
    <row r="1404" spans="16:21" x14ac:dyDescent="0.25">
      <c r="P1404" s="10">
        <v>36553</v>
      </c>
      <c r="Q1404">
        <v>5.108562</v>
      </c>
      <c r="S1404" s="42">
        <f t="shared" ca="1" si="26"/>
        <v>47110</v>
      </c>
      <c r="T1404" s="43">
        <f ca="1">_xll.BInterpol('Base CDI'!$H$4:$H$28,'Base CDI'!$J$4:$J$29,S1404,"Cubic","Extrapolate=Linear","MultiX=Average","Skip=True","Sort=True")</f>
        <v>14.688200590796312</v>
      </c>
      <c r="U1404" s="43">
        <f ca="1">_xll.BInterpol('Base CDI'!$H$4:$H$28,'Base CDI'!$I$4:$I$29,S1404,"Cubic","Extrapolate=Linear","MultiX=Average","Skip=True","Sort=True")</f>
        <v>14.723136440575948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47111</v>
      </c>
      <c r="T1405" s="43">
        <f ca="1">_xll.BInterpol('Base CDI'!$H$4:$H$28,'Base CDI'!$J$4:$J$29,S1405,"Cubic","Extrapolate=Linear","MultiX=Average","Skip=True","Sort=True")</f>
        <v>14.688379991414243</v>
      </c>
      <c r="U1405" s="43">
        <f ca="1">_xll.BInterpol('Base CDI'!$H$4:$H$28,'Base CDI'!$I$4:$I$29,S1405,"Cubic","Extrapolate=Linear","MultiX=Average","Skip=True","Sort=True")</f>
        <v>14.723321382073783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47112</v>
      </c>
      <c r="T1406" s="43">
        <f ca="1">_xll.BInterpol('Base CDI'!$H$4:$H$28,'Base CDI'!$J$4:$J$29,S1406,"Cubic","Extrapolate=Linear","MultiX=Average","Skip=True","Sort=True")</f>
        <v>14.688559518307953</v>
      </c>
      <c r="U1406" s="43">
        <f ca="1">_xll.BInterpol('Base CDI'!$H$4:$H$28,'Base CDI'!$I$4:$I$29,S1406,"Cubic","Extrapolate=Linear","MultiX=Average","Skip=True","Sort=True")</f>
        <v>14.723506640548107</v>
      </c>
    </row>
    <row r="1407" spans="16:21" x14ac:dyDescent="0.25">
      <c r="P1407" s="10">
        <v>36558</v>
      </c>
      <c r="Q1407">
        <v>5.118995</v>
      </c>
      <c r="S1407" s="42">
        <f t="shared" ca="1" si="26"/>
        <v>47113</v>
      </c>
      <c r="T1407" s="43">
        <f ca="1">_xll.BInterpol('Base CDI'!$H$4:$H$28,'Base CDI'!$J$4:$J$29,S1407,"Cubic","Extrapolate=Linear","MultiX=Average","Skip=True","Sort=True")</f>
        <v>14.688739169149228</v>
      </c>
      <c r="U1407" s="43">
        <f ca="1">_xll.BInterpol('Base CDI'!$H$4:$H$28,'Base CDI'!$I$4:$I$29,S1407,"Cubic","Extrapolate=Linear","MultiX=Average","Skip=True","Sort=True")</f>
        <v>14.723692215003117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47114</v>
      </c>
      <c r="T1408" s="43">
        <f ca="1">_xll.BInterpol('Base CDI'!$H$4:$H$28,'Base CDI'!$J$4:$J$29,S1408,"Cubic","Extrapolate=Linear","MultiX=Average","Skip=True","Sort=True")</f>
        <v>14.688918941609854</v>
      </c>
      <c r="U1408" s="43">
        <f ca="1">_xll.BInterpol('Base CDI'!$H$4:$H$28,'Base CDI'!$I$4:$I$29,S1408,"Cubic","Extrapolate=Linear","MultiX=Average","Skip=True","Sort=True")</f>
        <v>14.723878104443013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47115</v>
      </c>
      <c r="T1409" s="43">
        <f ca="1">_xll.BInterpol('Base CDI'!$H$4:$H$28,'Base CDI'!$J$4:$J$29,S1409,"Cubic","Extrapolate=Linear","MultiX=Average","Skip=True","Sort=True")</f>
        <v>14.689098833361619</v>
      </c>
      <c r="U1409" s="43">
        <f ca="1">_xll.BInterpol('Base CDI'!$H$4:$H$28,'Base CDI'!$I$4:$I$29,S1409,"Cubic","Extrapolate=Linear","MultiX=Average","Skip=True","Sort=True")</f>
        <v>14.724064307871989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47116</v>
      </c>
      <c r="T1410" s="43">
        <f ca="1">_xll.BInterpol('Base CDI'!$H$4:$H$28,'Base CDI'!$J$4:$J$29,S1410,"Cubic","Extrapolate=Linear","MultiX=Average","Skip=True","Sort=True")</f>
        <v>14.689278842076305</v>
      </c>
      <c r="U1410" s="43">
        <f ca="1">_xll.BInterpol('Base CDI'!$H$4:$H$28,'Base CDI'!$I$4:$I$29,S1410,"Cubic","Extrapolate=Linear","MultiX=Average","Skip=True","Sort=True")</f>
        <v>14.724250824294243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47117</v>
      </c>
      <c r="T1411" s="43">
        <f ca="1">_xll.BInterpol('Base CDI'!$H$4:$H$28,'Base CDI'!$J$4:$J$29,S1411,"Cubic","Extrapolate=Linear","MultiX=Average","Skip=True","Sort=True")</f>
        <v>14.6894589654257</v>
      </c>
      <c r="U1411" s="43">
        <f ca="1">_xll.BInterpol('Base CDI'!$H$4:$H$28,'Base CDI'!$I$4:$I$29,S1411,"Cubic","Extrapolate=Linear","MultiX=Average","Skip=True","Sort=True")</f>
        <v>14.724437652713975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47118</v>
      </c>
      <c r="T1412" s="43">
        <f ca="1">_xll.BInterpol('Base CDI'!$H$4:$H$28,'Base CDI'!$J$4:$J$29,S1412,"Cubic","Extrapolate=Linear","MultiX=Average","Skip=True","Sort=True")</f>
        <v>14.68963920108159</v>
      </c>
      <c r="U1412" s="43">
        <f ca="1">_xll.BInterpol('Base CDI'!$H$4:$H$28,'Base CDI'!$I$4:$I$29,S1412,"Cubic","Extrapolate=Linear","MultiX=Average","Skip=True","Sort=True")</f>
        <v>14.72462479213538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47119</v>
      </c>
      <c r="T1413" s="43">
        <f ca="1">_xll.BInterpol('Base CDI'!$H$4:$H$28,'Base CDI'!$J$4:$J$29,S1413,"Cubic","Extrapolate=Linear","MultiX=Average","Skip=True","Sort=True")</f>
        <v>14.689819546715762</v>
      </c>
      <c r="U1413" s="43">
        <f ca="1">_xll.BInterpol('Base CDI'!$H$4:$H$28,'Base CDI'!$I$4:$I$29,S1413,"Cubic","Extrapolate=Linear","MultiX=Average","Skip=True","Sort=True")</f>
        <v>14.724812241562656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47120</v>
      </c>
      <c r="T1414" s="43">
        <f ca="1">_xll.BInterpol('Base CDI'!$H$4:$H$28,'Base CDI'!$J$4:$J$29,S1414,"Cubic","Extrapolate=Linear","MultiX=Average","Skip=True","Sort=True")</f>
        <v>14.69</v>
      </c>
      <c r="U1414" s="43">
        <f ca="1">_xll.BInterpol('Base CDI'!$H$4:$H$28,'Base CDI'!$I$4:$I$29,S1414,"Cubic","Extrapolate=Linear","MultiX=Average","Skip=True","Sort=True")</f>
        <v>14.725</v>
      </c>
    </row>
    <row r="1415" spans="16:21" x14ac:dyDescent="0.25">
      <c r="P1415" s="10">
        <v>36570</v>
      </c>
      <c r="Q1415">
        <v>5.146935</v>
      </c>
      <c r="S1415" s="42">
        <f t="shared" ca="1" si="26"/>
        <v>47121</v>
      </c>
      <c r="T1415" s="43">
        <f ca="1">_xll.BInterpol('Base CDI'!$H$4:$H$28,'Base CDI'!$J$4:$J$29,S1415,"Cubic","Extrapolate=Linear","MultiX=Average","Skip=True","Sort=True")</f>
        <v>14.6901805586877</v>
      </c>
      <c r="U1415" s="43">
        <f ca="1">_xll.BInterpol('Base CDI'!$H$4:$H$28,'Base CDI'!$I$4:$I$29,S1415,"Cubic","Extrapolate=Linear","MultiX=Average","Skip=True","Sort=True")</f>
        <v>14.725188066224675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47122</v>
      </c>
      <c r="T1416" s="43">
        <f ca="1">_xll.BInterpol('Base CDI'!$H$4:$H$28,'Base CDI'!$J$4:$J$29,S1416,"Cubic","Extrapolate=Linear","MultiX=Average","Skip=True","Sort=True")</f>
        <v>14.690361220858703</v>
      </c>
      <c r="U1416" s="43">
        <f ca="1">_xll.BInterpol('Base CDI'!$H$4:$H$28,'Base CDI'!$I$4:$I$29,S1416,"Cubic","Extrapolate=Linear","MultiX=Average","Skip=True","Sort=True")</f>
        <v>14.725376438106203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47123</v>
      </c>
      <c r="T1417" s="43">
        <f ca="1">_xll.BInterpol('Base CDI'!$H$4:$H$28,'Base CDI'!$J$4:$J$29,S1417,"Cubic","Extrapolate=Linear","MultiX=Average","Skip=True","Sort=True")</f>
        <v>14.690541984674461</v>
      </c>
      <c r="U1417" s="43">
        <f ca="1">_xll.BInterpol('Base CDI'!$H$4:$H$28,'Base CDI'!$I$4:$I$29,S1417,"Cubic","Extrapolate=Linear","MultiX=Average","Skip=True","Sort=True")</f>
        <v>14.725565113287171</v>
      </c>
    </row>
    <row r="1418" spans="16:21" x14ac:dyDescent="0.25">
      <c r="P1418" s="10">
        <v>36573</v>
      </c>
      <c r="Q1418">
        <v>5.157457</v>
      </c>
      <c r="S1418" s="42">
        <f t="shared" ca="1" si="26"/>
        <v>47124</v>
      </c>
      <c r="T1418" s="43">
        <f ca="1">_xll.BInterpol('Base CDI'!$H$4:$H$28,'Base CDI'!$J$4:$J$29,S1418,"Cubic","Extrapolate=Linear","MultiX=Average","Skip=True","Sort=True")</f>
        <v>14.690722848296421</v>
      </c>
      <c r="U1418" s="43">
        <f ca="1">_xll.BInterpol('Base CDI'!$H$4:$H$28,'Base CDI'!$I$4:$I$29,S1418,"Cubic","Extrapolate=Linear","MultiX=Average","Skip=True","Sort=True")</f>
        <v>14.725754089410167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47125</v>
      </c>
      <c r="T1419" s="43">
        <f ca="1">_xll.BInterpol('Base CDI'!$H$4:$H$28,'Base CDI'!$J$4:$J$29,S1419,"Cubic","Extrapolate=Linear","MultiX=Average","Skip=True","Sort=True")</f>
        <v>14.690903809886036</v>
      </c>
      <c r="U1419" s="43">
        <f ca="1">_xll.BInterpol('Base CDI'!$H$4:$H$28,'Base CDI'!$I$4:$I$29,S1419,"Cubic","Extrapolate=Linear","MultiX=Average","Skip=True","Sort=True")</f>
        <v>14.725943364117775</v>
      </c>
    </row>
    <row r="1420" spans="16:21" x14ac:dyDescent="0.25">
      <c r="P1420" s="10">
        <v>36577</v>
      </c>
      <c r="Q1420">
        <v>5.164485</v>
      </c>
      <c r="S1420" s="42">
        <f t="shared" ca="1" si="27"/>
        <v>47126</v>
      </c>
      <c r="T1420" s="43">
        <f ca="1">_xll.BInterpol('Base CDI'!$H$4:$H$28,'Base CDI'!$J$4:$J$29,S1420,"Cubic","Extrapolate=Linear","MultiX=Average","Skip=True","Sort=True")</f>
        <v>14.691084867604754</v>
      </c>
      <c r="U1420" s="43">
        <f ca="1">_xll.BInterpol('Base CDI'!$H$4:$H$28,'Base CDI'!$I$4:$I$29,S1420,"Cubic","Extrapolate=Linear","MultiX=Average","Skip=True","Sort=True")</f>
        <v>14.726132935052584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47127</v>
      </c>
      <c r="T1421" s="43">
        <f ca="1">_xll.BInterpol('Base CDI'!$H$4:$H$28,'Base CDI'!$J$4:$J$29,S1421,"Cubic","Extrapolate=Linear","MultiX=Average","Skip=True","Sort=True")</f>
        <v>14.691266019614028</v>
      </c>
      <c r="U1421" s="43">
        <f ca="1">_xll.BInterpol('Base CDI'!$H$4:$H$28,'Base CDI'!$I$4:$I$29,S1421,"Cubic","Extrapolate=Linear","MultiX=Average","Skip=True","Sort=True")</f>
        <v>14.726322799857181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47128</v>
      </c>
      <c r="T1422" s="43">
        <f ca="1">_xll.BInterpol('Base CDI'!$H$4:$H$28,'Base CDI'!$J$4:$J$29,S1422,"Cubic","Extrapolate=Linear","MultiX=Average","Skip=True","Sort=True")</f>
        <v>14.691447264075308</v>
      </c>
      <c r="U1422" s="43">
        <f ca="1">_xll.BInterpol('Base CDI'!$H$4:$H$28,'Base CDI'!$I$4:$I$29,S1422,"Cubic","Extrapolate=Linear","MultiX=Average","Skip=True","Sort=True")</f>
        <v>14.726512956174153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47129</v>
      </c>
      <c r="T1423" s="43">
        <f ca="1">_xll.BInterpol('Base CDI'!$H$4:$H$28,'Base CDI'!$J$4:$J$29,S1423,"Cubic","Extrapolate=Linear","MultiX=Average","Skip=True","Sort=True")</f>
        <v>14.691628599150043</v>
      </c>
      <c r="U1423" s="43">
        <f ca="1">_xll.BInterpol('Base CDI'!$H$4:$H$28,'Base CDI'!$I$4:$I$29,S1423,"Cubic","Extrapolate=Linear","MultiX=Average","Skip=True","Sort=True")</f>
        <v>14.726703401646088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47130</v>
      </c>
      <c r="T1424" s="43">
        <f ca="1">_xll.BInterpol('Base CDI'!$H$4:$H$28,'Base CDI'!$J$4:$J$29,S1424,"Cubic","Extrapolate=Linear","MultiX=Average","Skip=True","Sort=True")</f>
        <v>14.691810022999684</v>
      </c>
      <c r="U1424" s="43">
        <f ca="1">_xll.BInterpol('Base CDI'!$H$4:$H$28,'Base CDI'!$I$4:$I$29,S1424,"Cubic","Extrapolate=Linear","MultiX=Average","Skip=True","Sort=True")</f>
        <v>14.72689413391557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47131</v>
      </c>
      <c r="T1425" s="43">
        <f ca="1">_xll.BInterpol('Base CDI'!$H$4:$H$28,'Base CDI'!$J$4:$J$29,S1425,"Cubic","Extrapolate=Linear","MultiX=Average","Skip=True","Sort=True")</f>
        <v>14.69199153378568</v>
      </c>
      <c r="U1425" s="43">
        <f ca="1">_xll.BInterpol('Base CDI'!$H$4:$H$28,'Base CDI'!$I$4:$I$29,S1425,"Cubic","Extrapolate=Linear","MultiX=Average","Skip=True","Sort=True")</f>
        <v>14.727085150625188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47132</v>
      </c>
      <c r="T1426" s="43">
        <f ca="1">_xll.BInterpol('Base CDI'!$H$4:$H$28,'Base CDI'!$J$4:$J$29,S1426,"Cubic","Extrapolate=Linear","MultiX=Average","Skip=True","Sort=True")</f>
        <v>14.692173129669486</v>
      </c>
      <c r="U1426" s="43">
        <f ca="1">_xll.BInterpol('Base CDI'!$H$4:$H$28,'Base CDI'!$I$4:$I$29,S1426,"Cubic","Extrapolate=Linear","MultiX=Average","Skip=True","Sort=True")</f>
        <v>14.727276449417527</v>
      </c>
    </row>
    <row r="1427" spans="16:21" x14ac:dyDescent="0.25">
      <c r="P1427" s="10">
        <v>36586</v>
      </c>
      <c r="Q1427">
        <v>5.189203</v>
      </c>
      <c r="S1427" s="42">
        <f t="shared" ca="1" si="27"/>
        <v>47133</v>
      </c>
      <c r="T1427" s="43">
        <f ca="1">_xll.BInterpol('Base CDI'!$H$4:$H$28,'Base CDI'!$J$4:$J$29,S1427,"Cubic","Extrapolate=Linear","MultiX=Average","Skip=True","Sort=True")</f>
        <v>14.692354808812548</v>
      </c>
      <c r="U1427" s="43">
        <f ca="1">_xll.BInterpol('Base CDI'!$H$4:$H$28,'Base CDI'!$I$4:$I$29,S1427,"Cubic","Extrapolate=Linear","MultiX=Average","Skip=True","Sort=True")</f>
        <v>14.727468027935178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47134</v>
      </c>
      <c r="T1428" s="43">
        <f ca="1">_xll.BInterpol('Base CDI'!$H$4:$H$28,'Base CDI'!$J$4:$J$29,S1428,"Cubic","Extrapolate=Linear","MultiX=Average","Skip=True","Sort=True")</f>
        <v>14.692536569376317</v>
      </c>
      <c r="U1428" s="43">
        <f ca="1">_xll.BInterpol('Base CDI'!$H$4:$H$28,'Base CDI'!$I$4:$I$29,S1428,"Cubic","Extrapolate=Linear","MultiX=Average","Skip=True","Sort=True")</f>
        <v>14.727659883820724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47135</v>
      </c>
      <c r="T1429" s="43">
        <f ca="1">_xll.BInterpol('Base CDI'!$H$4:$H$28,'Base CDI'!$J$4:$J$29,S1429,"Cubic","Extrapolate=Linear","MultiX=Average","Skip=True","Sort=True")</f>
        <v>14.692718409522243</v>
      </c>
      <c r="U1429" s="43">
        <f ca="1">_xll.BInterpol('Base CDI'!$H$4:$H$28,'Base CDI'!$I$4:$I$29,S1429,"Cubic","Extrapolate=Linear","MultiX=Average","Skip=True","Sort=True")</f>
        <v>14.727852014716753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47136</v>
      </c>
      <c r="T1430" s="43">
        <f ca="1">_xll.BInterpol('Base CDI'!$H$4:$H$28,'Base CDI'!$J$4:$J$29,S1430,"Cubic","Extrapolate=Linear","MultiX=Average","Skip=True","Sort=True")</f>
        <v>14.692900327411779</v>
      </c>
      <c r="U1430" s="43">
        <f ca="1">_xll.BInterpol('Base CDI'!$H$4:$H$28,'Base CDI'!$I$4:$I$29,S1430,"Cubic","Extrapolate=Linear","MultiX=Average","Skip=True","Sort=True")</f>
        <v>14.728044418265853</v>
      </c>
    </row>
    <row r="1431" spans="16:21" x14ac:dyDescent="0.25">
      <c r="P1431" s="10">
        <v>36594</v>
      </c>
      <c r="Q1431">
        <v>5.203379</v>
      </c>
      <c r="S1431" s="42">
        <f t="shared" ca="1" si="27"/>
        <v>47137</v>
      </c>
      <c r="T1431" s="43">
        <f ca="1">_xll.BInterpol('Base CDI'!$H$4:$H$28,'Base CDI'!$J$4:$J$29,S1431,"Cubic","Extrapolate=Linear","MultiX=Average","Skip=True","Sort=True")</f>
        <v>14.693082321206374</v>
      </c>
      <c r="U1431" s="43">
        <f ca="1">_xll.BInterpol('Base CDI'!$H$4:$H$28,'Base CDI'!$I$4:$I$29,S1431,"Cubic","Extrapolate=Linear","MultiX=Average","Skip=True","Sort=True")</f>
        <v>14.728237092110611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47138</v>
      </c>
      <c r="T1432" s="43">
        <f ca="1">_xll.BInterpol('Base CDI'!$H$4:$H$28,'Base CDI'!$J$4:$J$29,S1432,"Cubic","Extrapolate=Linear","MultiX=Average","Skip=True","Sort=True")</f>
        <v>14.693264389067478</v>
      </c>
      <c r="U1432" s="43">
        <f ca="1">_xll.BInterpol('Base CDI'!$H$4:$H$28,'Base CDI'!$I$4:$I$29,S1432,"Cubic","Extrapolate=Linear","MultiX=Average","Skip=True","Sort=True")</f>
        <v>14.728430033893613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47139</v>
      </c>
      <c r="T1433" s="43">
        <f ca="1">_xll.BInterpol('Base CDI'!$H$4:$H$28,'Base CDI'!$J$4:$J$29,S1433,"Cubic","Extrapolate=Linear","MultiX=Average","Skip=True","Sort=True")</f>
        <v>14.693446529156542</v>
      </c>
      <c r="U1433" s="43">
        <f ca="1">_xll.BInterpol('Base CDI'!$H$4:$H$28,'Base CDI'!$I$4:$I$29,S1433,"Cubic","Extrapolate=Linear","MultiX=Average","Skip=True","Sort=True")</f>
        <v>14.728623241257445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47140</v>
      </c>
      <c r="T1434" s="43">
        <f ca="1">_xll.BInterpol('Base CDI'!$H$4:$H$28,'Base CDI'!$J$4:$J$29,S1434,"Cubic","Extrapolate=Linear","MultiX=Average","Skip=True","Sort=True")</f>
        <v>14.693628739635017</v>
      </c>
      <c r="U1434" s="43">
        <f ca="1">_xll.BInterpol('Base CDI'!$H$4:$H$28,'Base CDI'!$I$4:$I$29,S1434,"Cubic","Extrapolate=Linear","MultiX=Average","Skip=True","Sort=True")</f>
        <v>14.728816711844697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47141</v>
      </c>
      <c r="T1435" s="43">
        <f ca="1">_xll.BInterpol('Base CDI'!$H$4:$H$28,'Base CDI'!$J$4:$J$29,S1435,"Cubic","Extrapolate=Linear","MultiX=Average","Skip=True","Sort=True")</f>
        <v>14.69381101866435</v>
      </c>
      <c r="U1435" s="43">
        <f ca="1">_xll.BInterpol('Base CDI'!$H$4:$H$28,'Base CDI'!$I$4:$I$29,S1435,"Cubic","Extrapolate=Linear","MultiX=Average","Skip=True","Sort=True")</f>
        <v>14.729010443297952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47142</v>
      </c>
      <c r="T1436" s="43">
        <f ca="1">_xll.BInterpol('Base CDI'!$H$4:$H$28,'Base CDI'!$J$4:$J$29,S1436,"Cubic","Extrapolate=Linear","MultiX=Average","Skip=True","Sort=True")</f>
        <v>14.693993364405996</v>
      </c>
      <c r="U1436" s="43">
        <f ca="1">_xll.BInterpol('Base CDI'!$H$4:$H$28,'Base CDI'!$I$4:$I$29,S1436,"Cubic","Extrapolate=Linear","MultiX=Average","Skip=True","Sort=True")</f>
        <v>14.729204433259801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47143</v>
      </c>
      <c r="T1437" s="43">
        <f ca="1">_xll.BInterpol('Base CDI'!$H$4:$H$28,'Base CDI'!$J$4:$J$29,S1437,"Cubic","Extrapolate=Linear","MultiX=Average","Skip=True","Sort=True")</f>
        <v>14.694175775021403</v>
      </c>
      <c r="U1437" s="43">
        <f ca="1">_xll.BInterpol('Base CDI'!$H$4:$H$28,'Base CDI'!$I$4:$I$29,S1437,"Cubic","Extrapolate=Linear","MultiX=Average","Skip=True","Sort=True")</f>
        <v>14.729398679372828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47144</v>
      </c>
      <c r="T1438" s="43">
        <f ca="1">_xll.BInterpol('Base CDI'!$H$4:$H$28,'Base CDI'!$J$4:$J$29,S1438,"Cubic","Extrapolate=Linear","MultiX=Average","Skip=True","Sort=True")</f>
        <v>14.694358248672021</v>
      </c>
      <c r="U1438" s="43">
        <f ca="1">_xll.BInterpol('Base CDI'!$H$4:$H$28,'Base CDI'!$I$4:$I$29,S1438,"Cubic","Extrapolate=Linear","MultiX=Average","Skip=True","Sort=True")</f>
        <v>14.729593179279622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47145</v>
      </c>
      <c r="T1439" s="43">
        <f ca="1">_xll.BInterpol('Base CDI'!$H$4:$H$28,'Base CDI'!$J$4:$J$29,S1439,"Cubic","Extrapolate=Linear","MultiX=Average","Skip=True","Sort=True")</f>
        <v>14.694540783519301</v>
      </c>
      <c r="U1439" s="43">
        <f ca="1">_xll.BInterpol('Base CDI'!$H$4:$H$28,'Base CDI'!$I$4:$I$29,S1439,"Cubic","Extrapolate=Linear","MultiX=Average","Skip=True","Sort=True")</f>
        <v>14.729787930622768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47146</v>
      </c>
      <c r="T1440" s="43">
        <f ca="1">_xll.BInterpol('Base CDI'!$H$4:$H$28,'Base CDI'!$J$4:$J$29,S1440,"Cubic","Extrapolate=Linear","MultiX=Average","Skip=True","Sort=True")</f>
        <v>14.694723377724694</v>
      </c>
      <c r="U1440" s="43">
        <f ca="1">_xll.BInterpol('Base CDI'!$H$4:$H$28,'Base CDI'!$I$4:$I$29,S1440,"Cubic","Extrapolate=Linear","MultiX=Average","Skip=True","Sort=True")</f>
        <v>14.729982931044855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47147</v>
      </c>
      <c r="T1441" s="43">
        <f ca="1">_xll.BInterpol('Base CDI'!$H$4:$H$28,'Base CDI'!$J$4:$J$29,S1441,"Cubic","Extrapolate=Linear","MultiX=Average","Skip=True","Sort=True")</f>
        <v>14.694906029449651</v>
      </c>
      <c r="U1441" s="43">
        <f ca="1">_xll.BInterpol('Base CDI'!$H$4:$H$28,'Base CDI'!$I$4:$I$29,S1441,"Cubic","Extrapolate=Linear","MultiX=Average","Skip=True","Sort=True")</f>
        <v>14.730178178188469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47148</v>
      </c>
      <c r="T1442" s="43">
        <f ca="1">_xll.BInterpol('Base CDI'!$H$4:$H$28,'Base CDI'!$J$4:$J$29,S1442,"Cubic","Extrapolate=Linear","MultiX=Average","Skip=True","Sort=True")</f>
        <v>14.69508873685562</v>
      </c>
      <c r="U1442" s="43">
        <f ca="1">_xll.BInterpol('Base CDI'!$H$4:$H$28,'Base CDI'!$I$4:$I$29,S1442,"Cubic","Extrapolate=Linear","MultiX=Average","Skip=True","Sort=True")</f>
        <v>14.730373669696196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47149</v>
      </c>
      <c r="T1443" s="43">
        <f ca="1">_xll.BInterpol('Base CDI'!$H$4:$H$28,'Base CDI'!$J$4:$J$29,S1443,"Cubic","Extrapolate=Linear","MultiX=Average","Skip=True","Sort=True")</f>
        <v>14.695271498104052</v>
      </c>
      <c r="U1443" s="43">
        <f ca="1">_xll.BInterpol('Base CDI'!$H$4:$H$28,'Base CDI'!$I$4:$I$29,S1443,"Cubic","Extrapolate=Linear","MultiX=Average","Skip=True","Sort=True")</f>
        <v>14.730569403210623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47150</v>
      </c>
      <c r="T1444" s="43">
        <f ca="1">_xll.BInterpol('Base CDI'!$H$4:$H$28,'Base CDI'!$J$4:$J$29,S1444,"Cubic","Extrapolate=Linear","MultiX=Average","Skip=True","Sort=True")</f>
        <v>14.6954543113564</v>
      </c>
      <c r="U1444" s="43">
        <f ca="1">_xll.BInterpol('Base CDI'!$H$4:$H$28,'Base CDI'!$I$4:$I$29,S1444,"Cubic","Extrapolate=Linear","MultiX=Average","Skip=True","Sort=True")</f>
        <v>14.73076537637434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47151</v>
      </c>
      <c r="T1445" s="43">
        <f ca="1">_xll.BInterpol('Base CDI'!$H$4:$H$28,'Base CDI'!$J$4:$J$29,S1445,"Cubic","Extrapolate=Linear","MultiX=Average","Skip=True","Sort=True")</f>
        <v>14.695637174774111</v>
      </c>
      <c r="U1445" s="43">
        <f ca="1">_xll.BInterpol('Base CDI'!$H$4:$H$28,'Base CDI'!$I$4:$I$29,S1445,"Cubic","Extrapolate=Linear","MultiX=Average","Skip=True","Sort=True")</f>
        <v>14.730961586829929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47152</v>
      </c>
      <c r="T1446" s="43">
        <f ca="1">_xll.BInterpol('Base CDI'!$H$4:$H$28,'Base CDI'!$J$4:$J$29,S1446,"Cubic","Extrapolate=Linear","MultiX=Average","Skip=True","Sort=True")</f>
        <v>14.695820086518639</v>
      </c>
      <c r="U1446" s="43">
        <f ca="1">_xll.BInterpol('Base CDI'!$H$4:$H$28,'Base CDI'!$I$4:$I$29,S1446,"Cubic","Extrapolate=Linear","MultiX=Average","Skip=True","Sort=True")</f>
        <v>14.731158032219982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47153</v>
      </c>
      <c r="T1447" s="43">
        <f ca="1">_xll.BInterpol('Base CDI'!$H$4:$H$28,'Base CDI'!$J$4:$J$29,S1447,"Cubic","Extrapolate=Linear","MultiX=Average","Skip=True","Sort=True")</f>
        <v>14.69600304475143</v>
      </c>
      <c r="U1447" s="43">
        <f ca="1">_xll.BInterpol('Base CDI'!$H$4:$H$28,'Base CDI'!$I$4:$I$29,S1447,"Cubic","Extrapolate=Linear","MultiX=Average","Skip=True","Sort=True")</f>
        <v>14.731354710187084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47154</v>
      </c>
      <c r="T1448" s="43">
        <f ca="1">_xll.BInterpol('Base CDI'!$H$4:$H$28,'Base CDI'!$J$4:$J$29,S1448,"Cubic","Extrapolate=Linear","MultiX=Average","Skip=True","Sort=True")</f>
        <v>14.696186047633939</v>
      </c>
      <c r="U1448" s="43">
        <f ca="1">_xll.BInterpol('Base CDI'!$H$4:$H$28,'Base CDI'!$I$4:$I$29,S1448,"Cubic","Extrapolate=Linear","MultiX=Average","Skip=True","Sort=True")</f>
        <v>14.731551618373819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47155</v>
      </c>
      <c r="T1449" s="43">
        <f ca="1">_xll.BInterpol('Base CDI'!$H$4:$H$28,'Base CDI'!$J$4:$J$29,S1449,"Cubic","Extrapolate=Linear","MultiX=Average","Skip=True","Sort=True")</f>
        <v>14.696369093327611</v>
      </c>
      <c r="U1449" s="43">
        <f ca="1">_xll.BInterpol('Base CDI'!$H$4:$H$28,'Base CDI'!$I$4:$I$29,S1449,"Cubic","Extrapolate=Linear","MultiX=Average","Skip=True","Sort=True")</f>
        <v>14.731748754422778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47156</v>
      </c>
      <c r="T1450" s="43">
        <f ca="1">_xll.BInterpol('Base CDI'!$H$4:$H$28,'Base CDI'!$J$4:$J$29,S1450,"Cubic","Extrapolate=Linear","MultiX=Average","Skip=True","Sort=True")</f>
        <v>14.696552179993901</v>
      </c>
      <c r="U1450" s="43">
        <f ca="1">_xll.BInterpol('Base CDI'!$H$4:$H$28,'Base CDI'!$I$4:$I$29,S1450,"Cubic","Extrapolate=Linear","MultiX=Average","Skip=True","Sort=True")</f>
        <v>14.731946115976548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47157</v>
      </c>
      <c r="T1451" s="43">
        <f ca="1">_xll.BInterpol('Base CDI'!$H$4:$H$28,'Base CDI'!$J$4:$J$29,S1451,"Cubic","Extrapolate=Linear","MultiX=Average","Skip=True","Sort=True")</f>
        <v>14.69673530579426</v>
      </c>
      <c r="U1451" s="43">
        <f ca="1">_xll.BInterpol('Base CDI'!$H$4:$H$28,'Base CDI'!$I$4:$I$29,S1451,"Cubic","Extrapolate=Linear","MultiX=Average","Skip=True","Sort=True")</f>
        <v>14.732143700677712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47158</v>
      </c>
      <c r="T1452" s="43">
        <f ca="1">_xll.BInterpol('Base CDI'!$H$4:$H$28,'Base CDI'!$J$4:$J$29,S1452,"Cubic","Extrapolate=Linear","MultiX=Average","Skip=True","Sort=True")</f>
        <v>14.696918468890134</v>
      </c>
      <c r="U1452" s="43">
        <f ca="1">_xll.BInterpol('Base CDI'!$H$4:$H$28,'Base CDI'!$I$4:$I$29,S1452,"Cubic","Extrapolate=Linear","MultiX=Average","Skip=True","Sort=True")</f>
        <v>14.732341506168861</v>
      </c>
    </row>
    <row r="1453" spans="16:21" x14ac:dyDescent="0.25">
      <c r="P1453" s="10">
        <v>36626</v>
      </c>
      <c r="Q1453">
        <v>5.281523</v>
      </c>
      <c r="S1453" s="42">
        <f t="shared" ca="1" si="27"/>
        <v>47159</v>
      </c>
      <c r="T1453" s="43">
        <f ca="1">_xll.BInterpol('Base CDI'!$H$4:$H$28,'Base CDI'!$J$4:$J$29,S1453,"Cubic","Extrapolate=Linear","MultiX=Average","Skip=True","Sort=True")</f>
        <v>14.697101667442977</v>
      </c>
      <c r="U1453" s="43">
        <f ca="1">_xll.BInterpol('Base CDI'!$H$4:$H$28,'Base CDI'!$I$4:$I$29,S1453,"Cubic","Extrapolate=Linear","MultiX=Average","Skip=True","Sort=True")</f>
        <v>14.732539530092581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47160</v>
      </c>
      <c r="T1454" s="43">
        <f ca="1">_xll.BInterpol('Base CDI'!$H$4:$H$28,'Base CDI'!$J$4:$J$29,S1454,"Cubic","Extrapolate=Linear","MultiX=Average","Skip=True","Sort=True")</f>
        <v>14.697284899614237</v>
      </c>
      <c r="U1454" s="43">
        <f ca="1">_xll.BInterpol('Base CDI'!$H$4:$H$28,'Base CDI'!$I$4:$I$29,S1454,"Cubic","Extrapolate=Linear","MultiX=Average","Skip=True","Sort=True")</f>
        <v>14.732737770091457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47161</v>
      </c>
      <c r="T1455" s="43">
        <f ca="1">_xll.BInterpol('Base CDI'!$H$4:$H$28,'Base CDI'!$J$4:$J$29,S1455,"Cubic","Extrapolate=Linear","MultiX=Average","Skip=True","Sort=True")</f>
        <v>14.697468163565366</v>
      </c>
      <c r="U1455" s="43">
        <f ca="1">_xll.BInterpol('Base CDI'!$H$4:$H$28,'Base CDI'!$I$4:$I$29,S1455,"Cubic","Extrapolate=Linear","MultiX=Average","Skip=True","Sort=True")</f>
        <v>14.732936223808078</v>
      </c>
    </row>
    <row r="1456" spans="16:21" x14ac:dyDescent="0.25">
      <c r="P1456" s="10">
        <v>36629</v>
      </c>
      <c r="Q1456">
        <v>5.292154</v>
      </c>
      <c r="S1456" s="42">
        <f t="shared" ca="1" si="27"/>
        <v>47162</v>
      </c>
      <c r="T1456" s="43">
        <f ca="1">_xll.BInterpol('Base CDI'!$H$4:$H$28,'Base CDI'!$J$4:$J$29,S1456,"Cubic","Extrapolate=Linear","MultiX=Average","Skip=True","Sort=True")</f>
        <v>14.697651457457814</v>
      </c>
      <c r="U1456" s="43">
        <f ca="1">_xll.BInterpol('Base CDI'!$H$4:$H$28,'Base CDI'!$I$4:$I$29,S1456,"Cubic","Extrapolate=Linear","MultiX=Average","Skip=True","Sort=True")</f>
        <v>14.733134888885029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47163</v>
      </c>
      <c r="T1457" s="43">
        <f ca="1">_xll.BInterpol('Base CDI'!$H$4:$H$28,'Base CDI'!$J$4:$J$29,S1457,"Cubic","Extrapolate=Linear","MultiX=Average","Skip=True","Sort=True")</f>
        <v>14.697834779453032</v>
      </c>
      <c r="U1457" s="43">
        <f ca="1">_xll.BInterpol('Base CDI'!$H$4:$H$28,'Base CDI'!$I$4:$I$29,S1457,"Cubic","Extrapolate=Linear","MultiX=Average","Skip=True","Sort=True")</f>
        <v>14.7333337629649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47164</v>
      </c>
      <c r="T1458" s="43">
        <f ca="1">_xll.BInterpol('Base CDI'!$H$4:$H$28,'Base CDI'!$J$4:$J$29,S1458,"Cubic","Extrapolate=Linear","MultiX=Average","Skip=True","Sort=True")</f>
        <v>14.698018127712469</v>
      </c>
      <c r="U1458" s="43">
        <f ca="1">_xll.BInterpol('Base CDI'!$H$4:$H$28,'Base CDI'!$I$4:$I$29,S1458,"Cubic","Extrapolate=Linear","MultiX=Average","Skip=True","Sort=True")</f>
        <v>14.733532843690275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47165</v>
      </c>
      <c r="T1459" s="43">
        <f ca="1">_xll.BInterpol('Base CDI'!$H$4:$H$28,'Base CDI'!$J$4:$J$29,S1459,"Cubic","Extrapolate=Linear","MultiX=Average","Skip=True","Sort=True")</f>
        <v>14.698201500397577</v>
      </c>
      <c r="U1459" s="43">
        <f ca="1">_xll.BInterpol('Base CDI'!$H$4:$H$28,'Base CDI'!$I$4:$I$29,S1459,"Cubic","Extrapolate=Linear","MultiX=Average","Skip=True","Sort=True")</f>
        <v>14.733732128703744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47166</v>
      </c>
      <c r="T1460" s="43">
        <f ca="1">_xll.BInterpol('Base CDI'!$H$4:$H$28,'Base CDI'!$J$4:$J$29,S1460,"Cubic","Extrapolate=Linear","MultiX=Average","Skip=True","Sort=True")</f>
        <v>14.698384895669804</v>
      </c>
      <c r="U1460" s="43">
        <f ca="1">_xll.BInterpol('Base CDI'!$H$4:$H$28,'Base CDI'!$I$4:$I$29,S1460,"Cubic","Extrapolate=Linear","MultiX=Average","Skip=True","Sort=True")</f>
        <v>14.73393161564789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47167</v>
      </c>
      <c r="T1461" s="43">
        <f ca="1">_xll.BInterpol('Base CDI'!$H$4:$H$28,'Base CDI'!$J$4:$J$29,S1461,"Cubic","Extrapolate=Linear","MultiX=Average","Skip=True","Sort=True")</f>
        <v>14.698568311690604</v>
      </c>
      <c r="U1461" s="43">
        <f ca="1">_xll.BInterpol('Base CDI'!$H$4:$H$28,'Base CDI'!$I$4:$I$29,S1461,"Cubic","Extrapolate=Linear","MultiX=Average","Skip=True","Sort=True")</f>
        <v>14.734131302165304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47168</v>
      </c>
      <c r="T1462" s="43">
        <f ca="1">_xll.BInterpol('Base CDI'!$H$4:$H$28,'Base CDI'!$J$4:$J$29,S1462,"Cubic","Extrapolate=Linear","MultiX=Average","Skip=True","Sort=True")</f>
        <v>14.698751746621424</v>
      </c>
      <c r="U1462" s="43">
        <f ca="1">_xll.BInterpol('Base CDI'!$H$4:$H$28,'Base CDI'!$I$4:$I$29,S1462,"Cubic","Extrapolate=Linear","MultiX=Average","Skip=True","Sort=True")</f>
        <v>14.73433118589857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47169</v>
      </c>
      <c r="T1463" s="43">
        <f ca="1">_xll.BInterpol('Base CDI'!$H$4:$H$28,'Base CDI'!$J$4:$J$29,S1463,"Cubic","Extrapolate=Linear","MultiX=Average","Skip=True","Sort=True")</f>
        <v>14.698935198623717</v>
      </c>
      <c r="U1463" s="43">
        <f ca="1">_xll.BInterpol('Base CDI'!$H$4:$H$28,'Base CDI'!$I$4:$I$29,S1463,"Cubic","Extrapolate=Linear","MultiX=Average","Skip=True","Sort=True")</f>
        <v>14.734531264490276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47170</v>
      </c>
      <c r="T1464" s="43">
        <f ca="1">_xll.BInterpol('Base CDI'!$H$4:$H$28,'Base CDI'!$J$4:$J$29,S1464,"Cubic","Extrapolate=Linear","MultiX=Average","Skip=True","Sort=True")</f>
        <v>14.699118665858931</v>
      </c>
      <c r="U1464" s="43">
        <f ca="1">_xll.BInterpol('Base CDI'!$H$4:$H$28,'Base CDI'!$I$4:$I$29,S1464,"Cubic","Extrapolate=Linear","MultiX=Average","Skip=True","Sort=True")</f>
        <v>14.734731535583009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47171</v>
      </c>
      <c r="T1465" s="43">
        <f ca="1">_xll.BInterpol('Base CDI'!$H$4:$H$28,'Base CDI'!$J$4:$J$29,S1465,"Cubic","Extrapolate=Linear","MultiX=Average","Skip=True","Sort=True")</f>
        <v>14.699302146488519</v>
      </c>
      <c r="U1465" s="43">
        <f ca="1">_xll.BInterpol('Base CDI'!$H$4:$H$28,'Base CDI'!$I$4:$I$29,S1465,"Cubic","Extrapolate=Linear","MultiX=Average","Skip=True","Sort=True")</f>
        <v>14.734931996819356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47172</v>
      </c>
      <c r="T1466" s="43">
        <f ca="1">_xll.BInterpol('Base CDI'!$H$4:$H$28,'Base CDI'!$J$4:$J$29,S1466,"Cubic","Extrapolate=Linear","MultiX=Average","Skip=True","Sort=True")</f>
        <v>14.699485638673927</v>
      </c>
      <c r="U1466" s="43">
        <f ca="1">_xll.BInterpol('Base CDI'!$H$4:$H$28,'Base CDI'!$I$4:$I$29,S1466,"Cubic","Extrapolate=Linear","MultiX=Average","Skip=True","Sort=True")</f>
        <v>14.735132645841903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47173</v>
      </c>
      <c r="T1467" s="43">
        <f ca="1">_xll.BInterpol('Base CDI'!$H$4:$H$28,'Base CDI'!$J$4:$J$29,S1467,"Cubic","Extrapolate=Linear","MultiX=Average","Skip=True","Sort=True")</f>
        <v>14.699669140576612</v>
      </c>
      <c r="U1467" s="43">
        <f ca="1">_xll.BInterpol('Base CDI'!$H$4:$H$28,'Base CDI'!$I$4:$I$29,S1467,"Cubic","Extrapolate=Linear","MultiX=Average","Skip=True","Sort=True")</f>
        <v>14.735333480293239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47174</v>
      </c>
      <c r="T1468" s="43">
        <f ca="1">_xll.BInterpol('Base CDI'!$H$4:$H$28,'Base CDI'!$J$4:$J$29,S1468,"Cubic","Extrapolate=Linear","MultiX=Average","Skip=True","Sort=True")</f>
        <v>14.699852650358018</v>
      </c>
      <c r="U1468" s="43">
        <f ca="1">_xll.BInterpol('Base CDI'!$H$4:$H$28,'Base CDI'!$I$4:$I$29,S1468,"Cubic","Extrapolate=Linear","MultiX=Average","Skip=True","Sort=True")</f>
        <v>14.73553449781595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47175</v>
      </c>
      <c r="T1469" s="43">
        <f ca="1">_xll.BInterpol('Base CDI'!$H$4:$H$28,'Base CDI'!$J$4:$J$29,S1469,"Cubic","Extrapolate=Linear","MultiX=Average","Skip=True","Sort=True")</f>
        <v>14.700036166179599</v>
      </c>
      <c r="U1469" s="43">
        <f ca="1">_xll.BInterpol('Base CDI'!$H$4:$H$28,'Base CDI'!$I$4:$I$29,S1469,"Cubic","Extrapolate=Linear","MultiX=Average","Skip=True","Sort=True")</f>
        <v>14.735735696052622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47176</v>
      </c>
      <c r="T1470" s="43">
        <f ca="1">_xll.BInterpol('Base CDI'!$H$4:$H$28,'Base CDI'!$J$4:$J$29,S1470,"Cubic","Extrapolate=Linear","MultiX=Average","Skip=True","Sort=True")</f>
        <v>14.700219686202805</v>
      </c>
      <c r="U1470" s="43">
        <f ca="1">_xll.BInterpol('Base CDI'!$H$4:$H$28,'Base CDI'!$I$4:$I$29,S1470,"Cubic","Extrapolate=Linear","MultiX=Average","Skip=True","Sort=True")</f>
        <v>14.735937072645843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47177</v>
      </c>
      <c r="T1471" s="43">
        <f ca="1">_xll.BInterpol('Base CDI'!$H$4:$H$28,'Base CDI'!$J$4:$J$29,S1471,"Cubic","Extrapolate=Linear","MultiX=Average","Skip=True","Sort=True")</f>
        <v>14.700403208589087</v>
      </c>
      <c r="U1471" s="43">
        <f ca="1">_xll.BInterpol('Base CDI'!$H$4:$H$28,'Base CDI'!$I$4:$I$29,S1471,"Cubic","Extrapolate=Linear","MultiX=Average","Skip=True","Sort=True")</f>
        <v>14.736138625238199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47178</v>
      </c>
      <c r="T1472" s="43">
        <f ca="1">_xll.BInterpol('Base CDI'!$H$4:$H$28,'Base CDI'!$J$4:$J$29,S1472,"Cubic","Extrapolate=Linear","MultiX=Average","Skip=True","Sort=True")</f>
        <v>14.700586731499893</v>
      </c>
      <c r="U1472" s="43">
        <f ca="1">_xll.BInterpol('Base CDI'!$H$4:$H$28,'Base CDI'!$I$4:$I$29,S1472,"Cubic","Extrapolate=Linear","MultiX=Average","Skip=True","Sort=True")</f>
        <v>14.736340351472279</v>
      </c>
    </row>
    <row r="1473" spans="16:21" x14ac:dyDescent="0.25">
      <c r="P1473" s="10">
        <v>36656</v>
      </c>
      <c r="Q1473">
        <v>5.353021</v>
      </c>
      <c r="S1473" s="42">
        <f t="shared" ca="1" si="27"/>
        <v>47179</v>
      </c>
      <c r="T1473" s="43">
        <f ca="1">_xll.BInterpol('Base CDI'!$H$4:$H$28,'Base CDI'!$J$4:$J$29,S1473,"Cubic","Extrapolate=Linear","MultiX=Average","Skip=True","Sort=True")</f>
        <v>14.700770253096675</v>
      </c>
      <c r="U1473" s="43">
        <f ca="1">_xll.BInterpol('Base CDI'!$H$4:$H$28,'Base CDI'!$I$4:$I$29,S1473,"Cubic","Extrapolate=Linear","MultiX=Average","Skip=True","Sort=True")</f>
        <v>14.736542248990666</v>
      </c>
    </row>
    <row r="1474" spans="16:21" x14ac:dyDescent="0.25">
      <c r="P1474" s="10">
        <v>36657</v>
      </c>
      <c r="Q1474">
        <v>5.356617</v>
      </c>
      <c r="S1474" s="42">
        <f t="shared" ca="1" si="27"/>
        <v>47180</v>
      </c>
      <c r="T1474" s="43">
        <f ca="1">_xll.BInterpol('Base CDI'!$H$4:$H$28,'Base CDI'!$J$4:$J$29,S1474,"Cubic","Extrapolate=Linear","MultiX=Average","Skip=True","Sort=True")</f>
        <v>14.700953771540883</v>
      </c>
      <c r="U1474" s="43">
        <f ca="1">_xll.BInterpol('Base CDI'!$H$4:$H$28,'Base CDI'!$I$4:$I$29,S1474,"Cubic","Extrapolate=Linear","MultiX=Average","Skip=True","Sort=True")</f>
        <v>14.736744315435953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47181</v>
      </c>
      <c r="T1475" s="43">
        <f ca="1">_xll.BInterpol('Base CDI'!$H$4:$H$28,'Base CDI'!$J$4:$J$29,S1475,"Cubic","Extrapolate=Linear","MultiX=Average","Skip=True","Sort=True")</f>
        <v>14.701137284993969</v>
      </c>
      <c r="U1475" s="43">
        <f ca="1">_xll.BInterpol('Base CDI'!$H$4:$H$28,'Base CDI'!$I$4:$I$29,S1475,"Cubic","Extrapolate=Linear","MultiX=Average","Skip=True","Sort=True")</f>
        <v>14.736946548450721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47182</v>
      </c>
      <c r="T1476" s="43">
        <f ca="1">_xll.BInterpol('Base CDI'!$H$4:$H$28,'Base CDI'!$J$4:$J$29,S1476,"Cubic","Extrapolate=Linear","MultiX=Average","Skip=True","Sort=True")</f>
        <v>14.70132079161738</v>
      </c>
      <c r="U1476" s="43">
        <f ca="1">_xll.BInterpol('Base CDI'!$H$4:$H$28,'Base CDI'!$I$4:$I$29,S1476,"Cubic","Extrapolate=Linear","MultiX=Average","Skip=True","Sort=True")</f>
        <v>14.737148945677561</v>
      </c>
    </row>
    <row r="1477" spans="16:21" x14ac:dyDescent="0.25">
      <c r="P1477" s="10">
        <v>36662</v>
      </c>
      <c r="Q1477">
        <v>5.367413</v>
      </c>
      <c r="S1477" s="42">
        <f t="shared" ca="1" si="27"/>
        <v>47183</v>
      </c>
      <c r="T1477" s="43">
        <f ca="1">_xll.BInterpol('Base CDI'!$H$4:$H$28,'Base CDI'!$J$4:$J$29,S1477,"Cubic","Extrapolate=Linear","MultiX=Average","Skip=True","Sort=True")</f>
        <v>14.70150428957257</v>
      </c>
      <c r="U1477" s="43">
        <f ca="1">_xll.BInterpol('Base CDI'!$H$4:$H$28,'Base CDI'!$I$4:$I$29,S1477,"Cubic","Extrapolate=Linear","MultiX=Average","Skip=True","Sort=True")</f>
        <v>14.737351504759058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47184</v>
      </c>
      <c r="T1478" s="43">
        <f ca="1">_xll.BInterpol('Base CDI'!$H$4:$H$28,'Base CDI'!$J$4:$J$29,S1478,"Cubic","Extrapolate=Linear","MultiX=Average","Skip=True","Sort=True")</f>
        <v>14.701687777020988</v>
      </c>
      <c r="U1478" s="43">
        <f ca="1">_xll.BInterpol('Base CDI'!$H$4:$H$28,'Base CDI'!$I$4:$I$29,S1478,"Cubic","Extrapolate=Linear","MultiX=Average","Skip=True","Sort=True")</f>
        <v>14.737554223337799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47185</v>
      </c>
      <c r="T1479" s="43">
        <f ca="1">_xll.BInterpol('Base CDI'!$H$4:$H$28,'Base CDI'!$J$4:$J$29,S1479,"Cubic","Extrapolate=Linear","MultiX=Average","Skip=True","Sort=True")</f>
        <v>14.701871252124082</v>
      </c>
      <c r="U1479" s="43">
        <f ca="1">_xll.BInterpol('Base CDI'!$H$4:$H$28,'Base CDI'!$I$4:$I$29,S1479,"Cubic","Extrapolate=Linear","MultiX=Average","Skip=True","Sort=True")</f>
        <v>14.737757099056372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47186</v>
      </c>
      <c r="T1480" s="43">
        <f ca="1">_xll.BInterpol('Base CDI'!$H$4:$H$28,'Base CDI'!$J$4:$J$29,S1480,"Cubic","Extrapolate=Linear","MultiX=Average","Skip=True","Sort=True")</f>
        <v>14.702054713043307</v>
      </c>
      <c r="U1480" s="43">
        <f ca="1">_xll.BInterpol('Base CDI'!$H$4:$H$28,'Base CDI'!$I$4:$I$29,S1480,"Cubic","Extrapolate=Linear","MultiX=Average","Skip=True","Sort=True")</f>
        <v>14.737960129557361</v>
      </c>
    </row>
    <row r="1481" spans="16:21" x14ac:dyDescent="0.25">
      <c r="P1481" s="10">
        <v>36668</v>
      </c>
      <c r="Q1481">
        <v>5.381831</v>
      </c>
      <c r="S1481" s="42">
        <f t="shared" ca="1" si="27"/>
        <v>47187</v>
      </c>
      <c r="T1481" s="43">
        <f ca="1">_xll.BInterpol('Base CDI'!$H$4:$H$28,'Base CDI'!$J$4:$J$29,S1481,"Cubic","Extrapolate=Linear","MultiX=Average","Skip=True","Sort=True")</f>
        <v>14.70223815794011</v>
      </c>
      <c r="U1481" s="43">
        <f ca="1">_xll.BInterpol('Base CDI'!$H$4:$H$28,'Base CDI'!$I$4:$I$29,S1481,"Cubic","Extrapolate=Linear","MultiX=Average","Skip=True","Sort=True")</f>
        <v>14.738163312483358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47188</v>
      </c>
      <c r="T1482" s="43">
        <f ca="1">_xll.BInterpol('Base CDI'!$H$4:$H$28,'Base CDI'!$J$4:$J$29,S1482,"Cubic","Extrapolate=Linear","MultiX=Average","Skip=True","Sort=True")</f>
        <v>14.702421584975943</v>
      </c>
      <c r="U1482" s="43">
        <f ca="1">_xll.BInterpol('Base CDI'!$H$4:$H$28,'Base CDI'!$I$4:$I$29,S1482,"Cubic","Extrapolate=Linear","MultiX=Average","Skip=True","Sort=True")</f>
        <v>14.738366645476948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47189</v>
      </c>
      <c r="T1483" s="43">
        <f ca="1">_xll.BInterpol('Base CDI'!$H$4:$H$28,'Base CDI'!$J$4:$J$29,S1483,"Cubic","Extrapolate=Linear","MultiX=Average","Skip=True","Sort=True")</f>
        <v>14.702604992312255</v>
      </c>
      <c r="U1483" s="43">
        <f ca="1">_xll.BInterpol('Base CDI'!$H$4:$H$28,'Base CDI'!$I$4:$I$29,S1483,"Cubic","Extrapolate=Linear","MultiX=Average","Skip=True","Sort=True")</f>
        <v>14.738570126180715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47190</v>
      </c>
      <c r="T1484" s="43">
        <f ca="1">_xll.BInterpol('Base CDI'!$H$4:$H$28,'Base CDI'!$J$4:$J$29,S1484,"Cubic","Extrapolate=Linear","MultiX=Average","Skip=True","Sort=True")</f>
        <v>14.702788378110498</v>
      </c>
      <c r="U1484" s="43">
        <f ca="1">_xll.BInterpol('Base CDI'!$H$4:$H$28,'Base CDI'!$I$4:$I$29,S1484,"Cubic","Extrapolate=Linear","MultiX=Average","Skip=True","Sort=True")</f>
        <v>14.738773752237249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47191</v>
      </c>
      <c r="T1485" s="43">
        <f ca="1">_xll.BInterpol('Base CDI'!$H$4:$H$28,'Base CDI'!$J$4:$J$29,S1485,"Cubic","Extrapolate=Linear","MultiX=Average","Skip=True","Sort=True")</f>
        <v>14.702971740532121</v>
      </c>
      <c r="U1485" s="43">
        <f ca="1">_xll.BInterpol('Base CDI'!$H$4:$H$28,'Base CDI'!$I$4:$I$29,S1485,"Cubic","Extrapolate=Linear","MultiX=Average","Skip=True","Sort=True")</f>
        <v>14.738977521289135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47192</v>
      </c>
      <c r="T1486" s="43">
        <f ca="1">_xll.BInterpol('Base CDI'!$H$4:$H$28,'Base CDI'!$J$4:$J$29,S1486,"Cubic","Extrapolate=Linear","MultiX=Average","Skip=True","Sort=True")</f>
        <v>14.703155077738575</v>
      </c>
      <c r="U1486" s="43">
        <f ca="1">_xll.BInterpol('Base CDI'!$H$4:$H$28,'Base CDI'!$I$4:$I$29,S1486,"Cubic","Extrapolate=Linear","MultiX=Average","Skip=True","Sort=True")</f>
        <v>14.739181430978961</v>
      </c>
    </row>
    <row r="1487" spans="16:21" x14ac:dyDescent="0.25">
      <c r="P1487" s="10">
        <v>36676</v>
      </c>
      <c r="Q1487">
        <v>5.403537</v>
      </c>
      <c r="S1487" s="42">
        <f t="shared" ca="1" si="28"/>
        <v>47193</v>
      </c>
      <c r="T1487" s="43">
        <f ca="1">_xll.BInterpol('Base CDI'!$H$4:$H$28,'Base CDI'!$J$4:$J$29,S1487,"Cubic","Extrapolate=Linear","MultiX=Average","Skip=True","Sort=True")</f>
        <v>14.703338387891311</v>
      </c>
      <c r="U1487" s="43">
        <f ca="1">_xll.BInterpol('Base CDI'!$H$4:$H$28,'Base CDI'!$I$4:$I$29,S1487,"Cubic","Extrapolate=Linear","MultiX=Average","Skip=True","Sort=True")</f>
        <v>14.739385478949316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47194</v>
      </c>
      <c r="T1488" s="43">
        <f ca="1">_xll.BInterpol('Base CDI'!$H$4:$H$28,'Base CDI'!$J$4:$J$29,S1488,"Cubic","Extrapolate=Linear","MultiX=Average","Skip=True","Sort=True")</f>
        <v>14.70352166915178</v>
      </c>
      <c r="U1488" s="43">
        <f ca="1">_xll.BInterpol('Base CDI'!$H$4:$H$28,'Base CDI'!$I$4:$I$29,S1488,"Cubic","Extrapolate=Linear","MultiX=Average","Skip=True","Sort=True")</f>
        <v>14.739589662842784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47195</v>
      </c>
      <c r="T1489" s="43">
        <f ca="1">_xll.BInterpol('Base CDI'!$H$4:$H$28,'Base CDI'!$J$4:$J$29,S1489,"Cubic","Extrapolate=Linear","MultiX=Average","Skip=True","Sort=True")</f>
        <v>14.70370491968143</v>
      </c>
      <c r="U1489" s="43">
        <f ca="1">_xll.BInterpol('Base CDI'!$H$4:$H$28,'Base CDI'!$I$4:$I$29,S1489,"Cubic","Extrapolate=Linear","MultiX=Average","Skip=True","Sort=True")</f>
        <v>14.739793980301952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47196</v>
      </c>
      <c r="T1490" s="43">
        <f ca="1">_xll.BInterpol('Base CDI'!$H$4:$H$28,'Base CDI'!$J$4:$J$29,S1490,"Cubic","Extrapolate=Linear","MultiX=Average","Skip=True","Sort=True")</f>
        <v>14.703888137641712</v>
      </c>
      <c r="U1490" s="43">
        <f ca="1">_xll.BInterpol('Base CDI'!$H$4:$H$28,'Base CDI'!$I$4:$I$29,S1490,"Cubic","Extrapolate=Linear","MultiX=Average","Skip=True","Sort=True")</f>
        <v>14.739998428969409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47197</v>
      </c>
      <c r="T1491" s="43">
        <f ca="1">_xll.BInterpol('Base CDI'!$H$4:$H$28,'Base CDI'!$J$4:$J$29,S1491,"Cubic","Extrapolate=Linear","MultiX=Average","Skip=True","Sort=True")</f>
        <v>14.704071321194077</v>
      </c>
      <c r="U1491" s="43">
        <f ca="1">_xll.BInterpol('Base CDI'!$H$4:$H$28,'Base CDI'!$I$4:$I$29,S1491,"Cubic","Extrapolate=Linear","MultiX=Average","Skip=True","Sort=True")</f>
        <v>14.740203006487739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47198</v>
      </c>
      <c r="T1492" s="43">
        <f ca="1">_xll.BInterpol('Base CDI'!$H$4:$H$28,'Base CDI'!$J$4:$J$29,S1492,"Cubic","Extrapolate=Linear","MultiX=Average","Skip=True","Sort=True")</f>
        <v>14.704254468499977</v>
      </c>
      <c r="U1492" s="43">
        <f ca="1">_xll.BInterpol('Base CDI'!$H$4:$H$28,'Base CDI'!$I$4:$I$29,S1492,"Cubic","Extrapolate=Linear","MultiX=Average","Skip=True","Sort=True")</f>
        <v>14.740407710499534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47199</v>
      </c>
      <c r="T1493" s="43">
        <f ca="1">_xll.BInterpol('Base CDI'!$H$4:$H$28,'Base CDI'!$J$4:$J$29,S1493,"Cubic","Extrapolate=Linear","MultiX=Average","Skip=True","Sort=True")</f>
        <v>14.70443757772086</v>
      </c>
      <c r="U1493" s="43">
        <f ca="1">_xll.BInterpol('Base CDI'!$H$4:$H$28,'Base CDI'!$I$4:$I$29,S1493,"Cubic","Extrapolate=Linear","MultiX=Average","Skip=True","Sort=True")</f>
        <v>14.740612538647376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47200</v>
      </c>
      <c r="T1494" s="43">
        <f ca="1">_xll.BInterpol('Base CDI'!$H$4:$H$28,'Base CDI'!$J$4:$J$29,S1494,"Cubic","Extrapolate=Linear","MultiX=Average","Skip=True","Sort=True")</f>
        <v>14.704620647018176</v>
      </c>
      <c r="U1494" s="43">
        <f ca="1">_xll.BInterpol('Base CDI'!$H$4:$H$28,'Base CDI'!$I$4:$I$29,S1494,"Cubic","Extrapolate=Linear","MultiX=Average","Skip=True","Sort=True")</f>
        <v>14.740817488573853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47201</v>
      </c>
      <c r="T1495" s="43">
        <f ca="1">_xll.BInterpol('Base CDI'!$H$4:$H$28,'Base CDI'!$J$4:$J$29,S1495,"Cubic","Extrapolate=Linear","MultiX=Average","Skip=True","Sort=True")</f>
        <v>14.704803674553379</v>
      </c>
      <c r="U1495" s="43">
        <f ca="1">_xll.BInterpol('Base CDI'!$H$4:$H$28,'Base CDI'!$I$4:$I$29,S1495,"Cubic","Extrapolate=Linear","MultiX=Average","Skip=True","Sort=True")</f>
        <v>14.741022557921553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47202</v>
      </c>
      <c r="T1496" s="43">
        <f ca="1">_xll.BInterpol('Base CDI'!$H$4:$H$28,'Base CDI'!$J$4:$J$29,S1496,"Cubic","Extrapolate=Linear","MultiX=Average","Skip=True","Sort=True")</f>
        <v>14.704986658487915</v>
      </c>
      <c r="U1496" s="43">
        <f ca="1">_xll.BInterpol('Base CDI'!$H$4:$H$28,'Base CDI'!$I$4:$I$29,S1496,"Cubic","Extrapolate=Linear","MultiX=Average","Skip=True","Sort=True")</f>
        <v>14.741227744333065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47203</v>
      </c>
      <c r="T1497" s="43">
        <f ca="1">_xll.BInterpol('Base CDI'!$H$4:$H$28,'Base CDI'!$J$4:$J$29,S1497,"Cubic","Extrapolate=Linear","MultiX=Average","Skip=True","Sort=True")</f>
        <v>14.705169596983238</v>
      </c>
      <c r="U1497" s="43">
        <f ca="1">_xll.BInterpol('Base CDI'!$H$4:$H$28,'Base CDI'!$I$4:$I$29,S1497,"Cubic","Extrapolate=Linear","MultiX=Average","Skip=True","Sort=True")</f>
        <v>14.74143304545097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47204</v>
      </c>
      <c r="T1498" s="43">
        <f ca="1">_xll.BInterpol('Base CDI'!$H$4:$H$28,'Base CDI'!$J$4:$J$29,S1498,"Cubic","Extrapolate=Linear","MultiX=Average","Skip=True","Sort=True")</f>
        <v>14.705352488200797</v>
      </c>
      <c r="U1498" s="43">
        <f ca="1">_xll.BInterpol('Base CDI'!$H$4:$H$28,'Base CDI'!$I$4:$I$29,S1498,"Cubic","Extrapolate=Linear","MultiX=Average","Skip=True","Sort=True")</f>
        <v>14.741638458917862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47205</v>
      </c>
      <c r="T1499" s="43">
        <f ca="1">_xll.BInterpol('Base CDI'!$H$4:$H$28,'Base CDI'!$J$4:$J$29,S1499,"Cubic","Extrapolate=Linear","MultiX=Average","Skip=True","Sort=True")</f>
        <v>14.705535330302041</v>
      </c>
      <c r="U1499" s="43">
        <f ca="1">_xll.BInterpol('Base CDI'!$H$4:$H$28,'Base CDI'!$I$4:$I$29,S1499,"Cubic","Extrapolate=Linear","MultiX=Average","Skip=True","Sort=True")</f>
        <v>14.741843982376322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47206</v>
      </c>
      <c r="T1500" s="43">
        <f ca="1">_xll.BInterpol('Base CDI'!$H$4:$H$28,'Base CDI'!$J$4:$J$29,S1500,"Cubic","Extrapolate=Linear","MultiX=Average","Skip=True","Sort=True")</f>
        <v>14.705718121448422</v>
      </c>
      <c r="U1500" s="43">
        <f ca="1">_xll.BInterpol('Base CDI'!$H$4:$H$28,'Base CDI'!$I$4:$I$29,S1500,"Cubic","Extrapolate=Linear","MultiX=Average","Skip=True","Sort=True")</f>
        <v>14.742049613468939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47207</v>
      </c>
      <c r="T1501" s="43">
        <f ca="1">_xll.BInterpol('Base CDI'!$H$4:$H$28,'Base CDI'!$J$4:$J$29,S1501,"Cubic","Extrapolate=Linear","MultiX=Average","Skip=True","Sort=True")</f>
        <v>14.705900859801391</v>
      </c>
      <c r="U1501" s="43">
        <f ca="1">_xll.BInterpol('Base CDI'!$H$4:$H$28,'Base CDI'!$I$4:$I$29,S1501,"Cubic","Extrapolate=Linear","MultiX=Average","Skip=True","Sort=True")</f>
        <v>14.742255349838302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47208</v>
      </c>
      <c r="T1502" s="43">
        <f ca="1">_xll.BInterpol('Base CDI'!$H$4:$H$28,'Base CDI'!$J$4:$J$29,S1502,"Cubic","Extrapolate=Linear","MultiX=Average","Skip=True","Sort=True")</f>
        <v>14.706083543522396</v>
      </c>
      <c r="U1502" s="43">
        <f ca="1">_xll.BInterpol('Base CDI'!$H$4:$H$28,'Base CDI'!$I$4:$I$29,S1502,"Cubic","Extrapolate=Linear","MultiX=Average","Skip=True","Sort=True")</f>
        <v>14.742461189126997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47209</v>
      </c>
      <c r="T1503" s="43">
        <f ca="1">_xll.BInterpol('Base CDI'!$H$4:$H$28,'Base CDI'!$J$4:$J$29,S1503,"Cubic","Extrapolate=Linear","MultiX=Average","Skip=True","Sort=True")</f>
        <v>14.70626617077289</v>
      </c>
      <c r="U1503" s="43">
        <f ca="1">_xll.BInterpol('Base CDI'!$H$4:$H$28,'Base CDI'!$I$4:$I$29,S1503,"Cubic","Extrapolate=Linear","MultiX=Average","Skip=True","Sort=True")</f>
        <v>14.74266712897761</v>
      </c>
    </row>
    <row r="1504" spans="16:21" x14ac:dyDescent="0.25">
      <c r="P1504" s="10">
        <v>36700</v>
      </c>
      <c r="Q1504">
        <v>5.46495</v>
      </c>
      <c r="S1504" s="42">
        <f t="shared" ca="1" si="28"/>
        <v>47210</v>
      </c>
      <c r="T1504" s="43">
        <f ca="1">_xll.BInterpol('Base CDI'!$H$4:$H$28,'Base CDI'!$J$4:$J$29,S1504,"Cubic","Extrapolate=Linear","MultiX=Average","Skip=True","Sort=True")</f>
        <v>14.706448739714322</v>
      </c>
      <c r="U1504" s="43">
        <f ca="1">_xll.BInterpol('Base CDI'!$H$4:$H$28,'Base CDI'!$I$4:$I$29,S1504,"Cubic","Extrapolate=Linear","MultiX=Average","Skip=True","Sort=True")</f>
        <v>14.742873167032728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47211</v>
      </c>
      <c r="T1505" s="43">
        <f ca="1">_xll.BInterpol('Base CDI'!$H$4:$H$28,'Base CDI'!$J$4:$J$29,S1505,"Cubic","Extrapolate=Linear","MultiX=Average","Skip=True","Sort=True")</f>
        <v>14.706631248508144</v>
      </c>
      <c r="U1505" s="43">
        <f ca="1">_xll.BInterpol('Base CDI'!$H$4:$H$28,'Base CDI'!$I$4:$I$29,S1505,"Cubic","Extrapolate=Linear","MultiX=Average","Skip=True","Sort=True")</f>
        <v>14.743079300934937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47212</v>
      </c>
      <c r="T1506" s="43">
        <f ca="1">_xll.BInterpol('Base CDI'!$H$4:$H$28,'Base CDI'!$J$4:$J$29,S1506,"Cubic","Extrapolate=Linear","MultiX=Average","Skip=True","Sort=True")</f>
        <v>14.706813695315804</v>
      </c>
      <c r="U1506" s="43">
        <f ca="1">_xll.BInterpol('Base CDI'!$H$4:$H$28,'Base CDI'!$I$4:$I$29,S1506,"Cubic","Extrapolate=Linear","MultiX=Average","Skip=True","Sort=True")</f>
        <v>14.743285528326828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47213</v>
      </c>
      <c r="T1507" s="43">
        <f ca="1">_xll.BInterpol('Base CDI'!$H$4:$H$28,'Base CDI'!$J$4:$J$29,S1507,"Cubic","Extrapolate=Linear","MultiX=Average","Skip=True","Sort=True")</f>
        <v>14.706996078298753</v>
      </c>
      <c r="U1507" s="43">
        <f ca="1">_xll.BInterpol('Base CDI'!$H$4:$H$28,'Base CDI'!$I$4:$I$29,S1507,"Cubic","Extrapolate=Linear","MultiX=Average","Skip=True","Sort=True")</f>
        <v>14.743491846850983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47214</v>
      </c>
      <c r="T1508" s="43">
        <f ca="1">_xll.BInterpol('Base CDI'!$H$4:$H$28,'Base CDI'!$J$4:$J$29,S1508,"Cubic","Extrapolate=Linear","MultiX=Average","Skip=True","Sort=True")</f>
        <v>14.707178395618442</v>
      </c>
      <c r="U1508" s="43">
        <f ca="1">_xll.BInterpol('Base CDI'!$H$4:$H$28,'Base CDI'!$I$4:$I$29,S1508,"Cubic","Extrapolate=Linear","MultiX=Average","Skip=True","Sort=True")</f>
        <v>14.743698254149992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47215</v>
      </c>
      <c r="T1509" s="43">
        <f ca="1">_xll.BInterpol('Base CDI'!$H$4:$H$28,'Base CDI'!$J$4:$J$29,S1509,"Cubic","Extrapolate=Linear","MultiX=Average","Skip=True","Sort=True")</f>
        <v>14.707360645436321</v>
      </c>
      <c r="U1509" s="43">
        <f ca="1">_xll.BInterpol('Base CDI'!$H$4:$H$28,'Base CDI'!$I$4:$I$29,S1509,"Cubic","Extrapolate=Linear","MultiX=Average","Skip=True","Sort=True")</f>
        <v>14.74390474786644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47216</v>
      </c>
      <c r="T1510" s="43">
        <f ca="1">_xll.BInterpol('Base CDI'!$H$4:$H$28,'Base CDI'!$J$4:$J$29,S1510,"Cubic","Extrapolate=Linear","MultiX=Average","Skip=True","Sort=True")</f>
        <v>14.707542825913842</v>
      </c>
      <c r="U1510" s="43">
        <f ca="1">_xll.BInterpol('Base CDI'!$H$4:$H$28,'Base CDI'!$I$4:$I$29,S1510,"Cubic","Extrapolate=Linear","MultiX=Average","Skip=True","Sort=True")</f>
        <v>14.744111325642915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47217</v>
      </c>
      <c r="T1511" s="43">
        <f ca="1">_xll.BInterpol('Base CDI'!$H$4:$H$28,'Base CDI'!$J$4:$J$29,S1511,"Cubic","Extrapolate=Linear","MultiX=Average","Skip=True","Sort=True")</f>
        <v>14.707724935212454</v>
      </c>
      <c r="U1511" s="43">
        <f ca="1">_xll.BInterpol('Base CDI'!$H$4:$H$28,'Base CDI'!$I$4:$I$29,S1511,"Cubic","Extrapolate=Linear","MultiX=Average","Skip=True","Sort=True")</f>
        <v>14.744317985122006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47218</v>
      </c>
      <c r="T1512" s="43">
        <f ca="1">_xll.BInterpol('Base CDI'!$H$4:$H$28,'Base CDI'!$J$4:$J$29,S1512,"Cubic","Extrapolate=Linear","MultiX=Average","Skip=True","Sort=True")</f>
        <v>14.707906971493607</v>
      </c>
      <c r="U1512" s="43">
        <f ca="1">_xll.BInterpol('Base CDI'!$H$4:$H$28,'Base CDI'!$I$4:$I$29,S1512,"Cubic","Extrapolate=Linear","MultiX=Average","Skip=True","Sort=True")</f>
        <v>14.744524723946297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47219</v>
      </c>
      <c r="T1513" s="43">
        <f ca="1">_xll.BInterpol('Base CDI'!$H$4:$H$28,'Base CDI'!$J$4:$J$29,S1513,"Cubic","Extrapolate=Linear","MultiX=Average","Skip=True","Sort=True")</f>
        <v>14.70808893291875</v>
      </c>
      <c r="U1513" s="43">
        <f ca="1">_xll.BInterpol('Base CDI'!$H$4:$H$28,'Base CDI'!$I$4:$I$29,S1513,"Cubic","Extrapolate=Linear","MultiX=Average","Skip=True","Sort=True")</f>
        <v>14.744731539758376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47220</v>
      </c>
      <c r="T1514" s="43">
        <f ca="1">_xll.BInterpol('Base CDI'!$H$4:$H$28,'Base CDI'!$J$4:$J$29,S1514,"Cubic","Extrapolate=Linear","MultiX=Average","Skip=True","Sort=True")</f>
        <v>14.708270817649339</v>
      </c>
      <c r="U1514" s="43">
        <f ca="1">_xll.BInterpol('Base CDI'!$H$4:$H$28,'Base CDI'!$I$4:$I$29,S1514,"Cubic","Extrapolate=Linear","MultiX=Average","Skip=True","Sort=True")</f>
        <v>14.744938430200829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47221</v>
      </c>
      <c r="T1515" s="43">
        <f ca="1">_xll.BInterpol('Base CDI'!$H$4:$H$28,'Base CDI'!$J$4:$J$29,S1515,"Cubic","Extrapolate=Linear","MultiX=Average","Skip=True","Sort=True")</f>
        <v>14.708452623846819</v>
      </c>
      <c r="U1515" s="43">
        <f ca="1">_xll.BInterpol('Base CDI'!$H$4:$H$28,'Base CDI'!$I$4:$I$29,S1515,"Cubic","Extrapolate=Linear","MultiX=Average","Skip=True","Sort=True")</f>
        <v>14.745145392916246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47222</v>
      </c>
      <c r="T1516" s="43">
        <f ca="1">_xll.BInterpol('Base CDI'!$H$4:$H$28,'Base CDI'!$J$4:$J$29,S1516,"Cubic","Extrapolate=Linear","MultiX=Average","Skip=True","Sort=True")</f>
        <v>14.708634349672641</v>
      </c>
      <c r="U1516" s="43">
        <f ca="1">_xll.BInterpol('Base CDI'!$H$4:$H$28,'Base CDI'!$I$4:$I$29,S1516,"Cubic","Extrapolate=Linear","MultiX=Average","Skip=True","Sort=True")</f>
        <v>14.74535242554721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47223</v>
      </c>
      <c r="T1517" s="43">
        <f ca="1">_xll.BInterpol('Base CDI'!$H$4:$H$28,'Base CDI'!$J$4:$J$29,S1517,"Cubic","Extrapolate=Linear","MultiX=Average","Skip=True","Sort=True")</f>
        <v>14.708815993288258</v>
      </c>
      <c r="U1517" s="43">
        <f ca="1">_xll.BInterpol('Base CDI'!$H$4:$H$28,'Base CDI'!$I$4:$I$29,S1517,"Cubic","Extrapolate=Linear","MultiX=Average","Skip=True","Sort=True")</f>
        <v>14.74555952573631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47224</v>
      </c>
      <c r="T1518" s="43">
        <f ca="1">_xll.BInterpol('Base CDI'!$H$4:$H$28,'Base CDI'!$J$4:$J$29,S1518,"Cubic","Extrapolate=Linear","MultiX=Average","Skip=True","Sort=True")</f>
        <v>14.708997552855118</v>
      </c>
      <c r="U1518" s="43">
        <f ca="1">_xll.BInterpol('Base CDI'!$H$4:$H$28,'Base CDI'!$I$4:$I$29,S1518,"Cubic","Extrapolate=Linear","MultiX=Average","Skip=True","Sort=True")</f>
        <v>14.745766691126134</v>
      </c>
    </row>
    <row r="1519" spans="16:21" x14ac:dyDescent="0.25">
      <c r="P1519" s="10">
        <v>36721</v>
      </c>
      <c r="Q1519">
        <v>5.516686</v>
      </c>
      <c r="S1519" s="42">
        <f t="shared" ca="1" si="28"/>
        <v>47225</v>
      </c>
      <c r="T1519" s="43">
        <f ca="1">_xll.BInterpol('Base CDI'!$H$4:$H$28,'Base CDI'!$J$4:$J$29,S1519,"Cubic","Extrapolate=Linear","MultiX=Average","Skip=True","Sort=True")</f>
        <v>14.709179026534674</v>
      </c>
      <c r="U1519" s="43">
        <f ca="1">_xll.BInterpol('Base CDI'!$H$4:$H$28,'Base CDI'!$I$4:$I$29,S1519,"Cubic","Extrapolate=Linear","MultiX=Average","Skip=True","Sort=True")</f>
        <v>14.745973919359265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47226</v>
      </c>
      <c r="T1520" s="43">
        <f ca="1">_xll.BInterpol('Base CDI'!$H$4:$H$28,'Base CDI'!$J$4:$J$29,S1520,"Cubic","Extrapolate=Linear","MultiX=Average","Skip=True","Sort=True")</f>
        <v>14.709360412488373</v>
      </c>
      <c r="U1520" s="43">
        <f ca="1">_xll.BInterpol('Base CDI'!$H$4:$H$28,'Base CDI'!$I$4:$I$29,S1520,"Cubic","Extrapolate=Linear","MultiX=Average","Skip=True","Sort=True")</f>
        <v>14.746181208078296</v>
      </c>
    </row>
    <row r="1521" spans="16:21" x14ac:dyDescent="0.25">
      <c r="P1521" s="10">
        <v>36725</v>
      </c>
      <c r="Q1521">
        <v>5.523523</v>
      </c>
      <c r="S1521" s="42">
        <f t="shared" ca="1" si="28"/>
        <v>47227</v>
      </c>
      <c r="T1521" s="43">
        <f ca="1">_xll.BInterpol('Base CDI'!$H$4:$H$28,'Base CDI'!$J$4:$J$29,S1521,"Cubic","Extrapolate=Linear","MultiX=Average","Skip=True","Sort=True")</f>
        <v>14.709541708877667</v>
      </c>
      <c r="U1521" s="43">
        <f ca="1">_xll.BInterpol('Base CDI'!$H$4:$H$28,'Base CDI'!$I$4:$I$29,S1521,"Cubic","Extrapolate=Linear","MultiX=Average","Skip=True","Sort=True")</f>
        <v>14.746388554925808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47228</v>
      </c>
      <c r="T1522" s="43">
        <f ca="1">_xll.BInterpol('Base CDI'!$H$4:$H$28,'Base CDI'!$J$4:$J$29,S1522,"Cubic","Extrapolate=Linear","MultiX=Average","Skip=True","Sort=True")</f>
        <v>14.709722913864008</v>
      </c>
      <c r="U1522" s="43">
        <f ca="1">_xll.BInterpol('Base CDI'!$H$4:$H$28,'Base CDI'!$I$4:$I$29,S1522,"Cubic","Extrapolate=Linear","MultiX=Average","Skip=True","Sort=True")</f>
        <v>14.746595957544391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47229</v>
      </c>
      <c r="T1523" s="43">
        <f ca="1">_xll.BInterpol('Base CDI'!$H$4:$H$28,'Base CDI'!$J$4:$J$29,S1523,"Cubic","Extrapolate=Linear","MultiX=Average","Skip=True","Sort=True")</f>
        <v>14.709904025608845</v>
      </c>
      <c r="U1523" s="43">
        <f ca="1">_xll.BInterpol('Base CDI'!$H$4:$H$28,'Base CDI'!$I$4:$I$29,S1523,"Cubic","Extrapolate=Linear","MultiX=Average","Skip=True","Sort=True")</f>
        <v>14.746803413576632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47230</v>
      </c>
      <c r="T1524" s="43">
        <f ca="1">_xll.BInterpol('Base CDI'!$H$4:$H$28,'Base CDI'!$J$4:$J$29,S1524,"Cubic","Extrapolate=Linear","MultiX=Average","Skip=True","Sort=True")</f>
        <v>14.710085042273626</v>
      </c>
      <c r="U1524" s="43">
        <f ca="1">_xll.BInterpol('Base CDI'!$H$4:$H$28,'Base CDI'!$I$4:$I$29,S1524,"Cubic","Extrapolate=Linear","MultiX=Average","Skip=True","Sort=True")</f>
        <v>14.747010920665119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47231</v>
      </c>
      <c r="T1525" s="43">
        <f ca="1">_xll.BInterpol('Base CDI'!$H$4:$H$28,'Base CDI'!$J$4:$J$29,S1525,"Cubic","Extrapolate=Linear","MultiX=Average","Skip=True","Sort=True")</f>
        <v>14.710265962019806</v>
      </c>
      <c r="U1525" s="43">
        <f ca="1">_xll.BInterpol('Base CDI'!$H$4:$H$28,'Base CDI'!$I$4:$I$29,S1525,"Cubic","Extrapolate=Linear","MultiX=Average","Skip=True","Sort=True")</f>
        <v>14.747218476452435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47232</v>
      </c>
      <c r="T1526" s="43">
        <f ca="1">_xll.BInterpol('Base CDI'!$H$4:$H$28,'Base CDI'!$J$4:$J$29,S1526,"Cubic","Extrapolate=Linear","MultiX=Average","Skip=True","Sort=True")</f>
        <v>14.710446783008832</v>
      </c>
      <c r="U1526" s="43">
        <f ca="1">_xll.BInterpol('Base CDI'!$H$4:$H$28,'Base CDI'!$I$4:$I$29,S1526,"Cubic","Extrapolate=Linear","MultiX=Average","Skip=True","Sort=True")</f>
        <v>14.747426078581171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47233</v>
      </c>
      <c r="T1527" s="43">
        <f ca="1">_xll.BInterpol('Base CDI'!$H$4:$H$28,'Base CDI'!$J$4:$J$29,S1527,"Cubic","Extrapolate=Linear","MultiX=Average","Skip=True","Sort=True")</f>
        <v>14.710627503402156</v>
      </c>
      <c r="U1527" s="43">
        <f ca="1">_xll.BInterpol('Base CDI'!$H$4:$H$28,'Base CDI'!$I$4:$I$29,S1527,"Cubic","Extrapolate=Linear","MultiX=Average","Skip=True","Sort=True")</f>
        <v>14.747633724693912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47234</v>
      </c>
      <c r="T1528" s="43">
        <f ca="1">_xll.BInterpol('Base CDI'!$H$4:$H$28,'Base CDI'!$J$4:$J$29,S1528,"Cubic","Extrapolate=Linear","MultiX=Average","Skip=True","Sort=True")</f>
        <v>14.710808121361229</v>
      </c>
      <c r="U1528" s="43">
        <f ca="1">_xll.BInterpol('Base CDI'!$H$4:$H$28,'Base CDI'!$I$4:$I$29,S1528,"Cubic","Extrapolate=Linear","MultiX=Average","Skip=True","Sort=True")</f>
        <v>14.747841412433244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47235</v>
      </c>
      <c r="T1529" s="43">
        <f ca="1">_xll.BInterpol('Base CDI'!$H$4:$H$28,'Base CDI'!$J$4:$J$29,S1529,"Cubic","Extrapolate=Linear","MultiX=Average","Skip=True","Sort=True")</f>
        <v>14.710988635047499</v>
      </c>
      <c r="U1529" s="43">
        <f ca="1">_xll.BInterpol('Base CDI'!$H$4:$H$28,'Base CDI'!$I$4:$I$29,S1529,"Cubic","Extrapolate=Linear","MultiX=Average","Skip=True","Sort=True")</f>
        <v>14.748049139441758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47236</v>
      </c>
      <c r="T1530" s="43">
        <f ca="1">_xll.BInterpol('Base CDI'!$H$4:$H$28,'Base CDI'!$J$4:$J$29,S1530,"Cubic","Extrapolate=Linear","MultiX=Average","Skip=True","Sort=True")</f>
        <v>14.711169042622418</v>
      </c>
      <c r="U1530" s="43">
        <f ca="1">_xll.BInterpol('Base CDI'!$H$4:$H$28,'Base CDI'!$I$4:$I$29,S1530,"Cubic","Extrapolate=Linear","MultiX=Average","Skip=True","Sort=True")</f>
        <v>14.748256903362035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47237</v>
      </c>
      <c r="T1531" s="43">
        <f ca="1">_xll.BInterpol('Base CDI'!$H$4:$H$28,'Base CDI'!$J$4:$J$29,S1531,"Cubic","Extrapolate=Linear","MultiX=Average","Skip=True","Sort=True")</f>
        <v>14.711349342247436</v>
      </c>
      <c r="U1531" s="43">
        <f ca="1">_xll.BInterpol('Base CDI'!$H$4:$H$28,'Base CDI'!$I$4:$I$29,S1531,"Cubic","Extrapolate=Linear","MultiX=Average","Skip=True","Sort=True")</f>
        <v>14.748464701836667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47238</v>
      </c>
      <c r="T1532" s="43">
        <f ca="1">_xll.BInterpol('Base CDI'!$H$4:$H$28,'Base CDI'!$J$4:$J$29,S1532,"Cubic","Extrapolate=Linear","MultiX=Average","Skip=True","Sort=True")</f>
        <v>14.711529532084004</v>
      </c>
      <c r="U1532" s="43">
        <f ca="1">_xll.BInterpol('Base CDI'!$H$4:$H$28,'Base CDI'!$I$4:$I$29,S1532,"Cubic","Extrapolate=Linear","MultiX=Average","Skip=True","Sort=True")</f>
        <v>14.748672532508239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47239</v>
      </c>
      <c r="T1533" s="43">
        <f ca="1">_xll.BInterpol('Base CDI'!$H$4:$H$28,'Base CDI'!$J$4:$J$29,S1533,"Cubic","Extrapolate=Linear","MultiX=Average","Skip=True","Sort=True")</f>
        <v>14.711709610293571</v>
      </c>
      <c r="U1533" s="43">
        <f ca="1">_xll.BInterpol('Base CDI'!$H$4:$H$28,'Base CDI'!$I$4:$I$29,S1533,"Cubic","Extrapolate=Linear","MultiX=Average","Skip=True","Sort=True")</f>
        <v>14.74888039301934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47240</v>
      </c>
      <c r="T1534" s="43">
        <f ca="1">_xll.BInterpol('Base CDI'!$H$4:$H$28,'Base CDI'!$J$4:$J$29,S1534,"Cubic","Extrapolate=Linear","MultiX=Average","Skip=True","Sort=True")</f>
        <v>14.71188957503759</v>
      </c>
      <c r="U1534" s="43">
        <f ca="1">_xll.BInterpol('Base CDI'!$H$4:$H$28,'Base CDI'!$I$4:$I$29,S1534,"Cubic","Extrapolate=Linear","MultiX=Average","Skip=True","Sort=True")</f>
        <v>14.749088281012552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47241</v>
      </c>
      <c r="T1535" s="43">
        <f ca="1">_xll.BInterpol('Base CDI'!$H$4:$H$28,'Base CDI'!$J$4:$J$29,S1535,"Cubic","Extrapolate=Linear","MultiX=Average","Skip=True","Sort=True")</f>
        <v>14.712069424477509</v>
      </c>
      <c r="U1535" s="43">
        <f ca="1">_xll.BInterpol('Base CDI'!$H$4:$H$28,'Base CDI'!$I$4:$I$29,S1535,"Cubic","Extrapolate=Linear","MultiX=Average","Skip=True","Sort=True")</f>
        <v>14.749296194130467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47242</v>
      </c>
      <c r="T1536" s="43">
        <f ca="1">_xll.BInterpol('Base CDI'!$H$4:$H$28,'Base CDI'!$J$4:$J$29,S1536,"Cubic","Extrapolate=Linear","MultiX=Average","Skip=True","Sort=True")</f>
        <v>14.71224915677478</v>
      </c>
      <c r="U1536" s="43">
        <f ca="1">_xll.BInterpol('Base CDI'!$H$4:$H$28,'Base CDI'!$I$4:$I$29,S1536,"Cubic","Extrapolate=Linear","MultiX=Average","Skip=True","Sort=True")</f>
        <v>14.749504130015669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47243</v>
      </c>
      <c r="T1537" s="43">
        <f ca="1">_xll.BInterpol('Base CDI'!$H$4:$H$28,'Base CDI'!$J$4:$J$29,S1537,"Cubic","Extrapolate=Linear","MultiX=Average","Skip=True","Sort=True")</f>
        <v>14.712428770090851</v>
      </c>
      <c r="U1537" s="43">
        <f ca="1">_xll.BInterpol('Base CDI'!$H$4:$H$28,'Base CDI'!$I$4:$I$29,S1537,"Cubic","Extrapolate=Linear","MultiX=Average","Skip=True","Sort=True")</f>
        <v>14.749712086310746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47244</v>
      </c>
      <c r="T1538" s="43">
        <f ca="1">_xll.BInterpol('Base CDI'!$H$4:$H$28,'Base CDI'!$J$4:$J$29,S1538,"Cubic","Extrapolate=Linear","MultiX=Average","Skip=True","Sort=True")</f>
        <v>14.712608262587175</v>
      </c>
      <c r="U1538" s="43">
        <f ca="1">_xll.BInterpol('Base CDI'!$H$4:$H$28,'Base CDI'!$I$4:$I$29,S1538,"Cubic","Extrapolate=Linear","MultiX=Average","Skip=True","Sort=True")</f>
        <v>14.749920060658285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47245</v>
      </c>
      <c r="T1539" s="43">
        <f ca="1">_xll.BInterpol('Base CDI'!$H$4:$H$28,'Base CDI'!$J$4:$J$29,S1539,"Cubic","Extrapolate=Linear","MultiX=Average","Skip=True","Sort=True")</f>
        <v>14.712787632425201</v>
      </c>
      <c r="U1539" s="43">
        <f ca="1">_xll.BInterpol('Base CDI'!$H$4:$H$28,'Base CDI'!$I$4:$I$29,S1539,"Cubic","Extrapolate=Linear","MultiX=Average","Skip=True","Sort=True")</f>
        <v>14.750128050700873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47246</v>
      </c>
      <c r="T1540" s="43">
        <f ca="1">_xll.BInterpol('Base CDI'!$H$4:$H$28,'Base CDI'!$J$4:$J$29,S1540,"Cubic","Extrapolate=Linear","MultiX=Average","Skip=True","Sort=True")</f>
        <v>14.71296687776638</v>
      </c>
      <c r="U1540" s="43">
        <f ca="1">_xll.BInterpol('Base CDI'!$H$4:$H$28,'Base CDI'!$I$4:$I$29,S1540,"Cubic","Extrapolate=Linear","MultiX=Average","Skip=True","Sort=True")</f>
        <v>14.750336054081098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47247</v>
      </c>
      <c r="T1541" s="43">
        <f ca="1">_xll.BInterpol('Base CDI'!$H$4:$H$28,'Base CDI'!$J$4:$J$29,S1541,"Cubic","Extrapolate=Linear","MultiX=Average","Skip=True","Sort=True")</f>
        <v>14.713145996772163</v>
      </c>
      <c r="U1541" s="43">
        <f ca="1">_xll.BInterpol('Base CDI'!$H$4:$H$28,'Base CDI'!$I$4:$I$29,S1541,"Cubic","Extrapolate=Linear","MultiX=Average","Skip=True","Sort=True")</f>
        <v>14.750544068441544</v>
      </c>
    </row>
    <row r="1542" spans="16:21" x14ac:dyDescent="0.25">
      <c r="P1542" s="10">
        <v>36754</v>
      </c>
      <c r="Q1542">
        <v>5.594074</v>
      </c>
      <c r="S1542" s="42">
        <f t="shared" ca="1" si="28"/>
        <v>47248</v>
      </c>
      <c r="T1542" s="43">
        <f ca="1">_xll.BInterpol('Base CDI'!$H$4:$H$28,'Base CDI'!$J$4:$J$29,S1542,"Cubic","Extrapolate=Linear","MultiX=Average","Skip=True","Sort=True")</f>
        <v>14.713324987603997</v>
      </c>
      <c r="U1542" s="43">
        <f ca="1">_xll.BInterpol('Base CDI'!$H$4:$H$28,'Base CDI'!$I$4:$I$29,S1542,"Cubic","Extrapolate=Linear","MultiX=Average","Skip=True","Sort=True")</f>
        <v>14.7507520914248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47249</v>
      </c>
      <c r="T1543" s="43">
        <f ca="1">_xll.BInterpol('Base CDI'!$H$4:$H$28,'Base CDI'!$J$4:$J$29,S1543,"Cubic","Extrapolate=Linear","MultiX=Average","Skip=True","Sort=True")</f>
        <v>14.713503848423338</v>
      </c>
      <c r="U1543" s="43">
        <f ca="1">_xll.BInterpol('Base CDI'!$H$4:$H$28,'Base CDI'!$I$4:$I$29,S1543,"Cubic","Extrapolate=Linear","MultiX=Average","Skip=True","Sort=True")</f>
        <v>14.750960120673454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47250</v>
      </c>
      <c r="T1544" s="43">
        <f ca="1">_xll.BInterpol('Base CDI'!$H$4:$H$28,'Base CDI'!$J$4:$J$29,S1544,"Cubic","Extrapolate=Linear","MultiX=Average","Skip=True","Sort=True")</f>
        <v>14.713682577391632</v>
      </c>
      <c r="U1544" s="43">
        <f ca="1">_xll.BInterpol('Base CDI'!$H$4:$H$28,'Base CDI'!$I$4:$I$29,S1544,"Cubic","Extrapolate=Linear","MultiX=Average","Skip=True","Sort=True")</f>
        <v>14.75116815383009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47251</v>
      </c>
      <c r="T1545" s="43">
        <f ca="1">_xll.BInterpol('Base CDI'!$H$4:$H$28,'Base CDI'!$J$4:$J$29,S1545,"Cubic","Extrapolate=Linear","MultiX=Average","Skip=True","Sort=True")</f>
        <v>14.713861172670331</v>
      </c>
      <c r="U1545" s="43">
        <f ca="1">_xll.BInterpol('Base CDI'!$H$4:$H$28,'Base CDI'!$I$4:$I$29,S1545,"Cubic","Extrapolate=Linear","MultiX=Average","Skip=True","Sort=True")</f>
        <v>14.751376188537298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47252</v>
      </c>
      <c r="T1546" s="43">
        <f ca="1">_xll.BInterpol('Base CDI'!$H$4:$H$28,'Base CDI'!$J$4:$J$29,S1546,"Cubic","Extrapolate=Linear","MultiX=Average","Skip=True","Sort=True")</f>
        <v>14.714039632420885</v>
      </c>
      <c r="U1546" s="43">
        <f ca="1">_xll.BInterpol('Base CDI'!$H$4:$H$28,'Base CDI'!$I$4:$I$29,S1546,"Cubic","Extrapolate=Linear","MultiX=Average","Skip=True","Sort=True")</f>
        <v>14.751584222437662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47253</v>
      </c>
      <c r="T1547" s="43">
        <f ca="1">_xll.BInterpol('Base CDI'!$H$4:$H$28,'Base CDI'!$J$4:$J$29,S1547,"Cubic","Extrapolate=Linear","MultiX=Average","Skip=True","Sort=True")</f>
        <v>14.714217954804743</v>
      </c>
      <c r="U1547" s="43">
        <f ca="1">_xll.BInterpol('Base CDI'!$H$4:$H$28,'Base CDI'!$I$4:$I$29,S1547,"Cubic","Extrapolate=Linear","MultiX=Average","Skip=True","Sort=True")</f>
        <v>14.751792253173772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47254</v>
      </c>
      <c r="T1548" s="43">
        <f ca="1">_xll.BInterpol('Base CDI'!$H$4:$H$28,'Base CDI'!$J$4:$J$29,S1548,"Cubic","Extrapolate=Linear","MultiX=Average","Skip=True","Sort=True")</f>
        <v>14.714396137983361</v>
      </c>
      <c r="U1548" s="43">
        <f ca="1">_xll.BInterpol('Base CDI'!$H$4:$H$28,'Base CDI'!$I$4:$I$29,S1548,"Cubic","Extrapolate=Linear","MultiX=Average","Skip=True","Sort=True")</f>
        <v>14.752000278388214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47255</v>
      </c>
      <c r="T1549" s="43">
        <f ca="1">_xll.BInterpol('Base CDI'!$H$4:$H$28,'Base CDI'!$J$4:$J$29,S1549,"Cubic","Extrapolate=Linear","MultiX=Average","Skip=True","Sort=True")</f>
        <v>14.714574180118182</v>
      </c>
      <c r="U1549" s="43">
        <f ca="1">_xll.BInterpol('Base CDI'!$H$4:$H$28,'Base CDI'!$I$4:$I$29,S1549,"Cubic","Extrapolate=Linear","MultiX=Average","Skip=True","Sort=True")</f>
        <v>14.752208295723573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47256</v>
      </c>
      <c r="T1550" s="43">
        <f ca="1">_xll.BInterpol('Base CDI'!$H$4:$H$28,'Base CDI'!$J$4:$J$29,S1550,"Cubic","Extrapolate=Linear","MultiX=Average","Skip=True","Sort=True")</f>
        <v>14.714752079370662</v>
      </c>
      <c r="U1550" s="43">
        <f ca="1">_xll.BInterpol('Base CDI'!$H$4:$H$28,'Base CDI'!$I$4:$I$29,S1550,"Cubic","Extrapolate=Linear","MultiX=Average","Skip=True","Sort=True")</f>
        <v>14.752416302822438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47257</v>
      </c>
      <c r="T1551" s="43">
        <f ca="1">_xll.BInterpol('Base CDI'!$H$4:$H$28,'Base CDI'!$J$4:$J$29,S1551,"Cubic","Extrapolate=Linear","MultiX=Average","Skip=True","Sort=True")</f>
        <v>14.714929833902247</v>
      </c>
      <c r="U1551" s="43">
        <f ca="1">_xll.BInterpol('Base CDI'!$H$4:$H$28,'Base CDI'!$I$4:$I$29,S1551,"Cubic","Extrapolate=Linear","MultiX=Average","Skip=True","Sort=True")</f>
        <v>14.752624297327396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47258</v>
      </c>
      <c r="T1552" s="43">
        <f ca="1">_xll.BInterpol('Base CDI'!$H$4:$H$28,'Base CDI'!$J$4:$J$29,S1552,"Cubic","Extrapolate=Linear","MultiX=Average","Skip=True","Sort=True")</f>
        <v>14.715107441874391</v>
      </c>
      <c r="U1552" s="43">
        <f ca="1">_xll.BInterpol('Base CDI'!$H$4:$H$28,'Base CDI'!$I$4:$I$29,S1552,"Cubic","Extrapolate=Linear","MultiX=Average","Skip=True","Sort=True")</f>
        <v>14.752832276881032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47259</v>
      </c>
      <c r="T1553" s="43">
        <f ca="1">_xll.BInterpol('Base CDI'!$H$4:$H$28,'Base CDI'!$J$4:$J$29,S1553,"Cubic","Extrapolate=Linear","MultiX=Average","Skip=True","Sort=True")</f>
        <v>14.715284901448543</v>
      </c>
      <c r="U1553" s="43">
        <f ca="1">_xll.BInterpol('Base CDI'!$H$4:$H$28,'Base CDI'!$I$4:$I$29,S1553,"Cubic","Extrapolate=Linear","MultiX=Average","Skip=True","Sort=True")</f>
        <v>14.753040239125935</v>
      </c>
    </row>
    <row r="1554" spans="16:21" x14ac:dyDescent="0.25">
      <c r="P1554" s="10">
        <v>36770</v>
      </c>
      <c r="Q1554">
        <v>5.634652</v>
      </c>
      <c r="S1554" s="42">
        <f t="shared" ca="1" si="29"/>
        <v>47260</v>
      </c>
      <c r="T1554" s="43">
        <f ca="1">_xll.BInterpol('Base CDI'!$H$4:$H$28,'Base CDI'!$J$4:$J$29,S1554,"Cubic","Extrapolate=Linear","MultiX=Average","Skip=True","Sort=True")</f>
        <v>14.715462210786153</v>
      </c>
      <c r="U1554" s="43">
        <f ca="1">_xll.BInterpol('Base CDI'!$H$4:$H$28,'Base CDI'!$I$4:$I$29,S1554,"Cubic","Extrapolate=Linear","MultiX=Average","Skip=True","Sort=True")</f>
        <v>14.753248181704691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47261</v>
      </c>
      <c r="T1555" s="43">
        <f ca="1">_xll.BInterpol('Base CDI'!$H$4:$H$28,'Base CDI'!$J$4:$J$29,S1555,"Cubic","Extrapolate=Linear","MultiX=Average","Skip=True","Sort=True")</f>
        <v>14.715639368048672</v>
      </c>
      <c r="U1555" s="43">
        <f ca="1">_xll.BInterpol('Base CDI'!$H$4:$H$28,'Base CDI'!$I$4:$I$29,S1555,"Cubic","Extrapolate=Linear","MultiX=Average","Skip=True","Sort=True")</f>
        <v>14.753456102259888</v>
      </c>
    </row>
    <row r="1556" spans="16:21" x14ac:dyDescent="0.25">
      <c r="P1556" s="10">
        <v>36774</v>
      </c>
      <c r="Q1556">
        <v>5.641438</v>
      </c>
      <c r="S1556" s="42">
        <f t="shared" ca="1" si="29"/>
        <v>47262</v>
      </c>
      <c r="T1556" s="43">
        <f ca="1">_xll.BInterpol('Base CDI'!$H$4:$H$28,'Base CDI'!$J$4:$J$29,S1556,"Cubic","Extrapolate=Linear","MultiX=Average","Skip=True","Sort=True")</f>
        <v>14.715816371397551</v>
      </c>
      <c r="U1556" s="43">
        <f ca="1">_xll.BInterpol('Base CDI'!$H$4:$H$28,'Base CDI'!$I$4:$I$29,S1556,"Cubic","Extrapolate=Linear","MultiX=Average","Skip=True","Sort=True")</f>
        <v>14.753663998434112</v>
      </c>
    </row>
    <row r="1557" spans="16:21" x14ac:dyDescent="0.25">
      <c r="P1557" s="10">
        <v>36775</v>
      </c>
      <c r="Q1557">
        <v>5.644838</v>
      </c>
      <c r="S1557" s="42">
        <f t="shared" ca="1" si="29"/>
        <v>47263</v>
      </c>
      <c r="T1557" s="43">
        <f ca="1">_xll.BInterpol('Base CDI'!$H$4:$H$28,'Base CDI'!$J$4:$J$29,S1557,"Cubic","Extrapolate=Linear","MultiX=Average","Skip=True","Sort=True")</f>
        <v>14.715993218994239</v>
      </c>
      <c r="U1557" s="43">
        <f ca="1">_xll.BInterpol('Base CDI'!$H$4:$H$28,'Base CDI'!$I$4:$I$29,S1557,"Cubic","Extrapolate=Linear","MultiX=Average","Skip=True","Sort=True")</f>
        <v>14.75387186786995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47264</v>
      </c>
      <c r="T1558" s="43">
        <f ca="1">_xll.BInterpol('Base CDI'!$H$4:$H$28,'Base CDI'!$J$4:$J$29,S1558,"Cubic","Extrapolate=Linear","MultiX=Average","Skip=True","Sort=True")</f>
        <v>14.716169909000186</v>
      </c>
      <c r="U1558" s="43">
        <f ca="1">_xll.BInterpol('Base CDI'!$H$4:$H$28,'Base CDI'!$I$4:$I$29,S1558,"Cubic","Extrapolate=Linear","MultiX=Average","Skip=True","Sort=True")</f>
        <v>14.754079708209989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47265</v>
      </c>
      <c r="T1559" s="43">
        <f ca="1">_xll.BInterpol('Base CDI'!$H$4:$H$28,'Base CDI'!$J$4:$J$29,S1559,"Cubic","Extrapolate=Linear","MultiX=Average","Skip=True","Sort=True")</f>
        <v>14.716346439576846</v>
      </c>
      <c r="U1559" s="43">
        <f ca="1">_xll.BInterpol('Base CDI'!$H$4:$H$28,'Base CDI'!$I$4:$I$29,S1559,"Cubic","Extrapolate=Linear","MultiX=Average","Skip=True","Sort=True")</f>
        <v>14.754287517096815</v>
      </c>
    </row>
    <row r="1560" spans="16:21" x14ac:dyDescent="0.25">
      <c r="P1560" s="10">
        <v>36781</v>
      </c>
      <c r="Q1560">
        <v>5.655087</v>
      </c>
      <c r="S1560" s="42">
        <f t="shared" ca="1" si="29"/>
        <v>47266</v>
      </c>
      <c r="T1560" s="43">
        <f ca="1">_xll.BInterpol('Base CDI'!$H$4:$H$28,'Base CDI'!$J$4:$J$29,S1560,"Cubic","Extrapolate=Linear","MultiX=Average","Skip=True","Sort=True")</f>
        <v>14.716522808885665</v>
      </c>
      <c r="U1560" s="43">
        <f ca="1">_xll.BInterpol('Base CDI'!$H$4:$H$28,'Base CDI'!$I$4:$I$29,S1560,"Cubic","Extrapolate=Linear","MultiX=Average","Skip=True","Sort=True")</f>
        <v>14.754495292173017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47267</v>
      </c>
      <c r="T1561" s="43">
        <f ca="1">_xll.BInterpol('Base CDI'!$H$4:$H$28,'Base CDI'!$J$4:$J$29,S1561,"Cubic","Extrapolate=Linear","MultiX=Average","Skip=True","Sort=True")</f>
        <v>14.716699015088095</v>
      </c>
      <c r="U1561" s="43">
        <f ca="1">_xll.BInterpol('Base CDI'!$H$4:$H$28,'Base CDI'!$I$4:$I$29,S1561,"Cubic","Extrapolate=Linear","MultiX=Average","Skip=True","Sort=True")</f>
        <v>14.754703031081181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47268</v>
      </c>
      <c r="T1562" s="43">
        <f ca="1">_xll.BInterpol('Base CDI'!$H$4:$H$28,'Base CDI'!$J$4:$J$29,S1562,"Cubic","Extrapolate=Linear","MultiX=Average","Skip=True","Sort=True")</f>
        <v>14.716875056345588</v>
      </c>
      <c r="U1562" s="43">
        <f ca="1">_xll.BInterpol('Base CDI'!$H$4:$H$28,'Base CDI'!$I$4:$I$29,S1562,"Cubic","Extrapolate=Linear","MultiX=Average","Skip=True","Sort=True")</f>
        <v>14.754910731463895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47269</v>
      </c>
      <c r="T1563" s="43">
        <f ca="1">_xll.BInterpol('Base CDI'!$H$4:$H$28,'Base CDI'!$J$4:$J$29,S1563,"Cubic","Extrapolate=Linear","MultiX=Average","Skip=True","Sort=True")</f>
        <v>14.717050930819592</v>
      </c>
      <c r="U1563" s="43">
        <f ca="1">_xll.BInterpol('Base CDI'!$H$4:$H$28,'Base CDI'!$I$4:$I$29,S1563,"Cubic","Extrapolate=Linear","MultiX=Average","Skip=True","Sort=True")</f>
        <v>14.755118390963743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47270</v>
      </c>
      <c r="T1564" s="43">
        <f ca="1">_xll.BInterpol('Base CDI'!$H$4:$H$28,'Base CDI'!$J$4:$J$29,S1564,"Cubic","Extrapolate=Linear","MultiX=Average","Skip=True","Sort=True")</f>
        <v>14.717226636671558</v>
      </c>
      <c r="U1564" s="43">
        <f ca="1">_xll.BInterpol('Base CDI'!$H$4:$H$28,'Base CDI'!$I$4:$I$29,S1564,"Cubic","Extrapolate=Linear","MultiX=Average","Skip=True","Sort=True")</f>
        <v>14.755326007223314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47271</v>
      </c>
      <c r="T1565" s="43">
        <f ca="1">_xll.BInterpol('Base CDI'!$H$4:$H$28,'Base CDI'!$J$4:$J$29,S1565,"Cubic","Extrapolate=Linear","MultiX=Average","Skip=True","Sort=True")</f>
        <v>14.717402172062938</v>
      </c>
      <c r="U1565" s="43">
        <f ca="1">_xll.BInterpol('Base CDI'!$H$4:$H$28,'Base CDI'!$I$4:$I$29,S1565,"Cubic","Extrapolate=Linear","MultiX=Average","Skip=True","Sort=True")</f>
        <v>14.755533577885195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47272</v>
      </c>
      <c r="T1566" s="43">
        <f ca="1">_xll.BInterpol('Base CDI'!$H$4:$H$28,'Base CDI'!$J$4:$J$29,S1566,"Cubic","Extrapolate=Linear","MultiX=Average","Skip=True","Sort=True")</f>
        <v>14.717577535155181</v>
      </c>
      <c r="U1566" s="43">
        <f ca="1">_xll.BInterpol('Base CDI'!$H$4:$H$28,'Base CDI'!$I$4:$I$29,S1566,"Cubic","Extrapolate=Linear","MultiX=Average","Skip=True","Sort=True")</f>
        <v>14.755741100591974</v>
      </c>
    </row>
    <row r="1567" spans="16:21" x14ac:dyDescent="0.25">
      <c r="P1567" s="10">
        <v>36790</v>
      </c>
      <c r="Q1567">
        <v>5.679125</v>
      </c>
      <c r="S1567" s="42">
        <f t="shared" ca="1" si="29"/>
        <v>47273</v>
      </c>
      <c r="T1567" s="43">
        <f ca="1">_xll.BInterpol('Base CDI'!$H$4:$H$28,'Base CDI'!$J$4:$J$29,S1567,"Cubic","Extrapolate=Linear","MultiX=Average","Skip=True","Sort=True")</f>
        <v>14.717752724109737</v>
      </c>
      <c r="U1567" s="43">
        <f ca="1">_xll.BInterpol('Base CDI'!$H$4:$H$28,'Base CDI'!$I$4:$I$29,S1567,"Cubic","Extrapolate=Linear","MultiX=Average","Skip=True","Sort=True")</f>
        <v>14.755948572986236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47274</v>
      </c>
      <c r="T1568" s="43">
        <f ca="1">_xll.BInterpol('Base CDI'!$H$4:$H$28,'Base CDI'!$J$4:$J$29,S1568,"Cubic","Extrapolate=Linear","MultiX=Average","Skip=True","Sort=True")</f>
        <v>14.717927737088058</v>
      </c>
      <c r="U1568" s="43">
        <f ca="1">_xll.BInterpol('Base CDI'!$H$4:$H$28,'Base CDI'!$I$4:$I$29,S1568,"Cubic","Extrapolate=Linear","MultiX=Average","Skip=True","Sort=True")</f>
        <v>14.756155992710569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47275</v>
      </c>
      <c r="T1569" s="43">
        <f ca="1">_xll.BInterpol('Base CDI'!$H$4:$H$28,'Base CDI'!$J$4:$J$29,S1569,"Cubic","Extrapolate=Linear","MultiX=Average","Skip=True","Sort=True")</f>
        <v>14.718102572251594</v>
      </c>
      <c r="U1569" s="43">
        <f ca="1">_xll.BInterpol('Base CDI'!$H$4:$H$28,'Base CDI'!$I$4:$I$29,S1569,"Cubic","Extrapolate=Linear","MultiX=Average","Skip=True","Sort=True")</f>
        <v>14.756363357407558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47276</v>
      </c>
      <c r="T1570" s="43">
        <f ca="1">_xll.BInterpol('Base CDI'!$H$4:$H$28,'Base CDI'!$J$4:$J$29,S1570,"Cubic","Extrapolate=Linear","MultiX=Average","Skip=True","Sort=True")</f>
        <v>14.718277227761792</v>
      </c>
      <c r="U1570" s="43">
        <f ca="1">_xll.BInterpol('Base CDI'!$H$4:$H$28,'Base CDI'!$I$4:$I$29,S1570,"Cubic","Extrapolate=Linear","MultiX=Average","Skip=True","Sort=True")</f>
        <v>14.756570664719794</v>
      </c>
    </row>
    <row r="1571" spans="16:21" x14ac:dyDescent="0.25">
      <c r="P1571" s="10">
        <v>36796</v>
      </c>
      <c r="Q1571">
        <v>5.692895</v>
      </c>
      <c r="S1571" s="42">
        <f t="shared" ca="1" si="29"/>
        <v>47277</v>
      </c>
      <c r="T1571" s="43">
        <f ca="1">_xll.BInterpol('Base CDI'!$H$4:$H$28,'Base CDI'!$J$4:$J$29,S1571,"Cubic","Extrapolate=Linear","MultiX=Average","Skip=True","Sort=True")</f>
        <v>14.718451701780108</v>
      </c>
      <c r="U1571" s="43">
        <f ca="1">_xll.BInterpol('Base CDI'!$H$4:$H$28,'Base CDI'!$I$4:$I$29,S1571,"Cubic","Extrapolate=Linear","MultiX=Average","Skip=True","Sort=True")</f>
        <v>14.756777912289859</v>
      </c>
    </row>
    <row r="1572" spans="16:21" x14ac:dyDescent="0.25">
      <c r="P1572" s="10">
        <v>36797</v>
      </c>
      <c r="Q1572">
        <v>5.696332</v>
      </c>
      <c r="S1572" s="42">
        <f t="shared" ca="1" si="29"/>
        <v>47278</v>
      </c>
      <c r="T1572" s="43">
        <f ca="1">_xll.BInterpol('Base CDI'!$H$4:$H$28,'Base CDI'!$J$4:$J$29,S1572,"Cubic","Extrapolate=Linear","MultiX=Average","Skip=True","Sort=True")</f>
        <v>14.71862599246799</v>
      </c>
      <c r="U1572" s="43">
        <f ca="1">_xll.BInterpol('Base CDI'!$H$4:$H$28,'Base CDI'!$I$4:$I$29,S1572,"Cubic","Extrapolate=Linear","MultiX=Average","Skip=True","Sort=True")</f>
        <v>14.756985097760344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47279</v>
      </c>
      <c r="T1573" s="43">
        <f ca="1">_xll.BInterpol('Base CDI'!$H$4:$H$28,'Base CDI'!$J$4:$J$29,S1573,"Cubic","Extrapolate=Linear","MultiX=Average","Skip=True","Sort=True")</f>
        <v>14.718800097986886</v>
      </c>
      <c r="U1573" s="43">
        <f ca="1">_xll.BInterpol('Base CDI'!$H$4:$H$28,'Base CDI'!$I$4:$I$29,S1573,"Cubic","Extrapolate=Linear","MultiX=Average","Skip=True","Sort=True")</f>
        <v>14.757192218773834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47280</v>
      </c>
      <c r="T1574" s="43">
        <f ca="1">_xll.BInterpol('Base CDI'!$H$4:$H$28,'Base CDI'!$J$4:$J$29,S1574,"Cubic","Extrapolate=Linear","MultiX=Average","Skip=True","Sort=True")</f>
        <v>14.718974016498249</v>
      </c>
      <c r="U1574" s="43">
        <f ca="1">_xll.BInterpol('Base CDI'!$H$4:$H$28,'Base CDI'!$I$4:$I$29,S1574,"Cubic","Extrapolate=Linear","MultiX=Average","Skip=True","Sort=True")</f>
        <v>14.757399272972918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47281</v>
      </c>
      <c r="T1575" s="43">
        <f ca="1">_xll.BInterpol('Base CDI'!$H$4:$H$28,'Base CDI'!$J$4:$J$29,S1575,"Cubic","Extrapolate=Linear","MultiX=Average","Skip=True","Sort=True")</f>
        <v>14.71914774616353</v>
      </c>
      <c r="U1575" s="43">
        <f ca="1">_xll.BInterpol('Base CDI'!$H$4:$H$28,'Base CDI'!$I$4:$I$29,S1575,"Cubic","Extrapolate=Linear","MultiX=Average","Skip=True","Sort=True")</f>
        <v>14.75760625800018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47282</v>
      </c>
      <c r="T1576" s="43">
        <f ca="1">_xll.BInterpol('Base CDI'!$H$4:$H$28,'Base CDI'!$J$4:$J$29,S1576,"Cubic","Extrapolate=Linear","MultiX=Average","Skip=True","Sort=True")</f>
        <v>14.719321285144177</v>
      </c>
      <c r="U1576" s="43">
        <f ca="1">_xll.BInterpol('Base CDI'!$H$4:$H$28,'Base CDI'!$I$4:$I$29,S1576,"Cubic","Extrapolate=Linear","MultiX=Average","Skip=True","Sort=True")</f>
        <v>14.757813171498208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47283</v>
      </c>
      <c r="T1577" s="43">
        <f ca="1">_xll.BInterpol('Base CDI'!$H$4:$H$28,'Base CDI'!$J$4:$J$29,S1577,"Cubic","Extrapolate=Linear","MultiX=Average","Skip=True","Sort=True")</f>
        <v>14.719494631601643</v>
      </c>
      <c r="U1577" s="43">
        <f ca="1">_xll.BInterpol('Base CDI'!$H$4:$H$28,'Base CDI'!$I$4:$I$29,S1577,"Cubic","Extrapolate=Linear","MultiX=Average","Skip=True","Sort=True")</f>
        <v>14.75802001110959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47284</v>
      </c>
      <c r="T1578" s="43">
        <f ca="1">_xll.BInterpol('Base CDI'!$H$4:$H$28,'Base CDI'!$J$4:$J$29,S1578,"Cubic","Extrapolate=Linear","MultiX=Average","Skip=True","Sort=True")</f>
        <v>14.719667783697377</v>
      </c>
      <c r="U1578" s="43">
        <f ca="1">_xll.BInterpol('Base CDI'!$H$4:$H$28,'Base CDI'!$I$4:$I$29,S1578,"Cubic","Extrapolate=Linear","MultiX=Average","Skip=True","Sort=True")</f>
        <v>14.758226774476913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47285</v>
      </c>
      <c r="T1579" s="43">
        <f ca="1">_xll.BInterpol('Base CDI'!$H$4:$H$28,'Base CDI'!$J$4:$J$29,S1579,"Cubic","Extrapolate=Linear","MultiX=Average","Skip=True","Sort=True")</f>
        <v>14.719840739592827</v>
      </c>
      <c r="U1579" s="43">
        <f ca="1">_xll.BInterpol('Base CDI'!$H$4:$H$28,'Base CDI'!$I$4:$I$29,S1579,"Cubic","Extrapolate=Linear","MultiX=Average","Skip=True","Sort=True")</f>
        <v>14.758433459242761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47286</v>
      </c>
      <c r="T1580" s="43">
        <f ca="1">_xll.BInterpol('Base CDI'!$H$4:$H$28,'Base CDI'!$J$4:$J$29,S1580,"Cubic","Extrapolate=Linear","MultiX=Average","Skip=True","Sort=True")</f>
        <v>14.720013497449449</v>
      </c>
      <c r="U1580" s="43">
        <f ca="1">_xll.BInterpol('Base CDI'!$H$4:$H$28,'Base CDI'!$I$4:$I$29,S1580,"Cubic","Extrapolate=Linear","MultiX=Average","Skip=True","Sort=True")</f>
        <v>14.758640063049725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47287</v>
      </c>
      <c r="T1581" s="43">
        <f ca="1">_xll.BInterpol('Base CDI'!$H$4:$H$28,'Base CDI'!$J$4:$J$29,S1581,"Cubic","Extrapolate=Linear","MultiX=Average","Skip=True","Sort=True")</f>
        <v>14.720186055428689</v>
      </c>
      <c r="U1581" s="43">
        <f ca="1">_xll.BInterpol('Base CDI'!$H$4:$H$28,'Base CDI'!$I$4:$I$29,S1581,"Cubic","Extrapolate=Linear","MultiX=Average","Skip=True","Sort=True")</f>
        <v>14.758846583540391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47288</v>
      </c>
      <c r="T1582" s="43">
        <f ca="1">_xll.BInterpol('Base CDI'!$H$4:$H$28,'Base CDI'!$J$4:$J$29,S1582,"Cubic","Extrapolate=Linear","MultiX=Average","Skip=True","Sort=True")</f>
        <v>14.720358411691999</v>
      </c>
      <c r="U1582" s="43">
        <f ca="1">_xll.BInterpol('Base CDI'!$H$4:$H$28,'Base CDI'!$I$4:$I$29,S1582,"Cubic","Extrapolate=Linear","MultiX=Average","Skip=True","Sort=True")</f>
        <v>14.759053018357344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47289</v>
      </c>
      <c r="T1583" s="43">
        <f ca="1">_xll.BInterpol('Base CDI'!$H$4:$H$28,'Base CDI'!$J$4:$J$29,S1583,"Cubic","Extrapolate=Linear","MultiX=Average","Skip=True","Sort=True")</f>
        <v>14.720530564400828</v>
      </c>
      <c r="U1583" s="43">
        <f ca="1">_xll.BInterpol('Base CDI'!$H$4:$H$28,'Base CDI'!$I$4:$I$29,S1583,"Cubic","Extrapolate=Linear","MultiX=Average","Skip=True","Sort=True")</f>
        <v>14.759259365143171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47290</v>
      </c>
      <c r="T1584" s="43">
        <f ca="1">_xll.BInterpol('Base CDI'!$H$4:$H$28,'Base CDI'!$J$4:$J$29,S1584,"Cubic","Extrapolate=Linear","MultiX=Average","Skip=True","Sort=True")</f>
        <v>14.720702511716629</v>
      </c>
      <c r="U1584" s="43">
        <f ca="1">_xll.BInterpol('Base CDI'!$H$4:$H$28,'Base CDI'!$I$4:$I$29,S1584,"Cubic","Extrapolate=Linear","MultiX=Average","Skip=True","Sort=True")</f>
        <v>14.75946562154046</v>
      </c>
    </row>
    <row r="1585" spans="16:21" x14ac:dyDescent="0.25">
      <c r="P1585" s="10">
        <v>36817</v>
      </c>
      <c r="Q1585">
        <v>5.741339</v>
      </c>
      <c r="S1585" s="42">
        <f t="shared" ca="1" si="29"/>
        <v>47291</v>
      </c>
      <c r="T1585" s="43">
        <f ca="1">_xll.BInterpol('Base CDI'!$H$4:$H$28,'Base CDI'!$J$4:$J$29,S1585,"Cubic","Extrapolate=Linear","MultiX=Average","Skip=True","Sort=True")</f>
        <v>14.720874251800851</v>
      </c>
      <c r="U1585" s="43">
        <f ca="1">_xll.BInterpol('Base CDI'!$H$4:$H$28,'Base CDI'!$I$4:$I$29,S1585,"Cubic","Extrapolate=Linear","MultiX=Average","Skip=True","Sort=True")</f>
        <v>14.7596717851918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47292</v>
      </c>
      <c r="T1586" s="43">
        <f ca="1">_xll.BInterpol('Base CDI'!$H$4:$H$28,'Base CDI'!$J$4:$J$29,S1586,"Cubic","Extrapolate=Linear","MultiX=Average","Skip=True","Sort=True")</f>
        <v>14.721045782814944</v>
      </c>
      <c r="U1586" s="43">
        <f ca="1">_xll.BInterpol('Base CDI'!$H$4:$H$28,'Base CDI'!$I$4:$I$29,S1586,"Cubic","Extrapolate=Linear","MultiX=Average","Skip=True","Sort=True")</f>
        <v>14.759877853739775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47293</v>
      </c>
      <c r="T1587" s="43">
        <f ca="1">_xll.BInterpol('Base CDI'!$H$4:$H$28,'Base CDI'!$J$4:$J$29,S1587,"Cubic","Extrapolate=Linear","MultiX=Average","Skip=True","Sort=True")</f>
        <v>14.721217102920358</v>
      </c>
      <c r="U1587" s="43">
        <f ca="1">_xll.BInterpol('Base CDI'!$H$4:$H$28,'Base CDI'!$I$4:$I$29,S1587,"Cubic","Extrapolate=Linear","MultiX=Average","Skip=True","Sort=True")</f>
        <v>14.760083824826973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47294</v>
      </c>
      <c r="T1588" s="43">
        <f ca="1">_xll.BInterpol('Base CDI'!$H$4:$H$28,'Base CDI'!$J$4:$J$29,S1588,"Cubic","Extrapolate=Linear","MultiX=Average","Skip=True","Sort=True")</f>
        <v>14.721388210278544</v>
      </c>
      <c r="U1588" s="43">
        <f ca="1">_xll.BInterpol('Base CDI'!$H$4:$H$28,'Base CDI'!$I$4:$I$29,S1588,"Cubic","Extrapolate=Linear","MultiX=Average","Skip=True","Sort=True")</f>
        <v>14.760289696095979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47295</v>
      </c>
      <c r="T1589" s="43">
        <f ca="1">_xll.BInterpol('Base CDI'!$H$4:$H$28,'Base CDI'!$J$4:$J$29,S1589,"Cubic","Extrapolate=Linear","MultiX=Average","Skip=True","Sort=True")</f>
        <v>14.721559103050954</v>
      </c>
      <c r="U1589" s="43">
        <f ca="1">_xll.BInterpol('Base CDI'!$H$4:$H$28,'Base CDI'!$I$4:$I$29,S1589,"Cubic","Extrapolate=Linear","MultiX=Average","Skip=True","Sort=True")</f>
        <v>14.760495465189384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47296</v>
      </c>
      <c r="T1590" s="43">
        <f ca="1">_xll.BInterpol('Base CDI'!$H$4:$H$28,'Base CDI'!$J$4:$J$29,S1590,"Cubic","Extrapolate=Linear","MultiX=Average","Skip=True","Sort=True")</f>
        <v>14.721729779399036</v>
      </c>
      <c r="U1590" s="43">
        <f ca="1">_xll.BInterpol('Base CDI'!$H$4:$H$28,'Base CDI'!$I$4:$I$29,S1590,"Cubic","Extrapolate=Linear","MultiX=Average","Skip=True","Sort=True")</f>
        <v>14.760701129749773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47297</v>
      </c>
      <c r="T1591" s="43">
        <f ca="1">_xll.BInterpol('Base CDI'!$H$4:$H$28,'Base CDI'!$J$4:$J$29,S1591,"Cubic","Extrapolate=Linear","MultiX=Average","Skip=True","Sort=True")</f>
        <v>14.72190023748424</v>
      </c>
      <c r="U1591" s="43">
        <f ca="1">_xll.BInterpol('Base CDI'!$H$4:$H$28,'Base CDI'!$I$4:$I$29,S1591,"Cubic","Extrapolate=Linear","MultiX=Average","Skip=True","Sort=True")</f>
        <v>14.760906687419732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47298</v>
      </c>
      <c r="T1592" s="43">
        <f ca="1">_xll.BInterpol('Base CDI'!$H$4:$H$28,'Base CDI'!$J$4:$J$29,S1592,"Cubic","Extrapolate=Linear","MultiX=Average","Skip=True","Sort=True")</f>
        <v>14.722070475468019</v>
      </c>
      <c r="U1592" s="43">
        <f ca="1">_xll.BInterpol('Base CDI'!$H$4:$H$28,'Base CDI'!$I$4:$I$29,S1592,"Cubic","Extrapolate=Linear","MultiX=Average","Skip=True","Sort=True")</f>
        <v>14.761112135841849</v>
      </c>
    </row>
    <row r="1593" spans="16:21" x14ac:dyDescent="0.25">
      <c r="P1593" s="10">
        <v>36829</v>
      </c>
      <c r="Q1593">
        <v>5.769209</v>
      </c>
      <c r="S1593" s="42">
        <f t="shared" ca="1" si="29"/>
        <v>47299</v>
      </c>
      <c r="T1593" s="43">
        <f ca="1">_xll.BInterpol('Base CDI'!$H$4:$H$28,'Base CDI'!$J$4:$J$29,S1593,"Cubic","Extrapolate=Linear","MultiX=Average","Skip=True","Sort=True")</f>
        <v>14.722240491511823</v>
      </c>
      <c r="U1593" s="43">
        <f ca="1">_xll.BInterpol('Base CDI'!$H$4:$H$28,'Base CDI'!$I$4:$I$29,S1593,"Cubic","Extrapolate=Linear","MultiX=Average","Skip=True","Sort=True")</f>
        <v>14.761317472658709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47300</v>
      </c>
      <c r="T1594" s="43">
        <f ca="1">_xll.BInterpol('Base CDI'!$H$4:$H$28,'Base CDI'!$J$4:$J$29,S1594,"Cubic","Extrapolate=Linear","MultiX=Average","Skip=True","Sort=True")</f>
        <v>14.7224102837771</v>
      </c>
      <c r="U1594" s="43">
        <f ca="1">_xll.BInterpol('Base CDI'!$H$4:$H$28,'Base CDI'!$I$4:$I$29,S1594,"Cubic","Extrapolate=Linear","MultiX=Average","Skip=True","Sort=True")</f>
        <v>14.761522695512902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47301</v>
      </c>
      <c r="T1595" s="43">
        <f ca="1">_xll.BInterpol('Base CDI'!$H$4:$H$28,'Base CDI'!$J$4:$J$29,S1595,"Cubic","Extrapolate=Linear","MultiX=Average","Skip=True","Sort=True")</f>
        <v>14.722579850425303</v>
      </c>
      <c r="U1595" s="43">
        <f ca="1">_xll.BInterpol('Base CDI'!$H$4:$H$28,'Base CDI'!$I$4:$I$29,S1595,"Cubic","Extrapolate=Linear","MultiX=Average","Skip=True","Sort=True")</f>
        <v>14.761727802047014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47302</v>
      </c>
      <c r="T1596" s="43">
        <f ca="1">_xll.BInterpol('Base CDI'!$H$4:$H$28,'Base CDI'!$J$4:$J$29,S1596,"Cubic","Extrapolate=Linear","MultiX=Average","Skip=True","Sort=True")</f>
        <v>14.722749189617881</v>
      </c>
      <c r="U1596" s="43">
        <f ca="1">_xll.BInterpol('Base CDI'!$H$4:$H$28,'Base CDI'!$I$4:$I$29,S1596,"Cubic","Extrapolate=Linear","MultiX=Average","Skip=True","Sort=True")</f>
        <v>14.76193278990363</v>
      </c>
    </row>
    <row r="1597" spans="16:21" x14ac:dyDescent="0.25">
      <c r="P1597" s="10">
        <v>36836</v>
      </c>
      <c r="Q1597">
        <v>5.783188</v>
      </c>
      <c r="S1597" s="42">
        <f t="shared" ca="1" si="29"/>
        <v>47303</v>
      </c>
      <c r="T1597" s="43">
        <f ca="1">_xll.BInterpol('Base CDI'!$H$4:$H$28,'Base CDI'!$J$4:$J$29,S1597,"Cubic","Extrapolate=Linear","MultiX=Average","Skip=True","Sort=True")</f>
        <v>14.722918299516284</v>
      </c>
      <c r="U1597" s="43">
        <f ca="1">_xll.BInterpol('Base CDI'!$H$4:$H$28,'Base CDI'!$I$4:$I$29,S1597,"Cubic","Extrapolate=Linear","MultiX=Average","Skip=True","Sort=True")</f>
        <v>14.76213765672534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47304</v>
      </c>
      <c r="T1598" s="43">
        <f ca="1">_xll.BInterpol('Base CDI'!$H$4:$H$28,'Base CDI'!$J$4:$J$29,S1598,"Cubic","Extrapolate=Linear","MultiX=Average","Skip=True","Sort=True")</f>
        <v>14.723087178281965</v>
      </c>
      <c r="U1598" s="43">
        <f ca="1">_xll.BInterpol('Base CDI'!$H$4:$H$28,'Base CDI'!$I$4:$I$29,S1598,"Cubic","Extrapolate=Linear","MultiX=Average","Skip=True","Sort=True")</f>
        <v>14.762342400154729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47305</v>
      </c>
      <c r="T1599" s="43">
        <f ca="1">_xll.BInterpol('Base CDI'!$H$4:$H$28,'Base CDI'!$J$4:$J$29,S1599,"Cubic","Extrapolate=Linear","MultiX=Average","Skip=True","Sort=True")</f>
        <v>14.723255824076372</v>
      </c>
      <c r="U1599" s="43">
        <f ca="1">_xll.BInterpol('Base CDI'!$H$4:$H$28,'Base CDI'!$I$4:$I$29,S1599,"Cubic","Extrapolate=Linear","MultiX=Average","Skip=True","Sort=True")</f>
        <v>14.762547017834384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47306</v>
      </c>
      <c r="T1600" s="43">
        <f ca="1">_xll.BInterpol('Base CDI'!$H$4:$H$28,'Base CDI'!$J$4:$J$29,S1600,"Cubic","Extrapolate=Linear","MultiX=Average","Skip=True","Sort=True")</f>
        <v>14.723424235060953</v>
      </c>
      <c r="U1600" s="43">
        <f ca="1">_xll.BInterpol('Base CDI'!$H$4:$H$28,'Base CDI'!$I$4:$I$29,S1600,"Cubic","Extrapolate=Linear","MultiX=Average","Skip=True","Sort=True")</f>
        <v>14.762751507406893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47307</v>
      </c>
      <c r="T1601" s="43">
        <f ca="1">_xll.BInterpol('Base CDI'!$H$4:$H$28,'Base CDI'!$J$4:$J$29,S1601,"Cubic","Extrapolate=Linear","MultiX=Average","Skip=True","Sort=True")</f>
        <v>14.723592409397165</v>
      </c>
      <c r="U1601" s="43">
        <f ca="1">_xll.BInterpol('Base CDI'!$H$4:$H$28,'Base CDI'!$I$4:$I$29,S1601,"Cubic","Extrapolate=Linear","MultiX=Average","Skip=True","Sort=True")</f>
        <v>14.762955866514842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47308</v>
      </c>
      <c r="T1602" s="43">
        <f ca="1">_xll.BInterpol('Base CDI'!$H$4:$H$28,'Base CDI'!$J$4:$J$29,S1602,"Cubic","Extrapolate=Linear","MultiX=Average","Skip=True","Sort=True")</f>
        <v>14.723760345246454</v>
      </c>
      <c r="U1602" s="43">
        <f ca="1">_xll.BInterpol('Base CDI'!$H$4:$H$28,'Base CDI'!$I$4:$I$29,S1602,"Cubic","Extrapolate=Linear","MultiX=Average","Skip=True","Sort=True")</f>
        <v>14.763160092800819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47309</v>
      </c>
      <c r="T1603" s="43">
        <f ca="1">_xll.BInterpol('Base CDI'!$H$4:$H$28,'Base CDI'!$J$4:$J$29,S1603,"Cubic","Extrapolate=Linear","MultiX=Average","Skip=True","Sort=True")</f>
        <v>14.72392804077027</v>
      </c>
      <c r="U1603" s="43">
        <f ca="1">_xll.BInterpol('Base CDI'!$H$4:$H$28,'Base CDI'!$I$4:$I$29,S1603,"Cubic","Extrapolate=Linear","MultiX=Average","Skip=True","Sort=True")</f>
        <v>14.763364183907409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47310</v>
      </c>
      <c r="T1604" s="43">
        <f ca="1">_xll.BInterpol('Base CDI'!$H$4:$H$28,'Base CDI'!$J$4:$J$29,S1604,"Cubic","Extrapolate=Linear","MultiX=Average","Skip=True","Sort=True")</f>
        <v>14.724095494130065</v>
      </c>
      <c r="U1604" s="43">
        <f ca="1">_xll.BInterpol('Base CDI'!$H$4:$H$28,'Base CDI'!$I$4:$I$29,S1604,"Cubic","Extrapolate=Linear","MultiX=Average","Skip=True","Sort=True")</f>
        <v>14.763568137477201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47311</v>
      </c>
      <c r="T1605" s="43">
        <f ca="1">_xll.BInterpol('Base CDI'!$H$4:$H$28,'Base CDI'!$J$4:$J$29,S1605,"Cubic","Extrapolate=Linear","MultiX=Average","Skip=True","Sort=True")</f>
        <v>14.724262703487289</v>
      </c>
      <c r="U1605" s="43">
        <f ca="1">_xll.BInterpol('Base CDI'!$H$4:$H$28,'Base CDI'!$I$4:$I$29,S1605,"Cubic","Extrapolate=Linear","MultiX=Average","Skip=True","Sort=True")</f>
        <v>14.76377195115278</v>
      </c>
    </row>
    <row r="1606" spans="16:21" x14ac:dyDescent="0.25">
      <c r="P1606" s="10">
        <v>36850</v>
      </c>
      <c r="Q1606">
        <v>5.814756</v>
      </c>
      <c r="S1606" s="42">
        <f t="shared" ca="1" si="29"/>
        <v>47312</v>
      </c>
      <c r="T1606" s="43">
        <f ca="1">_xll.BInterpol('Base CDI'!$H$4:$H$28,'Base CDI'!$J$4:$J$29,S1606,"Cubic","Extrapolate=Linear","MultiX=Average","Skip=True","Sort=True")</f>
        <v>14.724429667003394</v>
      </c>
      <c r="U1606" s="43">
        <f ca="1">_xll.BInterpol('Base CDI'!$H$4:$H$28,'Base CDI'!$I$4:$I$29,S1606,"Cubic","Extrapolate=Linear","MultiX=Average","Skip=True","Sort=True")</f>
        <v>14.763975622576735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47313</v>
      </c>
      <c r="T1607" s="43">
        <f ca="1">_xll.BInterpol('Base CDI'!$H$4:$H$28,'Base CDI'!$J$4:$J$29,S1607,"Cubic","Extrapolate=Linear","MultiX=Average","Skip=True","Sort=True")</f>
        <v>14.724596382839826</v>
      </c>
      <c r="U1607" s="43">
        <f ca="1">_xll.BInterpol('Base CDI'!$H$4:$H$28,'Base CDI'!$I$4:$I$29,S1607,"Cubic","Extrapolate=Linear","MultiX=Average","Skip=True","Sort=True")</f>
        <v>14.764179149391651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47314</v>
      </c>
      <c r="T1608" s="43">
        <f ca="1">_xll.BInterpol('Base CDI'!$H$4:$H$28,'Base CDI'!$J$4:$J$29,S1608,"Cubic","Extrapolate=Linear","MultiX=Average","Skip=True","Sort=True")</f>
        <v>14.72476284915804</v>
      </c>
      <c r="U1608" s="43">
        <f ca="1">_xll.BInterpol('Base CDI'!$H$4:$H$28,'Base CDI'!$I$4:$I$29,S1608,"Cubic","Extrapolate=Linear","MultiX=Average","Skip=True","Sort=True")</f>
        <v>14.764382529240118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47315</v>
      </c>
      <c r="T1609" s="43">
        <f ca="1">_xll.BInterpol('Base CDI'!$H$4:$H$28,'Base CDI'!$J$4:$J$29,S1609,"Cubic","Extrapolate=Linear","MultiX=Average","Skip=True","Sort=True")</f>
        <v>14.724929064119484</v>
      </c>
      <c r="U1609" s="43">
        <f ca="1">_xll.BInterpol('Base CDI'!$H$4:$H$28,'Base CDI'!$I$4:$I$29,S1609,"Cubic","Extrapolate=Linear","MultiX=Average","Skip=True","Sort=True")</f>
        <v>14.764585759764721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47316</v>
      </c>
      <c r="T1610" s="43">
        <f ca="1">_xll.BInterpol('Base CDI'!$H$4:$H$28,'Base CDI'!$J$4:$J$29,S1610,"Cubic","Extrapolate=Linear","MultiX=Average","Skip=True","Sort=True")</f>
        <v>14.72509502588561</v>
      </c>
      <c r="U1610" s="43">
        <f ca="1">_xll.BInterpol('Base CDI'!$H$4:$H$28,'Base CDI'!$I$4:$I$29,S1610,"Cubic","Extrapolate=Linear","MultiX=Average","Skip=True","Sort=True")</f>
        <v>14.764788838608046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47317</v>
      </c>
      <c r="T1611" s="43">
        <f ca="1">_xll.BInterpol('Base CDI'!$H$4:$H$28,'Base CDI'!$J$4:$J$29,S1611,"Cubic","Extrapolate=Linear","MultiX=Average","Skip=True","Sort=True")</f>
        <v>14.725260732617866</v>
      </c>
      <c r="U1611" s="43">
        <f ca="1">_xll.BInterpol('Base CDI'!$H$4:$H$28,'Base CDI'!$I$4:$I$29,S1611,"Cubic","Extrapolate=Linear","MultiX=Average","Skip=True","Sort=True")</f>
        <v>14.764991763412681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47318</v>
      </c>
      <c r="T1612" s="43">
        <f ca="1">_xll.BInterpol('Base CDI'!$H$4:$H$28,'Base CDI'!$J$4:$J$29,S1612,"Cubic","Extrapolate=Linear","MultiX=Average","Skip=True","Sort=True")</f>
        <v>14.725426182477703</v>
      </c>
      <c r="U1612" s="43">
        <f ca="1">_xll.BInterpol('Base CDI'!$H$4:$H$28,'Base CDI'!$I$4:$I$29,S1612,"Cubic","Extrapolate=Linear","MultiX=Average","Skip=True","Sort=True")</f>
        <v>14.765194531821212</v>
      </c>
    </row>
    <row r="1613" spans="16:21" x14ac:dyDescent="0.25">
      <c r="P1613" s="10">
        <v>36859</v>
      </c>
      <c r="Q1613">
        <v>5.839385</v>
      </c>
      <c r="S1613" s="42">
        <f t="shared" ca="1" si="30"/>
        <v>47319</v>
      </c>
      <c r="T1613" s="43">
        <f ca="1">_xll.BInterpol('Base CDI'!$H$4:$H$28,'Base CDI'!$J$4:$J$29,S1613,"Cubic","Extrapolate=Linear","MultiX=Average","Skip=True","Sort=True")</f>
        <v>14.725591373626575</v>
      </c>
      <c r="U1613" s="43">
        <f ca="1">_xll.BInterpol('Base CDI'!$H$4:$H$28,'Base CDI'!$I$4:$I$29,S1613,"Cubic","Extrapolate=Linear","MultiX=Average","Skip=True","Sort=True")</f>
        <v>14.765397141476228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47320</v>
      </c>
      <c r="T1614" s="43">
        <f ca="1">_xll.BInterpol('Base CDI'!$H$4:$H$28,'Base CDI'!$J$4:$J$29,S1614,"Cubic","Extrapolate=Linear","MultiX=Average","Skip=True","Sort=True")</f>
        <v>14.725756304225927</v>
      </c>
      <c r="U1614" s="43">
        <f ca="1">_xll.BInterpol('Base CDI'!$H$4:$H$28,'Base CDI'!$I$4:$I$29,S1614,"Cubic","Extrapolate=Linear","MultiX=Average","Skip=True","Sort=True")</f>
        <v>14.765599590020315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47321</v>
      </c>
      <c r="T1615" s="43">
        <f ca="1">_xll.BInterpol('Base CDI'!$H$4:$H$28,'Base CDI'!$J$4:$J$29,S1615,"Cubic","Extrapolate=Linear","MultiX=Average","Skip=True","Sort=True")</f>
        <v>14.725920972437214</v>
      </c>
      <c r="U1615" s="43">
        <f ca="1">_xll.BInterpol('Base CDI'!$H$4:$H$28,'Base CDI'!$I$4:$I$29,S1615,"Cubic","Extrapolate=Linear","MultiX=Average","Skip=True","Sort=True")</f>
        <v>14.765801875096059</v>
      </c>
    </row>
    <row r="1616" spans="16:21" x14ac:dyDescent="0.25">
      <c r="P1616" s="10">
        <v>36864</v>
      </c>
      <c r="Q1616">
        <v>5.849933</v>
      </c>
      <c r="S1616" s="42">
        <f t="shared" ca="1" si="30"/>
        <v>47322</v>
      </c>
      <c r="T1616" s="43">
        <f ca="1">_xll.BInterpol('Base CDI'!$H$4:$H$28,'Base CDI'!$J$4:$J$29,S1616,"Cubic","Extrapolate=Linear","MultiX=Average","Skip=True","Sort=True")</f>
        <v>14.726085376421882</v>
      </c>
      <c r="U1616" s="43">
        <f ca="1">_xll.BInterpol('Base CDI'!$H$4:$H$28,'Base CDI'!$I$4:$I$29,S1616,"Cubic","Extrapolate=Linear","MultiX=Average","Skip=True","Sort=True")</f>
        <v>14.766003994346047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47323</v>
      </c>
      <c r="T1617" s="43">
        <f ca="1">_xll.BInterpol('Base CDI'!$H$4:$H$28,'Base CDI'!$J$4:$J$29,S1617,"Cubic","Extrapolate=Linear","MultiX=Average","Skip=True","Sort=True")</f>
        <v>14.726249514341385</v>
      </c>
      <c r="U1617" s="43">
        <f ca="1">_xll.BInterpol('Base CDI'!$H$4:$H$28,'Base CDI'!$I$4:$I$29,S1617,"Cubic","Extrapolate=Linear","MultiX=Average","Skip=True","Sort=True")</f>
        <v>14.766205945412867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47324</v>
      </c>
      <c r="T1618" s="43">
        <f ca="1">_xll.BInterpol('Base CDI'!$H$4:$H$28,'Base CDI'!$J$4:$J$29,S1618,"Cubic","Extrapolate=Linear","MultiX=Average","Skip=True","Sort=True")</f>
        <v>14.726413384357173</v>
      </c>
      <c r="U1618" s="43">
        <f ca="1">_xll.BInterpol('Base CDI'!$H$4:$H$28,'Base CDI'!$I$4:$I$29,S1618,"Cubic","Extrapolate=Linear","MultiX=Average","Skip=True","Sort=True")</f>
        <v>14.766407725939107</v>
      </c>
    </row>
    <row r="1619" spans="16:21" x14ac:dyDescent="0.25">
      <c r="P1619" s="10">
        <v>36867</v>
      </c>
      <c r="Q1619">
        <v>5.860493</v>
      </c>
      <c r="S1619" s="42">
        <f t="shared" ca="1" si="30"/>
        <v>47325</v>
      </c>
      <c r="T1619" s="43">
        <f ca="1">_xll.BInterpol('Base CDI'!$H$4:$H$28,'Base CDI'!$J$4:$J$29,S1619,"Cubic","Extrapolate=Linear","MultiX=Average","Skip=True","Sort=True")</f>
        <v>14.726576984630695</v>
      </c>
      <c r="U1619" s="43">
        <f ca="1">_xll.BInterpol('Base CDI'!$H$4:$H$28,'Base CDI'!$I$4:$I$29,S1619,"Cubic","Extrapolate=Linear","MultiX=Average","Skip=True","Sort=True")</f>
        <v>14.766609333567352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47326</v>
      </c>
      <c r="T1620" s="43">
        <f ca="1">_xll.BInterpol('Base CDI'!$H$4:$H$28,'Base CDI'!$J$4:$J$29,S1620,"Cubic","Extrapolate=Linear","MultiX=Average","Skip=True","Sort=True")</f>
        <v>14.726740313323402</v>
      </c>
      <c r="U1620" s="43">
        <f ca="1">_xll.BInterpol('Base CDI'!$H$4:$H$28,'Base CDI'!$I$4:$I$29,S1620,"Cubic","Extrapolate=Linear","MultiX=Average","Skip=True","Sort=True")</f>
        <v>14.766810765940189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47327</v>
      </c>
      <c r="T1621" s="43">
        <f ca="1">_xll.BInterpol('Base CDI'!$H$4:$H$28,'Base CDI'!$J$4:$J$29,S1621,"Cubic","Extrapolate=Linear","MultiX=Average","Skip=True","Sort=True")</f>
        <v>14.726903368596744</v>
      </c>
      <c r="U1621" s="43">
        <f ca="1">_xll.BInterpol('Base CDI'!$H$4:$H$28,'Base CDI'!$I$4:$I$29,S1621,"Cubic","Extrapolate=Linear","MultiX=Average","Skip=True","Sort=True")</f>
        <v>14.767012020700205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47328</v>
      </c>
      <c r="T1622" s="43">
        <f ca="1">_xll.BInterpol('Base CDI'!$H$4:$H$28,'Base CDI'!$J$4:$J$29,S1622,"Cubic","Extrapolate=Linear","MultiX=Average","Skip=True","Sort=True")</f>
        <v>14.727066148612172</v>
      </c>
      <c r="U1622" s="43">
        <f ca="1">_xll.BInterpol('Base CDI'!$H$4:$H$28,'Base CDI'!$I$4:$I$29,S1622,"Cubic","Extrapolate=Linear","MultiX=Average","Skip=True","Sort=True")</f>
        <v>14.767213095489989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47329</v>
      </c>
      <c r="T1623" s="43">
        <f ca="1">_xll.BInterpol('Base CDI'!$H$4:$H$28,'Base CDI'!$J$4:$J$29,S1623,"Cubic","Extrapolate=Linear","MultiX=Average","Skip=True","Sort=True")</f>
        <v>14.727228651531137</v>
      </c>
      <c r="U1623" s="43">
        <f ca="1">_xll.BInterpol('Base CDI'!$H$4:$H$28,'Base CDI'!$I$4:$I$29,S1623,"Cubic","Extrapolate=Linear","MultiX=Average","Skip=True","Sort=True")</f>
        <v>14.767413987952127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47330</v>
      </c>
      <c r="T1624" s="43">
        <f ca="1">_xll.BInterpol('Base CDI'!$H$4:$H$28,'Base CDI'!$J$4:$J$29,S1624,"Cubic","Extrapolate=Linear","MultiX=Average","Skip=True","Sort=True")</f>
        <v>14.727390875515088</v>
      </c>
      <c r="U1624" s="43">
        <f ca="1">_xll.BInterpol('Base CDI'!$H$4:$H$28,'Base CDI'!$I$4:$I$29,S1624,"Cubic","Extrapolate=Linear","MultiX=Average","Skip=True","Sort=True")</f>
        <v>14.767614695729202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47331</v>
      </c>
      <c r="T1625" s="43">
        <f ca="1">_xll.BInterpol('Base CDI'!$H$4:$H$28,'Base CDI'!$J$4:$J$29,S1625,"Cubic","Extrapolate=Linear","MultiX=Average","Skip=True","Sort=True")</f>
        <v>14.727552818725476</v>
      </c>
      <c r="U1625" s="43">
        <f ca="1">_xll.BInterpol('Base CDI'!$H$4:$H$28,'Base CDI'!$I$4:$I$29,S1625,"Cubic","Extrapolate=Linear","MultiX=Average","Skip=True","Sort=True")</f>
        <v>14.767815216463807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47332</v>
      </c>
      <c r="T1626" s="43">
        <f ca="1">_xll.BInterpol('Base CDI'!$H$4:$H$28,'Base CDI'!$J$4:$J$29,S1626,"Cubic","Extrapolate=Linear","MultiX=Average","Skip=True","Sort=True")</f>
        <v>14.727714479323751</v>
      </c>
      <c r="U1626" s="43">
        <f ca="1">_xll.BInterpol('Base CDI'!$H$4:$H$28,'Base CDI'!$I$4:$I$29,S1626,"Cubic","Extrapolate=Linear","MultiX=Average","Skip=True","Sort=True")</f>
        <v>14.768015547798527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47333</v>
      </c>
      <c r="T1627" s="43">
        <f ca="1">_xll.BInterpol('Base CDI'!$H$4:$H$28,'Base CDI'!$J$4:$J$29,S1627,"Cubic","Extrapolate=Linear","MultiX=Average","Skip=True","Sort=True")</f>
        <v>14.727875855471366</v>
      </c>
      <c r="U1627" s="43">
        <f ca="1">_xll.BInterpol('Base CDI'!$H$4:$H$28,'Base CDI'!$I$4:$I$29,S1627,"Cubic","Extrapolate=Linear","MultiX=Average","Skip=True","Sort=True")</f>
        <v>14.768215687375946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47334</v>
      </c>
      <c r="T1628" s="43">
        <f ca="1">_xll.BInterpol('Base CDI'!$H$4:$H$28,'Base CDI'!$J$4:$J$29,S1628,"Cubic","Extrapolate=Linear","MultiX=Average","Skip=True","Sort=True")</f>
        <v>14.728036945329766</v>
      </c>
      <c r="U1628" s="43">
        <f ca="1">_xll.BInterpol('Base CDI'!$H$4:$H$28,'Base CDI'!$I$4:$I$29,S1628,"Cubic","Extrapolate=Linear","MultiX=Average","Skip=True","Sort=True")</f>
        <v>14.768415632838654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47335</v>
      </c>
      <c r="T1629" s="43">
        <f ca="1">_xll.BInterpol('Base CDI'!$H$4:$H$28,'Base CDI'!$J$4:$J$29,S1629,"Cubic","Extrapolate=Linear","MultiX=Average","Skip=True","Sort=True")</f>
        <v>14.728197747060406</v>
      </c>
      <c r="U1629" s="43">
        <f ca="1">_xll.BInterpol('Base CDI'!$H$4:$H$28,'Base CDI'!$I$4:$I$29,S1629,"Cubic","Extrapolate=Linear","MultiX=Average","Skip=True","Sort=True")</f>
        <v>14.768615381829237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47336</v>
      </c>
      <c r="T1630" s="43">
        <f ca="1">_xll.BInterpol('Base CDI'!$H$4:$H$28,'Base CDI'!$J$4:$J$29,S1630,"Cubic","Extrapolate=Linear","MultiX=Average","Skip=True","Sort=True")</f>
        <v>14.728358258824736</v>
      </c>
      <c r="U1630" s="43">
        <f ca="1">_xll.BInterpol('Base CDI'!$H$4:$H$28,'Base CDI'!$I$4:$I$29,S1630,"Cubic","Extrapolate=Linear","MultiX=Average","Skip=True","Sort=True")</f>
        <v>14.768814931990283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47337</v>
      </c>
      <c r="T1631" s="43">
        <f ca="1">_xll.BInterpol('Base CDI'!$H$4:$H$28,'Base CDI'!$J$4:$J$29,S1631,"Cubic","Extrapolate=Linear","MultiX=Average","Skip=True","Sort=True")</f>
        <v>14.728518478784205</v>
      </c>
      <c r="U1631" s="43">
        <f ca="1">_xll.BInterpol('Base CDI'!$H$4:$H$28,'Base CDI'!$I$4:$I$29,S1631,"Cubic","Extrapolate=Linear","MultiX=Average","Skip=True","Sort=True")</f>
        <v>14.769014280964377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47338</v>
      </c>
      <c r="T1632" s="43">
        <f ca="1">_xll.BInterpol('Base CDI'!$H$4:$H$28,'Base CDI'!$J$4:$J$29,S1632,"Cubic","Extrapolate=Linear","MultiX=Average","Skip=True","Sort=True")</f>
        <v>14.728678405100263</v>
      </c>
      <c r="U1632" s="43">
        <f ca="1">_xll.BInterpol('Base CDI'!$H$4:$H$28,'Base CDI'!$I$4:$I$29,S1632,"Cubic","Extrapolate=Linear","MultiX=Average","Skip=True","Sort=True")</f>
        <v>14.769213426394108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47339</v>
      </c>
      <c r="T1633" s="43">
        <f ca="1">_xll.BInterpol('Base CDI'!$H$4:$H$28,'Base CDI'!$J$4:$J$29,S1633,"Cubic","Extrapolate=Linear","MultiX=Average","Skip=True","Sort=True")</f>
        <v>14.728838035934363</v>
      </c>
      <c r="U1633" s="43">
        <f ca="1">_xll.BInterpol('Base CDI'!$H$4:$H$28,'Base CDI'!$I$4:$I$29,S1633,"Cubic","Extrapolate=Linear","MultiX=Average","Skip=True","Sort=True")</f>
        <v>14.769412365922062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47340</v>
      </c>
      <c r="T1634" s="43">
        <f ca="1">_xll.BInterpol('Base CDI'!$H$4:$H$28,'Base CDI'!$J$4:$J$29,S1634,"Cubic","Extrapolate=Linear","MultiX=Average","Skip=True","Sort=True")</f>
        <v>14.728997369447951</v>
      </c>
      <c r="U1634" s="43">
        <f ca="1">_xll.BInterpol('Base CDI'!$H$4:$H$28,'Base CDI'!$I$4:$I$29,S1634,"Cubic","Extrapolate=Linear","MultiX=Average","Skip=True","Sort=True")</f>
        <v>14.769611097190825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47341</v>
      </c>
      <c r="T1635" s="43">
        <f ca="1">_xll.BInterpol('Base CDI'!$H$4:$H$28,'Base CDI'!$J$4:$J$29,S1635,"Cubic","Extrapolate=Linear","MultiX=Average","Skip=True","Sort=True")</f>
        <v>14.729156403802481</v>
      </c>
      <c r="U1635" s="43">
        <f ca="1">_xll.BInterpol('Base CDI'!$H$4:$H$28,'Base CDI'!$I$4:$I$29,S1635,"Cubic","Extrapolate=Linear","MultiX=Average","Skip=True","Sort=True")</f>
        <v>14.769809617842986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47342</v>
      </c>
      <c r="T1636" s="43">
        <f ca="1">_xll.BInterpol('Base CDI'!$H$4:$H$28,'Base CDI'!$J$4:$J$29,S1636,"Cubic","Extrapolate=Linear","MultiX=Average","Skip=True","Sort=True")</f>
        <v>14.729315137159404</v>
      </c>
      <c r="U1636" s="43">
        <f ca="1">_xll.BInterpol('Base CDI'!$H$4:$H$28,'Base CDI'!$I$4:$I$29,S1636,"Cubic","Extrapolate=Linear","MultiX=Average","Skip=True","Sort=True")</f>
        <v>14.77000792552113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47343</v>
      </c>
      <c r="T1637" s="43">
        <f ca="1">_xll.BInterpol('Base CDI'!$H$4:$H$28,'Base CDI'!$J$4:$J$29,S1637,"Cubic","Extrapolate=Linear","MultiX=Average","Skip=True","Sort=True")</f>
        <v>14.729473567680168</v>
      </c>
      <c r="U1637" s="43">
        <f ca="1">_xll.BInterpol('Base CDI'!$H$4:$H$28,'Base CDI'!$I$4:$I$29,S1637,"Cubic","Extrapolate=Linear","MultiX=Average","Skip=True","Sort=True")</f>
        <v>14.770206017867846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47344</v>
      </c>
      <c r="T1638" s="43">
        <f ca="1">_xll.BInterpol('Base CDI'!$H$4:$H$28,'Base CDI'!$J$4:$J$29,S1638,"Cubic","Extrapolate=Linear","MultiX=Average","Skip=True","Sort=True")</f>
        <v>14.729631693526223</v>
      </c>
      <c r="U1638" s="43">
        <f ca="1">_xll.BInterpol('Base CDI'!$H$4:$H$28,'Base CDI'!$I$4:$I$29,S1638,"Cubic","Extrapolate=Linear","MultiX=Average","Skip=True","Sort=True")</f>
        <v>14.770403892525719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47345</v>
      </c>
      <c r="T1639" s="43">
        <f ca="1">_xll.BInterpol('Base CDI'!$H$4:$H$28,'Base CDI'!$J$4:$J$29,S1639,"Cubic","Extrapolate=Linear","MultiX=Average","Skip=True","Sort=True")</f>
        <v>14.729789512859021</v>
      </c>
      <c r="U1639" s="43">
        <f ca="1">_xll.BInterpol('Base CDI'!$H$4:$H$28,'Base CDI'!$I$4:$I$29,S1639,"Cubic","Extrapolate=Linear","MultiX=Average","Skip=True","Sort=True")</f>
        <v>14.770601547137336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47346</v>
      </c>
      <c r="T1640" s="43">
        <f ca="1">_xll.BInterpol('Base CDI'!$H$4:$H$28,'Base CDI'!$J$4:$J$29,S1640,"Cubic","Extrapolate=Linear","MultiX=Average","Skip=True","Sort=True")</f>
        <v>14.729947023840014</v>
      </c>
      <c r="U1640" s="43">
        <f ca="1">_xll.BInterpol('Base CDI'!$H$4:$H$28,'Base CDI'!$I$4:$I$29,S1640,"Cubic","Extrapolate=Linear","MultiX=Average","Skip=True","Sort=True")</f>
        <v>14.770798979345285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47347</v>
      </c>
      <c r="T1641" s="43">
        <f ca="1">_xll.BInterpol('Base CDI'!$H$4:$H$28,'Base CDI'!$J$4:$J$29,S1641,"Cubic","Extrapolate=Linear","MultiX=Average","Skip=True","Sort=True")</f>
        <v>14.730104224630649</v>
      </c>
      <c r="U1641" s="43">
        <f ca="1">_xll.BInterpol('Base CDI'!$H$4:$H$28,'Base CDI'!$I$4:$I$29,S1641,"Cubic","Extrapolate=Linear","MultiX=Average","Skip=True","Sort=True")</f>
        <v>14.770996186792154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47348</v>
      </c>
      <c r="T1642" s="43">
        <f ca="1">_xll.BInterpol('Base CDI'!$H$4:$H$28,'Base CDI'!$J$4:$J$29,S1642,"Cubic","Extrapolate=Linear","MultiX=Average","Skip=True","Sort=True")</f>
        <v>14.730261113392379</v>
      </c>
      <c r="U1642" s="43">
        <f ca="1">_xll.BInterpol('Base CDI'!$H$4:$H$28,'Base CDI'!$I$4:$I$29,S1642,"Cubic","Extrapolate=Linear","MultiX=Average","Skip=True","Sort=True")</f>
        <v>14.771193167120527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47349</v>
      </c>
      <c r="T1643" s="43">
        <f ca="1">_xll.BInterpol('Base CDI'!$H$4:$H$28,'Base CDI'!$J$4:$J$29,S1643,"Cubic","Extrapolate=Linear","MultiX=Average","Skip=True","Sort=True")</f>
        <v>14.730417688286652</v>
      </c>
      <c r="U1643" s="43">
        <f ca="1">_xll.BInterpol('Base CDI'!$H$4:$H$28,'Base CDI'!$I$4:$I$29,S1643,"Cubic","Extrapolate=Linear","MultiX=Average","Skip=True","Sort=True")</f>
        <v>14.771389917972993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47350</v>
      </c>
      <c r="T1644" s="43">
        <f ca="1">_xll.BInterpol('Base CDI'!$H$4:$H$28,'Base CDI'!$J$4:$J$29,S1644,"Cubic","Extrapolate=Linear","MultiX=Average","Skip=True","Sort=True")</f>
        <v>14.73057394747492</v>
      </c>
      <c r="U1644" s="43">
        <f ca="1">_xll.BInterpol('Base CDI'!$H$4:$H$28,'Base CDI'!$I$4:$I$29,S1644,"Cubic","Extrapolate=Linear","MultiX=Average","Skip=True","Sort=True")</f>
        <v>14.771586436992139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47351</v>
      </c>
      <c r="T1645" s="43">
        <f ca="1">_xll.BInterpol('Base CDI'!$H$4:$H$28,'Base CDI'!$J$4:$J$29,S1645,"Cubic","Extrapolate=Linear","MultiX=Average","Skip=True","Sort=True")</f>
        <v>14.730729889118633</v>
      </c>
      <c r="U1645" s="43">
        <f ca="1">_xll.BInterpol('Base CDI'!$H$4:$H$28,'Base CDI'!$I$4:$I$29,S1645,"Cubic","Extrapolate=Linear","MultiX=Average","Skip=True","Sort=True")</f>
        <v>14.771782721820552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47352</v>
      </c>
      <c r="T1646" s="43">
        <f ca="1">_xll.BInterpol('Base CDI'!$H$4:$H$28,'Base CDI'!$J$4:$J$29,S1646,"Cubic","Extrapolate=Linear","MultiX=Average","Skip=True","Sort=True")</f>
        <v>14.73088551137924</v>
      </c>
      <c r="U1646" s="43">
        <f ca="1">_xll.BInterpol('Base CDI'!$H$4:$H$28,'Base CDI'!$I$4:$I$29,S1646,"Cubic","Extrapolate=Linear","MultiX=Average","Skip=True","Sort=True")</f>
        <v>14.771978770100818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47353</v>
      </c>
      <c r="T1647" s="43">
        <f ca="1">_xll.BInterpol('Base CDI'!$H$4:$H$28,'Base CDI'!$J$4:$J$29,S1647,"Cubic","Extrapolate=Linear","MultiX=Average","Skip=True","Sort=True")</f>
        <v>14.731040812418195</v>
      </c>
      <c r="U1647" s="43">
        <f ca="1">_xll.BInterpol('Base CDI'!$H$4:$H$28,'Base CDI'!$I$4:$I$29,S1647,"Cubic","Extrapolate=Linear","MultiX=Average","Skip=True","Sort=True")</f>
        <v>14.772174579475525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47354</v>
      </c>
      <c r="T1648" s="43">
        <f ca="1">_xll.BInterpol('Base CDI'!$H$4:$H$28,'Base CDI'!$J$4:$J$29,S1648,"Cubic","Extrapolate=Linear","MultiX=Average","Skip=True","Sort=True")</f>
        <v>14.731195790396946</v>
      </c>
      <c r="U1648" s="43">
        <f ca="1">_xll.BInterpol('Base CDI'!$H$4:$H$28,'Base CDI'!$I$4:$I$29,S1648,"Cubic","Extrapolate=Linear","MultiX=Average","Skip=True","Sort=True")</f>
        <v>14.772370147587258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47355</v>
      </c>
      <c r="T1649" s="43">
        <f ca="1">_xll.BInterpol('Base CDI'!$H$4:$H$28,'Base CDI'!$J$4:$J$29,S1649,"Cubic","Extrapolate=Linear","MultiX=Average","Skip=True","Sort=True")</f>
        <v>14.731350443476943</v>
      </c>
      <c r="U1649" s="43">
        <f ca="1">_xll.BInterpol('Base CDI'!$H$4:$H$28,'Base CDI'!$I$4:$I$29,S1649,"Cubic","Extrapolate=Linear","MultiX=Average","Skip=True","Sort=True")</f>
        <v>14.772565472078606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47356</v>
      </c>
      <c r="T1650" s="43">
        <f ca="1">_xll.BInterpol('Base CDI'!$H$4:$H$28,'Base CDI'!$J$4:$J$29,S1650,"Cubic","Extrapolate=Linear","MultiX=Average","Skip=True","Sort=True")</f>
        <v>14.731504769819638</v>
      </c>
      <c r="U1650" s="43">
        <f ca="1">_xll.BInterpol('Base CDI'!$H$4:$H$28,'Base CDI'!$I$4:$I$29,S1650,"Cubic","Extrapolate=Linear","MultiX=Average","Skip=True","Sort=True")</f>
        <v>14.772760550592155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47357</v>
      </c>
      <c r="T1651" s="43">
        <f ca="1">_xll.BInterpol('Base CDI'!$H$4:$H$28,'Base CDI'!$J$4:$J$29,S1651,"Cubic","Extrapolate=Linear","MultiX=Average","Skip=True","Sort=True")</f>
        <v>14.731658767586479</v>
      </c>
      <c r="U1651" s="43">
        <f ca="1">_xll.BInterpol('Base CDI'!$H$4:$H$28,'Base CDI'!$I$4:$I$29,S1651,"Cubic","Extrapolate=Linear","MultiX=Average","Skip=True","Sort=True")</f>
        <v>14.772955380770494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47358</v>
      </c>
      <c r="T1652" s="43">
        <f ca="1">_xll.BInterpol('Base CDI'!$H$4:$H$28,'Base CDI'!$J$4:$J$29,S1652,"Cubic","Extrapolate=Linear","MultiX=Average","Skip=True","Sort=True")</f>
        <v>14.73181243493892</v>
      </c>
      <c r="U1652" s="43">
        <f ca="1">_xll.BInterpol('Base CDI'!$H$4:$H$28,'Base CDI'!$I$4:$I$29,S1652,"Cubic","Extrapolate=Linear","MultiX=Average","Skip=True","Sort=True")</f>
        <v>14.773149960256205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47359</v>
      </c>
      <c r="T1653" s="43">
        <f ca="1">_xll.BInterpol('Base CDI'!$H$4:$H$28,'Base CDI'!$J$4:$J$29,S1653,"Cubic","Extrapolate=Linear","MultiX=Average","Skip=True","Sort=True")</f>
        <v>14.731965770038407</v>
      </c>
      <c r="U1653" s="43">
        <f ca="1">_xll.BInterpol('Base CDI'!$H$4:$H$28,'Base CDI'!$I$4:$I$29,S1653,"Cubic","Extrapolate=Linear","MultiX=Average","Skip=True","Sort=True")</f>
        <v>14.773344286691881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47360</v>
      </c>
      <c r="T1654" s="43">
        <f ca="1">_xll.BInterpol('Base CDI'!$H$4:$H$28,'Base CDI'!$J$4:$J$29,S1654,"Cubic","Extrapolate=Linear","MultiX=Average","Skip=True","Sort=True")</f>
        <v>14.732118771046395</v>
      </c>
      <c r="U1654" s="43">
        <f ca="1">_xll.BInterpol('Base CDI'!$H$4:$H$28,'Base CDI'!$I$4:$I$29,S1654,"Cubic","Extrapolate=Linear","MultiX=Average","Skip=True","Sort=True")</f>
        <v>14.773538357720104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47361</v>
      </c>
      <c r="T1655" s="43">
        <f ca="1">_xll.BInterpol('Base CDI'!$H$4:$H$28,'Base CDI'!$J$4:$J$29,S1655,"Cubic","Extrapolate=Linear","MultiX=Average","Skip=True","Sort=True")</f>
        <v>14.73227143612433</v>
      </c>
      <c r="U1655" s="43">
        <f ca="1">_xll.BInterpol('Base CDI'!$H$4:$H$28,'Base CDI'!$I$4:$I$29,S1655,"Cubic","Extrapolate=Linear","MultiX=Average","Skip=True","Sort=True")</f>
        <v>14.773732170983465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47362</v>
      </c>
      <c r="T1656" s="43">
        <f ca="1">_xll.BInterpol('Base CDI'!$H$4:$H$28,'Base CDI'!$J$4:$J$29,S1656,"Cubic","Extrapolate=Linear","MultiX=Average","Skip=True","Sort=True")</f>
        <v>14.732423763433665</v>
      </c>
      <c r="U1656" s="43">
        <f ca="1">_xll.BInterpol('Base CDI'!$H$4:$H$28,'Base CDI'!$I$4:$I$29,S1656,"Cubic","Extrapolate=Linear","MultiX=Average","Skip=True","Sort=True")</f>
        <v>14.773925724124549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47363</v>
      </c>
      <c r="T1657" s="43">
        <f ca="1">_xll.BInterpol('Base CDI'!$H$4:$H$28,'Base CDI'!$J$4:$J$29,S1657,"Cubic","Extrapolate=Linear","MultiX=Average","Skip=True","Sort=True")</f>
        <v>14.732575751135851</v>
      </c>
      <c r="U1657" s="43">
        <f ca="1">_xll.BInterpol('Base CDI'!$H$4:$H$28,'Base CDI'!$I$4:$I$29,S1657,"Cubic","Extrapolate=Linear","MultiX=Average","Skip=True","Sort=True")</f>
        <v>14.774119014785942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47364</v>
      </c>
      <c r="T1658" s="43">
        <f ca="1">_xll.BInterpol('Base CDI'!$H$4:$H$28,'Base CDI'!$J$4:$J$29,S1658,"Cubic","Extrapolate=Linear","MultiX=Average","Skip=True","Sort=True")</f>
        <v>14.732727397392336</v>
      </c>
      <c r="U1658" s="43">
        <f ca="1">_xll.BInterpol('Base CDI'!$H$4:$H$28,'Base CDI'!$I$4:$I$29,S1658,"Cubic","Extrapolate=Linear","MultiX=Average","Skip=True","Sort=True")</f>
        <v>14.774312040610232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47365</v>
      </c>
      <c r="T1659" s="43">
        <f ca="1">_xll.BInterpol('Base CDI'!$H$4:$H$28,'Base CDI'!$J$4:$J$29,S1659,"Cubic","Extrapolate=Linear","MultiX=Average","Skip=True","Sort=True")</f>
        <v>14.732878700364573</v>
      </c>
      <c r="U1659" s="43">
        <f ca="1">_xll.BInterpol('Base CDI'!$H$4:$H$28,'Base CDI'!$I$4:$I$29,S1659,"Cubic","Extrapolate=Linear","MultiX=Average","Skip=True","Sort=True")</f>
        <v>14.774504799240006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47366</v>
      </c>
      <c r="T1660" s="43">
        <f ca="1">_xll.BInterpol('Base CDI'!$H$4:$H$28,'Base CDI'!$J$4:$J$29,S1660,"Cubic","Extrapolate=Linear","MultiX=Average","Skip=True","Sort=True")</f>
        <v>14.733029658214011</v>
      </c>
      <c r="U1660" s="43">
        <f ca="1">_xll.BInterpol('Base CDI'!$H$4:$H$28,'Base CDI'!$I$4:$I$29,S1660,"Cubic","Extrapolate=Linear","MultiX=Average","Skip=True","Sort=True")</f>
        <v>14.774697288317851</v>
      </c>
    </row>
    <row r="1661" spans="16:21" x14ac:dyDescent="0.25">
      <c r="P1661" s="10">
        <v>36929</v>
      </c>
      <c r="Q1661">
        <v>6.004003</v>
      </c>
      <c r="S1661" s="42">
        <f t="shared" ca="1" si="30"/>
        <v>47367</v>
      </c>
      <c r="T1661" s="43">
        <f ca="1">_xll.BInterpol('Base CDI'!$H$4:$H$28,'Base CDI'!$J$4:$J$29,S1661,"Cubic","Extrapolate=Linear","MultiX=Average","Skip=True","Sort=True")</f>
        <v>14.7331802691021</v>
      </c>
      <c r="U1661" s="43">
        <f ca="1">_xll.BInterpol('Base CDI'!$H$4:$H$28,'Base CDI'!$I$4:$I$29,S1661,"Cubic","Extrapolate=Linear","MultiX=Average","Skip=True","Sort=True")</f>
        <v>14.774889505486355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47368</v>
      </c>
      <c r="T1662" s="43">
        <f ca="1">_xll.BInterpol('Base CDI'!$H$4:$H$28,'Base CDI'!$J$4:$J$29,S1662,"Cubic","Extrapolate=Linear","MultiX=Average","Skip=True","Sort=True")</f>
        <v>14.73333053119029</v>
      </c>
      <c r="U1662" s="43">
        <f ca="1">_xll.BInterpol('Base CDI'!$H$4:$H$28,'Base CDI'!$I$4:$I$29,S1662,"Cubic","Extrapolate=Linear","MultiX=Average","Skip=True","Sort=True")</f>
        <v>14.775081448388102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47369</v>
      </c>
      <c r="T1663" s="43">
        <f ca="1">_xll.BInterpol('Base CDI'!$H$4:$H$28,'Base CDI'!$J$4:$J$29,S1663,"Cubic","Extrapolate=Linear","MultiX=Average","Skip=True","Sort=True")</f>
        <v>14.733480442640035</v>
      </c>
      <c r="U1663" s="43">
        <f ca="1">_xll.BInterpol('Base CDI'!$H$4:$H$28,'Base CDI'!$I$4:$I$29,S1663,"Cubic","Extrapolate=Linear","MultiX=Average","Skip=True","Sort=True")</f>
        <v>14.775273114665682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47370</v>
      </c>
      <c r="T1664" s="43">
        <f ca="1">_xll.BInterpol('Base CDI'!$H$4:$H$28,'Base CDI'!$J$4:$J$29,S1664,"Cubic","Extrapolate=Linear","MultiX=Average","Skip=True","Sort=True")</f>
        <v>14.733630001612781</v>
      </c>
      <c r="U1664" s="43">
        <f ca="1">_xll.BInterpol('Base CDI'!$H$4:$H$28,'Base CDI'!$I$4:$I$29,S1664,"Cubic","Extrapolate=Linear","MultiX=Average","Skip=True","Sort=True")</f>
        <v>14.775464501961681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47371</v>
      </c>
      <c r="T1665" s="43">
        <f ca="1">_xll.BInterpol('Base CDI'!$H$4:$H$28,'Base CDI'!$J$4:$J$29,S1665,"Cubic","Extrapolate=Linear","MultiX=Average","Skip=True","Sort=True")</f>
        <v>14.733779206269979</v>
      </c>
      <c r="U1665" s="43">
        <f ca="1">_xll.BInterpol('Base CDI'!$H$4:$H$28,'Base CDI'!$I$4:$I$29,S1665,"Cubic","Extrapolate=Linear","MultiX=Average","Skip=True","Sort=True")</f>
        <v>14.775655607918685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47372</v>
      </c>
      <c r="T1666" s="43">
        <f ca="1">_xll.BInterpol('Base CDI'!$H$4:$H$28,'Base CDI'!$J$4:$J$29,S1666,"Cubic","Extrapolate=Linear","MultiX=Average","Skip=True","Sort=True")</f>
        <v>14.733928054773083</v>
      </c>
      <c r="U1666" s="43">
        <f ca="1">_xll.BInterpol('Base CDI'!$H$4:$H$28,'Base CDI'!$I$4:$I$29,S1666,"Cubic","Extrapolate=Linear","MultiX=Average","Skip=True","Sort=True")</f>
        <v>14.775846430179282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47373</v>
      </c>
      <c r="T1667" s="43">
        <f ca="1">_xll.BInterpol('Base CDI'!$H$4:$H$28,'Base CDI'!$J$4:$J$29,S1667,"Cubic","Extrapolate=Linear","MultiX=Average","Skip=True","Sort=True")</f>
        <v>14.734076545283539</v>
      </c>
      <c r="U1667" s="43">
        <f ca="1">_xll.BInterpol('Base CDI'!$H$4:$H$28,'Base CDI'!$I$4:$I$29,S1667,"Cubic","Extrapolate=Linear","MultiX=Average","Skip=True","Sort=True")</f>
        <v>14.776036966386057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47374</v>
      </c>
      <c r="T1668" s="43">
        <f ca="1">_xll.BInterpol('Base CDI'!$H$4:$H$28,'Base CDI'!$J$4:$J$29,S1668,"Cubic","Extrapolate=Linear","MultiX=Average","Skip=True","Sort=True")</f>
        <v>14.7342246759628</v>
      </c>
      <c r="U1668" s="43">
        <f ca="1">_xll.BInterpol('Base CDI'!$H$4:$H$28,'Base CDI'!$I$4:$I$29,S1668,"Cubic","Extrapolate=Linear","MultiX=Average","Skip=True","Sort=True")</f>
        <v>14.776227214181601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47375</v>
      </c>
      <c r="T1669" s="43">
        <f ca="1">_xll.BInterpol('Base CDI'!$H$4:$H$28,'Base CDI'!$J$4:$J$29,S1669,"Cubic","Extrapolate=Linear","MultiX=Average","Skip=True","Sort=True")</f>
        <v>14.734372444972315</v>
      </c>
      <c r="U1669" s="43">
        <f ca="1">_xll.BInterpol('Base CDI'!$H$4:$H$28,'Base CDI'!$I$4:$I$29,S1669,"Cubic","Extrapolate=Linear","MultiX=Average","Skip=True","Sort=True")</f>
        <v>14.776417171208497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47376</v>
      </c>
      <c r="T1670" s="43">
        <f ca="1">_xll.BInterpol('Base CDI'!$H$4:$H$28,'Base CDI'!$J$4:$J$29,S1670,"Cubic","Extrapolate=Linear","MultiX=Average","Skip=True","Sort=True")</f>
        <v>14.734519850473536</v>
      </c>
      <c r="U1670" s="43">
        <f ca="1">_xll.BInterpol('Base CDI'!$H$4:$H$28,'Base CDI'!$I$4:$I$29,S1670,"Cubic","Extrapolate=Linear","MultiX=Average","Skip=True","Sort=True")</f>
        <v>14.776606835109334</v>
      </c>
    </row>
    <row r="1671" spans="16:21" x14ac:dyDescent="0.25">
      <c r="P1671" s="10">
        <v>36943</v>
      </c>
      <c r="Q1671">
        <v>6.037623</v>
      </c>
      <c r="S1671" s="42">
        <f t="shared" ca="1" si="30"/>
        <v>47377</v>
      </c>
      <c r="T1671" s="43">
        <f ca="1">_xll.BInterpol('Base CDI'!$H$4:$H$28,'Base CDI'!$J$4:$J$29,S1671,"Cubic","Extrapolate=Linear","MultiX=Average","Skip=True","Sort=True")</f>
        <v>14.734666890627912</v>
      </c>
      <c r="U1671" s="43">
        <f ca="1">_xll.BInterpol('Base CDI'!$H$4:$H$28,'Base CDI'!$I$4:$I$29,S1671,"Cubic","Extrapolate=Linear","MultiX=Average","Skip=True","Sort=True")</f>
        <v>14.776796203526697</v>
      </c>
    </row>
    <row r="1672" spans="16:21" x14ac:dyDescent="0.25">
      <c r="P1672" s="10">
        <v>36944</v>
      </c>
      <c r="Q1672">
        <v>6.041004</v>
      </c>
      <c r="S1672" s="42">
        <f t="shared" ca="1" si="30"/>
        <v>47378</v>
      </c>
      <c r="T1672" s="43">
        <f ca="1">_xll.BInterpol('Base CDI'!$H$4:$H$28,'Base CDI'!$J$4:$J$29,S1672,"Cubic","Extrapolate=Linear","MultiX=Average","Skip=True","Sort=True")</f>
        <v>14.734813563596894</v>
      </c>
      <c r="U1672" s="43">
        <f ca="1">_xll.BInterpol('Base CDI'!$H$4:$H$28,'Base CDI'!$I$4:$I$29,S1672,"Cubic","Extrapolate=Linear","MultiX=Average","Skip=True","Sort=True")</f>
        <v>14.776985274103176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47379</v>
      </c>
      <c r="T1673" s="43">
        <f ca="1">_xll.BInterpol('Base CDI'!$H$4:$H$28,'Base CDI'!$J$4:$J$29,S1673,"Cubic","Extrapolate=Linear","MultiX=Average","Skip=True","Sort=True")</f>
        <v>14.734959867541933</v>
      </c>
      <c r="U1673" s="43">
        <f ca="1">_xll.BInterpol('Base CDI'!$H$4:$H$28,'Base CDI'!$I$4:$I$29,S1673,"Cubic","Extrapolate=Linear","MultiX=Average","Skip=True","Sort=True")</f>
        <v>14.777174044481356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47380</v>
      </c>
      <c r="T1674" s="43">
        <f ca="1">_xll.BInterpol('Base CDI'!$H$4:$H$28,'Base CDI'!$J$4:$J$29,S1674,"Cubic","Extrapolate=Linear","MultiX=Average","Skip=True","Sort=True")</f>
        <v>14.735105800624478</v>
      </c>
      <c r="U1674" s="43">
        <f ca="1">_xll.BInterpol('Base CDI'!$H$4:$H$28,'Base CDI'!$I$4:$I$29,S1674,"Cubic","Extrapolate=Linear","MultiX=Average","Skip=True","Sort=True")</f>
        <v>14.777362512303824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47381</v>
      </c>
      <c r="T1675" s="43">
        <f ca="1">_xll.BInterpol('Base CDI'!$H$4:$H$28,'Base CDI'!$J$4:$J$29,S1675,"Cubic","Extrapolate=Linear","MultiX=Average","Skip=True","Sort=True")</f>
        <v>14.735251361005981</v>
      </c>
      <c r="U1675" s="43">
        <f ca="1">_xll.BInterpol('Base CDI'!$H$4:$H$28,'Base CDI'!$I$4:$I$29,S1675,"Cubic","Extrapolate=Linear","MultiX=Average","Skip=True","Sort=True")</f>
        <v>14.777550675213169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47382</v>
      </c>
      <c r="T1676" s="43">
        <f ca="1">_xll.BInterpol('Base CDI'!$H$4:$H$28,'Base CDI'!$J$4:$J$29,S1676,"Cubic","Extrapolate=Linear","MultiX=Average","Skip=True","Sort=True")</f>
        <v>14.735396546847891</v>
      </c>
      <c r="U1676" s="43">
        <f ca="1">_xll.BInterpol('Base CDI'!$H$4:$H$28,'Base CDI'!$I$4:$I$29,S1676,"Cubic","Extrapolate=Linear","MultiX=Average","Skip=True","Sort=True")</f>
        <v>14.777738530851973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47383</v>
      </c>
      <c r="T1677" s="43">
        <f ca="1">_xll.BInterpol('Base CDI'!$H$4:$H$28,'Base CDI'!$J$4:$J$29,S1677,"Cubic","Extrapolate=Linear","MultiX=Average","Skip=True","Sort=True")</f>
        <v>14.735541356311659</v>
      </c>
      <c r="U1677" s="43">
        <f ca="1">_xll.BInterpol('Base CDI'!$H$4:$H$28,'Base CDI'!$I$4:$I$29,S1677,"Cubic","Extrapolate=Linear","MultiX=Average","Skip=True","Sort=True")</f>
        <v>14.77792607686283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47384</v>
      </c>
      <c r="T1678" s="43">
        <f ca="1">_xll.BInterpol('Base CDI'!$H$4:$H$28,'Base CDI'!$J$4:$J$29,S1678,"Cubic","Extrapolate=Linear","MultiX=Average","Skip=True","Sort=True")</f>
        <v>14.735685787558735</v>
      </c>
      <c r="U1678" s="43">
        <f ca="1">_xll.BInterpol('Base CDI'!$H$4:$H$28,'Base CDI'!$I$4:$I$29,S1678,"Cubic","Extrapolate=Linear","MultiX=Average","Skip=True","Sort=True")</f>
        <v>14.778113310888321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47385</v>
      </c>
      <c r="T1679" s="43">
        <f ca="1">_xll.BInterpol('Base CDI'!$H$4:$H$28,'Base CDI'!$J$4:$J$29,S1679,"Cubic","Extrapolate=Linear","MultiX=Average","Skip=True","Sort=True")</f>
        <v>14.73582983875057</v>
      </c>
      <c r="U1679" s="43">
        <f ca="1">_xll.BInterpol('Base CDI'!$H$4:$H$28,'Base CDI'!$I$4:$I$29,S1679,"Cubic","Extrapolate=Linear","MultiX=Average","Skip=True","Sort=True")</f>
        <v>14.778300230571034</v>
      </c>
    </row>
    <row r="1680" spans="16:21" x14ac:dyDescent="0.25">
      <c r="P1680" s="10">
        <v>36958</v>
      </c>
      <c r="Q1680">
        <v>6.068041</v>
      </c>
      <c r="S1680" s="42">
        <f t="shared" ca="1" si="31"/>
        <v>47386</v>
      </c>
      <c r="T1680" s="43">
        <f ca="1">_xll.BInterpol('Base CDI'!$H$4:$H$28,'Base CDI'!$J$4:$J$29,S1680,"Cubic","Extrapolate=Linear","MultiX=Average","Skip=True","Sort=True")</f>
        <v>14.735973508048616</v>
      </c>
      <c r="U1680" s="43">
        <f ca="1">_xll.BInterpol('Base CDI'!$H$4:$H$28,'Base CDI'!$I$4:$I$29,S1680,"Cubic","Extrapolate=Linear","MultiX=Average","Skip=True","Sort=True")</f>
        <v>14.77848683355356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47387</v>
      </c>
      <c r="T1681" s="43">
        <f ca="1">_xll.BInterpol('Base CDI'!$H$4:$H$28,'Base CDI'!$J$4:$J$29,S1681,"Cubic","Extrapolate=Linear","MultiX=Average","Skip=True","Sort=True")</f>
        <v>14.736116793614318</v>
      </c>
      <c r="U1681" s="43">
        <f ca="1">_xll.BInterpol('Base CDI'!$H$4:$H$28,'Base CDI'!$I$4:$I$29,S1681,"Cubic","Extrapolate=Linear","MultiX=Average","Skip=True","Sort=True")</f>
        <v>14.77867311747848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47388</v>
      </c>
      <c r="T1682" s="43">
        <f ca="1">_xll.BInterpol('Base CDI'!$H$4:$H$28,'Base CDI'!$J$4:$J$29,S1682,"Cubic","Extrapolate=Linear","MultiX=Average","Skip=True","Sort=True")</f>
        <v>14.736259693609133</v>
      </c>
      <c r="U1682" s="43">
        <f ca="1">_xll.BInterpol('Base CDI'!$H$4:$H$28,'Base CDI'!$I$4:$I$29,S1682,"Cubic","Extrapolate=Linear","MultiX=Average","Skip=True","Sort=True")</f>
        <v>14.778859079988386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47389</v>
      </c>
      <c r="T1683" s="43">
        <f ca="1">_xll.BInterpol('Base CDI'!$H$4:$H$28,'Base CDI'!$J$4:$J$29,S1683,"Cubic","Extrapolate=Linear","MultiX=Average","Skip=True","Sort=True")</f>
        <v>14.736402206194507</v>
      </c>
      <c r="U1683" s="43">
        <f ca="1">_xll.BInterpol('Base CDI'!$H$4:$H$28,'Base CDI'!$I$4:$I$29,S1683,"Cubic","Extrapolate=Linear","MultiX=Average","Skip=True","Sort=True")</f>
        <v>14.779044718725862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47390</v>
      </c>
      <c r="T1684" s="43">
        <f ca="1">_xll.BInterpol('Base CDI'!$H$4:$H$28,'Base CDI'!$J$4:$J$29,S1684,"Cubic","Extrapolate=Linear","MultiX=Average","Skip=True","Sort=True")</f>
        <v>14.736544329531892</v>
      </c>
      <c r="U1684" s="43">
        <f ca="1">_xll.BInterpol('Base CDI'!$H$4:$H$28,'Base CDI'!$I$4:$I$29,S1684,"Cubic","Extrapolate=Linear","MultiX=Average","Skip=True","Sort=True")</f>
        <v>14.779230031333496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47391</v>
      </c>
      <c r="T1685" s="43">
        <f ca="1">_xll.BInterpol('Base CDI'!$H$4:$H$28,'Base CDI'!$J$4:$J$29,S1685,"Cubic","Extrapolate=Linear","MultiX=Average","Skip=True","Sort=True")</f>
        <v>14.736686061782738</v>
      </c>
      <c r="U1685" s="43">
        <f ca="1">_xll.BInterpol('Base CDI'!$H$4:$H$28,'Base CDI'!$I$4:$I$29,S1685,"Cubic","Extrapolate=Linear","MultiX=Average","Skip=True","Sort=True")</f>
        <v>14.779415015453875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47392</v>
      </c>
      <c r="T1686" s="43">
        <f ca="1">_xll.BInterpol('Base CDI'!$H$4:$H$28,'Base CDI'!$J$4:$J$29,S1686,"Cubic","Extrapolate=Linear","MultiX=Average","Skip=True","Sort=True")</f>
        <v>14.736827401108496</v>
      </c>
      <c r="U1686" s="43">
        <f ca="1">_xll.BInterpol('Base CDI'!$H$4:$H$28,'Base CDI'!$I$4:$I$29,S1686,"Cubic","Extrapolate=Linear","MultiX=Average","Skip=True","Sort=True")</f>
        <v>14.779599668729587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47393</v>
      </c>
      <c r="T1687" s="43">
        <f ca="1">_xll.BInterpol('Base CDI'!$H$4:$H$28,'Base CDI'!$J$4:$J$29,S1687,"Cubic","Extrapolate=Linear","MultiX=Average","Skip=True","Sort=True")</f>
        <v>14.736968345670617</v>
      </c>
      <c r="U1687" s="43">
        <f ca="1">_xll.BInterpol('Base CDI'!$H$4:$H$28,'Base CDI'!$I$4:$I$29,S1687,"Cubic","Extrapolate=Linear","MultiX=Average","Skip=True","Sort=True")</f>
        <v>14.779783988803215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47394</v>
      </c>
      <c r="T1688" s="43">
        <f ca="1">_xll.BInterpol('Base CDI'!$H$4:$H$28,'Base CDI'!$J$4:$J$29,S1688,"Cubic","Extrapolate=Linear","MultiX=Average","Skip=True","Sort=True")</f>
        <v>14.737108893630548</v>
      </c>
      <c r="U1688" s="43">
        <f ca="1">_xll.BInterpol('Base CDI'!$H$4:$H$28,'Base CDI'!$I$4:$I$29,S1688,"Cubic","Extrapolate=Linear","MultiX=Average","Skip=True","Sort=True")</f>
        <v>14.779967973317351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47395</v>
      </c>
      <c r="T1689" s="43">
        <f ca="1">_xll.BInterpol('Base CDI'!$H$4:$H$28,'Base CDI'!$J$4:$J$29,S1689,"Cubic","Extrapolate=Linear","MultiX=Average","Skip=True","Sort=True")</f>
        <v>14.737249043149744</v>
      </c>
      <c r="U1689" s="43">
        <f ca="1">_xll.BInterpol('Base CDI'!$H$4:$H$28,'Base CDI'!$I$4:$I$29,S1689,"Cubic","Extrapolate=Linear","MultiX=Average","Skip=True","Sort=True")</f>
        <v>14.78015161991458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47396</v>
      </c>
      <c r="T1690" s="43">
        <f ca="1">_xll.BInterpol('Base CDI'!$H$4:$H$28,'Base CDI'!$J$4:$J$29,S1690,"Cubic","Extrapolate=Linear","MultiX=Average","Skip=True","Sort=True")</f>
        <v>14.737388792389652</v>
      </c>
      <c r="U1690" s="43">
        <f ca="1">_xll.BInterpol('Base CDI'!$H$4:$H$28,'Base CDI'!$I$4:$I$29,S1690,"Cubic","Extrapolate=Linear","MultiX=Average","Skip=True","Sort=True")</f>
        <v>14.780334926237487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47397</v>
      </c>
      <c r="T1691" s="43">
        <f ca="1">_xll.BInterpol('Base CDI'!$H$4:$H$28,'Base CDI'!$J$4:$J$29,S1691,"Cubic","Extrapolate=Linear","MultiX=Average","Skip=True","Sort=True")</f>
        <v>14.737528139511724</v>
      </c>
      <c r="U1691" s="43">
        <f ca="1">_xll.BInterpol('Base CDI'!$H$4:$H$28,'Base CDI'!$I$4:$I$29,S1691,"Cubic","Extrapolate=Linear","MultiX=Average","Skip=True","Sort=True")</f>
        <v>14.780517889928662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47398</v>
      </c>
      <c r="T1692" s="43">
        <f ca="1">_xll.BInterpol('Base CDI'!$H$4:$H$28,'Base CDI'!$J$4:$J$29,S1692,"Cubic","Extrapolate=Linear","MultiX=Average","Skip=True","Sort=True")</f>
        <v>14.73766708267741</v>
      </c>
      <c r="U1692" s="43">
        <f ca="1">_xll.BInterpol('Base CDI'!$H$4:$H$28,'Base CDI'!$I$4:$I$29,S1692,"Cubic","Extrapolate=Linear","MultiX=Average","Skip=True","Sort=True")</f>
        <v>14.780700508630689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47399</v>
      </c>
      <c r="T1693" s="43">
        <f ca="1">_xll.BInterpol('Base CDI'!$H$4:$H$28,'Base CDI'!$J$4:$J$29,S1693,"Cubic","Extrapolate=Linear","MultiX=Average","Skip=True","Sort=True")</f>
        <v>14.73780562004816</v>
      </c>
      <c r="U1693" s="43">
        <f ca="1">_xll.BInterpol('Base CDI'!$H$4:$H$28,'Base CDI'!$I$4:$I$29,S1693,"Cubic","Extrapolate=Linear","MultiX=Average","Skip=True","Sort=True")</f>
        <v>14.780882779986158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47400</v>
      </c>
      <c r="T1694" s="43">
        <f ca="1">_xll.BInterpol('Base CDI'!$H$4:$H$28,'Base CDI'!$J$4:$J$29,S1694,"Cubic","Extrapolate=Linear","MultiX=Average","Skip=True","Sort=True")</f>
        <v>14.737943749785424</v>
      </c>
      <c r="U1694" s="43">
        <f ca="1">_xll.BInterpol('Base CDI'!$H$4:$H$28,'Base CDI'!$I$4:$I$29,S1694,"Cubic","Extrapolate=Linear","MultiX=Average","Skip=True","Sort=True")</f>
        <v>14.781064701637654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47401</v>
      </c>
      <c r="T1695" s="43">
        <f ca="1">_xll.BInterpol('Base CDI'!$H$4:$H$28,'Base CDI'!$J$4:$J$29,S1695,"Cubic","Extrapolate=Linear","MultiX=Average","Skip=True","Sort=True")</f>
        <v>14.738081470050655</v>
      </c>
      <c r="U1695" s="43">
        <f ca="1">_xll.BInterpol('Base CDI'!$H$4:$H$28,'Base CDI'!$I$4:$I$29,S1695,"Cubic","Extrapolate=Linear","MultiX=Average","Skip=True","Sort=True")</f>
        <v>14.781246271227765</v>
      </c>
    </row>
    <row r="1696" spans="16:21" x14ac:dyDescent="0.25">
      <c r="P1696" s="10">
        <v>36980</v>
      </c>
      <c r="Q1696">
        <v>6.12324</v>
      </c>
      <c r="S1696" s="42">
        <f t="shared" ca="1" si="31"/>
        <v>47402</v>
      </c>
      <c r="T1696" s="43">
        <f ca="1">_xll.BInterpol('Base CDI'!$H$4:$H$28,'Base CDI'!$J$4:$J$29,S1696,"Cubic","Extrapolate=Linear","MultiX=Average","Skip=True","Sort=True")</f>
        <v>14.738218779005301</v>
      </c>
      <c r="U1696" s="43">
        <f ca="1">_xll.BInterpol('Base CDI'!$H$4:$H$28,'Base CDI'!$I$4:$I$29,S1696,"Cubic","Extrapolate=Linear","MultiX=Average","Skip=True","Sort=True")</f>
        <v>14.781427486399076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47403</v>
      </c>
      <c r="T1697" s="43">
        <f ca="1">_xll.BInterpol('Base CDI'!$H$4:$H$28,'Base CDI'!$J$4:$J$29,S1697,"Cubic","Extrapolate=Linear","MultiX=Average","Skip=True","Sort=True")</f>
        <v>14.738355674810812</v>
      </c>
      <c r="U1697" s="43">
        <f ca="1">_xll.BInterpol('Base CDI'!$H$4:$H$28,'Base CDI'!$I$4:$I$29,S1697,"Cubic","Extrapolate=Linear","MultiX=Average","Skip=True","Sort=True")</f>
        <v>14.781608344794178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47404</v>
      </c>
      <c r="T1698" s="43">
        <f ca="1">_xll.BInterpol('Base CDI'!$H$4:$H$28,'Base CDI'!$J$4:$J$29,S1698,"Cubic","Extrapolate=Linear","MultiX=Average","Skip=True","Sort=True")</f>
        <v>14.738492155628641</v>
      </c>
      <c r="U1698" s="43">
        <f ca="1">_xll.BInterpol('Base CDI'!$H$4:$H$28,'Base CDI'!$I$4:$I$29,S1698,"Cubic","Extrapolate=Linear","MultiX=Average","Skip=True","Sort=True")</f>
        <v>14.781788844055653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47405</v>
      </c>
      <c r="T1699" s="43">
        <f ca="1">_xll.BInterpol('Base CDI'!$H$4:$H$28,'Base CDI'!$J$4:$J$29,S1699,"Cubic","Extrapolate=Linear","MultiX=Average","Skip=True","Sort=True")</f>
        <v>14.738628219620235</v>
      </c>
      <c r="U1699" s="43">
        <f ca="1">_xll.BInterpol('Base CDI'!$H$4:$H$28,'Base CDI'!$I$4:$I$29,S1699,"Cubic","Extrapolate=Linear","MultiX=Average","Skip=True","Sort=True")</f>
        <v>14.78196898182609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47406</v>
      </c>
      <c r="T1700" s="43">
        <f ca="1">_xll.BInterpol('Base CDI'!$H$4:$H$28,'Base CDI'!$J$4:$J$29,S1700,"Cubic","Extrapolate=Linear","MultiX=Average","Skip=True","Sort=True")</f>
        <v>14.738763864947048</v>
      </c>
      <c r="U1700" s="43">
        <f ca="1">_xll.BInterpol('Base CDI'!$H$4:$H$28,'Base CDI'!$I$4:$I$29,S1700,"Cubic","Extrapolate=Linear","MultiX=Average","Skip=True","Sort=True")</f>
        <v>14.782148755748077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47407</v>
      </c>
      <c r="T1701" s="43">
        <f ca="1">_xll.BInterpol('Base CDI'!$H$4:$H$28,'Base CDI'!$J$4:$J$29,S1701,"Cubic","Extrapolate=Linear","MultiX=Average","Skip=True","Sort=True")</f>
        <v>14.738899089770529</v>
      </c>
      <c r="U1701" s="43">
        <f ca="1">_xll.BInterpol('Base CDI'!$H$4:$H$28,'Base CDI'!$I$4:$I$29,S1701,"Cubic","Extrapolate=Linear","MultiX=Average","Skip=True","Sort=True")</f>
        <v>14.7823281634642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47408</v>
      </c>
      <c r="T1702" s="43">
        <f ca="1">_xll.BInterpol('Base CDI'!$H$4:$H$28,'Base CDI'!$J$4:$J$29,S1702,"Cubic","Extrapolate=Linear","MultiX=Average","Skip=True","Sort=True")</f>
        <v>14.739033892252126</v>
      </c>
      <c r="U1702" s="43">
        <f ca="1">_xll.BInterpol('Base CDI'!$H$4:$H$28,'Base CDI'!$I$4:$I$29,S1702,"Cubic","Extrapolate=Linear","MultiX=Average","Skip=True","Sort=True")</f>
        <v>14.782507202617047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47409</v>
      </c>
      <c r="T1703" s="43">
        <f ca="1">_xll.BInterpol('Base CDI'!$H$4:$H$28,'Base CDI'!$J$4:$J$29,S1703,"Cubic","Extrapolate=Linear","MultiX=Average","Skip=True","Sort=True")</f>
        <v>14.739168270553293</v>
      </c>
      <c r="U1703" s="43">
        <f ca="1">_xll.BInterpol('Base CDI'!$H$4:$H$28,'Base CDI'!$I$4:$I$29,S1703,"Cubic","Extrapolate=Linear","MultiX=Average","Skip=True","Sort=True")</f>
        <v>14.782685870849203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47410</v>
      </c>
      <c r="T1704" s="43">
        <f ca="1">_xll.BInterpol('Base CDI'!$H$4:$H$28,'Base CDI'!$J$4:$J$29,S1704,"Cubic","Extrapolate=Linear","MultiX=Average","Skip=True","Sort=True")</f>
        <v>14.739302222835477</v>
      </c>
      <c r="U1704" s="43">
        <f ca="1">_xll.BInterpol('Base CDI'!$H$4:$H$28,'Base CDI'!$I$4:$I$29,S1704,"Cubic","Extrapolate=Linear","MultiX=Average","Skip=True","Sort=True")</f>
        <v>14.782864165803257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47411</v>
      </c>
      <c r="T1705" s="43">
        <f ca="1">_xll.BInterpol('Base CDI'!$H$4:$H$28,'Base CDI'!$J$4:$J$29,S1705,"Cubic","Extrapolate=Linear","MultiX=Average","Skip=True","Sort=True")</f>
        <v>14.739435747260131</v>
      </c>
      <c r="U1705" s="43">
        <f ca="1">_xll.BInterpol('Base CDI'!$H$4:$H$28,'Base CDI'!$I$4:$I$29,S1705,"Cubic","Extrapolate=Linear","MultiX=Average","Skip=True","Sort=True")</f>
        <v>14.783042085121796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47412</v>
      </c>
      <c r="T1706" s="43">
        <f ca="1">_xll.BInterpol('Base CDI'!$H$4:$H$28,'Base CDI'!$J$4:$J$29,S1706,"Cubic","Extrapolate=Linear","MultiX=Average","Skip=True","Sort=True")</f>
        <v>14.739568841988707</v>
      </c>
      <c r="U1706" s="43">
        <f ca="1">_xll.BInterpol('Base CDI'!$H$4:$H$28,'Base CDI'!$I$4:$I$29,S1706,"Cubic","Extrapolate=Linear","MultiX=Average","Skip=True","Sort=True")</f>
        <v>14.783219626447403</v>
      </c>
    </row>
    <row r="1707" spans="16:21" x14ac:dyDescent="0.25">
      <c r="P1707" s="10">
        <v>36998</v>
      </c>
      <c r="Q1707">
        <v>6.162401</v>
      </c>
      <c r="S1707" s="42">
        <f t="shared" ca="1" si="31"/>
        <v>47413</v>
      </c>
      <c r="T1707" s="43">
        <f ca="1">_xll.BInterpol('Base CDI'!$H$4:$H$28,'Base CDI'!$J$4:$J$29,S1707,"Cubic","Extrapolate=Linear","MultiX=Average","Skip=True","Sort=True")</f>
        <v>14.73970150518265</v>
      </c>
      <c r="U1707" s="43">
        <f ca="1">_xll.BInterpol('Base CDI'!$H$4:$H$28,'Base CDI'!$I$4:$I$29,S1707,"Cubic","Extrapolate=Linear","MultiX=Average","Skip=True","Sort=True")</f>
        <v>14.783396787422671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47414</v>
      </c>
      <c r="T1708" s="43">
        <f ca="1">_xll.BInterpol('Base CDI'!$H$4:$H$28,'Base CDI'!$J$4:$J$29,S1708,"Cubic","Extrapolate=Linear","MultiX=Average","Skip=True","Sort=True")</f>
        <v>14.739833735003415</v>
      </c>
      <c r="U1708" s="43">
        <f ca="1">_xll.BInterpol('Base CDI'!$H$4:$H$28,'Base CDI'!$I$4:$I$29,S1708,"Cubic","Extrapolate=Linear","MultiX=Average","Skip=True","Sort=True")</f>
        <v>14.783573565690181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47415</v>
      </c>
      <c r="T1709" s="43">
        <f ca="1">_xll.BInterpol('Base CDI'!$H$4:$H$28,'Base CDI'!$J$4:$J$29,S1709,"Cubic","Extrapolate=Linear","MultiX=Average","Skip=True","Sort=True")</f>
        <v>14.73996552961245</v>
      </c>
      <c r="U1709" s="43">
        <f ca="1">_xll.BInterpol('Base CDI'!$H$4:$H$28,'Base CDI'!$I$4:$I$29,S1709,"Cubic","Extrapolate=Linear","MultiX=Average","Skip=True","Sort=True")</f>
        <v>14.783749958892525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47416</v>
      </c>
      <c r="T1710" s="43">
        <f ca="1">_xll.BInterpol('Base CDI'!$H$4:$H$28,'Base CDI'!$J$4:$J$29,S1710,"Cubic","Extrapolate=Linear","MultiX=Average","Skip=True","Sort=True")</f>
        <v>14.740096887171207</v>
      </c>
      <c r="U1710" s="43">
        <f ca="1">_xll.BInterpol('Base CDI'!$H$4:$H$28,'Base CDI'!$I$4:$I$29,S1710,"Cubic","Extrapolate=Linear","MultiX=Average","Skip=True","Sort=True")</f>
        <v>14.783925964672289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47417</v>
      </c>
      <c r="T1711" s="43">
        <f ca="1">_xll.BInterpol('Base CDI'!$H$4:$H$28,'Base CDI'!$J$4:$J$29,S1711,"Cubic","Extrapolate=Linear","MultiX=Average","Skip=True","Sort=True")</f>
        <v>14.740227805841135</v>
      </c>
      <c r="U1711" s="43">
        <f ca="1">_xll.BInterpol('Base CDI'!$H$4:$H$28,'Base CDI'!$I$4:$I$29,S1711,"Cubic","Extrapolate=Linear","MultiX=Average","Skip=True","Sort=True")</f>
        <v>14.784101580672056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47418</v>
      </c>
      <c r="T1712" s="43">
        <f ca="1">_xll.BInterpol('Base CDI'!$H$4:$H$28,'Base CDI'!$J$4:$J$29,S1712,"Cubic","Extrapolate=Linear","MultiX=Average","Skip=True","Sort=True")</f>
        <v>14.740358283783685</v>
      </c>
      <c r="U1712" s="43">
        <f ca="1">_xll.BInterpol('Base CDI'!$H$4:$H$28,'Base CDI'!$I$4:$I$29,S1712,"Cubic","Extrapolate=Linear","MultiX=Average","Skip=True","Sort=True")</f>
        <v>14.784276804534416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47419</v>
      </c>
      <c r="T1713" s="43">
        <f ca="1">_xll.BInterpol('Base CDI'!$H$4:$H$28,'Base CDI'!$J$4:$J$29,S1713,"Cubic","Extrapolate=Linear","MultiX=Average","Skip=True","Sort=True")</f>
        <v>14.740488319160308</v>
      </c>
      <c r="U1713" s="43">
        <f ca="1">_xll.BInterpol('Base CDI'!$H$4:$H$28,'Base CDI'!$I$4:$I$29,S1713,"Cubic","Extrapolate=Linear","MultiX=Average","Skip=True","Sort=True")</f>
        <v>14.784451633901957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47420</v>
      </c>
      <c r="T1714" s="43">
        <f ca="1">_xll.BInterpol('Base CDI'!$H$4:$H$28,'Base CDI'!$J$4:$J$29,S1714,"Cubic","Extrapolate=Linear","MultiX=Average","Skip=True","Sort=True")</f>
        <v>14.740617910132453</v>
      </c>
      <c r="U1714" s="43">
        <f ca="1">_xll.BInterpol('Base CDI'!$H$4:$H$28,'Base CDI'!$I$4:$I$29,S1714,"Cubic","Extrapolate=Linear","MultiX=Average","Skip=True","Sort=True")</f>
        <v>14.784626066417264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47421</v>
      </c>
      <c r="T1715" s="43">
        <f ca="1">_xll.BInterpol('Base CDI'!$H$4:$H$28,'Base CDI'!$J$4:$J$29,S1715,"Cubic","Extrapolate=Linear","MultiX=Average","Skip=True","Sort=True")</f>
        <v>14.740747054861574</v>
      </c>
      <c r="U1715" s="43">
        <f ca="1">_xll.BInterpol('Base CDI'!$H$4:$H$28,'Base CDI'!$I$4:$I$29,S1715,"Cubic","Extrapolate=Linear","MultiX=Average","Skip=True","Sort=True")</f>
        <v>14.784800099722926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47422</v>
      </c>
      <c r="T1716" s="43">
        <f ca="1">_xll.BInterpol('Base CDI'!$H$4:$H$28,'Base CDI'!$J$4:$J$29,S1716,"Cubic","Extrapolate=Linear","MultiX=Average","Skip=True","Sort=True")</f>
        <v>14.740875751509115</v>
      </c>
      <c r="U1716" s="43">
        <f ca="1">_xll.BInterpol('Base CDI'!$H$4:$H$28,'Base CDI'!$I$4:$I$29,S1716,"Cubic","Extrapolate=Linear","MultiX=Average","Skip=True","Sort=True")</f>
        <v>14.784973731461527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47423</v>
      </c>
      <c r="T1717" s="43">
        <f ca="1">_xll.BInterpol('Base CDI'!$H$4:$H$28,'Base CDI'!$J$4:$J$29,S1717,"Cubic","Extrapolate=Linear","MultiX=Average","Skip=True","Sort=True")</f>
        <v>14.741003998236533</v>
      </c>
      <c r="U1717" s="43">
        <f ca="1">_xll.BInterpol('Base CDI'!$H$4:$H$28,'Base CDI'!$I$4:$I$29,S1717,"Cubic","Extrapolate=Linear","MultiX=Average","Skip=True","Sort=True")</f>
        <v>14.785146959275655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47424</v>
      </c>
      <c r="T1718" s="43">
        <f ca="1">_xll.BInterpol('Base CDI'!$H$4:$H$28,'Base CDI'!$J$4:$J$29,S1718,"Cubic","Extrapolate=Linear","MultiX=Average","Skip=True","Sort=True")</f>
        <v>14.741131793205273</v>
      </c>
      <c r="U1718" s="43">
        <f ca="1">_xll.BInterpol('Base CDI'!$H$4:$H$28,'Base CDI'!$I$4:$I$29,S1718,"Cubic","Extrapolate=Linear","MultiX=Average","Skip=True","Sort=True")</f>
        <v>14.7853197808079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47425</v>
      </c>
      <c r="T1719" s="43">
        <f ca="1">_xll.BInterpol('Base CDI'!$H$4:$H$28,'Base CDI'!$J$4:$J$29,S1719,"Cubic","Extrapolate=Linear","MultiX=Average","Skip=True","Sort=True")</f>
        <v>14.74125913457679</v>
      </c>
      <c r="U1719" s="43">
        <f ca="1">_xll.BInterpol('Base CDI'!$H$4:$H$28,'Base CDI'!$I$4:$I$29,S1719,"Cubic","Extrapolate=Linear","MultiX=Average","Skip=True","Sort=True")</f>
        <v>14.785492193700843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47426</v>
      </c>
      <c r="T1720" s="43">
        <f ca="1">_xll.BInterpol('Base CDI'!$H$4:$H$28,'Base CDI'!$J$4:$J$29,S1720,"Cubic","Extrapolate=Linear","MultiX=Average","Skip=True","Sort=True")</f>
        <v>14.741386020512531</v>
      </c>
      <c r="U1720" s="43">
        <f ca="1">_xll.BInterpol('Base CDI'!$H$4:$H$28,'Base CDI'!$I$4:$I$29,S1720,"Cubic","Extrapolate=Linear","MultiX=Average","Skip=True","Sort=True")</f>
        <v>14.785664195597077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47427</v>
      </c>
      <c r="T1721" s="43">
        <f ca="1">_xll.BInterpol('Base CDI'!$H$4:$H$28,'Base CDI'!$J$4:$J$29,S1721,"Cubic","Extrapolate=Linear","MultiX=Average","Skip=True","Sort=True")</f>
        <v>14.741512449173948</v>
      </c>
      <c r="U1721" s="43">
        <f ca="1">_xll.BInterpol('Base CDI'!$H$4:$H$28,'Base CDI'!$I$4:$I$29,S1721,"Cubic","Extrapolate=Linear","MultiX=Average","Skip=True","Sort=True")</f>
        <v>14.785835784139186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47428</v>
      </c>
      <c r="T1722" s="43">
        <f ca="1">_xll.BInterpol('Base CDI'!$H$4:$H$28,'Base CDI'!$J$4:$J$29,S1722,"Cubic","Extrapolate=Linear","MultiX=Average","Skip=True","Sort=True")</f>
        <v>14.741638418722491</v>
      </c>
      <c r="U1722" s="43">
        <f ca="1">_xll.BInterpol('Base CDI'!$H$4:$H$28,'Base CDI'!$I$4:$I$29,S1722,"Cubic","Extrapolate=Linear","MultiX=Average","Skip=True","Sort=True")</f>
        <v>14.786006956969757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47429</v>
      </c>
      <c r="T1723" s="43">
        <f ca="1">_xll.BInterpol('Base CDI'!$H$4:$H$28,'Base CDI'!$J$4:$J$29,S1723,"Cubic","Extrapolate=Linear","MultiX=Average","Skip=True","Sort=True")</f>
        <v>14.74176392731961</v>
      </c>
      <c r="U1723" s="43">
        <f ca="1">_xll.BInterpol('Base CDI'!$H$4:$H$28,'Base CDI'!$I$4:$I$29,S1723,"Cubic","Extrapolate=Linear","MultiX=Average","Skip=True","Sort=True")</f>
        <v>14.786177711731378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47430</v>
      </c>
      <c r="T1724" s="43">
        <f ca="1">_xll.BInterpol('Base CDI'!$H$4:$H$28,'Base CDI'!$J$4:$J$29,S1724,"Cubic","Extrapolate=Linear","MultiX=Average","Skip=True","Sort=True")</f>
        <v>14.741888973126757</v>
      </c>
      <c r="U1724" s="43">
        <f ca="1">_xll.BInterpol('Base CDI'!$H$4:$H$28,'Base CDI'!$I$4:$I$29,S1724,"Cubic","Extrapolate=Linear","MultiX=Average","Skip=True","Sort=True")</f>
        <v>14.786348046066635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47431</v>
      </c>
      <c r="T1725" s="43">
        <f ca="1">_xll.BInterpol('Base CDI'!$H$4:$H$28,'Base CDI'!$J$4:$J$29,S1725,"Cubic","Extrapolate=Linear","MultiX=Average","Skip=True","Sort=True")</f>
        <v>14.74201355430538</v>
      </c>
      <c r="U1725" s="43">
        <f ca="1">_xll.BInterpol('Base CDI'!$H$4:$H$28,'Base CDI'!$I$4:$I$29,S1725,"Cubic","Extrapolate=Linear","MultiX=Average","Skip=True","Sort=True")</f>
        <v>14.786517957618114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47432</v>
      </c>
      <c r="T1726" s="43">
        <f ca="1">_xll.BInterpol('Base CDI'!$H$4:$H$28,'Base CDI'!$J$4:$J$29,S1726,"Cubic","Extrapolate=Linear","MultiX=Average","Skip=True","Sort=True")</f>
        <v>14.742137669016932</v>
      </c>
      <c r="U1726" s="43">
        <f ca="1">_xll.BInterpol('Base CDI'!$H$4:$H$28,'Base CDI'!$I$4:$I$29,S1726,"Cubic","Extrapolate=Linear","MultiX=Average","Skip=True","Sort=True")</f>
        <v>14.786687444028404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47433</v>
      </c>
      <c r="T1727" s="43">
        <f ca="1">_xll.BInterpol('Base CDI'!$H$4:$H$28,'Base CDI'!$J$4:$J$29,S1727,"Cubic","Extrapolate=Linear","MultiX=Average","Skip=True","Sort=True")</f>
        <v>14.742261315422862</v>
      </c>
      <c r="U1727" s="43">
        <f ca="1">_xll.BInterpol('Base CDI'!$H$4:$H$28,'Base CDI'!$I$4:$I$29,S1727,"Cubic","Extrapolate=Linear","MultiX=Average","Skip=True","Sort=True")</f>
        <v>14.786856502940092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47434</v>
      </c>
      <c r="T1728" s="43">
        <f ca="1">_xll.BInterpol('Base CDI'!$H$4:$H$28,'Base CDI'!$J$4:$J$29,S1728,"Cubic","Extrapolate=Linear","MultiX=Average","Skip=True","Sort=True")</f>
        <v>14.74238449168462</v>
      </c>
      <c r="U1728" s="43">
        <f ca="1">_xll.BInterpol('Base CDI'!$H$4:$H$28,'Base CDI'!$I$4:$I$29,S1728,"Cubic","Extrapolate=Linear","MultiX=Average","Skip=True","Sort=True")</f>
        <v>14.787025131995764</v>
      </c>
    </row>
    <row r="1729" spans="16:21" x14ac:dyDescent="0.25">
      <c r="P1729" s="10">
        <v>37029</v>
      </c>
      <c r="Q1729">
        <v>6.243684</v>
      </c>
      <c r="S1729" s="42">
        <f t="shared" ca="1" si="31"/>
        <v>47435</v>
      </c>
      <c r="T1729" s="43">
        <f ca="1">_xll.BInterpol('Base CDI'!$H$4:$H$28,'Base CDI'!$J$4:$J$29,S1729,"Cubic","Extrapolate=Linear","MultiX=Average","Skip=True","Sort=True")</f>
        <v>14.742507195963656</v>
      </c>
      <c r="U1729" s="43">
        <f ca="1">_xll.BInterpol('Base CDI'!$H$4:$H$28,'Base CDI'!$I$4:$I$29,S1729,"Cubic","Extrapolate=Linear","MultiX=Average","Skip=True","Sort=True")</f>
        <v>14.787193328838004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47436</v>
      </c>
      <c r="T1730" s="43">
        <f ca="1">_xll.BInterpol('Base CDI'!$H$4:$H$28,'Base CDI'!$J$4:$J$29,S1730,"Cubic","Extrapolate=Linear","MultiX=Average","Skip=True","Sort=True")</f>
        <v>14.742629426421422</v>
      </c>
      <c r="U1730" s="43">
        <f ca="1">_xll.BInterpol('Base CDI'!$H$4:$H$28,'Base CDI'!$I$4:$I$29,S1730,"Cubic","Extrapolate=Linear","MultiX=Average","Skip=True","Sort=True")</f>
        <v>14.787361091109405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47437</v>
      </c>
      <c r="T1731" s="43">
        <f ca="1">_xll.BInterpol('Base CDI'!$H$4:$H$28,'Base CDI'!$J$4:$J$29,S1731,"Cubic","Extrapolate=Linear","MultiX=Average","Skip=True","Sort=True")</f>
        <v>14.742751181219369</v>
      </c>
      <c r="U1731" s="43">
        <f ca="1">_xll.BInterpol('Base CDI'!$H$4:$H$28,'Base CDI'!$I$4:$I$29,S1731,"Cubic","Extrapolate=Linear","MultiX=Average","Skip=True","Sort=True")</f>
        <v>14.787528416452551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47438</v>
      </c>
      <c r="T1732" s="43">
        <f ca="1">_xll.BInterpol('Base CDI'!$H$4:$H$28,'Base CDI'!$J$4:$J$29,S1732,"Cubic","Extrapolate=Linear","MultiX=Average","Skip=True","Sort=True")</f>
        <v>14.742872458518944</v>
      </c>
      <c r="U1732" s="43">
        <f ca="1">_xll.BInterpol('Base CDI'!$H$4:$H$28,'Base CDI'!$I$4:$I$29,S1732,"Cubic","Extrapolate=Linear","MultiX=Average","Skip=True","Sort=True")</f>
        <v>14.787695302510027</v>
      </c>
    </row>
    <row r="1733" spans="16:21" x14ac:dyDescent="0.25">
      <c r="P1733" s="10">
        <v>37035</v>
      </c>
      <c r="Q1733">
        <v>6.258699</v>
      </c>
      <c r="S1733" s="42">
        <f t="shared" ca="1" si="31"/>
        <v>47439</v>
      </c>
      <c r="T1733" s="43">
        <f ca="1">_xll.BInterpol('Base CDI'!$H$4:$H$28,'Base CDI'!$J$4:$J$29,S1733,"Cubic","Extrapolate=Linear","MultiX=Average","Skip=True","Sort=True")</f>
        <v>14.742993256481601</v>
      </c>
      <c r="U1733" s="43">
        <f ca="1">_xll.BInterpol('Base CDI'!$H$4:$H$28,'Base CDI'!$I$4:$I$29,S1733,"Cubic","Extrapolate=Linear","MultiX=Average","Skip=True","Sort=True")</f>
        <v>14.787861746924424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47440</v>
      </c>
      <c r="T1734" s="43">
        <f ca="1">_xll.BInterpol('Base CDI'!$H$4:$H$28,'Base CDI'!$J$4:$J$29,S1734,"Cubic","Extrapolate=Linear","MultiX=Average","Skip=True","Sort=True")</f>
        <v>14.743113573268788</v>
      </c>
      <c r="U1734" s="43">
        <f ca="1">_xll.BInterpol('Base CDI'!$H$4:$H$28,'Base CDI'!$I$4:$I$29,S1734,"Cubic","Extrapolate=Linear","MultiX=Average","Skip=True","Sort=True")</f>
        <v>14.788027747338326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47441</v>
      </c>
      <c r="T1735" s="43">
        <f ca="1">_xll.BInterpol('Base CDI'!$H$4:$H$28,'Base CDI'!$J$4:$J$29,S1735,"Cubic","Extrapolate=Linear","MultiX=Average","Skip=True","Sort=True")</f>
        <v>14.743233407041958</v>
      </c>
      <c r="U1735" s="43">
        <f ca="1">_xll.BInterpol('Base CDI'!$H$4:$H$28,'Base CDI'!$I$4:$I$29,S1735,"Cubic","Extrapolate=Linear","MultiX=Average","Skip=True","Sort=True")</f>
        <v>14.788193301394321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47442</v>
      </c>
      <c r="T1736" s="43">
        <f ca="1">_xll.BInterpol('Base CDI'!$H$4:$H$28,'Base CDI'!$J$4:$J$29,S1736,"Cubic","Extrapolate=Linear","MultiX=Average","Skip=True","Sort=True")</f>
        <v>14.743352755962558</v>
      </c>
      <c r="U1736" s="43">
        <f ca="1">_xll.BInterpol('Base CDI'!$H$4:$H$28,'Base CDI'!$I$4:$I$29,S1736,"Cubic","Extrapolate=Linear","MultiX=Average","Skip=True","Sort=True")</f>
        <v>14.788358406734995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47443</v>
      </c>
      <c r="T1737" s="43">
        <f ca="1">_xll.BInterpol('Base CDI'!$H$4:$H$28,'Base CDI'!$J$4:$J$29,S1737,"Cubic","Extrapolate=Linear","MultiX=Average","Skip=True","Sort=True")</f>
        <v>14.743471618192041</v>
      </c>
      <c r="U1737" s="43">
        <f ca="1">_xll.BInterpol('Base CDI'!$H$4:$H$28,'Base CDI'!$I$4:$I$29,S1737,"Cubic","Extrapolate=Linear","MultiX=Average","Skip=True","Sort=True")</f>
        <v>14.788523061002936</v>
      </c>
    </row>
    <row r="1738" spans="16:21" x14ac:dyDescent="0.25">
      <c r="P1738" s="10">
        <v>37042</v>
      </c>
      <c r="Q1738">
        <v>6.277965</v>
      </c>
      <c r="S1738" s="42">
        <f t="shared" ca="1" si="31"/>
        <v>47444</v>
      </c>
      <c r="T1738" s="43">
        <f ca="1">_xll.BInterpol('Base CDI'!$H$4:$H$28,'Base CDI'!$J$4:$J$29,S1738,"Cubic","Extrapolate=Linear","MultiX=Average","Skip=True","Sort=True")</f>
        <v>14.743589991891856</v>
      </c>
      <c r="U1738" s="43">
        <f ca="1">_xll.BInterpol('Base CDI'!$H$4:$H$28,'Base CDI'!$I$4:$I$29,S1738,"Cubic","Extrapolate=Linear","MultiX=Average","Skip=True","Sort=True")</f>
        <v>14.788687261840732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47445</v>
      </c>
      <c r="T1739" s="43">
        <f ca="1">_xll.BInterpol('Base CDI'!$H$4:$H$28,'Base CDI'!$J$4:$J$29,S1739,"Cubic","Extrapolate=Linear","MultiX=Average","Skip=True","Sort=True")</f>
        <v>14.743707875223453</v>
      </c>
      <c r="U1739" s="43">
        <f ca="1">_xll.BInterpol('Base CDI'!$H$4:$H$28,'Base CDI'!$I$4:$I$29,S1739,"Cubic","Extrapolate=Linear","MultiX=Average","Skip=True","Sort=True")</f>
        <v>14.788851006890967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47446</v>
      </c>
      <c r="T1740" s="43">
        <f ca="1">_xll.BInterpol('Base CDI'!$H$4:$H$28,'Base CDI'!$J$4:$J$29,S1740,"Cubic","Extrapolate=Linear","MultiX=Average","Skip=True","Sort=True")</f>
        <v>14.743825266348285</v>
      </c>
      <c r="U1740" s="43">
        <f ca="1">_xll.BInterpol('Base CDI'!$H$4:$H$28,'Base CDI'!$I$4:$I$29,S1740,"Cubic","Extrapolate=Linear","MultiX=Average","Skip=True","Sort=True")</f>
        <v>14.78901429379623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47447</v>
      </c>
      <c r="T1741" s="43">
        <f ca="1">_xll.BInterpol('Base CDI'!$H$4:$H$28,'Base CDI'!$J$4:$J$29,S1741,"Cubic","Extrapolate=Linear","MultiX=Average","Skip=True","Sort=True")</f>
        <v>14.7439421634278</v>
      </c>
      <c r="U1741" s="43">
        <f ca="1">_xll.BInterpol('Base CDI'!$H$4:$H$28,'Base CDI'!$I$4:$I$29,S1741,"Cubic","Extrapolate=Linear","MultiX=Average","Skip=True","Sort=True")</f>
        <v>14.789177120199108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47448</v>
      </c>
      <c r="T1742" s="43">
        <f ca="1">_xll.BInterpol('Base CDI'!$H$4:$H$28,'Base CDI'!$J$4:$J$29,S1742,"Cubic","Extrapolate=Linear","MultiX=Average","Skip=True","Sort=True")</f>
        <v>14.744058564623449</v>
      </c>
      <c r="U1742" s="43">
        <f ca="1">_xll.BInterpol('Base CDI'!$H$4:$H$28,'Base CDI'!$I$4:$I$29,S1742,"Cubic","Extrapolate=Linear","MultiX=Average","Skip=True","Sort=True")</f>
        <v>14.789339483742188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47449</v>
      </c>
      <c r="T1743" s="43">
        <f ca="1">_xll.BInterpol('Base CDI'!$H$4:$H$28,'Base CDI'!$J$4:$J$29,S1743,"Cubic","Extrapolate=Linear","MultiX=Average","Skip=True","Sort=True")</f>
        <v>14.744174468096682</v>
      </c>
      <c r="U1743" s="43">
        <f ca="1">_xll.BInterpol('Base CDI'!$H$4:$H$28,'Base CDI'!$I$4:$I$29,S1743,"Cubic","Extrapolate=Linear","MultiX=Average","Skip=True","Sort=True")</f>
        <v>14.789501382068055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47450</v>
      </c>
      <c r="T1744" s="43">
        <f ca="1">_xll.BInterpol('Base CDI'!$H$4:$H$28,'Base CDI'!$J$4:$J$29,S1744,"Cubic","Extrapolate=Linear","MultiX=Average","Skip=True","Sort=True")</f>
        <v>14.744289872008952</v>
      </c>
      <c r="U1744" s="43">
        <f ca="1">_xll.BInterpol('Base CDI'!$H$4:$H$28,'Base CDI'!$I$4:$I$29,S1744,"Cubic","Extrapolate=Linear","MultiX=Average","Skip=True","Sort=True")</f>
        <v>14.789662812819298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47451</v>
      </c>
      <c r="T1745" s="43">
        <f ca="1">_xll.BInterpol('Base CDI'!$H$4:$H$28,'Base CDI'!$J$4:$J$29,S1745,"Cubic","Extrapolate=Linear","MultiX=Average","Skip=True","Sort=True")</f>
        <v>14.744404774521707</v>
      </c>
      <c r="U1745" s="43">
        <f ca="1">_xll.BInterpol('Base CDI'!$H$4:$H$28,'Base CDI'!$I$4:$I$29,S1745,"Cubic","Extrapolate=Linear","MultiX=Average","Skip=True","Sort=True")</f>
        <v>14.789823773638503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47452</v>
      </c>
      <c r="T1746" s="43">
        <f ca="1">_xll.BInterpol('Base CDI'!$H$4:$H$28,'Base CDI'!$J$4:$J$29,S1746,"Cubic","Extrapolate=Linear","MultiX=Average","Skip=True","Sort=True")</f>
        <v>14.744519173796396</v>
      </c>
      <c r="U1746" s="43">
        <f ca="1">_xll.BInterpol('Base CDI'!$H$4:$H$28,'Base CDI'!$I$4:$I$29,S1746,"Cubic","Extrapolate=Linear","MultiX=Average","Skip=True","Sort=True")</f>
        <v>14.789984262168257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47453</v>
      </c>
      <c r="T1747" s="43">
        <f ca="1">_xll.BInterpol('Base CDI'!$H$4:$H$28,'Base CDI'!$J$4:$J$29,S1747,"Cubic","Extrapolate=Linear","MultiX=Average","Skip=True","Sort=True")</f>
        <v>14.744633067994473</v>
      </c>
      <c r="U1747" s="43">
        <f ca="1">_xll.BInterpol('Base CDI'!$H$4:$H$28,'Base CDI'!$I$4:$I$29,S1747,"Cubic","Extrapolate=Linear","MultiX=Average","Skip=True","Sort=True")</f>
        <v>14.79014427605115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47454</v>
      </c>
      <c r="T1748" s="43">
        <f ca="1">_xll.BInterpol('Base CDI'!$H$4:$H$28,'Base CDI'!$J$4:$J$29,S1748,"Cubic","Extrapolate=Linear","MultiX=Average","Skip=True","Sort=True")</f>
        <v>14.744746455277385</v>
      </c>
      <c r="U1748" s="43">
        <f ca="1">_xll.BInterpol('Base CDI'!$H$4:$H$28,'Base CDI'!$I$4:$I$29,S1748,"Cubic","Extrapolate=Linear","MultiX=Average","Skip=True","Sort=True")</f>
        <v>14.790303812929764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47455</v>
      </c>
      <c r="T1749" s="43">
        <f ca="1">_xll.BInterpol('Base CDI'!$H$4:$H$28,'Base CDI'!$J$4:$J$29,S1749,"Cubic","Extrapolate=Linear","MultiX=Average","Skip=True","Sort=True")</f>
        <v>14.744859333806584</v>
      </c>
      <c r="U1749" s="43">
        <f ca="1">_xll.BInterpol('Base CDI'!$H$4:$H$28,'Base CDI'!$I$4:$I$29,S1749,"Cubic","Extrapolate=Linear","MultiX=Average","Skip=True","Sort=True")</f>
        <v>14.790462870446689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47456</v>
      </c>
      <c r="T1750" s="43">
        <f ca="1">_xll.BInterpol('Base CDI'!$H$4:$H$28,'Base CDI'!$J$4:$J$29,S1750,"Cubic","Extrapolate=Linear","MultiX=Average","Skip=True","Sort=True")</f>
        <v>14.74497170174352</v>
      </c>
      <c r="U1750" s="43">
        <f ca="1">_xll.BInterpol('Base CDI'!$H$4:$H$28,'Base CDI'!$I$4:$I$29,S1750,"Cubic","Extrapolate=Linear","MultiX=Average","Skip=True","Sort=True")</f>
        <v>14.79062144624451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47457</v>
      </c>
      <c r="T1751" s="43">
        <f ca="1">_xll.BInterpol('Base CDI'!$H$4:$H$28,'Base CDI'!$J$4:$J$29,S1751,"Cubic","Extrapolate=Linear","MultiX=Average","Skip=True","Sort=True")</f>
        <v>14.745083557249645</v>
      </c>
      <c r="U1751" s="43">
        <f ca="1">_xll.BInterpol('Base CDI'!$H$4:$H$28,'Base CDI'!$I$4:$I$29,S1751,"Cubic","Extrapolate=Linear","MultiX=Average","Skip=True","Sort=True")</f>
        <v>14.790779537965816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47458</v>
      </c>
      <c r="T1752" s="43">
        <f ca="1">_xll.BInterpol('Base CDI'!$H$4:$H$28,'Base CDI'!$J$4:$J$29,S1752,"Cubic","Extrapolate=Linear","MultiX=Average","Skip=True","Sort=True")</f>
        <v>14.745194898486409</v>
      </c>
      <c r="U1752" s="43">
        <f ca="1">_xll.BInterpol('Base CDI'!$H$4:$H$28,'Base CDI'!$I$4:$I$29,S1752,"Cubic","Extrapolate=Linear","MultiX=Average","Skip=True","Sort=True")</f>
        <v>14.790937143253194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47459</v>
      </c>
      <c r="T1753" s="43">
        <f ca="1">_xll.BInterpol('Base CDI'!$H$4:$H$28,'Base CDI'!$J$4:$J$29,S1753,"Cubic","Extrapolate=Linear","MultiX=Average","Skip=True","Sort=True")</f>
        <v>14.745305723615258</v>
      </c>
      <c r="U1753" s="43">
        <f ca="1">_xll.BInterpol('Base CDI'!$H$4:$H$28,'Base CDI'!$I$4:$I$29,S1753,"Cubic","Extrapolate=Linear","MultiX=Average","Skip=True","Sort=True")</f>
        <v>14.791094259749228</v>
      </c>
    </row>
    <row r="1754" spans="16:21" x14ac:dyDescent="0.25">
      <c r="P1754" s="10">
        <v>37067</v>
      </c>
      <c r="Q1754">
        <v>6.340649</v>
      </c>
      <c r="S1754" s="42">
        <f t="shared" ca="1" si="32"/>
        <v>47460</v>
      </c>
      <c r="T1754" s="43">
        <f ca="1">_xll.BInterpol('Base CDI'!$H$4:$H$28,'Base CDI'!$J$4:$J$29,S1754,"Cubic","Extrapolate=Linear","MultiX=Average","Skip=True","Sort=True")</f>
        <v>14.745416030797649</v>
      </c>
      <c r="U1754" s="43">
        <f ca="1">_xll.BInterpol('Base CDI'!$H$4:$H$28,'Base CDI'!$I$4:$I$29,S1754,"Cubic","Extrapolate=Linear","MultiX=Average","Skip=True","Sort=True")</f>
        <v>14.791250885096508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47461</v>
      </c>
      <c r="T1755" s="43">
        <f ca="1">_xll.BInterpol('Base CDI'!$H$4:$H$28,'Base CDI'!$J$4:$J$29,S1755,"Cubic","Extrapolate=Linear","MultiX=Average","Skip=True","Sort=True")</f>
        <v>14.745525818195029</v>
      </c>
      <c r="U1755" s="43">
        <f ca="1">_xll.BInterpol('Base CDI'!$H$4:$H$28,'Base CDI'!$I$4:$I$29,S1755,"Cubic","Extrapolate=Linear","MultiX=Average","Skip=True","Sort=True")</f>
        <v>14.791407016937621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47462</v>
      </c>
      <c r="T1756" s="43">
        <f ca="1">_xll.BInterpol('Base CDI'!$H$4:$H$28,'Base CDI'!$J$4:$J$29,S1756,"Cubic","Extrapolate=Linear","MultiX=Average","Skip=True","Sort=True")</f>
        <v>14.745635083968848</v>
      </c>
      <c r="U1756" s="43">
        <f ca="1">_xll.BInterpol('Base CDI'!$H$4:$H$28,'Base CDI'!$I$4:$I$29,S1756,"Cubic","Extrapolate=Linear","MultiX=Average","Skip=True","Sort=True")</f>
        <v>14.791562652915152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47463</v>
      </c>
      <c r="T1757" s="43">
        <f ca="1">_xll.BInterpol('Base CDI'!$H$4:$H$28,'Base CDI'!$J$4:$J$29,S1757,"Cubic","Extrapolate=Linear","MultiX=Average","Skip=True","Sort=True")</f>
        <v>14.745743826280558</v>
      </c>
      <c r="U1757" s="43">
        <f ca="1">_xll.BInterpol('Base CDI'!$H$4:$H$28,'Base CDI'!$I$4:$I$29,S1757,"Cubic","Extrapolate=Linear","MultiX=Average","Skip=True","Sort=True")</f>
        <v>14.791717790671688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47464</v>
      </c>
      <c r="T1758" s="43">
        <f ca="1">_xll.BInterpol('Base CDI'!$H$4:$H$28,'Base CDI'!$J$4:$J$29,S1758,"Cubic","Extrapolate=Linear","MultiX=Average","Skip=True","Sort=True")</f>
        <v>14.745852043291608</v>
      </c>
      <c r="U1758" s="43">
        <f ca="1">_xll.BInterpol('Base CDI'!$H$4:$H$28,'Base CDI'!$I$4:$I$29,S1758,"Cubic","Extrapolate=Linear","MultiX=Average","Skip=True","Sort=True")</f>
        <v>14.791872427849819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47465</v>
      </c>
      <c r="T1759" s="43">
        <f ca="1">_xll.BInterpol('Base CDI'!$H$4:$H$28,'Base CDI'!$J$4:$J$29,S1759,"Cubic","Extrapolate=Linear","MultiX=Average","Skip=True","Sort=True")</f>
        <v>14.745959733163449</v>
      </c>
      <c r="U1759" s="43">
        <f ca="1">_xll.BInterpol('Base CDI'!$H$4:$H$28,'Base CDI'!$I$4:$I$29,S1759,"Cubic","Extrapolate=Linear","MultiX=Average","Skip=True","Sort=True")</f>
        <v>14.792026562092129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47466</v>
      </c>
      <c r="T1760" s="43">
        <f ca="1">_xll.BInterpol('Base CDI'!$H$4:$H$28,'Base CDI'!$J$4:$J$29,S1760,"Cubic","Extrapolate=Linear","MultiX=Average","Skip=True","Sort=True")</f>
        <v>14.746066894057533</v>
      </c>
      <c r="U1760" s="43">
        <f ca="1">_xll.BInterpol('Base CDI'!$H$4:$H$28,'Base CDI'!$I$4:$I$29,S1760,"Cubic","Extrapolate=Linear","MultiX=Average","Skip=True","Sort=True")</f>
        <v>14.792180191041204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47467</v>
      </c>
      <c r="T1761" s="43">
        <f ca="1">_xll.BInterpol('Base CDI'!$H$4:$H$28,'Base CDI'!$J$4:$J$29,S1761,"Cubic","Extrapolate=Linear","MultiX=Average","Skip=True","Sort=True")</f>
        <v>14.746173524135306</v>
      </c>
      <c r="U1761" s="43">
        <f ca="1">_xll.BInterpol('Base CDI'!$H$4:$H$28,'Base CDI'!$I$4:$I$29,S1761,"Cubic","Extrapolate=Linear","MultiX=Average","Skip=True","Sort=True")</f>
        <v>14.792333312339634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47468</v>
      </c>
      <c r="T1762" s="43">
        <f ca="1">_xll.BInterpol('Base CDI'!$H$4:$H$28,'Base CDI'!$J$4:$J$29,S1762,"Cubic","Extrapolate=Linear","MultiX=Average","Skip=True","Sort=True")</f>
        <v>14.746279621558223</v>
      </c>
      <c r="U1762" s="43">
        <f ca="1">_xll.BInterpol('Base CDI'!$H$4:$H$28,'Base CDI'!$I$4:$I$29,S1762,"Cubic","Extrapolate=Linear","MultiX=Average","Skip=True","Sort=True")</f>
        <v>14.792485923630005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47469</v>
      </c>
      <c r="T1763" s="43">
        <f ca="1">_xll.BInterpol('Base CDI'!$H$4:$H$28,'Base CDI'!$J$4:$J$29,S1763,"Cubic","Extrapolate=Linear","MultiX=Average","Skip=True","Sort=True")</f>
        <v>14.746385184487732</v>
      </c>
      <c r="U1763" s="43">
        <f ca="1">_xll.BInterpol('Base CDI'!$H$4:$H$28,'Base CDI'!$I$4:$I$29,S1763,"Cubic","Extrapolate=Linear","MultiX=Average","Skip=True","Sort=True")</f>
        <v>14.792638022554904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47470</v>
      </c>
      <c r="T1764" s="43">
        <f ca="1">_xll.BInterpol('Base CDI'!$H$4:$H$28,'Base CDI'!$J$4:$J$29,S1764,"Cubic","Extrapolate=Linear","MultiX=Average","Skip=True","Sort=True")</f>
        <v>14.746490211085284</v>
      </c>
      <c r="U1764" s="43">
        <f ca="1">_xll.BInterpol('Base CDI'!$H$4:$H$28,'Base CDI'!$I$4:$I$29,S1764,"Cubic","Extrapolate=Linear","MultiX=Average","Skip=True","Sort=True")</f>
        <v>14.792789606756918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47471</v>
      </c>
      <c r="T1765" s="43">
        <f ca="1">_xll.BInterpol('Base CDI'!$H$4:$H$28,'Base CDI'!$J$4:$J$29,S1765,"Cubic","Extrapolate=Linear","MultiX=Average","Skip=True","Sort=True")</f>
        <v>14.746594699512331</v>
      </c>
      <c r="U1765" s="43">
        <f ca="1">_xll.BInterpol('Base CDI'!$H$4:$H$28,'Base CDI'!$I$4:$I$29,S1765,"Cubic","Extrapolate=Linear","MultiX=Average","Skip=True","Sort=True")</f>
        <v>14.792940673878633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47472</v>
      </c>
      <c r="T1766" s="43">
        <f ca="1">_xll.BInterpol('Base CDI'!$H$4:$H$28,'Base CDI'!$J$4:$J$29,S1766,"Cubic","Extrapolate=Linear","MultiX=Average","Skip=True","Sort=True")</f>
        <v>14.746698647930319</v>
      </c>
      <c r="U1766" s="43">
        <f ca="1">_xll.BInterpol('Base CDI'!$H$4:$H$28,'Base CDI'!$I$4:$I$29,S1766,"Cubic","Extrapolate=Linear","MultiX=Average","Skip=True","Sort=True")</f>
        <v>14.793091221562635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47473</v>
      </c>
      <c r="T1767" s="43">
        <f ca="1">_xll.BInterpol('Base CDI'!$H$4:$H$28,'Base CDI'!$J$4:$J$29,S1767,"Cubic","Extrapolate=Linear","MultiX=Average","Skip=True","Sort=True")</f>
        <v>14.746802054500703</v>
      </c>
      <c r="U1767" s="43">
        <f ca="1">_xll.BInterpol('Base CDI'!$H$4:$H$28,'Base CDI'!$I$4:$I$29,S1767,"Cubic","Extrapolate=Linear","MultiX=Average","Skip=True","Sort=True")</f>
        <v>14.793241247451514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47474</v>
      </c>
      <c r="T1768" s="43">
        <f ca="1">_xll.BInterpol('Base CDI'!$H$4:$H$28,'Base CDI'!$J$4:$J$29,S1768,"Cubic","Extrapolate=Linear","MultiX=Average","Skip=True","Sort=True")</f>
        <v>14.746904917384931</v>
      </c>
      <c r="U1768" s="43">
        <f ca="1">_xll.BInterpol('Base CDI'!$H$4:$H$28,'Base CDI'!$I$4:$I$29,S1768,"Cubic","Extrapolate=Linear","MultiX=Average","Skip=True","Sort=True")</f>
        <v>14.793390749187855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47475</v>
      </c>
      <c r="T1769" s="43">
        <f ca="1">_xll.BInterpol('Base CDI'!$H$4:$H$28,'Base CDI'!$J$4:$J$29,S1769,"Cubic","Extrapolate=Linear","MultiX=Average","Skip=True","Sort=True")</f>
        <v>14.747007234744453</v>
      </c>
      <c r="U1769" s="43">
        <f ca="1">_xll.BInterpol('Base CDI'!$H$4:$H$28,'Base CDI'!$I$4:$I$29,S1769,"Cubic","Extrapolate=Linear","MultiX=Average","Skip=True","Sort=True")</f>
        <v>14.793539724414247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47476</v>
      </c>
      <c r="T1770" s="43">
        <f ca="1">_xll.BInterpol('Base CDI'!$H$4:$H$28,'Base CDI'!$J$4:$J$29,S1770,"Cubic","Extrapolate=Linear","MultiX=Average","Skip=True","Sort=True")</f>
        <v>14.747109004740723</v>
      </c>
      <c r="U1770" s="43">
        <f ca="1">_xll.BInterpol('Base CDI'!$H$4:$H$28,'Base CDI'!$I$4:$I$29,S1770,"Cubic","Extrapolate=Linear","MultiX=Average","Skip=True","Sort=True")</f>
        <v>14.793688170773272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47477</v>
      </c>
      <c r="T1771" s="43">
        <f ca="1">_xll.BInterpol('Base CDI'!$H$4:$H$28,'Base CDI'!$J$4:$J$29,S1771,"Cubic","Extrapolate=Linear","MultiX=Average","Skip=True","Sort=True")</f>
        <v>14.747210225535188</v>
      </c>
      <c r="U1771" s="43">
        <f ca="1">_xll.BInterpol('Base CDI'!$H$4:$H$28,'Base CDI'!$I$4:$I$29,S1771,"Cubic","Extrapolate=Linear","MultiX=Average","Skip=True","Sort=True")</f>
        <v>14.793836085907524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47478</v>
      </c>
      <c r="T1772" s="43">
        <f ca="1">_xll.BInterpol('Base CDI'!$H$4:$H$28,'Base CDI'!$J$4:$J$29,S1772,"Cubic","Extrapolate=Linear","MultiX=Average","Skip=True","Sort=True")</f>
        <v>14.747310895289298</v>
      </c>
      <c r="U1772" s="43">
        <f ca="1">_xll.BInterpol('Base CDI'!$H$4:$H$28,'Base CDI'!$I$4:$I$29,S1772,"Cubic","Extrapolate=Linear","MultiX=Average","Skip=True","Sort=True")</f>
        <v>14.793983467459585</v>
      </c>
    </row>
    <row r="1773" spans="16:21" x14ac:dyDescent="0.25">
      <c r="P1773" s="10">
        <v>37092</v>
      </c>
      <c r="Q1773">
        <v>6.421843</v>
      </c>
      <c r="S1773" s="42">
        <f t="shared" ca="1" si="32"/>
        <v>47479</v>
      </c>
      <c r="T1773" s="43">
        <f ca="1">_xll.BInterpol('Base CDI'!$H$4:$H$28,'Base CDI'!$J$4:$J$29,S1773,"Cubic","Extrapolate=Linear","MultiX=Average","Skip=True","Sort=True")</f>
        <v>14.747411012164505</v>
      </c>
      <c r="U1773" s="43">
        <f ca="1">_xll.BInterpol('Base CDI'!$H$4:$H$28,'Base CDI'!$I$4:$I$29,S1773,"Cubic","Extrapolate=Linear","MultiX=Average","Skip=True","Sort=True")</f>
        <v>14.794130313072042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47480</v>
      </c>
      <c r="T1774" s="43">
        <f ca="1">_xll.BInterpol('Base CDI'!$H$4:$H$28,'Base CDI'!$J$4:$J$29,S1774,"Cubic","Extrapolate=Linear","MultiX=Average","Skip=True","Sort=True")</f>
        <v>14.747510574322259</v>
      </c>
      <c r="U1774" s="43">
        <f ca="1">_xll.BInterpol('Base CDI'!$H$4:$H$28,'Base CDI'!$I$4:$I$29,S1774,"Cubic","Extrapolate=Linear","MultiX=Average","Skip=True","Sort=True")</f>
        <v>14.794276620387484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47481</v>
      </c>
      <c r="T1775" s="43">
        <f ca="1">_xll.BInterpol('Base CDI'!$H$4:$H$28,'Base CDI'!$J$4:$J$29,S1775,"Cubic","Extrapolate=Linear","MultiX=Average","Skip=True","Sort=True")</f>
        <v>14.74760957992401</v>
      </c>
      <c r="U1775" s="43">
        <f ca="1">_xll.BInterpol('Base CDI'!$H$4:$H$28,'Base CDI'!$I$4:$I$29,S1775,"Cubic","Extrapolate=Linear","MultiX=Average","Skip=True","Sort=True")</f>
        <v>14.794422387048497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47482</v>
      </c>
      <c r="T1776" s="43">
        <f ca="1">_xll.BInterpol('Base CDI'!$H$4:$H$28,'Base CDI'!$J$4:$J$29,S1776,"Cubic","Extrapolate=Linear","MultiX=Average","Skip=True","Sort=True")</f>
        <v>14.74770802713121</v>
      </c>
      <c r="U1776" s="43">
        <f ca="1">_xll.BInterpol('Base CDI'!$H$4:$H$28,'Base CDI'!$I$4:$I$29,S1776,"Cubic","Extrapolate=Linear","MultiX=Average","Skip=True","Sort=True")</f>
        <v>14.794567610697667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47483</v>
      </c>
      <c r="T1777" s="43">
        <f ca="1">_xll.BInterpol('Base CDI'!$H$4:$H$28,'Base CDI'!$J$4:$J$29,S1777,"Cubic","Extrapolate=Linear","MultiX=Average","Skip=True","Sort=True")</f>
        <v>14.747805914105308</v>
      </c>
      <c r="U1777" s="43">
        <f ca="1">_xll.BInterpol('Base CDI'!$H$4:$H$28,'Base CDI'!$I$4:$I$29,S1777,"Cubic","Extrapolate=Linear","MultiX=Average","Skip=True","Sort=True")</f>
        <v>14.794712288977584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47484</v>
      </c>
      <c r="T1778" s="43">
        <f ca="1">_xll.BInterpol('Base CDI'!$H$4:$H$28,'Base CDI'!$J$4:$J$29,S1778,"Cubic","Extrapolate=Linear","MultiX=Average","Skip=True","Sort=True")</f>
        <v>14.747903239007753</v>
      </c>
      <c r="U1778" s="43">
        <f ca="1">_xll.BInterpol('Base CDI'!$H$4:$H$28,'Base CDI'!$I$4:$I$29,S1778,"Cubic","Extrapolate=Linear","MultiX=Average","Skip=True","Sort=True")</f>
        <v>14.794856419530833</v>
      </c>
    </row>
    <row r="1779" spans="16:21" x14ac:dyDescent="0.25">
      <c r="P1779" s="10">
        <v>37102</v>
      </c>
      <c r="Q1779">
        <v>6.448429</v>
      </c>
      <c r="S1779" s="42">
        <f t="shared" ca="1" si="32"/>
        <v>47485</v>
      </c>
      <c r="T1779" s="43">
        <f ca="1">_xll.BInterpol('Base CDI'!$H$4:$H$28,'Base CDI'!$J$4:$J$29,S1779,"Cubic","Extrapolate=Linear","MultiX=Average","Skip=True","Sort=True")</f>
        <v>14.747999999999999</v>
      </c>
      <c r="U1779" s="43">
        <f ca="1">_xll.BInterpol('Base CDI'!$H$4:$H$28,'Base CDI'!$I$4:$I$29,S1779,"Cubic","Extrapolate=Linear","MultiX=Average","Skip=True","Sort=True")</f>
        <v>14.795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47486</v>
      </c>
      <c r="T1780" s="43">
        <f ca="1">_xll.BInterpol('Base CDI'!$H$4:$H$28,'Base CDI'!$J$4:$J$29,S1780,"Cubic","Extrapolate=Linear","MultiX=Average","Skip=True","Sort=True")</f>
        <v>14.748096195785823</v>
      </c>
      <c r="U1780" s="43">
        <f ca="1">_xll.BInterpol('Base CDI'!$H$4:$H$28,'Base CDI'!$I$4:$I$29,S1780,"Cubic","Extrapolate=Linear","MultiX=Average","Skip=True","Sort=True")</f>
        <v>14.795143028615803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47487</v>
      </c>
      <c r="T1781" s="43">
        <f ca="1">_xll.BInterpol('Base CDI'!$H$4:$H$28,'Base CDI'!$J$4:$J$29,S1781,"Cubic","Extrapolate=Linear","MultiX=Average","Skip=True","Sort=True")</f>
        <v>14.748191827238317</v>
      </c>
      <c r="U1781" s="43">
        <f ca="1">_xll.BInterpol('Base CDI'!$H$4:$H$28,'Base CDI'!$I$4:$I$29,S1781,"Cubic","Extrapolate=Linear","MultiX=Average","Skip=True","Sort=True")</f>
        <v>14.79528550596147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47488</v>
      </c>
      <c r="T1782" s="43">
        <f ca="1">_xll.BInterpol('Base CDI'!$H$4:$H$28,'Base CDI'!$J$4:$J$29,S1782,"Cubic","Extrapolate=Linear","MultiX=Average","Skip=True","Sort=True")</f>
        <v>14.748286895772903</v>
      </c>
      <c r="U1782" s="43">
        <f ca="1">_xll.BInterpol('Base CDI'!$H$4:$H$28,'Base CDI'!$I$4:$I$29,S1782,"Cubic","Extrapolate=Linear","MultiX=Average","Skip=True","Sort=True")</f>
        <v>14.795427433208365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47489</v>
      </c>
      <c r="T1783" s="43">
        <f ca="1">_xll.BInterpol('Base CDI'!$H$4:$H$28,'Base CDI'!$J$4:$J$29,S1783,"Cubic","Extrapolate=Linear","MultiX=Average","Skip=True","Sort=True")</f>
        <v>14.748381402805006</v>
      </c>
      <c r="U1783" s="43">
        <f ca="1">_xll.BInterpol('Base CDI'!$H$4:$H$28,'Base CDI'!$I$4:$I$29,S1783,"Cubic","Extrapolate=Linear","MultiX=Average","Skip=True","Sort=True")</f>
        <v>14.795568811527849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47490</v>
      </c>
      <c r="T1784" s="43">
        <f ca="1">_xll.BInterpol('Base CDI'!$H$4:$H$28,'Base CDI'!$J$4:$J$29,S1784,"Cubic","Extrapolate=Linear","MultiX=Average","Skip=True","Sort=True")</f>
        <v>14.748475349750041</v>
      </c>
      <c r="U1784" s="43">
        <f ca="1">_xll.BInterpol('Base CDI'!$H$4:$H$28,'Base CDI'!$I$4:$I$29,S1784,"Cubic","Extrapolate=Linear","MultiX=Average","Skip=True","Sort=True")</f>
        <v>14.795709642091278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47491</v>
      </c>
      <c r="T1785" s="43">
        <f ca="1">_xll.BInterpol('Base CDI'!$H$4:$H$28,'Base CDI'!$J$4:$J$29,S1785,"Cubic","Extrapolate=Linear","MultiX=Average","Skip=True","Sort=True")</f>
        <v>14.748568738023437</v>
      </c>
      <c r="U1785" s="43">
        <f ca="1">_xll.BInterpol('Base CDI'!$H$4:$H$28,'Base CDI'!$I$4:$I$29,S1785,"Cubic","Extrapolate=Linear","MultiX=Average","Skip=True","Sort=True")</f>
        <v>14.795849926070018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47492</v>
      </c>
      <c r="T1786" s="43">
        <f ca="1">_xll.BInterpol('Base CDI'!$H$4:$H$28,'Base CDI'!$J$4:$J$29,S1786,"Cubic","Extrapolate=Linear","MultiX=Average","Skip=True","Sort=True")</f>
        <v>14.74866156904061</v>
      </c>
      <c r="U1786" s="43">
        <f ca="1">_xll.BInterpol('Base CDI'!$H$4:$H$28,'Base CDI'!$I$4:$I$29,S1786,"Cubic","Extrapolate=Linear","MultiX=Average","Skip=True","Sort=True")</f>
        <v>14.795989664635425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47493</v>
      </c>
      <c r="T1787" s="43">
        <f ca="1">_xll.BInterpol('Base CDI'!$H$4:$H$28,'Base CDI'!$J$4:$J$29,S1787,"Cubic","Extrapolate=Linear","MultiX=Average","Skip=True","Sort=True")</f>
        <v>14.748753844216983</v>
      </c>
      <c r="U1787" s="43">
        <f ca="1">_xll.BInterpol('Base CDI'!$H$4:$H$28,'Base CDI'!$I$4:$I$29,S1787,"Cubic","Extrapolate=Linear","MultiX=Average","Skip=True","Sort=True")</f>
        <v>14.796128858958859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47494</v>
      </c>
      <c r="T1788" s="43">
        <f ca="1">_xll.BInterpol('Base CDI'!$H$4:$H$28,'Base CDI'!$J$4:$J$29,S1788,"Cubic","Extrapolate=Linear","MultiX=Average","Skip=True","Sort=True")</f>
        <v>14.748845564967979</v>
      </c>
      <c r="U1788" s="43">
        <f ca="1">_xll.BInterpol('Base CDI'!$H$4:$H$28,'Base CDI'!$I$4:$I$29,S1788,"Cubic","Extrapolate=Linear","MultiX=Average","Skip=True","Sort=True")</f>
        <v>14.796267510211685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47495</v>
      </c>
      <c r="T1789" s="43">
        <f ca="1">_xll.BInterpol('Base CDI'!$H$4:$H$28,'Base CDI'!$J$4:$J$29,S1789,"Cubic","Extrapolate=Linear","MultiX=Average","Skip=True","Sort=True")</f>
        <v>14.748936732709019</v>
      </c>
      <c r="U1789" s="43">
        <f ca="1">_xll.BInterpol('Base CDI'!$H$4:$H$28,'Base CDI'!$I$4:$I$29,S1789,"Cubic","Extrapolate=Linear","MultiX=Average","Skip=True","Sort=True")</f>
        <v>14.79640561956526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47496</v>
      </c>
      <c r="T1790" s="43">
        <f ca="1">_xll.BInterpol('Base CDI'!$H$4:$H$28,'Base CDI'!$J$4:$J$29,S1790,"Cubic","Extrapolate=Linear","MultiX=Average","Skip=True","Sort=True")</f>
        <v>14.749027348855526</v>
      </c>
      <c r="U1790" s="43">
        <f ca="1">_xll.BInterpol('Base CDI'!$H$4:$H$28,'Base CDI'!$I$4:$I$29,S1790,"Cubic","Extrapolate=Linear","MultiX=Average","Skip=True","Sort=True")</f>
        <v>14.796543188190943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47497</v>
      </c>
      <c r="T1791" s="43">
        <f ca="1">_xll.BInterpol('Base CDI'!$H$4:$H$28,'Base CDI'!$J$4:$J$29,S1791,"Cubic","Extrapolate=Linear","MultiX=Average","Skip=True","Sort=True")</f>
        <v>14.749117414822917</v>
      </c>
      <c r="U1791" s="43">
        <f ca="1">_xll.BInterpol('Base CDI'!$H$4:$H$28,'Base CDI'!$I$4:$I$29,S1791,"Cubic","Extrapolate=Linear","MultiX=Average","Skip=True","Sort=True")</f>
        <v>14.7966802172601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47498</v>
      </c>
      <c r="T1792" s="43">
        <f ca="1">_xll.BInterpol('Base CDI'!$H$4:$H$28,'Base CDI'!$J$4:$J$29,S1792,"Cubic","Extrapolate=Linear","MultiX=Average","Skip=True","Sort=True")</f>
        <v>14.749206932026619</v>
      </c>
      <c r="U1792" s="43">
        <f ca="1">_xll.BInterpol('Base CDI'!$H$4:$H$28,'Base CDI'!$I$4:$I$29,S1792,"Cubic","Extrapolate=Linear","MultiX=Average","Skip=True","Sort=True")</f>
        <v>14.796816707944085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47499</v>
      </c>
      <c r="T1793" s="43">
        <f ca="1">_xll.BInterpol('Base CDI'!$H$4:$H$28,'Base CDI'!$J$4:$J$29,S1793,"Cubic","Extrapolate=Linear","MultiX=Average","Skip=True","Sort=True")</f>
        <v>14.749295901882048</v>
      </c>
      <c r="U1793" s="43">
        <f ca="1">_xll.BInterpol('Base CDI'!$H$4:$H$28,'Base CDI'!$I$4:$I$29,S1793,"Cubic","Extrapolate=Linear","MultiX=Average","Skip=True","Sort=True")</f>
        <v>14.796952661414265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47500</v>
      </c>
      <c r="T1794" s="43">
        <f ca="1">_xll.BInterpol('Base CDI'!$H$4:$H$28,'Base CDI'!$J$4:$J$29,S1794,"Cubic","Extrapolate=Linear","MultiX=Average","Skip=True","Sort=True")</f>
        <v>14.749384325804632</v>
      </c>
      <c r="U1794" s="43">
        <f ca="1">_xll.BInterpol('Base CDI'!$H$4:$H$28,'Base CDI'!$I$4:$I$29,S1794,"Cubic","Extrapolate=Linear","MultiX=Average","Skip=True","Sort=True")</f>
        <v>14.797088078841993</v>
      </c>
    </row>
    <row r="1795" spans="16:21" x14ac:dyDescent="0.25">
      <c r="P1795" s="10">
        <v>37124</v>
      </c>
      <c r="Q1795">
        <v>6.520022</v>
      </c>
      <c r="S1795" s="42">
        <f t="shared" ca="1" si="32"/>
        <v>47501</v>
      </c>
      <c r="T1795" s="43">
        <f ca="1">_xll.BInterpol('Base CDI'!$H$4:$H$28,'Base CDI'!$J$4:$J$29,S1795,"Cubic","Extrapolate=Linear","MultiX=Average","Skip=True","Sort=True")</f>
        <v>14.749472205209788</v>
      </c>
      <c r="U1795" s="43">
        <f ca="1">_xll.BInterpol('Base CDI'!$H$4:$H$28,'Base CDI'!$I$4:$I$29,S1795,"Cubic","Extrapolate=Linear","MultiX=Average","Skip=True","Sort=True")</f>
        <v>14.797222961398635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47502</v>
      </c>
      <c r="T1796" s="43">
        <f ca="1">_xll.BInterpol('Base CDI'!$H$4:$H$28,'Base CDI'!$J$4:$J$29,S1796,"Cubic","Extrapolate=Linear","MultiX=Average","Skip=True","Sort=True")</f>
        <v>14.749559541512939</v>
      </c>
      <c r="U1796" s="43">
        <f ca="1">_xll.BInterpol('Base CDI'!$H$4:$H$28,'Base CDI'!$I$4:$I$29,S1796,"Cubic","Extrapolate=Linear","MultiX=Average","Skip=True","Sort=True")</f>
        <v>14.797357310255551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47503</v>
      </c>
      <c r="T1797" s="43">
        <f ca="1">_xll.BInterpol('Base CDI'!$H$4:$H$28,'Base CDI'!$J$4:$J$29,S1797,"Cubic","Extrapolate=Linear","MultiX=Average","Skip=True","Sort=True")</f>
        <v>14.749646336129505</v>
      </c>
      <c r="U1797" s="43">
        <f ca="1">_xll.BInterpol('Base CDI'!$H$4:$H$28,'Base CDI'!$I$4:$I$29,S1797,"Cubic","Extrapolate=Linear","MultiX=Average","Skip=True","Sort=True")</f>
        <v>14.797491126584099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47504</v>
      </c>
      <c r="T1798" s="43">
        <f ca="1">_xll.BInterpol('Base CDI'!$H$4:$H$28,'Base CDI'!$J$4:$J$29,S1798,"Cubic","Extrapolate=Linear","MultiX=Average","Skip=True","Sort=True")</f>
        <v>14.749732590474911</v>
      </c>
      <c r="U1798" s="43">
        <f ca="1">_xll.BInterpol('Base CDI'!$H$4:$H$28,'Base CDI'!$I$4:$I$29,S1798,"Cubic","Extrapolate=Linear","MultiX=Average","Skip=True","Sort=True")</f>
        <v>14.79762441155564</v>
      </c>
    </row>
    <row r="1799" spans="16:21" x14ac:dyDescent="0.25">
      <c r="P1799" s="10">
        <v>37130</v>
      </c>
      <c r="Q1799">
        <v>6.538087</v>
      </c>
      <c r="S1799" s="42">
        <f t="shared" ca="1" si="32"/>
        <v>47505</v>
      </c>
      <c r="T1799" s="43">
        <f ca="1">_xll.BInterpol('Base CDI'!$H$4:$H$28,'Base CDI'!$J$4:$J$29,S1799,"Cubic","Extrapolate=Linear","MultiX=Average","Skip=True","Sort=True")</f>
        <v>14.749818305964576</v>
      </c>
      <c r="U1799" s="43">
        <f ca="1">_xll.BInterpol('Base CDI'!$H$4:$H$28,'Base CDI'!$I$4:$I$29,S1799,"Cubic","Extrapolate=Linear","MultiX=Average","Skip=True","Sort=True")</f>
        <v>14.797757166341535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47506</v>
      </c>
      <c r="T1800" s="43">
        <f ca="1">_xll.BInterpol('Base CDI'!$H$4:$H$28,'Base CDI'!$J$4:$J$29,S1800,"Cubic","Extrapolate=Linear","MultiX=Average","Skip=True","Sort=True")</f>
        <v>14.749903484013922</v>
      </c>
      <c r="U1800" s="43">
        <f ca="1">_xll.BInterpol('Base CDI'!$H$4:$H$28,'Base CDI'!$I$4:$I$29,S1800,"Cubic","Extrapolate=Linear","MultiX=Average","Skip=True","Sort=True")</f>
        <v>14.797889392113145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47507</v>
      </c>
      <c r="T1801" s="43">
        <f ca="1">_xll.BInterpol('Base CDI'!$H$4:$H$28,'Base CDI'!$J$4:$J$29,S1801,"Cubic","Extrapolate=Linear","MultiX=Average","Skip=True","Sort=True")</f>
        <v>14.749988126038371</v>
      </c>
      <c r="U1801" s="43">
        <f ca="1">_xll.BInterpol('Base CDI'!$H$4:$H$28,'Base CDI'!$I$4:$I$29,S1801,"Cubic","Extrapolate=Linear","MultiX=Average","Skip=True","Sort=True")</f>
        <v>14.798021090041829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47508</v>
      </c>
      <c r="T1802" s="43">
        <f ca="1">_xll.BInterpol('Base CDI'!$H$4:$H$28,'Base CDI'!$J$4:$J$29,S1802,"Cubic","Extrapolate=Linear","MultiX=Average","Skip=True","Sort=True")</f>
        <v>14.750072233453345</v>
      </c>
      <c r="U1802" s="43">
        <f ca="1">_xll.BInterpol('Base CDI'!$H$4:$H$28,'Base CDI'!$I$4:$I$29,S1802,"Cubic","Extrapolate=Linear","MultiX=Average","Skip=True","Sort=True")</f>
        <v>14.798152261298949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47509</v>
      </c>
      <c r="T1803" s="43">
        <f ca="1">_xll.BInterpol('Base CDI'!$H$4:$H$28,'Base CDI'!$J$4:$J$29,S1803,"Cubic","Extrapolate=Linear","MultiX=Average","Skip=True","Sort=True")</f>
        <v>14.750155807674265</v>
      </c>
      <c r="U1803" s="43">
        <f ca="1">_xll.BInterpol('Base CDI'!$H$4:$H$28,'Base CDI'!$I$4:$I$29,S1803,"Cubic","Extrapolate=Linear","MultiX=Average","Skip=True","Sort=True")</f>
        <v>14.798282907055864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47510</v>
      </c>
      <c r="T1804" s="43">
        <f ca="1">_xll.BInterpol('Base CDI'!$H$4:$H$28,'Base CDI'!$J$4:$J$29,S1804,"Cubic","Extrapolate=Linear","MultiX=Average","Skip=True","Sort=True")</f>
        <v>14.750238850116553</v>
      </c>
      <c r="U1804" s="43">
        <f ca="1">_xll.BInterpol('Base CDI'!$H$4:$H$28,'Base CDI'!$I$4:$I$29,S1804,"Cubic","Extrapolate=Linear","MultiX=Average","Skip=True","Sort=True")</f>
        <v>14.798413028483935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47511</v>
      </c>
      <c r="T1805" s="43">
        <f ca="1">_xll.BInterpol('Base CDI'!$H$4:$H$28,'Base CDI'!$J$4:$J$29,S1805,"Cubic","Extrapolate=Linear","MultiX=Average","Skip=True","Sort=True")</f>
        <v>14.75032136219563</v>
      </c>
      <c r="U1805" s="43">
        <f ca="1">_xll.BInterpol('Base CDI'!$H$4:$H$28,'Base CDI'!$I$4:$I$29,S1805,"Cubic","Extrapolate=Linear","MultiX=Average","Skip=True","Sort=True")</f>
        <v>14.798542626754523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47512</v>
      </c>
      <c r="T1806" s="43">
        <f ca="1">_xll.BInterpol('Base CDI'!$H$4:$H$28,'Base CDI'!$J$4:$J$29,S1806,"Cubic","Extrapolate=Linear","MultiX=Average","Skip=True","Sort=True")</f>
        <v>14.750403345326916</v>
      </c>
      <c r="U1806" s="43">
        <f ca="1">_xll.BInterpol('Base CDI'!$H$4:$H$28,'Base CDI'!$I$4:$I$29,S1806,"Cubic","Extrapolate=Linear","MultiX=Average","Skip=True","Sort=True")</f>
        <v>14.798671703038989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47513</v>
      </c>
      <c r="T1807" s="43">
        <f ca="1">_xll.BInterpol('Base CDI'!$H$4:$H$28,'Base CDI'!$J$4:$J$29,S1807,"Cubic","Extrapolate=Linear","MultiX=Average","Skip=True","Sort=True")</f>
        <v>14.750484800925836</v>
      </c>
      <c r="U1807" s="43">
        <f ca="1">_xll.BInterpol('Base CDI'!$H$4:$H$28,'Base CDI'!$I$4:$I$29,S1807,"Cubic","Extrapolate=Linear","MultiX=Average","Skip=True","Sort=True")</f>
        <v>14.798800258508692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47514</v>
      </c>
      <c r="T1808" s="43">
        <f ca="1">_xll.BInterpol('Base CDI'!$H$4:$H$28,'Base CDI'!$J$4:$J$29,S1808,"Cubic","Extrapolate=Linear","MultiX=Average","Skip=True","Sort=True")</f>
        <v>14.750565730407811</v>
      </c>
      <c r="U1808" s="43">
        <f ca="1">_xll.BInterpol('Base CDI'!$H$4:$H$28,'Base CDI'!$I$4:$I$29,S1808,"Cubic","Extrapolate=Linear","MultiX=Average","Skip=True","Sort=True")</f>
        <v>14.79892829433499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47515</v>
      </c>
      <c r="T1809" s="43">
        <f ca="1">_xll.BInterpol('Base CDI'!$H$4:$H$28,'Base CDI'!$J$4:$J$29,S1809,"Cubic","Extrapolate=Linear","MultiX=Average","Skip=True","Sort=True")</f>
        <v>14.75064613518826</v>
      </c>
      <c r="U1809" s="43">
        <f ca="1">_xll.BInterpol('Base CDI'!$H$4:$H$28,'Base CDI'!$I$4:$I$29,S1809,"Cubic","Extrapolate=Linear","MultiX=Average","Skip=True","Sort=True")</f>
        <v>14.799055811689248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47516</v>
      </c>
      <c r="T1810" s="43">
        <f ca="1">_xll.BInterpol('Base CDI'!$H$4:$H$28,'Base CDI'!$J$4:$J$29,S1810,"Cubic","Extrapolate=Linear","MultiX=Average","Skip=True","Sort=True")</f>
        <v>14.750726016682606</v>
      </c>
      <c r="U1810" s="43">
        <f ca="1">_xll.BInterpol('Base CDI'!$H$4:$H$28,'Base CDI'!$I$4:$I$29,S1810,"Cubic","Extrapolate=Linear","MultiX=Average","Skip=True","Sort=True")</f>
        <v>14.799182811742826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47517</v>
      </c>
      <c r="T1811" s="43">
        <f ca="1">_xll.BInterpol('Base CDI'!$H$4:$H$28,'Base CDI'!$J$4:$J$29,S1811,"Cubic","Extrapolate=Linear","MultiX=Average","Skip=True","Sort=True")</f>
        <v>14.750805376306271</v>
      </c>
      <c r="U1811" s="43">
        <f ca="1">_xll.BInterpol('Base CDI'!$H$4:$H$28,'Base CDI'!$I$4:$I$29,S1811,"Cubic","Extrapolate=Linear","MultiX=Average","Skip=True","Sort=True")</f>
        <v>14.799309295667081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47518</v>
      </c>
      <c r="T1812" s="43">
        <f ca="1">_xll.BInterpol('Base CDI'!$H$4:$H$28,'Base CDI'!$J$4:$J$29,S1812,"Cubic","Extrapolate=Linear","MultiX=Average","Skip=True","Sort=True")</f>
        <v>14.750884215474677</v>
      </c>
      <c r="U1812" s="43">
        <f ca="1">_xll.BInterpol('Base CDI'!$H$4:$H$28,'Base CDI'!$I$4:$I$29,S1812,"Cubic","Extrapolate=Linear","MultiX=Average","Skip=True","Sort=True")</f>
        <v>14.799435264633377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47519</v>
      </c>
      <c r="T1813" s="43">
        <f ca="1">_xll.BInterpol('Base CDI'!$H$4:$H$28,'Base CDI'!$J$4:$J$29,S1813,"Cubic","Extrapolate=Linear","MultiX=Average","Skip=True","Sort=True")</f>
        <v>14.750962535603245</v>
      </c>
      <c r="U1813" s="43">
        <f ca="1">_xll.BInterpol('Base CDI'!$H$4:$H$28,'Base CDI'!$I$4:$I$29,S1813,"Cubic","Extrapolate=Linear","MultiX=Average","Skip=True","Sort=True")</f>
        <v>14.799560719813071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47520</v>
      </c>
      <c r="T1814" s="43">
        <f ca="1">_xll.BInterpol('Base CDI'!$H$4:$H$28,'Base CDI'!$J$4:$J$29,S1814,"Cubic","Extrapolate=Linear","MultiX=Average","Skip=True","Sort=True")</f>
        <v>14.751040338107396</v>
      </c>
      <c r="U1814" s="43">
        <f ca="1">_xll.BInterpol('Base CDI'!$H$4:$H$28,'Base CDI'!$I$4:$I$29,S1814,"Cubic","Extrapolate=Linear","MultiX=Average","Skip=True","Sort=True")</f>
        <v>14.799685662377527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47521</v>
      </c>
      <c r="T1815" s="43">
        <f ca="1">_xll.BInterpol('Base CDI'!$H$4:$H$28,'Base CDI'!$J$4:$J$29,S1815,"Cubic","Extrapolate=Linear","MultiX=Average","Skip=True","Sort=True")</f>
        <v>14.751117624402553</v>
      </c>
      <c r="U1815" s="43">
        <f ca="1">_xll.BInterpol('Base CDI'!$H$4:$H$28,'Base CDI'!$I$4:$I$29,S1815,"Cubic","Extrapolate=Linear","MultiX=Average","Skip=True","Sort=True")</f>
        <v>14.799810093498103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47522</v>
      </c>
      <c r="T1816" s="43">
        <f ca="1">_xll.BInterpol('Base CDI'!$H$4:$H$28,'Base CDI'!$J$4:$J$29,S1816,"Cubic","Extrapolate=Linear","MultiX=Average","Skip=True","Sort=True")</f>
        <v>14.751194395904136</v>
      </c>
      <c r="U1816" s="43">
        <f ca="1">_xll.BInterpol('Base CDI'!$H$4:$H$28,'Base CDI'!$I$4:$I$29,S1816,"Cubic","Extrapolate=Linear","MultiX=Average","Skip=True","Sort=True")</f>
        <v>14.79993401434616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47523</v>
      </c>
      <c r="T1817" s="43">
        <f ca="1">_xll.BInterpol('Base CDI'!$H$4:$H$28,'Base CDI'!$J$4:$J$29,S1817,"Cubic","Extrapolate=Linear","MultiX=Average","Skip=True","Sort=True")</f>
        <v>14.751270654027568</v>
      </c>
      <c r="U1817" s="43">
        <f ca="1">_xll.BInterpol('Base CDI'!$H$4:$H$28,'Base CDI'!$I$4:$I$29,S1817,"Cubic","Extrapolate=Linear","MultiX=Average","Skip=True","Sort=True")</f>
        <v>14.800057426093058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47524</v>
      </c>
      <c r="T1818" s="43">
        <f ca="1">_xll.BInterpol('Base CDI'!$H$4:$H$28,'Base CDI'!$J$4:$J$29,S1818,"Cubic","Extrapolate=Linear","MultiX=Average","Skip=True","Sort=True")</f>
        <v>14.75134640018827</v>
      </c>
      <c r="U1818" s="43">
        <f ca="1">_xll.BInterpol('Base CDI'!$H$4:$H$28,'Base CDI'!$I$4:$I$29,S1818,"Cubic","Extrapolate=Linear","MultiX=Average","Skip=True","Sort=True")</f>
        <v>14.800180329910159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47525</v>
      </c>
      <c r="T1819" s="43">
        <f ca="1">_xll.BInterpol('Base CDI'!$H$4:$H$28,'Base CDI'!$J$4:$J$29,S1819,"Cubic","Extrapolate=Linear","MultiX=Average","Skip=True","Sort=True")</f>
        <v>14.751421635801663</v>
      </c>
      <c r="U1819" s="43">
        <f ca="1">_xll.BInterpol('Base CDI'!$H$4:$H$28,'Base CDI'!$I$4:$I$29,S1819,"Cubic","Extrapolate=Linear","MultiX=Average","Skip=True","Sort=True")</f>
        <v>14.800302726968823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47526</v>
      </c>
      <c r="T1820" s="43">
        <f ca="1">_xll.BInterpol('Base CDI'!$H$4:$H$28,'Base CDI'!$J$4:$J$29,S1820,"Cubic","Extrapolate=Linear","MultiX=Average","Skip=True","Sort=True")</f>
        <v>14.751496362283168</v>
      </c>
      <c r="U1820" s="43">
        <f ca="1">_xll.BInterpol('Base CDI'!$H$4:$H$28,'Base CDI'!$I$4:$I$29,S1820,"Cubic","Extrapolate=Linear","MultiX=Average","Skip=True","Sort=True")</f>
        <v>14.800424618440408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47527</v>
      </c>
      <c r="T1821" s="43">
        <f ca="1">_xll.BInterpol('Base CDI'!$H$4:$H$28,'Base CDI'!$J$4:$J$29,S1821,"Cubic","Extrapolate=Linear","MultiX=Average","Skip=True","Sort=True")</f>
        <v>14.75157058104821</v>
      </c>
      <c r="U1821" s="43">
        <f ca="1">_xll.BInterpol('Base CDI'!$H$4:$H$28,'Base CDI'!$I$4:$I$29,S1821,"Cubic","Extrapolate=Linear","MultiX=Average","Skip=True","Sort=True")</f>
        <v>14.800546005496278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47528</v>
      </c>
      <c r="T1822" s="43">
        <f ca="1">_xll.BInterpol('Base CDI'!$H$4:$H$28,'Base CDI'!$J$4:$J$29,S1822,"Cubic","Extrapolate=Linear","MultiX=Average","Skip=True","Sort=True")</f>
        <v>14.751644293512207</v>
      </c>
      <c r="U1822" s="43">
        <f ca="1">_xll.BInterpol('Base CDI'!$H$4:$H$28,'Base CDI'!$I$4:$I$29,S1822,"Cubic","Extrapolate=Linear","MultiX=Average","Skip=True","Sort=True")</f>
        <v>14.80066688930779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47529</v>
      </c>
      <c r="T1823" s="43">
        <f ca="1">_xll.BInterpol('Base CDI'!$H$4:$H$28,'Base CDI'!$J$4:$J$29,S1823,"Cubic","Extrapolate=Linear","MultiX=Average","Skip=True","Sort=True")</f>
        <v>14.751717501090582</v>
      </c>
      <c r="U1823" s="43">
        <f ca="1">_xll.BInterpol('Base CDI'!$H$4:$H$28,'Base CDI'!$I$4:$I$29,S1823,"Cubic","Extrapolate=Linear","MultiX=Average","Skip=True","Sort=True")</f>
        <v>14.800787271046307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47530</v>
      </c>
      <c r="T1824" s="43">
        <f ca="1">_xll.BInterpol('Base CDI'!$H$4:$H$28,'Base CDI'!$J$4:$J$29,S1824,"Cubic","Extrapolate=Linear","MultiX=Average","Skip=True","Sort=True")</f>
        <v>14.751790205198757</v>
      </c>
      <c r="U1824" s="43">
        <f ca="1">_xll.BInterpol('Base CDI'!$H$4:$H$28,'Base CDI'!$I$4:$I$29,S1824,"Cubic","Extrapolate=Linear","MultiX=Average","Skip=True","Sort=True")</f>
        <v>14.800907151883189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47531</v>
      </c>
      <c r="T1825" s="43">
        <f ca="1">_xll.BInterpol('Base CDI'!$H$4:$H$28,'Base CDI'!$J$4:$J$29,S1825,"Cubic","Extrapolate=Linear","MultiX=Average","Skip=True","Sort=True")</f>
        <v>14.751862407252151</v>
      </c>
      <c r="U1825" s="43">
        <f ca="1">_xll.BInterpol('Base CDI'!$H$4:$H$28,'Base CDI'!$I$4:$I$29,S1825,"Cubic","Extrapolate=Linear","MultiX=Average","Skip=True","Sort=True")</f>
        <v>14.801026532989795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47532</v>
      </c>
      <c r="T1826" s="43">
        <f ca="1">_xll.BInterpol('Base CDI'!$H$4:$H$28,'Base CDI'!$J$4:$J$29,S1826,"Cubic","Extrapolate=Linear","MultiX=Average","Skip=True","Sort=True")</f>
        <v>14.751934108666191</v>
      </c>
      <c r="U1826" s="43">
        <f ca="1">_xll.BInterpol('Base CDI'!$H$4:$H$28,'Base CDI'!$I$4:$I$29,S1826,"Cubic","Extrapolate=Linear","MultiX=Average","Skip=True","Sort=True")</f>
        <v>14.801145415537487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47533</v>
      </c>
      <c r="T1827" s="43">
        <f ca="1">_xll.BInterpol('Base CDI'!$H$4:$H$28,'Base CDI'!$J$4:$J$29,S1827,"Cubic","Extrapolate=Linear","MultiX=Average","Skip=True","Sort=True")</f>
        <v>14.752005310856292</v>
      </c>
      <c r="U1827" s="43">
        <f ca="1">_xll.BInterpol('Base CDI'!$H$4:$H$28,'Base CDI'!$I$4:$I$29,S1827,"Cubic","Extrapolate=Linear","MultiX=Average","Skip=True","Sort=True")</f>
        <v>14.801263800697624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47534</v>
      </c>
      <c r="T1828" s="43">
        <f ca="1">_xll.BInterpol('Base CDI'!$H$4:$H$28,'Base CDI'!$J$4:$J$29,S1828,"Cubic","Extrapolate=Linear","MultiX=Average","Skip=True","Sort=True")</f>
        <v>14.752076015237881</v>
      </c>
      <c r="U1828" s="43">
        <f ca="1">_xll.BInterpol('Base CDI'!$H$4:$H$28,'Base CDI'!$I$4:$I$29,S1828,"Cubic","Extrapolate=Linear","MultiX=Average","Skip=True","Sort=True")</f>
        <v>14.801381689641568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47535</v>
      </c>
      <c r="T1829" s="43">
        <f ca="1">_xll.BInterpol('Base CDI'!$H$4:$H$28,'Base CDI'!$J$4:$J$29,S1829,"Cubic","Extrapolate=Linear","MultiX=Average","Skip=True","Sort=True")</f>
        <v>14.752146223226378</v>
      </c>
      <c r="U1829" s="43">
        <f ca="1">_xll.BInterpol('Base CDI'!$H$4:$H$28,'Base CDI'!$I$4:$I$29,S1829,"Cubic","Extrapolate=Linear","MultiX=Average","Skip=True","Sort=True")</f>
        <v>14.801499083540678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47536</v>
      </c>
      <c r="T1830" s="43">
        <f ca="1">_xll.BInterpol('Base CDI'!$H$4:$H$28,'Base CDI'!$J$4:$J$29,S1830,"Cubic","Extrapolate=Linear","MultiX=Average","Skip=True","Sort=True")</f>
        <v>14.752215936237201</v>
      </c>
      <c r="U1830" s="43">
        <f ca="1">_xll.BInterpol('Base CDI'!$H$4:$H$28,'Base CDI'!$I$4:$I$29,S1830,"Cubic","Extrapolate=Linear","MultiX=Average","Skip=True","Sort=True")</f>
        <v>14.801615983566315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47537</v>
      </c>
      <c r="T1831" s="43">
        <f ca="1">_xll.BInterpol('Base CDI'!$H$4:$H$28,'Base CDI'!$J$4:$J$29,S1831,"Cubic","Extrapolate=Linear","MultiX=Average","Skip=True","Sort=True")</f>
        <v>14.752285155685778</v>
      </c>
      <c r="U1831" s="43">
        <f ca="1">_xll.BInterpol('Base CDI'!$H$4:$H$28,'Base CDI'!$I$4:$I$29,S1831,"Cubic","Extrapolate=Linear","MultiX=Average","Skip=True","Sort=True")</f>
        <v>14.801732390889839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47538</v>
      </c>
      <c r="T1832" s="43">
        <f ca="1">_xll.BInterpol('Base CDI'!$H$4:$H$28,'Base CDI'!$J$4:$J$29,S1832,"Cubic","Extrapolate=Linear","MultiX=Average","Skip=True","Sort=True")</f>
        <v>14.752353882987524</v>
      </c>
      <c r="U1832" s="43">
        <f ca="1">_xll.BInterpol('Base CDI'!$H$4:$H$28,'Base CDI'!$I$4:$I$29,S1832,"Cubic","Extrapolate=Linear","MultiX=Average","Skip=True","Sort=True")</f>
        <v>14.801848306682611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47539</v>
      </c>
      <c r="T1833" s="43">
        <f ca="1">_xll.BInterpol('Base CDI'!$H$4:$H$28,'Base CDI'!$J$4:$J$29,S1833,"Cubic","Extrapolate=Linear","MultiX=Average","Skip=True","Sort=True")</f>
        <v>14.752422119557867</v>
      </c>
      <c r="U1833" s="43">
        <f ca="1">_xll.BInterpol('Base CDI'!$H$4:$H$28,'Base CDI'!$I$4:$I$29,S1833,"Cubic","Extrapolate=Linear","MultiX=Average","Skip=True","Sort=True")</f>
        <v>14.801963732115993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47540</v>
      </c>
      <c r="T1834" s="43">
        <f ca="1">_xll.BInterpol('Base CDI'!$H$4:$H$28,'Base CDI'!$J$4:$J$29,S1834,"Cubic","Extrapolate=Linear","MultiX=Average","Skip=True","Sort=True")</f>
        <v>14.752489866812223</v>
      </c>
      <c r="U1834" s="43">
        <f ca="1">_xll.BInterpol('Base CDI'!$H$4:$H$28,'Base CDI'!$I$4:$I$29,S1834,"Cubic","Extrapolate=Linear","MultiX=Average","Skip=True","Sort=True")</f>
        <v>14.802078668361341</v>
      </c>
    </row>
    <row r="1835" spans="16:21" x14ac:dyDescent="0.25">
      <c r="P1835" s="10">
        <v>37182</v>
      </c>
      <c r="Q1835">
        <v>6.702979</v>
      </c>
      <c r="S1835" s="42">
        <f t="shared" ca="1" si="33"/>
        <v>47541</v>
      </c>
      <c r="T1835" s="43">
        <f ca="1">_xll.BInterpol('Base CDI'!$H$4:$H$28,'Base CDI'!$J$4:$J$29,S1835,"Cubic","Extrapolate=Linear","MultiX=Average","Skip=True","Sort=True")</f>
        <v>14.752557126166018</v>
      </c>
      <c r="U1835" s="43">
        <f ca="1">_xll.BInterpol('Base CDI'!$H$4:$H$28,'Base CDI'!$I$4:$I$29,S1835,"Cubic","Extrapolate=Linear","MultiX=Average","Skip=True","Sort=True")</f>
        <v>14.80219311659002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47542</v>
      </c>
      <c r="T1836" s="43">
        <f ca="1">_xll.BInterpol('Base CDI'!$H$4:$H$28,'Base CDI'!$J$4:$J$29,S1836,"Cubic","Extrapolate=Linear","MultiX=Average","Skip=True","Sort=True")</f>
        <v>14.752623899034669</v>
      </c>
      <c r="U1836" s="43">
        <f ca="1">_xll.BInterpol('Base CDI'!$H$4:$H$28,'Base CDI'!$I$4:$I$29,S1836,"Cubic","Extrapolate=Linear","MultiX=Average","Skip=True","Sort=True")</f>
        <v>14.802307077973389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47543</v>
      </c>
      <c r="T1837" s="43">
        <f ca="1">_xll.BInterpol('Base CDI'!$H$4:$H$28,'Base CDI'!$J$4:$J$29,S1837,"Cubic","Extrapolate=Linear","MultiX=Average","Skip=True","Sort=True")</f>
        <v>14.752690186833602</v>
      </c>
      <c r="U1837" s="43">
        <f ca="1">_xll.BInterpol('Base CDI'!$H$4:$H$28,'Base CDI'!$I$4:$I$29,S1837,"Cubic","Extrapolate=Linear","MultiX=Average","Skip=True","Sort=True")</f>
        <v>14.802420553682808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47544</v>
      </c>
      <c r="T1838" s="43">
        <f ca="1">_xll.BInterpol('Base CDI'!$H$4:$H$28,'Base CDI'!$J$4:$J$29,S1838,"Cubic","Extrapolate=Linear","MultiX=Average","Skip=True","Sort=True")</f>
        <v>14.752755990978237</v>
      </c>
      <c r="U1838" s="43">
        <f ca="1">_xll.BInterpol('Base CDI'!$H$4:$H$28,'Base CDI'!$I$4:$I$29,S1838,"Cubic","Extrapolate=Linear","MultiX=Average","Skip=True","Sort=True")</f>
        <v>14.802533544889636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47545</v>
      </c>
      <c r="T1839" s="43">
        <f ca="1">_xll.BInterpol('Base CDI'!$H$4:$H$28,'Base CDI'!$J$4:$J$29,S1839,"Cubic","Extrapolate=Linear","MultiX=Average","Skip=True","Sort=True")</f>
        <v>14.752821312883993</v>
      </c>
      <c r="U1839" s="43">
        <f ca="1">_xll.BInterpol('Base CDI'!$H$4:$H$28,'Base CDI'!$I$4:$I$29,S1839,"Cubic","Extrapolate=Linear","MultiX=Average","Skip=True","Sort=True")</f>
        <v>14.802646052765235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47546</v>
      </c>
      <c r="T1840" s="43">
        <f ca="1">_xll.BInterpol('Base CDI'!$H$4:$H$28,'Base CDI'!$J$4:$J$29,S1840,"Cubic","Extrapolate=Linear","MultiX=Average","Skip=True","Sort=True")</f>
        <v>14.752886153966298</v>
      </c>
      <c r="U1840" s="43">
        <f ca="1">_xll.BInterpol('Base CDI'!$H$4:$H$28,'Base CDI'!$I$4:$I$29,S1840,"Cubic","Extrapolate=Linear","MultiX=Average","Skip=True","Sort=True")</f>
        <v>14.802758078480966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47547</v>
      </c>
      <c r="T1841" s="43">
        <f ca="1">_xll.BInterpol('Base CDI'!$H$4:$H$28,'Base CDI'!$J$4:$J$29,S1841,"Cubic","Extrapolate=Linear","MultiX=Average","Skip=True","Sort=True")</f>
        <v>14.752950515640565</v>
      </c>
      <c r="U1841" s="43">
        <f ca="1">_xll.BInterpol('Base CDI'!$H$4:$H$28,'Base CDI'!$I$4:$I$29,S1841,"Cubic","Extrapolate=Linear","MultiX=Average","Skip=True","Sort=True")</f>
        <v>14.802869623208188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47548</v>
      </c>
      <c r="T1842" s="43">
        <f ca="1">_xll.BInterpol('Base CDI'!$H$4:$H$28,'Base CDI'!$J$4:$J$29,S1842,"Cubic","Extrapolate=Linear","MultiX=Average","Skip=True","Sort=True")</f>
        <v>14.753014399322224</v>
      </c>
      <c r="U1842" s="43">
        <f ca="1">_xll.BInterpol('Base CDI'!$H$4:$H$28,'Base CDI'!$I$4:$I$29,S1842,"Cubic","Extrapolate=Linear","MultiX=Average","Skip=True","Sort=True")</f>
        <v>14.802980688118263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47549</v>
      </c>
      <c r="T1843" s="43">
        <f ca="1">_xll.BInterpol('Base CDI'!$H$4:$H$28,'Base CDI'!$J$4:$J$29,S1843,"Cubic","Extrapolate=Linear","MultiX=Average","Skip=True","Sort=True")</f>
        <v>14.75307780642669</v>
      </c>
      <c r="U1843" s="43">
        <f ca="1">_xll.BInterpol('Base CDI'!$H$4:$H$28,'Base CDI'!$I$4:$I$29,S1843,"Cubic","Extrapolate=Linear","MultiX=Average","Skip=True","Sort=True")</f>
        <v>14.803091274382549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47550</v>
      </c>
      <c r="T1844" s="43">
        <f ca="1">_xll.BInterpol('Base CDI'!$H$4:$H$28,'Base CDI'!$J$4:$J$29,S1844,"Cubic","Extrapolate=Linear","MultiX=Average","Skip=True","Sort=True")</f>
        <v>14.753140738369389</v>
      </c>
      <c r="U1844" s="43">
        <f ca="1">_xll.BInterpol('Base CDI'!$H$4:$H$28,'Base CDI'!$I$4:$I$29,S1844,"Cubic","Extrapolate=Linear","MultiX=Average","Skip=True","Sort=True")</f>
        <v>14.803201383172409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47551</v>
      </c>
      <c r="T1845" s="43">
        <f ca="1">_xll.BInterpol('Base CDI'!$H$4:$H$28,'Base CDI'!$J$4:$J$29,S1845,"Cubic","Extrapolate=Linear","MultiX=Average","Skip=True","Sort=True")</f>
        <v>14.753203196565741</v>
      </c>
      <c r="U1845" s="43">
        <f ca="1">_xll.BInterpol('Base CDI'!$H$4:$H$28,'Base CDI'!$I$4:$I$29,S1845,"Cubic","Extrapolate=Linear","MultiX=Average","Skip=True","Sort=True")</f>
        <v>14.803311015659203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47552</v>
      </c>
      <c r="T1846" s="43">
        <f ca="1">_xll.BInterpol('Base CDI'!$H$4:$H$28,'Base CDI'!$J$4:$J$29,S1846,"Cubic","Extrapolate=Linear","MultiX=Average","Skip=True","Sort=True")</f>
        <v>14.753265182431166</v>
      </c>
      <c r="U1846" s="43">
        <f ca="1">_xll.BInterpol('Base CDI'!$H$4:$H$28,'Base CDI'!$I$4:$I$29,S1846,"Cubic","Extrapolate=Linear","MultiX=Average","Skip=True","Sort=True")</f>
        <v>14.80342017301429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47553</v>
      </c>
      <c r="T1847" s="43">
        <f ca="1">_xll.BInterpol('Base CDI'!$H$4:$H$28,'Base CDI'!$J$4:$J$29,S1847,"Cubic","Extrapolate=Linear","MultiX=Average","Skip=True","Sort=True")</f>
        <v>14.753326697381087</v>
      </c>
      <c r="U1847" s="43">
        <f ca="1">_xll.BInterpol('Base CDI'!$H$4:$H$28,'Base CDI'!$I$4:$I$29,S1847,"Cubic","Extrapolate=Linear","MultiX=Average","Skip=True","Sort=True")</f>
        <v>14.803528856409031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47554</v>
      </c>
      <c r="T1848" s="43">
        <f ca="1">_xll.BInterpol('Base CDI'!$H$4:$H$28,'Base CDI'!$J$4:$J$29,S1848,"Cubic","Extrapolate=Linear","MultiX=Average","Skip=True","Sort=True")</f>
        <v>14.753387742830927</v>
      </c>
      <c r="U1848" s="43">
        <f ca="1">_xll.BInterpol('Base CDI'!$H$4:$H$28,'Base CDI'!$I$4:$I$29,S1848,"Cubic","Extrapolate=Linear","MultiX=Average","Skip=True","Sort=True")</f>
        <v>14.803637067014787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47555</v>
      </c>
      <c r="T1849" s="43">
        <f ca="1">_xll.BInterpol('Base CDI'!$H$4:$H$28,'Base CDI'!$J$4:$J$29,S1849,"Cubic","Extrapolate=Linear","MultiX=Average","Skip=True","Sort=True")</f>
        <v>14.753448320196107</v>
      </c>
      <c r="U1849" s="43">
        <f ca="1">_xll.BInterpol('Base CDI'!$H$4:$H$28,'Base CDI'!$I$4:$I$29,S1849,"Cubic","Extrapolate=Linear","MultiX=Average","Skip=True","Sort=True")</f>
        <v>14.803744806002916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47556</v>
      </c>
      <c r="T1850" s="43">
        <f ca="1">_xll.BInterpol('Base CDI'!$H$4:$H$28,'Base CDI'!$J$4:$J$29,S1850,"Cubic","Extrapolate=Linear","MultiX=Average","Skip=True","Sort=True")</f>
        <v>14.753508430892046</v>
      </c>
      <c r="U1850" s="43">
        <f ca="1">_xll.BInterpol('Base CDI'!$H$4:$H$28,'Base CDI'!$I$4:$I$29,S1850,"Cubic","Extrapolate=Linear","MultiX=Average","Skip=True","Sort=True")</f>
        <v>14.803852074544784</v>
      </c>
    </row>
    <row r="1851" spans="16:21" x14ac:dyDescent="0.25">
      <c r="P1851" s="10">
        <v>37207</v>
      </c>
      <c r="Q1851">
        <v>6.777552</v>
      </c>
      <c r="S1851" s="42">
        <f t="shared" ca="1" si="33"/>
        <v>47557</v>
      </c>
      <c r="T1851" s="43">
        <f ca="1">_xll.BInterpol('Base CDI'!$H$4:$H$28,'Base CDI'!$J$4:$J$29,S1851,"Cubic","Extrapolate=Linear","MultiX=Average","Skip=True","Sort=True")</f>
        <v>14.753568076334169</v>
      </c>
      <c r="U1851" s="43">
        <f ca="1">_xll.BInterpol('Base CDI'!$H$4:$H$28,'Base CDI'!$I$4:$I$29,S1851,"Cubic","Extrapolate=Linear","MultiX=Average","Skip=True","Sort=True")</f>
        <v>14.803958873811744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47558</v>
      </c>
      <c r="T1852" s="43">
        <f ca="1">_xll.BInterpol('Base CDI'!$H$4:$H$28,'Base CDI'!$J$4:$J$29,S1852,"Cubic","Extrapolate=Linear","MultiX=Average","Skip=True","Sort=True")</f>
        <v>14.753627257937895</v>
      </c>
      <c r="U1852" s="43">
        <f ca="1">_xll.BInterpol('Base CDI'!$H$4:$H$28,'Base CDI'!$I$4:$I$29,S1852,"Cubic","Extrapolate=Linear","MultiX=Average","Skip=True","Sort=True")</f>
        <v>14.804065204975164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47559</v>
      </c>
      <c r="T1853" s="43">
        <f ca="1">_xll.BInterpol('Base CDI'!$H$4:$H$28,'Base CDI'!$J$4:$J$29,S1853,"Cubic","Extrapolate=Linear","MultiX=Average","Skip=True","Sort=True")</f>
        <v>14.753685977118646</v>
      </c>
      <c r="U1853" s="43">
        <f ca="1">_xll.BInterpol('Base CDI'!$H$4:$H$28,'Base CDI'!$I$4:$I$29,S1853,"Cubic","Extrapolate=Linear","MultiX=Average","Skip=True","Sort=True")</f>
        <v>14.804171069206399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47560</v>
      </c>
      <c r="T1854" s="43">
        <f ca="1">_xll.BInterpol('Base CDI'!$H$4:$H$28,'Base CDI'!$J$4:$J$29,S1854,"Cubic","Extrapolate=Linear","MultiX=Average","Skip=True","Sort=True")</f>
        <v>14.753744235291846</v>
      </c>
      <c r="U1854" s="43">
        <f ca="1">_xll.BInterpol('Base CDI'!$H$4:$H$28,'Base CDI'!$I$4:$I$29,S1854,"Cubic","Extrapolate=Linear","MultiX=Average","Skip=True","Sort=True")</f>
        <v>14.804276467676811</v>
      </c>
    </row>
    <row r="1855" spans="16:21" x14ac:dyDescent="0.25">
      <c r="P1855" s="10">
        <v>37214</v>
      </c>
      <c r="Q1855">
        <v>6.796335</v>
      </c>
      <c r="S1855" s="42">
        <f t="shared" ca="1" si="33"/>
        <v>47561</v>
      </c>
      <c r="T1855" s="43">
        <f ca="1">_xll.BInterpol('Base CDI'!$H$4:$H$28,'Base CDI'!$J$4:$J$29,S1855,"Cubic","Extrapolate=Linear","MultiX=Average","Skip=True","Sort=True")</f>
        <v>14.753802033872914</v>
      </c>
      <c r="U1855" s="43">
        <f ca="1">_xll.BInterpol('Base CDI'!$H$4:$H$28,'Base CDI'!$I$4:$I$29,S1855,"Cubic","Extrapolate=Linear","MultiX=Average","Skip=True","Sort=True")</f>
        <v>14.804381401557761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47562</v>
      </c>
      <c r="T1856" s="43">
        <f ca="1">_xll.BInterpol('Base CDI'!$H$4:$H$28,'Base CDI'!$J$4:$J$29,S1856,"Cubic","Extrapolate=Linear","MultiX=Average","Skip=True","Sort=True")</f>
        <v>14.753859374277271</v>
      </c>
      <c r="U1856" s="43">
        <f ca="1">_xll.BInterpol('Base CDI'!$H$4:$H$28,'Base CDI'!$I$4:$I$29,S1856,"Cubic","Extrapolate=Linear","MultiX=Average","Skip=True","Sort=True")</f>
        <v>14.804485872020608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47563</v>
      </c>
      <c r="T1857" s="43">
        <f ca="1">_xll.BInterpol('Base CDI'!$H$4:$H$28,'Base CDI'!$J$4:$J$29,S1857,"Cubic","Extrapolate=Linear","MultiX=Average","Skip=True","Sort=True")</f>
        <v>14.753916257920341</v>
      </c>
      <c r="U1857" s="43">
        <f ca="1">_xll.BInterpol('Base CDI'!$H$4:$H$28,'Base CDI'!$I$4:$I$29,S1857,"Cubic","Extrapolate=Linear","MultiX=Average","Skip=True","Sort=True")</f>
        <v>14.804589880236716</v>
      </c>
    </row>
    <row r="1858" spans="16:21" x14ac:dyDescent="0.25">
      <c r="P1858" s="10">
        <v>37217</v>
      </c>
      <c r="Q1858">
        <v>6.810454</v>
      </c>
      <c r="S1858" s="42">
        <f t="shared" ca="1" si="33"/>
        <v>47564</v>
      </c>
      <c r="T1858" s="43">
        <f ca="1">_xll.BInterpol('Base CDI'!$H$4:$H$28,'Base CDI'!$J$4:$J$29,S1858,"Cubic","Extrapolate=Linear","MultiX=Average","Skip=True","Sort=True")</f>
        <v>14.753972686217546</v>
      </c>
      <c r="U1858" s="43">
        <f ca="1">_xll.BInterpol('Base CDI'!$H$4:$H$28,'Base CDI'!$I$4:$I$29,S1858,"Cubic","Extrapolate=Linear","MultiX=Average","Skip=True","Sort=True")</f>
        <v>14.80469342737744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47565</v>
      </c>
      <c r="T1859" s="43">
        <f ca="1">_xll.BInterpol('Base CDI'!$H$4:$H$28,'Base CDI'!$J$4:$J$29,S1859,"Cubic","Extrapolate=Linear","MultiX=Average","Skip=True","Sort=True")</f>
        <v>14.754028660584305</v>
      </c>
      <c r="U1859" s="43">
        <f ca="1">_xll.BInterpol('Base CDI'!$H$4:$H$28,'Base CDI'!$I$4:$I$29,S1859,"Cubic","Extrapolate=Linear","MultiX=Average","Skip=True","Sort=True")</f>
        <v>14.804796514614145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47566</v>
      </c>
      <c r="T1860" s="43">
        <f ca="1">_xll.BInterpol('Base CDI'!$H$4:$H$28,'Base CDI'!$J$4:$J$29,S1860,"Cubic","Extrapolate=Linear","MultiX=Average","Skip=True","Sort=True")</f>
        <v>14.75408418243604</v>
      </c>
      <c r="U1860" s="43">
        <f ca="1">_xll.BInterpol('Base CDI'!$H$4:$H$28,'Base CDI'!$I$4:$I$29,S1860,"Cubic","Extrapolate=Linear","MultiX=Average","Skip=True","Sort=True")</f>
        <v>14.804899143118188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47567</v>
      </c>
      <c r="T1861" s="43">
        <f ca="1">_xll.BInterpol('Base CDI'!$H$4:$H$28,'Base CDI'!$J$4:$J$29,S1861,"Cubic","Extrapolate=Linear","MultiX=Average","Skip=True","Sort=True")</f>
        <v>14.754139253188175</v>
      </c>
      <c r="U1861" s="43">
        <f ca="1">_xll.BInterpol('Base CDI'!$H$4:$H$28,'Base CDI'!$I$4:$I$29,S1861,"Cubic","Extrapolate=Linear","MultiX=Average","Skip=True","Sort=True")</f>
        <v>14.805001314060933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47568</v>
      </c>
      <c r="T1862" s="43">
        <f ca="1">_xll.BInterpol('Base CDI'!$H$4:$H$28,'Base CDI'!$J$4:$J$29,S1862,"Cubic","Extrapolate=Linear","MultiX=Average","Skip=True","Sort=True")</f>
        <v>14.75419387425613</v>
      </c>
      <c r="U1862" s="43">
        <f ca="1">_xll.BInterpol('Base CDI'!$H$4:$H$28,'Base CDI'!$I$4:$I$29,S1862,"Cubic","Extrapolate=Linear","MultiX=Average","Skip=True","Sort=True")</f>
        <v>14.805103028613738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47569</v>
      </c>
      <c r="T1863" s="43">
        <f ca="1">_xll.BInterpol('Base CDI'!$H$4:$H$28,'Base CDI'!$J$4:$J$29,S1863,"Cubic","Extrapolate=Linear","MultiX=Average","Skip=True","Sort=True")</f>
        <v>14.754248047055325</v>
      </c>
      <c r="U1863" s="43">
        <f ca="1">_xll.BInterpol('Base CDI'!$H$4:$H$28,'Base CDI'!$I$4:$I$29,S1863,"Cubic","Extrapolate=Linear","MultiX=Average","Skip=True","Sort=True")</f>
        <v>14.805204287947962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47570</v>
      </c>
      <c r="T1864" s="43">
        <f ca="1">_xll.BInterpol('Base CDI'!$H$4:$H$28,'Base CDI'!$J$4:$J$29,S1864,"Cubic","Extrapolate=Linear","MultiX=Average","Skip=True","Sort=True")</f>
        <v>14.754301773001185</v>
      </c>
      <c r="U1864" s="43">
        <f ca="1">_xll.BInterpol('Base CDI'!$H$4:$H$28,'Base CDI'!$I$4:$I$29,S1864,"Cubic","Extrapolate=Linear","MultiX=Average","Skip=True","Sort=True")</f>
        <v>14.805305093234969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47571</v>
      </c>
      <c r="T1865" s="43">
        <f ca="1">_xll.BInterpol('Base CDI'!$H$4:$H$28,'Base CDI'!$J$4:$J$29,S1865,"Cubic","Extrapolate=Linear","MultiX=Average","Skip=True","Sort=True")</f>
        <v>14.754355053509128</v>
      </c>
      <c r="U1865" s="43">
        <f ca="1">_xll.BInterpol('Base CDI'!$H$4:$H$28,'Base CDI'!$I$4:$I$29,S1865,"Cubic","Extrapolate=Linear","MultiX=Average","Skip=True","Sort=True")</f>
        <v>14.805405445646118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47572</v>
      </c>
      <c r="T1866" s="43">
        <f ca="1">_xll.BInterpol('Base CDI'!$H$4:$H$28,'Base CDI'!$J$4:$J$29,S1866,"Cubic","Extrapolate=Linear","MultiX=Average","Skip=True","Sort=True")</f>
        <v>14.754407889994578</v>
      </c>
      <c r="U1866" s="43">
        <f ca="1">_xll.BInterpol('Base CDI'!$H$4:$H$28,'Base CDI'!$I$4:$I$29,S1866,"Cubic","Extrapolate=Linear","MultiX=Average","Skip=True","Sort=True")</f>
        <v>14.805505346352769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47573</v>
      </c>
      <c r="T1867" s="43">
        <f ca="1">_xll.BInterpol('Base CDI'!$H$4:$H$28,'Base CDI'!$J$4:$J$29,S1867,"Cubic","Extrapolate=Linear","MultiX=Average","Skip=True","Sort=True")</f>
        <v>14.754460283872957</v>
      </c>
      <c r="U1867" s="43">
        <f ca="1">_xll.BInterpol('Base CDI'!$H$4:$H$28,'Base CDI'!$I$4:$I$29,S1867,"Cubic","Extrapolate=Linear","MultiX=Average","Skip=True","Sort=True")</f>
        <v>14.805604796526282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47574</v>
      </c>
      <c r="T1868" s="43">
        <f ca="1">_xll.BInterpol('Base CDI'!$H$4:$H$28,'Base CDI'!$J$4:$J$29,S1868,"Cubic","Extrapolate=Linear","MultiX=Average","Skip=True","Sort=True")</f>
        <v>14.754512236559684</v>
      </c>
      <c r="U1868" s="43">
        <f ca="1">_xll.BInterpol('Base CDI'!$H$4:$H$28,'Base CDI'!$I$4:$I$29,S1868,"Cubic","Extrapolate=Linear","MultiX=Average","Skip=True","Sort=True")</f>
        <v>14.805703797338019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47575</v>
      </c>
      <c r="T1869" s="43">
        <f ca="1">_xll.BInterpol('Base CDI'!$H$4:$H$28,'Base CDI'!$J$4:$J$29,S1869,"Cubic","Extrapolate=Linear","MultiX=Average","Skip=True","Sort=True")</f>
        <v>14.754563749470183</v>
      </c>
      <c r="U1869" s="43">
        <f ca="1">_xll.BInterpol('Base CDI'!$H$4:$H$28,'Base CDI'!$I$4:$I$29,S1869,"Cubic","Extrapolate=Linear","MultiX=Average","Skip=True","Sort=True")</f>
        <v>14.80580234995934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47576</v>
      </c>
      <c r="T1870" s="43">
        <f ca="1">_xll.BInterpol('Base CDI'!$H$4:$H$28,'Base CDI'!$J$4:$J$29,S1870,"Cubic","Extrapolate=Linear","MultiX=Average","Skip=True","Sort=True")</f>
        <v>14.754614824019875</v>
      </c>
      <c r="U1870" s="43">
        <f ca="1">_xll.BInterpol('Base CDI'!$H$4:$H$28,'Base CDI'!$I$4:$I$29,S1870,"Cubic","Extrapolate=Linear","MultiX=Average","Skip=True","Sort=True")</f>
        <v>14.805900455561604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47577</v>
      </c>
      <c r="T1871" s="43">
        <f ca="1">_xll.BInterpol('Base CDI'!$H$4:$H$28,'Base CDI'!$J$4:$J$29,S1871,"Cubic","Extrapolate=Linear","MultiX=Average","Skip=True","Sort=True")</f>
        <v>14.75466546162418</v>
      </c>
      <c r="U1871" s="43">
        <f ca="1">_xll.BInterpol('Base CDI'!$H$4:$H$28,'Base CDI'!$I$4:$I$29,S1871,"Cubic","Extrapolate=Linear","MultiX=Average","Skip=True","Sort=True")</f>
        <v>14.805998115316171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47578</v>
      </c>
      <c r="T1872" s="43">
        <f ca="1">_xll.BInterpol('Base CDI'!$H$4:$H$28,'Base CDI'!$J$4:$J$29,S1872,"Cubic","Extrapolate=Linear","MultiX=Average","Skip=True","Sort=True")</f>
        <v>14.754715663698521</v>
      </c>
      <c r="U1872" s="43">
        <f ca="1">_xll.BInterpol('Base CDI'!$H$4:$H$28,'Base CDI'!$I$4:$I$29,S1872,"Cubic","Extrapolate=Linear","MultiX=Average","Skip=True","Sort=True")</f>
        <v>14.806095330394404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47579</v>
      </c>
      <c r="T1873" s="43">
        <f ca="1">_xll.BInterpol('Base CDI'!$H$4:$H$28,'Base CDI'!$J$4:$J$29,S1873,"Cubic","Extrapolate=Linear","MultiX=Average","Skip=True","Sort=True")</f>
        <v>14.754765431658321</v>
      </c>
      <c r="U1873" s="43">
        <f ca="1">_xll.BInterpol('Base CDI'!$H$4:$H$28,'Base CDI'!$I$4:$I$29,S1873,"Cubic","Extrapolate=Linear","MultiX=Average","Skip=True","Sort=True")</f>
        <v>14.806192101967662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47580</v>
      </c>
      <c r="T1874" s="43">
        <f ca="1">_xll.BInterpol('Base CDI'!$H$4:$H$28,'Base CDI'!$J$4:$J$29,S1874,"Cubic","Extrapolate=Linear","MultiX=Average","Skip=True","Sort=True")</f>
        <v>14.754814766918997</v>
      </c>
      <c r="U1874" s="43">
        <f ca="1">_xll.BInterpol('Base CDI'!$H$4:$H$28,'Base CDI'!$I$4:$I$29,S1874,"Cubic","Extrapolate=Linear","MultiX=Average","Skip=True","Sort=True")</f>
        <v>14.806288431207307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47581</v>
      </c>
      <c r="T1875" s="43">
        <f ca="1">_xll.BInterpol('Base CDI'!$H$4:$H$28,'Base CDI'!$J$4:$J$29,S1875,"Cubic","Extrapolate=Linear","MultiX=Average","Skip=True","Sort=True")</f>
        <v>14.754863670895977</v>
      </c>
      <c r="U1875" s="43">
        <f ca="1">_xll.BInterpol('Base CDI'!$H$4:$H$28,'Base CDI'!$I$4:$I$29,S1875,"Cubic","Extrapolate=Linear","MultiX=Average","Skip=True","Sort=True")</f>
        <v>14.806384319284696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47582</v>
      </c>
      <c r="T1876" s="43">
        <f ca="1">_xll.BInterpol('Base CDI'!$H$4:$H$28,'Base CDI'!$J$4:$J$29,S1876,"Cubic","Extrapolate=Linear","MultiX=Average","Skip=True","Sort=True")</f>
        <v>14.754912145004678</v>
      </c>
      <c r="U1876" s="43">
        <f ca="1">_xll.BInterpol('Base CDI'!$H$4:$H$28,'Base CDI'!$I$4:$I$29,S1876,"Cubic","Extrapolate=Linear","MultiX=Average","Skip=True","Sort=True")</f>
        <v>14.806479767371192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47583</v>
      </c>
      <c r="T1877" s="43">
        <f ca="1">_xll.BInterpol('Base CDI'!$H$4:$H$28,'Base CDI'!$J$4:$J$29,S1877,"Cubic","Extrapolate=Linear","MultiX=Average","Skip=True","Sort=True")</f>
        <v>14.754960190660523</v>
      </c>
      <c r="U1877" s="43">
        <f ca="1">_xll.BInterpol('Base CDI'!$H$4:$H$28,'Base CDI'!$I$4:$I$29,S1877,"Cubic","Extrapolate=Linear","MultiX=Average","Skip=True","Sort=True")</f>
        <v>14.806574776638154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47584</v>
      </c>
      <c r="T1878" s="43">
        <f ca="1">_xll.BInterpol('Base CDI'!$H$4:$H$28,'Base CDI'!$J$4:$J$29,S1878,"Cubic","Extrapolate=Linear","MultiX=Average","Skip=True","Sort=True")</f>
        <v>14.755007809278933</v>
      </c>
      <c r="U1878" s="43">
        <f ca="1">_xll.BInterpol('Base CDI'!$H$4:$H$28,'Base CDI'!$I$4:$I$29,S1878,"Cubic","Extrapolate=Linear","MultiX=Average","Skip=True","Sort=True")</f>
        <v>14.806669348256944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47585</v>
      </c>
      <c r="T1879" s="43">
        <f ca="1">_xll.BInterpol('Base CDI'!$H$4:$H$28,'Base CDI'!$J$4:$J$29,S1879,"Cubic","Extrapolate=Linear","MultiX=Average","Skip=True","Sort=True")</f>
        <v>14.755055002275331</v>
      </c>
      <c r="U1879" s="43">
        <f ca="1">_xll.BInterpol('Base CDI'!$H$4:$H$28,'Base CDI'!$I$4:$I$29,S1879,"Cubic","Extrapolate=Linear","MultiX=Average","Skip=True","Sort=True")</f>
        <v>14.806763483398923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47586</v>
      </c>
      <c r="T1880" s="43">
        <f ca="1">_xll.BInterpol('Base CDI'!$H$4:$H$28,'Base CDI'!$J$4:$J$29,S1880,"Cubic","Extrapolate=Linear","MultiX=Average","Skip=True","Sort=True")</f>
        <v>14.755101771065137</v>
      </c>
      <c r="U1880" s="43">
        <f ca="1">_xll.BInterpol('Base CDI'!$H$4:$H$28,'Base CDI'!$I$4:$I$29,S1880,"Cubic","Extrapolate=Linear","MultiX=Average","Skip=True","Sort=True")</f>
        <v>14.806857183235449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47587</v>
      </c>
      <c r="T1881" s="43">
        <f ca="1">_xll.BInterpol('Base CDI'!$H$4:$H$28,'Base CDI'!$J$4:$J$29,S1881,"Cubic","Extrapolate=Linear","MultiX=Average","Skip=True","Sort=True")</f>
        <v>14.755148117063772</v>
      </c>
      <c r="U1881" s="43">
        <f ca="1">_xll.BInterpol('Base CDI'!$H$4:$H$28,'Base CDI'!$I$4:$I$29,S1881,"Cubic","Extrapolate=Linear","MultiX=Average","Skip=True","Sort=True")</f>
        <v>14.806950448937883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47588</v>
      </c>
      <c r="T1882" s="43">
        <f ca="1">_xll.BInterpol('Base CDI'!$H$4:$H$28,'Base CDI'!$J$4:$J$29,S1882,"Cubic","Extrapolate=Linear","MultiX=Average","Skip=True","Sort=True")</f>
        <v>14.755194041686661</v>
      </c>
      <c r="U1882" s="43">
        <f ca="1">_xll.BInterpol('Base CDI'!$H$4:$H$28,'Base CDI'!$I$4:$I$29,S1882,"Cubic","Extrapolate=Linear","MultiX=Average","Skip=True","Sort=True")</f>
        <v>14.807043281677586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47589</v>
      </c>
      <c r="T1883" s="43">
        <f ca="1">_xll.BInterpol('Base CDI'!$H$4:$H$28,'Base CDI'!$J$4:$J$29,S1883,"Cubic","Extrapolate=Linear","MultiX=Average","Skip=True","Sort=True")</f>
        <v>14.755239546349221</v>
      </c>
      <c r="U1883" s="43">
        <f ca="1">_xll.BInterpol('Base CDI'!$H$4:$H$28,'Base CDI'!$I$4:$I$29,S1883,"Cubic","Extrapolate=Linear","MultiX=Average","Skip=True","Sort=True")</f>
        <v>14.807135682625919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47590</v>
      </c>
      <c r="T1884" s="43">
        <f ca="1">_xll.BInterpol('Base CDI'!$H$4:$H$28,'Base CDI'!$J$4:$J$29,S1884,"Cubic","Extrapolate=Linear","MultiX=Average","Skip=True","Sort=True")</f>
        <v>14.755284632466878</v>
      </c>
      <c r="U1884" s="43">
        <f ca="1">_xll.BInterpol('Base CDI'!$H$4:$H$28,'Base CDI'!$I$4:$I$29,S1884,"Cubic","Extrapolate=Linear","MultiX=Average","Skip=True","Sort=True")</f>
        <v>14.807227652954243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47591</v>
      </c>
      <c r="T1885" s="43">
        <f ca="1">_xll.BInterpol('Base CDI'!$H$4:$H$28,'Base CDI'!$J$4:$J$29,S1885,"Cubic","Extrapolate=Linear","MultiX=Average","Skip=True","Sort=True")</f>
        <v>14.755329301455051</v>
      </c>
      <c r="U1885" s="43">
        <f ca="1">_xll.BInterpol('Base CDI'!$H$4:$H$28,'Base CDI'!$I$4:$I$29,S1885,"Cubic","Extrapolate=Linear","MultiX=Average","Skip=True","Sort=True")</f>
        <v>14.807319193833916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47592</v>
      </c>
      <c r="T1886" s="43">
        <f ca="1">_xll.BInterpol('Base CDI'!$H$4:$H$28,'Base CDI'!$J$4:$J$29,S1886,"Cubic","Extrapolate=Linear","MultiX=Average","Skip=True","Sort=True")</f>
        <v>14.755373554729163</v>
      </c>
      <c r="U1886" s="43">
        <f ca="1">_xll.BInterpol('Base CDI'!$H$4:$H$28,'Base CDI'!$I$4:$I$29,S1886,"Cubic","Extrapolate=Linear","MultiX=Average","Skip=True","Sort=True")</f>
        <v>14.807410306436299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47593</v>
      </c>
      <c r="T1887" s="43">
        <f ca="1">_xll.BInterpol('Base CDI'!$H$4:$H$28,'Base CDI'!$J$4:$J$29,S1887,"Cubic","Extrapolate=Linear","MultiX=Average","Skip=True","Sort=True")</f>
        <v>14.755417393704633</v>
      </c>
      <c r="U1887" s="43">
        <f ca="1">_xll.BInterpol('Base CDI'!$H$4:$H$28,'Base CDI'!$I$4:$I$29,S1887,"Cubic","Extrapolate=Linear","MultiX=Average","Skip=True","Sort=True")</f>
        <v>14.807500991932754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47594</v>
      </c>
      <c r="T1888" s="43">
        <f ca="1">_xll.BInterpol('Base CDI'!$H$4:$H$28,'Base CDI'!$J$4:$J$29,S1888,"Cubic","Extrapolate=Linear","MultiX=Average","Skip=True","Sort=True")</f>
        <v>14.755460819796886</v>
      </c>
      <c r="U1888" s="43">
        <f ca="1">_xll.BInterpol('Base CDI'!$H$4:$H$28,'Base CDI'!$I$4:$I$29,S1888,"Cubic","Extrapolate=Linear","MultiX=Average","Skip=True","Sort=True")</f>
        <v>14.807591251494639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47595</v>
      </c>
      <c r="T1889" s="43">
        <f ca="1">_xll.BInterpol('Base CDI'!$H$4:$H$28,'Base CDI'!$J$4:$J$29,S1889,"Cubic","Extrapolate=Linear","MultiX=Average","Skip=True","Sort=True")</f>
        <v>14.75550383442134</v>
      </c>
      <c r="U1889" s="43">
        <f ca="1">_xll.BInterpol('Base CDI'!$H$4:$H$28,'Base CDI'!$I$4:$I$29,S1889,"Cubic","Extrapolate=Linear","MultiX=Average","Skip=True","Sort=True")</f>
        <v>14.807681086293318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47596</v>
      </c>
      <c r="T1890" s="43">
        <f ca="1">_xll.BInterpol('Base CDI'!$H$4:$H$28,'Base CDI'!$J$4:$J$29,S1890,"Cubic","Extrapolate=Linear","MultiX=Average","Skip=True","Sort=True")</f>
        <v>14.75554643899342</v>
      </c>
      <c r="U1890" s="43">
        <f ca="1">_xll.BInterpol('Base CDI'!$H$4:$H$28,'Base CDI'!$I$4:$I$29,S1890,"Cubic","Extrapolate=Linear","MultiX=Average","Skip=True","Sort=True")</f>
        <v>14.807770497500147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47597</v>
      </c>
      <c r="T1891" s="43">
        <f ca="1">_xll.BInterpol('Base CDI'!$H$4:$H$28,'Base CDI'!$J$4:$J$29,S1891,"Cubic","Extrapolate=Linear","MultiX=Average","Skip=True","Sort=True")</f>
        <v>14.755588634928547</v>
      </c>
      <c r="U1891" s="43">
        <f ca="1">_xll.BInterpol('Base CDI'!$H$4:$H$28,'Base CDI'!$I$4:$I$29,S1891,"Cubic","Extrapolate=Linear","MultiX=Average","Skip=True","Sort=True")</f>
        <v>14.807859486286491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47598</v>
      </c>
      <c r="T1892" s="43">
        <f ca="1">_xll.BInterpol('Base CDI'!$H$4:$H$28,'Base CDI'!$J$4:$J$29,S1892,"Cubic","Extrapolate=Linear","MultiX=Average","Skip=True","Sort=True")</f>
        <v>14.75563042364214</v>
      </c>
      <c r="U1892" s="43">
        <f ca="1">_xll.BInterpol('Base CDI'!$H$4:$H$28,'Base CDI'!$I$4:$I$29,S1892,"Cubic","Extrapolate=Linear","MultiX=Average","Skip=True","Sort=True")</f>
        <v>14.807948053823706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47599</v>
      </c>
      <c r="T1893" s="43">
        <f ca="1">_xll.BInterpol('Base CDI'!$H$4:$H$28,'Base CDI'!$J$4:$J$29,S1893,"Cubic","Extrapolate=Linear","MultiX=Average","Skip=True","Sort=True")</f>
        <v>14.755671806549623</v>
      </c>
      <c r="U1893" s="43">
        <f ca="1">_xll.BInterpol('Base CDI'!$H$4:$H$28,'Base CDI'!$I$4:$I$29,S1893,"Cubic","Extrapolate=Linear","MultiX=Average","Skip=True","Sort=True")</f>
        <v>14.808036201283157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47600</v>
      </c>
      <c r="T1894" s="43">
        <f ca="1">_xll.BInterpol('Base CDI'!$H$4:$H$28,'Base CDI'!$J$4:$J$29,S1894,"Cubic","Extrapolate=Linear","MultiX=Average","Skip=True","Sort=True")</f>
        <v>14.755712785066416</v>
      </c>
      <c r="U1894" s="43">
        <f ca="1">_xll.BInterpol('Base CDI'!$H$4:$H$28,'Base CDI'!$I$4:$I$29,S1894,"Cubic","Extrapolate=Linear","MultiX=Average","Skip=True","Sort=True")</f>
        <v>14.808123929836199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47601</v>
      </c>
      <c r="T1895" s="43">
        <f ca="1">_xll.BInterpol('Base CDI'!$H$4:$H$28,'Base CDI'!$J$4:$J$29,S1895,"Cubic","Extrapolate=Linear","MultiX=Average","Skip=True","Sort=True")</f>
        <v>14.755753360607944</v>
      </c>
      <c r="U1895" s="43">
        <f ca="1">_xll.BInterpol('Base CDI'!$H$4:$H$28,'Base CDI'!$I$4:$I$29,S1895,"Cubic","Extrapolate=Linear","MultiX=Average","Skip=True","Sort=True")</f>
        <v>14.808211240654197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47602</v>
      </c>
      <c r="T1896" s="43">
        <f ca="1">_xll.BInterpol('Base CDI'!$H$4:$H$28,'Base CDI'!$J$4:$J$29,S1896,"Cubic","Extrapolate=Linear","MultiX=Average","Skip=True","Sort=True")</f>
        <v>14.755793534589623</v>
      </c>
      <c r="U1896" s="43">
        <f ca="1">_xll.BInterpol('Base CDI'!$H$4:$H$28,'Base CDI'!$I$4:$I$29,S1896,"Cubic","Extrapolate=Linear","MultiX=Average","Skip=True","Sort=True")</f>
        <v>14.808298134908512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47603</v>
      </c>
      <c r="T1897" s="43">
        <f ca="1">_xll.BInterpol('Base CDI'!$H$4:$H$28,'Base CDI'!$J$4:$J$29,S1897,"Cubic","Extrapolate=Linear","MultiX=Average","Skip=True","Sort=True")</f>
        <v>14.75583330842688</v>
      </c>
      <c r="U1897" s="43">
        <f ca="1">_xll.BInterpol('Base CDI'!$H$4:$H$28,'Base CDI'!$I$4:$I$29,S1897,"Cubic","Extrapolate=Linear","MultiX=Average","Skip=True","Sort=True")</f>
        <v>14.8083846137705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47604</v>
      </c>
      <c r="T1898" s="43">
        <f ca="1">_xll.BInterpol('Base CDI'!$H$4:$H$28,'Base CDI'!$J$4:$J$29,S1898,"Cubic","Extrapolate=Linear","MultiX=Average","Skip=True","Sort=True")</f>
        <v>14.755872683535133</v>
      </c>
      <c r="U1898" s="43">
        <f ca="1">_xll.BInterpol('Base CDI'!$H$4:$H$28,'Base CDI'!$I$4:$I$29,S1898,"Cubic","Extrapolate=Linear","MultiX=Average","Skip=True","Sort=True")</f>
        <v>14.808470678411522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47605</v>
      </c>
      <c r="T1899" s="43">
        <f ca="1">_xll.BInterpol('Base CDI'!$H$4:$H$28,'Base CDI'!$J$4:$J$29,S1899,"Cubic","Extrapolate=Linear","MultiX=Average","Skip=True","Sort=True")</f>
        <v>14.755911661329804</v>
      </c>
      <c r="U1899" s="43">
        <f ca="1">_xll.BInterpol('Base CDI'!$H$4:$H$28,'Base CDI'!$I$4:$I$29,S1899,"Cubic","Extrapolate=Linear","MultiX=Average","Skip=True","Sort=True")</f>
        <v>14.808556330002943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47606</v>
      </c>
      <c r="T1900" s="43">
        <f ca="1">_xll.BInterpol('Base CDI'!$H$4:$H$28,'Base CDI'!$J$4:$J$29,S1900,"Cubic","Extrapolate=Linear","MultiX=Average","Skip=True","Sort=True")</f>
        <v>14.755950243226318</v>
      </c>
      <c r="U1900" s="43">
        <f ca="1">_xll.BInterpol('Base CDI'!$H$4:$H$28,'Base CDI'!$I$4:$I$29,S1900,"Cubic","Extrapolate=Linear","MultiX=Average","Skip=True","Sort=True")</f>
        <v>14.808641569716119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47607</v>
      </c>
      <c r="T1901" s="43">
        <f ca="1">_xll.BInterpol('Base CDI'!$H$4:$H$28,'Base CDI'!$J$4:$J$29,S1901,"Cubic","Extrapolate=Linear","MultiX=Average","Skip=True","Sort=True")</f>
        <v>14.755988430640093</v>
      </c>
      <c r="U1901" s="43">
        <f ca="1">_xll.BInterpol('Base CDI'!$H$4:$H$28,'Base CDI'!$I$4:$I$29,S1901,"Cubic","Extrapolate=Linear","MultiX=Average","Skip=True","Sort=True")</f>
        <v>14.808726398722413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47608</v>
      </c>
      <c r="T1902" s="43">
        <f ca="1">_xll.BInterpol('Base CDI'!$H$4:$H$28,'Base CDI'!$J$4:$J$29,S1902,"Cubic","Extrapolate=Linear","MultiX=Average","Skip=True","Sort=True")</f>
        <v>14.756026224986551</v>
      </c>
      <c r="U1902" s="43">
        <f ca="1">_xll.BInterpol('Base CDI'!$H$4:$H$28,'Base CDI'!$I$4:$I$29,S1902,"Cubic","Extrapolate=Linear","MultiX=Average","Skip=True","Sort=True")</f>
        <v>14.808810818193184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47609</v>
      </c>
      <c r="T1903" s="43">
        <f ca="1">_xll.BInterpol('Base CDI'!$H$4:$H$28,'Base CDI'!$J$4:$J$29,S1903,"Cubic","Extrapolate=Linear","MultiX=Average","Skip=True","Sort=True")</f>
        <v>14.756063627681115</v>
      </c>
      <c r="U1903" s="43">
        <f ca="1">_xll.BInterpol('Base CDI'!$H$4:$H$28,'Base CDI'!$I$4:$I$29,S1903,"Cubic","Extrapolate=Linear","MultiX=Average","Skip=True","Sort=True")</f>
        <v>14.808894829299794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47610</v>
      </c>
      <c r="T1904" s="43">
        <f ca="1">_xll.BInterpol('Base CDI'!$H$4:$H$28,'Base CDI'!$J$4:$J$29,S1904,"Cubic","Extrapolate=Linear","MultiX=Average","Skip=True","Sort=True")</f>
        <v>14.756100640139206</v>
      </c>
      <c r="U1904" s="43">
        <f ca="1">_xll.BInterpol('Base CDI'!$H$4:$H$28,'Base CDI'!$I$4:$I$29,S1904,"Cubic","Extrapolate=Linear","MultiX=Average","Skip=True","Sort=True")</f>
        <v>14.8089784332136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47611</v>
      </c>
      <c r="T1905" s="43">
        <f ca="1">_xll.BInterpol('Base CDI'!$H$4:$H$28,'Base CDI'!$J$4:$J$29,S1905,"Cubic","Extrapolate=Linear","MultiX=Average","Skip=True","Sort=True")</f>
        <v>14.756137263776244</v>
      </c>
      <c r="U1905" s="43">
        <f ca="1">_xll.BInterpol('Base CDI'!$H$4:$H$28,'Base CDI'!$I$4:$I$29,S1905,"Cubic","Extrapolate=Linear","MultiX=Average","Skip=True","Sort=True")</f>
        <v>14.809061631105966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47612</v>
      </c>
      <c r="T1906" s="43">
        <f ca="1">_xll.BInterpol('Base CDI'!$H$4:$H$28,'Base CDI'!$J$4:$J$29,S1906,"Cubic","Extrapolate=Linear","MultiX=Average","Skip=True","Sort=True")</f>
        <v>14.756173500007653</v>
      </c>
      <c r="U1906" s="43">
        <f ca="1">_xll.BInterpol('Base CDI'!$H$4:$H$28,'Base CDI'!$I$4:$I$29,S1906,"Cubic","Extrapolate=Linear","MultiX=Average","Skip=True","Sort=True")</f>
        <v>14.809144424148251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47613</v>
      </c>
      <c r="T1907" s="43">
        <f ca="1">_xll.BInterpol('Base CDI'!$H$4:$H$28,'Base CDI'!$J$4:$J$29,S1907,"Cubic","Extrapolate=Linear","MultiX=Average","Skip=True","Sort=True")</f>
        <v>14.756209350248854</v>
      </c>
      <c r="U1907" s="43">
        <f ca="1">_xll.BInterpol('Base CDI'!$H$4:$H$28,'Base CDI'!$I$4:$I$29,S1907,"Cubic","Extrapolate=Linear","MultiX=Average","Skip=True","Sort=True")</f>
        <v>14.809226813511815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47614</v>
      </c>
      <c r="T1908" s="43">
        <f ca="1">_xll.BInterpol('Base CDI'!$H$4:$H$28,'Base CDI'!$J$4:$J$29,S1908,"Cubic","Extrapolate=Linear","MultiX=Average","Skip=True","Sort=True")</f>
        <v>14.756244815915267</v>
      </c>
      <c r="U1908" s="43">
        <f ca="1">_xll.BInterpol('Base CDI'!$H$4:$H$28,'Base CDI'!$I$4:$I$29,S1908,"Cubic","Extrapolate=Linear","MultiX=Average","Skip=True","Sort=True")</f>
        <v>14.809308800368019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47615</v>
      </c>
      <c r="T1909" s="43">
        <f ca="1">_xll.BInterpol('Base CDI'!$H$4:$H$28,'Base CDI'!$J$4:$J$29,S1909,"Cubic","Extrapolate=Linear","MultiX=Average","Skip=True","Sort=True")</f>
        <v>14.756279898422315</v>
      </c>
      <c r="U1909" s="43">
        <f ca="1">_xll.BInterpol('Base CDI'!$H$4:$H$28,'Base CDI'!$I$4:$I$29,S1909,"Cubic","Extrapolate=Linear","MultiX=Average","Skip=True","Sort=True")</f>
        <v>14.809390385888223</v>
      </c>
    </row>
    <row r="1910" spans="16:21" x14ac:dyDescent="0.25">
      <c r="P1910" s="10">
        <v>37293</v>
      </c>
      <c r="Q1910">
        <v>7.059825</v>
      </c>
      <c r="S1910" s="42">
        <f t="shared" ca="1" si="34"/>
        <v>47616</v>
      </c>
      <c r="T1910" s="43">
        <f ca="1">_xll.BInterpol('Base CDI'!$H$4:$H$28,'Base CDI'!$J$4:$J$29,S1910,"Cubic","Extrapolate=Linear","MultiX=Average","Skip=True","Sort=True")</f>
        <v>14.756314599185421</v>
      </c>
      <c r="U1910" s="43">
        <f ca="1">_xll.BInterpol('Base CDI'!$H$4:$H$28,'Base CDI'!$I$4:$I$29,S1910,"Cubic","Extrapolate=Linear","MultiX=Average","Skip=True","Sort=True")</f>
        <v>14.809471571243789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47617</v>
      </c>
      <c r="T1911" s="43">
        <f ca="1">_xll.BInterpol('Base CDI'!$H$4:$H$28,'Base CDI'!$J$4:$J$29,S1911,"Cubic","Extrapolate=Linear","MultiX=Average","Skip=True","Sort=True")</f>
        <v>14.756348919620004</v>
      </c>
      <c r="U1911" s="43">
        <f ca="1">_xll.BInterpol('Base CDI'!$H$4:$H$28,'Base CDI'!$I$4:$I$29,S1911,"Cubic","Extrapolate=Linear","MultiX=Average","Skip=True","Sort=True")</f>
        <v>14.809552357606075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47618</v>
      </c>
      <c r="T1912" s="43">
        <f ca="1">_xll.BInterpol('Base CDI'!$H$4:$H$28,'Base CDI'!$J$4:$J$29,S1912,"Cubic","Extrapolate=Linear","MultiX=Average","Skip=True","Sort=True")</f>
        <v>14.756382861141486</v>
      </c>
      <c r="U1912" s="43">
        <f ca="1">_xll.BInterpol('Base CDI'!$H$4:$H$28,'Base CDI'!$I$4:$I$29,S1912,"Cubic","Extrapolate=Linear","MultiX=Average","Skip=True","Sort=True")</f>
        <v>14.809632746146441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47619</v>
      </c>
      <c r="T1913" s="43">
        <f ca="1">_xll.BInterpol('Base CDI'!$H$4:$H$28,'Base CDI'!$J$4:$J$29,S1913,"Cubic","Extrapolate=Linear","MultiX=Average","Skip=True","Sort=True")</f>
        <v>14.756416425165289</v>
      </c>
      <c r="U1913" s="43">
        <f ca="1">_xll.BInterpol('Base CDI'!$H$4:$H$28,'Base CDI'!$I$4:$I$29,S1913,"Cubic","Extrapolate=Linear","MultiX=Average","Skip=True","Sort=True")</f>
        <v>14.809712738036252</v>
      </c>
    </row>
    <row r="1914" spans="16:21" x14ac:dyDescent="0.25">
      <c r="P1914" s="10">
        <v>37301</v>
      </c>
      <c r="Q1914">
        <v>7.079383</v>
      </c>
      <c r="S1914" s="42">
        <f t="shared" ca="1" si="34"/>
        <v>47620</v>
      </c>
      <c r="T1914" s="43">
        <f ca="1">_xll.BInterpol('Base CDI'!$H$4:$H$28,'Base CDI'!$J$4:$J$29,S1914,"Cubic","Extrapolate=Linear","MultiX=Average","Skip=True","Sort=True")</f>
        <v>14.756449613106836</v>
      </c>
      <c r="U1914" s="43">
        <f ca="1">_xll.BInterpol('Base CDI'!$H$4:$H$28,'Base CDI'!$I$4:$I$29,S1914,"Cubic","Extrapolate=Linear","MultiX=Average","Skip=True","Sort=True")</f>
        <v>14.809792334446865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47621</v>
      </c>
      <c r="T1915" s="43">
        <f ca="1">_xll.BInterpol('Base CDI'!$H$4:$H$28,'Base CDI'!$J$4:$J$29,S1915,"Cubic","Extrapolate=Linear","MultiX=Average","Skip=True","Sort=True")</f>
        <v>14.756482426381547</v>
      </c>
      <c r="U1915" s="43">
        <f ca="1">_xll.BInterpol('Base CDI'!$H$4:$H$28,'Base CDI'!$I$4:$I$29,S1915,"Cubic","Extrapolate=Linear","MultiX=Average","Skip=True","Sort=True")</f>
        <v>14.80987153654964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47622</v>
      </c>
      <c r="T1916" s="43">
        <f ca="1">_xll.BInterpol('Base CDI'!$H$4:$H$28,'Base CDI'!$J$4:$J$29,S1916,"Cubic","Extrapolate=Linear","MultiX=Average","Skip=True","Sort=True")</f>
        <v>14.756514866404842</v>
      </c>
      <c r="U1916" s="43">
        <f ca="1">_xll.BInterpol('Base CDI'!$H$4:$H$28,'Base CDI'!$I$4:$I$29,S1916,"Cubic","Extrapolate=Linear","MultiX=Average","Skip=True","Sort=True")</f>
        <v>14.809950345515938</v>
      </c>
    </row>
    <row r="1917" spans="16:21" x14ac:dyDescent="0.25">
      <c r="P1917" s="10">
        <v>37306</v>
      </c>
      <c r="Q1917">
        <v>7.094087</v>
      </c>
      <c r="S1917" s="42">
        <f t="shared" ca="1" si="34"/>
        <v>47623</v>
      </c>
      <c r="T1917" s="43">
        <f ca="1">_xll.BInterpol('Base CDI'!$H$4:$H$28,'Base CDI'!$J$4:$J$29,S1917,"Cubic","Extrapolate=Linear","MultiX=Average","Skip=True","Sort=True")</f>
        <v>14.756546934592146</v>
      </c>
      <c r="U1917" s="43">
        <f ca="1">_xll.BInterpol('Base CDI'!$H$4:$H$28,'Base CDI'!$I$4:$I$29,S1917,"Cubic","Extrapolate=Linear","MultiX=Average","Skip=True","Sort=True")</f>
        <v>14.810028762517121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47624</v>
      </c>
      <c r="T1918" s="43">
        <f ca="1">_xll.BInterpol('Base CDI'!$H$4:$H$28,'Base CDI'!$J$4:$J$29,S1918,"Cubic","Extrapolate=Linear","MultiX=Average","Skip=True","Sort=True")</f>
        <v>14.756578632358881</v>
      </c>
      <c r="U1918" s="43">
        <f ca="1">_xll.BInterpol('Base CDI'!$H$4:$H$28,'Base CDI'!$I$4:$I$29,S1918,"Cubic","Extrapolate=Linear","MultiX=Average","Skip=True","Sort=True")</f>
        <v>14.810106788724546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47625</v>
      </c>
      <c r="T1919" s="43">
        <f ca="1">_xll.BInterpol('Base CDI'!$H$4:$H$28,'Base CDI'!$J$4:$J$29,S1919,"Cubic","Extrapolate=Linear","MultiX=Average","Skip=True","Sort=True")</f>
        <v>14.756609961120464</v>
      </c>
      <c r="U1919" s="43">
        <f ca="1">_xll.BInterpol('Base CDI'!$H$4:$H$28,'Base CDI'!$I$4:$I$29,S1919,"Cubic","Extrapolate=Linear","MultiX=Average","Skip=True","Sort=True")</f>
        <v>14.810184425309577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47626</v>
      </c>
      <c r="T1920" s="43">
        <f ca="1">_xll.BInterpol('Base CDI'!$H$4:$H$28,'Base CDI'!$J$4:$J$29,S1920,"Cubic","Extrapolate=Linear","MultiX=Average","Skip=True","Sort=True")</f>
        <v>14.75664092229232</v>
      </c>
      <c r="U1920" s="43">
        <f ca="1">_xll.BInterpol('Base CDI'!$H$4:$H$28,'Base CDI'!$I$4:$I$29,S1920,"Cubic","Extrapolate=Linear","MultiX=Average","Skip=True","Sort=True")</f>
        <v>14.810261673443573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47627</v>
      </c>
      <c r="T1921" s="43">
        <f ca="1">_xll.BInterpol('Base CDI'!$H$4:$H$28,'Base CDI'!$J$4:$J$29,S1921,"Cubic","Extrapolate=Linear","MultiX=Average","Skip=True","Sort=True")</f>
        <v>14.75667151728987</v>
      </c>
      <c r="U1921" s="43">
        <f ca="1">_xll.BInterpol('Base CDI'!$H$4:$H$28,'Base CDI'!$I$4:$I$29,S1921,"Cubic","Extrapolate=Linear","MultiX=Average","Skip=True","Sort=True")</f>
        <v>14.810338534297895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47628</v>
      </c>
      <c r="T1922" s="43">
        <f ca="1">_xll.BInterpol('Base CDI'!$H$4:$H$28,'Base CDI'!$J$4:$J$29,S1922,"Cubic","Extrapolate=Linear","MultiX=Average","Skip=True","Sort=True")</f>
        <v>14.756701747528536</v>
      </c>
      <c r="U1922" s="43">
        <f ca="1">_xll.BInterpol('Base CDI'!$H$4:$H$28,'Base CDI'!$I$4:$I$29,S1922,"Cubic","Extrapolate=Linear","MultiX=Average","Skip=True","Sort=True")</f>
        <v>14.810415009043901</v>
      </c>
    </row>
    <row r="1923" spans="16:21" x14ac:dyDescent="0.25">
      <c r="P1923" s="10">
        <v>37314</v>
      </c>
      <c r="Q1923">
        <v>7.123335</v>
      </c>
      <c r="S1923" s="42">
        <f t="shared" ca="1" si="34"/>
        <v>47629</v>
      </c>
      <c r="T1923" s="43">
        <f ca="1">_xll.BInterpol('Base CDI'!$H$4:$H$28,'Base CDI'!$J$4:$J$29,S1923,"Cubic","Extrapolate=Linear","MultiX=Average","Skip=True","Sort=True")</f>
        <v>14.756731614423739</v>
      </c>
      <c r="U1923" s="43">
        <f ca="1">_xll.BInterpol('Base CDI'!$H$4:$H$28,'Base CDI'!$I$4:$I$29,S1923,"Cubic","Extrapolate=Linear","MultiX=Average","Skip=True","Sort=True")</f>
        <v>14.810491098852955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47630</v>
      </c>
      <c r="T1924" s="43">
        <f ca="1">_xll.BInterpol('Base CDI'!$H$4:$H$28,'Base CDI'!$J$4:$J$29,S1924,"Cubic","Extrapolate=Linear","MultiX=Average","Skip=True","Sort=True")</f>
        <v>14.7567611193909</v>
      </c>
      <c r="U1924" s="43">
        <f ca="1">_xll.BInterpol('Base CDI'!$H$4:$H$28,'Base CDI'!$I$4:$I$29,S1924,"Cubic","Extrapolate=Linear","MultiX=Average","Skip=True","Sort=True")</f>
        <v>14.810566804896414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47631</v>
      </c>
      <c r="T1925" s="43">
        <f ca="1">_xll.BInterpol('Base CDI'!$H$4:$H$28,'Base CDI'!$J$4:$J$29,S1925,"Cubic","Extrapolate=Linear","MultiX=Average","Skip=True","Sort=True")</f>
        <v>14.756790263845442</v>
      </c>
      <c r="U1925" s="43">
        <f ca="1">_xll.BInterpol('Base CDI'!$H$4:$H$28,'Base CDI'!$I$4:$I$29,S1925,"Cubic","Extrapolate=Linear","MultiX=Average","Skip=True","Sort=True")</f>
        <v>14.810642128345641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47632</v>
      </c>
      <c r="T1926" s="43">
        <f ca="1">_xll.BInterpol('Base CDI'!$H$4:$H$28,'Base CDI'!$J$4:$J$29,S1926,"Cubic","Extrapolate=Linear","MultiX=Average","Skip=True","Sort=True")</f>
        <v>14.756819049202784</v>
      </c>
      <c r="U1926" s="43">
        <f ca="1">_xll.BInterpol('Base CDI'!$H$4:$H$28,'Base CDI'!$I$4:$I$29,S1926,"Cubic","Extrapolate=Linear","MultiX=Average","Skip=True","Sort=True")</f>
        <v>14.810717070371995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47633</v>
      </c>
      <c r="T1927" s="43">
        <f ca="1">_xll.BInterpol('Base CDI'!$H$4:$H$28,'Base CDI'!$J$4:$J$29,S1927,"Cubic","Extrapolate=Linear","MultiX=Average","Skip=True","Sort=True")</f>
        <v>14.756847476878352</v>
      </c>
      <c r="U1927" s="43">
        <f ca="1">_xll.BInterpol('Base CDI'!$H$4:$H$28,'Base CDI'!$I$4:$I$29,S1927,"Cubic","Extrapolate=Linear","MultiX=Average","Skip=True","Sort=True")</f>
        <v>14.810791632146838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47634</v>
      </c>
      <c r="T1928" s="43">
        <f ca="1">_xll.BInterpol('Base CDI'!$H$4:$H$28,'Base CDI'!$J$4:$J$29,S1928,"Cubic","Extrapolate=Linear","MultiX=Average","Skip=True","Sort=True")</f>
        <v>14.756875548287564</v>
      </c>
      <c r="U1928" s="43">
        <f ca="1">_xll.BInterpol('Base CDI'!$H$4:$H$28,'Base CDI'!$I$4:$I$29,S1928,"Cubic","Extrapolate=Linear","MultiX=Average","Skip=True","Sort=True")</f>
        <v>14.810865814841529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47635</v>
      </c>
      <c r="T1929" s="43">
        <f ca="1">_xll.BInterpol('Base CDI'!$H$4:$H$28,'Base CDI'!$J$4:$J$29,S1929,"Cubic","Extrapolate=Linear","MultiX=Average","Skip=True","Sort=True")</f>
        <v>14.756903264845842</v>
      </c>
      <c r="U1929" s="43">
        <f ca="1">_xll.BInterpol('Base CDI'!$H$4:$H$28,'Base CDI'!$I$4:$I$29,S1929,"Cubic","Extrapolate=Linear","MultiX=Average","Skip=True","Sort=True")</f>
        <v>14.810939619627428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47636</v>
      </c>
      <c r="T1930" s="43">
        <f ca="1">_xll.BInterpol('Base CDI'!$H$4:$H$28,'Base CDI'!$J$4:$J$29,S1930,"Cubic","Extrapolate=Linear","MultiX=Average","Skip=True","Sort=True")</f>
        <v>14.756930627968609</v>
      </c>
      <c r="U1930" s="43">
        <f ca="1">_xll.BInterpol('Base CDI'!$H$4:$H$28,'Base CDI'!$I$4:$I$29,S1930,"Cubic","Extrapolate=Linear","MultiX=Average","Skip=True","Sort=True")</f>
        <v>14.811013047675896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47637</v>
      </c>
      <c r="T1931" s="43">
        <f ca="1">_xll.BInterpol('Base CDI'!$H$4:$H$28,'Base CDI'!$J$4:$J$29,S1931,"Cubic","Extrapolate=Linear","MultiX=Average","Skip=True","Sort=True")</f>
        <v>14.756957639071286</v>
      </c>
      <c r="U1931" s="43">
        <f ca="1">_xll.BInterpol('Base CDI'!$H$4:$H$28,'Base CDI'!$I$4:$I$29,S1931,"Cubic","Extrapolate=Linear","MultiX=Average","Skip=True","Sort=True")</f>
        <v>14.811086100158295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47638</v>
      </c>
      <c r="T1932" s="43">
        <f ca="1">_xll.BInterpol('Base CDI'!$H$4:$H$28,'Base CDI'!$J$4:$J$29,S1932,"Cubic","Extrapolate=Linear","MultiX=Average","Skip=True","Sort=True")</f>
        <v>14.756984299569293</v>
      </c>
      <c r="U1932" s="43">
        <f ca="1">_xll.BInterpol('Base CDI'!$H$4:$H$28,'Base CDI'!$I$4:$I$29,S1932,"Cubic","Extrapolate=Linear","MultiX=Average","Skip=True","Sort=True")</f>
        <v>14.811158778245984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47639</v>
      </c>
      <c r="T1933" s="43">
        <f ca="1">_xll.BInterpol('Base CDI'!$H$4:$H$28,'Base CDI'!$J$4:$J$29,S1933,"Cubic","Extrapolate=Linear","MultiX=Average","Skip=True","Sort=True")</f>
        <v>14.757010610878055</v>
      </c>
      <c r="U1933" s="43">
        <f ca="1">_xll.BInterpol('Base CDI'!$H$4:$H$28,'Base CDI'!$I$4:$I$29,S1933,"Cubic","Extrapolate=Linear","MultiX=Average","Skip=True","Sort=True")</f>
        <v>14.811231083110322</v>
      </c>
    </row>
    <row r="1934" spans="16:21" x14ac:dyDescent="0.25">
      <c r="P1934" s="10">
        <v>37329</v>
      </c>
      <c r="Q1934">
        <v>7.177079</v>
      </c>
      <c r="S1934" s="42">
        <f t="shared" ca="1" si="35"/>
        <v>47640</v>
      </c>
      <c r="T1934" s="43">
        <f ca="1">_xll.BInterpol('Base CDI'!$H$4:$H$28,'Base CDI'!$J$4:$J$29,S1934,"Cubic","Extrapolate=Linear","MultiX=Average","Skip=True","Sort=True")</f>
        <v>14.757036574412989</v>
      </c>
      <c r="U1934" s="43">
        <f ca="1">_xll.BInterpol('Base CDI'!$H$4:$H$28,'Base CDI'!$I$4:$I$29,S1934,"Cubic","Extrapolate=Linear","MultiX=Average","Skip=True","Sort=True")</f>
        <v>14.811303015922672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47641</v>
      </c>
      <c r="T1935" s="43">
        <f ca="1">_xll.BInterpol('Base CDI'!$H$4:$H$28,'Base CDI'!$J$4:$J$29,S1935,"Cubic","Extrapolate=Linear","MultiX=Average","Skip=True","Sort=True")</f>
        <v>14.757062191589522</v>
      </c>
      <c r="U1935" s="43">
        <f ca="1">_xll.BInterpol('Base CDI'!$H$4:$H$28,'Base CDI'!$I$4:$I$29,S1935,"Cubic","Extrapolate=Linear","MultiX=Average","Skip=True","Sort=True")</f>
        <v>14.811374577854393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47642</v>
      </c>
      <c r="T1936" s="43">
        <f ca="1">_xll.BInterpol('Base CDI'!$H$4:$H$28,'Base CDI'!$J$4:$J$29,S1936,"Cubic","Extrapolate=Linear","MultiX=Average","Skip=True","Sort=True")</f>
        <v>14.757087463823071</v>
      </c>
      <c r="U1936" s="43">
        <f ca="1">_xll.BInterpol('Base CDI'!$H$4:$H$28,'Base CDI'!$I$4:$I$29,S1936,"Cubic","Extrapolate=Linear","MultiX=Average","Skip=True","Sort=True")</f>
        <v>14.811445770076846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47643</v>
      </c>
      <c r="T1937" s="43">
        <f ca="1">_xll.BInterpol('Base CDI'!$H$4:$H$28,'Base CDI'!$J$4:$J$29,S1937,"Cubic","Extrapolate=Linear","MultiX=Average","Skip=True","Sort=True")</f>
        <v>14.757112392529059</v>
      </c>
      <c r="U1937" s="43">
        <f ca="1">_xll.BInterpol('Base CDI'!$H$4:$H$28,'Base CDI'!$I$4:$I$29,S1937,"Cubic","Extrapolate=Linear","MultiX=Average","Skip=True","Sort=True")</f>
        <v>14.81151659376139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47644</v>
      </c>
      <c r="T1938" s="43">
        <f ca="1">_xll.BInterpol('Base CDI'!$H$4:$H$28,'Base CDI'!$J$4:$J$29,S1938,"Cubic","Extrapolate=Linear","MultiX=Average","Skip=True","Sort=True")</f>
        <v>14.75713697912291</v>
      </c>
      <c r="U1938" s="43">
        <f ca="1">_xll.BInterpol('Base CDI'!$H$4:$H$28,'Base CDI'!$I$4:$I$29,S1938,"Cubic","Extrapolate=Linear","MultiX=Average","Skip=True","Sort=True")</f>
        <v>14.811587050079387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47645</v>
      </c>
      <c r="T1939" s="43">
        <f ca="1">_xll.BInterpol('Base CDI'!$H$4:$H$28,'Base CDI'!$J$4:$J$29,S1939,"Cubic","Extrapolate=Linear","MultiX=Average","Skip=True","Sort=True")</f>
        <v>14.757161225020042</v>
      </c>
      <c r="U1939" s="43">
        <f ca="1">_xll.BInterpol('Base CDI'!$H$4:$H$28,'Base CDI'!$I$4:$I$29,S1939,"Cubic","Extrapolate=Linear","MultiX=Average","Skip=True","Sort=True")</f>
        <v>14.811657140202197</v>
      </c>
    </row>
    <row r="1940" spans="16:21" x14ac:dyDescent="0.25">
      <c r="P1940" s="10">
        <v>37337</v>
      </c>
      <c r="Q1940">
        <v>7.206423</v>
      </c>
      <c r="S1940" s="42">
        <f t="shared" ca="1" si="35"/>
        <v>47646</v>
      </c>
      <c r="T1940" s="43">
        <f ca="1">_xll.BInterpol('Base CDI'!$H$4:$H$28,'Base CDI'!$J$4:$J$29,S1940,"Cubic","Extrapolate=Linear","MultiX=Average","Skip=True","Sort=True")</f>
        <v>14.757185131635879</v>
      </c>
      <c r="U1940" s="43">
        <f ca="1">_xll.BInterpol('Base CDI'!$H$4:$H$28,'Base CDI'!$I$4:$I$29,S1940,"Cubic","Extrapolate=Linear","MultiX=Average","Skip=True","Sort=True")</f>
        <v>14.81172686530118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47647</v>
      </c>
      <c r="T1941" s="43">
        <f ca="1">_xll.BInterpol('Base CDI'!$H$4:$H$28,'Base CDI'!$J$4:$J$29,S1941,"Cubic","Extrapolate=Linear","MultiX=Average","Skip=True","Sort=True")</f>
        <v>14.75720870038584</v>
      </c>
      <c r="U1941" s="43">
        <f ca="1">_xll.BInterpol('Base CDI'!$H$4:$H$28,'Base CDI'!$I$4:$I$29,S1941,"Cubic","Extrapolate=Linear","MultiX=Average","Skip=True","Sort=True")</f>
        <v>14.811796226547699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47648</v>
      </c>
      <c r="T1942" s="43">
        <f ca="1">_xll.BInterpol('Base CDI'!$H$4:$H$28,'Base CDI'!$J$4:$J$29,S1942,"Cubic","Extrapolate=Linear","MultiX=Average","Skip=True","Sort=True")</f>
        <v>14.75723193268535</v>
      </c>
      <c r="U1942" s="43">
        <f ca="1">_xll.BInterpol('Base CDI'!$H$4:$H$28,'Base CDI'!$I$4:$I$29,S1942,"Cubic","Extrapolate=Linear","MultiX=Average","Skip=True","Sort=True")</f>
        <v>14.81186522511311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47649</v>
      </c>
      <c r="T1943" s="43">
        <f ca="1">_xll.BInterpol('Base CDI'!$H$4:$H$28,'Base CDI'!$J$4:$J$29,S1943,"Cubic","Extrapolate=Linear","MultiX=Average","Skip=True","Sort=True")</f>
        <v>14.757254829949829</v>
      </c>
      <c r="U1943" s="43">
        <f ca="1">_xll.BInterpol('Base CDI'!$H$4:$H$28,'Base CDI'!$I$4:$I$29,S1943,"Cubic","Extrapolate=Linear","MultiX=Average","Skip=True","Sort=True")</f>
        <v>14.811933862168777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47650</v>
      </c>
      <c r="T1944" s="43">
        <f ca="1">_xll.BInterpol('Base CDI'!$H$4:$H$28,'Base CDI'!$J$4:$J$29,S1944,"Cubic","Extrapolate=Linear","MultiX=Average","Skip=True","Sort=True")</f>
        <v>14.757277393594698</v>
      </c>
      <c r="U1944" s="43">
        <f ca="1">_xll.BInterpol('Base CDI'!$H$4:$H$28,'Base CDI'!$I$4:$I$29,S1944,"Cubic","Extrapolate=Linear","MultiX=Average","Skip=True","Sort=True")</f>
        <v>14.812002138886058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47651</v>
      </c>
      <c r="T1945" s="43">
        <f ca="1">_xll.BInterpol('Base CDI'!$H$4:$H$28,'Base CDI'!$J$4:$J$29,S1945,"Cubic","Extrapolate=Linear","MultiX=Average","Skip=True","Sort=True")</f>
        <v>14.757299625035378</v>
      </c>
      <c r="U1945" s="43">
        <f ca="1">_xll.BInterpol('Base CDI'!$H$4:$H$28,'Base CDI'!$I$4:$I$29,S1945,"Cubic","Extrapolate=Linear","MultiX=Average","Skip=True","Sort=True")</f>
        <v>14.812070056436315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47652</v>
      </c>
      <c r="T1946" s="43">
        <f ca="1">_xll.BInterpol('Base CDI'!$H$4:$H$28,'Base CDI'!$J$4:$J$29,S1946,"Cubic","Extrapolate=Linear","MultiX=Average","Skip=True","Sort=True")</f>
        <v>14.757321525687294</v>
      </c>
      <c r="U1946" s="43">
        <f ca="1">_xll.BInterpol('Base CDI'!$H$4:$H$28,'Base CDI'!$I$4:$I$29,S1946,"Cubic","Extrapolate=Linear","MultiX=Average","Skip=True","Sort=True")</f>
        <v>14.812137615990908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47653</v>
      </c>
      <c r="T1947" s="43">
        <f ca="1">_xll.BInterpol('Base CDI'!$H$4:$H$28,'Base CDI'!$J$4:$J$29,S1947,"Cubic","Extrapolate=Linear","MultiX=Average","Skip=True","Sort=True")</f>
        <v>14.757343096965863</v>
      </c>
      <c r="U1947" s="43">
        <f ca="1">_xll.BInterpol('Base CDI'!$H$4:$H$28,'Base CDI'!$I$4:$I$29,S1947,"Cubic","Extrapolate=Linear","MultiX=Average","Skip=True","Sort=True")</f>
        <v>14.812204818721197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47654</v>
      </c>
      <c r="T1948" s="43">
        <f ca="1">_xll.BInterpol('Base CDI'!$H$4:$H$28,'Base CDI'!$J$4:$J$29,S1948,"Cubic","Extrapolate=Linear","MultiX=Average","Skip=True","Sort=True")</f>
        <v>14.757364340286511</v>
      </c>
      <c r="U1948" s="43">
        <f ca="1">_xll.BInterpol('Base CDI'!$H$4:$H$28,'Base CDI'!$I$4:$I$29,S1948,"Cubic","Extrapolate=Linear","MultiX=Average","Skip=True","Sort=True")</f>
        <v>14.812271665798542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47655</v>
      </c>
      <c r="T1949" s="43">
        <f ca="1">_xll.BInterpol('Base CDI'!$H$4:$H$28,'Base CDI'!$J$4:$J$29,S1949,"Cubic","Extrapolate=Linear","MultiX=Average","Skip=True","Sort=True")</f>
        <v>14.757385257064655</v>
      </c>
      <c r="U1949" s="43">
        <f ca="1">_xll.BInterpol('Base CDI'!$H$4:$H$28,'Base CDI'!$I$4:$I$29,S1949,"Cubic","Extrapolate=Linear","MultiX=Average","Skip=True","Sort=True")</f>
        <v>14.812338158394306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47656</v>
      </c>
      <c r="T1950" s="43">
        <f ca="1">_xll.BInterpol('Base CDI'!$H$4:$H$28,'Base CDI'!$J$4:$J$29,S1950,"Cubic","Extrapolate=Linear","MultiX=Average","Skip=True","Sort=True")</f>
        <v>14.75740584871572</v>
      </c>
      <c r="U1950" s="43">
        <f ca="1">_xll.BInterpol('Base CDI'!$H$4:$H$28,'Base CDI'!$I$4:$I$29,S1950,"Cubic","Extrapolate=Linear","MultiX=Average","Skip=True","Sort=True")</f>
        <v>14.812404297679846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47657</v>
      </c>
      <c r="T1951" s="43">
        <f ca="1">_xll.BInterpol('Base CDI'!$H$4:$H$28,'Base CDI'!$J$4:$J$29,S1951,"Cubic","Extrapolate=Linear","MultiX=Average","Skip=True","Sort=True")</f>
        <v>14.757426116655127</v>
      </c>
      <c r="U1951" s="43">
        <f ca="1">_xll.BInterpol('Base CDI'!$H$4:$H$28,'Base CDI'!$I$4:$I$29,S1951,"Cubic","Extrapolate=Linear","MultiX=Average","Skip=True","Sort=True")</f>
        <v>14.812470084826526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47658</v>
      </c>
      <c r="T1952" s="43">
        <f ca="1">_xll.BInterpol('Base CDI'!$H$4:$H$28,'Base CDI'!$J$4:$J$29,S1952,"Cubic","Extrapolate=Linear","MultiX=Average","Skip=True","Sort=True")</f>
        <v>14.757446062298298</v>
      </c>
      <c r="U1952" s="43">
        <f ca="1">_xll.BInterpol('Base CDI'!$H$4:$H$28,'Base CDI'!$I$4:$I$29,S1952,"Cubic","Extrapolate=Linear","MultiX=Average","Skip=True","Sort=True")</f>
        <v>14.812535521005703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47659</v>
      </c>
      <c r="T1953" s="43">
        <f ca="1">_xll.BInterpol('Base CDI'!$H$4:$H$28,'Base CDI'!$J$4:$J$29,S1953,"Cubic","Extrapolate=Linear","MultiX=Average","Skip=True","Sort=True")</f>
        <v>14.757465687060654</v>
      </c>
      <c r="U1953" s="43">
        <f ca="1">_xll.BInterpol('Base CDI'!$H$4:$H$28,'Base CDI'!$I$4:$I$29,S1953,"Cubic","Extrapolate=Linear","MultiX=Average","Skip=True","Sort=True")</f>
        <v>14.812600607388738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47660</v>
      </c>
      <c r="T1954" s="43">
        <f ca="1">_xll.BInterpol('Base CDI'!$H$4:$H$28,'Base CDI'!$J$4:$J$29,S1954,"Cubic","Extrapolate=Linear","MultiX=Average","Skip=True","Sort=True")</f>
        <v>14.757484992357615</v>
      </c>
      <c r="U1954" s="43">
        <f ca="1">_xll.BInterpol('Base CDI'!$H$4:$H$28,'Base CDI'!$I$4:$I$29,S1954,"Cubic","Extrapolate=Linear","MultiX=Average","Skip=True","Sort=True")</f>
        <v>14.812665345146995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47661</v>
      </c>
      <c r="T1955" s="43">
        <f ca="1">_xll.BInterpol('Base CDI'!$H$4:$H$28,'Base CDI'!$J$4:$J$29,S1955,"Cubic","Extrapolate=Linear","MultiX=Average","Skip=True","Sort=True")</f>
        <v>14.757503979604603</v>
      </c>
      <c r="U1955" s="43">
        <f ca="1">_xll.BInterpol('Base CDI'!$H$4:$H$28,'Base CDI'!$I$4:$I$29,S1955,"Cubic","Extrapolate=Linear","MultiX=Average","Skip=True","Sort=True")</f>
        <v>14.81272973545183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47662</v>
      </c>
      <c r="T1956" s="43">
        <f ca="1">_xll.BInterpol('Base CDI'!$H$4:$H$28,'Base CDI'!$J$4:$J$29,S1956,"Cubic","Extrapolate=Linear","MultiX=Average","Skip=True","Sort=True")</f>
        <v>14.757522650217043</v>
      </c>
      <c r="U1956" s="43">
        <f ca="1">_xll.BInterpol('Base CDI'!$H$4:$H$28,'Base CDI'!$I$4:$I$29,S1956,"Cubic","Extrapolate=Linear","MultiX=Average","Skip=True","Sort=True")</f>
        <v>14.812793779474605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47663</v>
      </c>
      <c r="T1957" s="43">
        <f ca="1">_xll.BInterpol('Base CDI'!$H$4:$H$28,'Base CDI'!$J$4:$J$29,S1957,"Cubic","Extrapolate=Linear","MultiX=Average","Skip=True","Sort=True")</f>
        <v>14.757541005610353</v>
      </c>
      <c r="U1957" s="43">
        <f ca="1">_xll.BInterpol('Base CDI'!$H$4:$H$28,'Base CDI'!$I$4:$I$29,S1957,"Cubic","Extrapolate=Linear","MultiX=Average","Skip=True","Sort=True")</f>
        <v>14.812857478386681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47664</v>
      </c>
      <c r="T1958" s="43">
        <f ca="1">_xll.BInterpol('Base CDI'!$H$4:$H$28,'Base CDI'!$J$4:$J$29,S1958,"Cubic","Extrapolate=Linear","MultiX=Average","Skip=True","Sort=True")</f>
        <v>14.757559047199956</v>
      </c>
      <c r="U1958" s="43">
        <f ca="1">_xll.BInterpol('Base CDI'!$H$4:$H$28,'Base CDI'!$I$4:$I$29,S1958,"Cubic","Extrapolate=Linear","MultiX=Average","Skip=True","Sort=True")</f>
        <v>14.812920833359417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47665</v>
      </c>
      <c r="T1959" s="43">
        <f ca="1">_xll.BInterpol('Base CDI'!$H$4:$H$28,'Base CDI'!$J$4:$J$29,S1959,"Cubic","Extrapolate=Linear","MultiX=Average","Skip=True","Sort=True")</f>
        <v>14.757576776401274</v>
      </c>
      <c r="U1959" s="43">
        <f ca="1">_xll.BInterpol('Base CDI'!$H$4:$H$28,'Base CDI'!$I$4:$I$29,S1959,"Cubic","Extrapolate=Linear","MultiX=Average","Skip=True","Sort=True")</f>
        <v>14.812983845564176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47666</v>
      </c>
      <c r="T1960" s="43">
        <f ca="1">_xll.BInterpol('Base CDI'!$H$4:$H$28,'Base CDI'!$J$4:$J$29,S1960,"Cubic","Extrapolate=Linear","MultiX=Average","Skip=True","Sort=True")</f>
        <v>14.757594194629727</v>
      </c>
      <c r="U1960" s="43">
        <f ca="1">_xll.BInterpol('Base CDI'!$H$4:$H$28,'Base CDI'!$I$4:$I$29,S1960,"Cubic","Extrapolate=Linear","MultiX=Average","Skip=True","Sort=True")</f>
        <v>14.813046516172315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47667</v>
      </c>
      <c r="T1961" s="43">
        <f ca="1">_xll.BInterpol('Base CDI'!$H$4:$H$28,'Base CDI'!$J$4:$J$29,S1961,"Cubic","Extrapolate=Linear","MultiX=Average","Skip=True","Sort=True")</f>
        <v>14.757611303300738</v>
      </c>
      <c r="U1961" s="43">
        <f ca="1">_xll.BInterpol('Base CDI'!$H$4:$H$28,'Base CDI'!$I$4:$I$29,S1961,"Cubic","Extrapolate=Linear","MultiX=Average","Skip=True","Sort=True")</f>
        <v>14.813108846355197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47668</v>
      </c>
      <c r="T1962" s="43">
        <f ca="1">_xll.BInterpol('Base CDI'!$H$4:$H$28,'Base CDI'!$J$4:$J$29,S1962,"Cubic","Extrapolate=Linear","MultiX=Average","Skip=True","Sort=True")</f>
        <v>14.757628103829729</v>
      </c>
      <c r="U1962" s="43">
        <f ca="1">_xll.BInterpol('Base CDI'!$H$4:$H$28,'Base CDI'!$I$4:$I$29,S1962,"Cubic","Extrapolate=Linear","MultiX=Average","Skip=True","Sort=True")</f>
        <v>14.813170837284183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47669</v>
      </c>
      <c r="T1963" s="43">
        <f ca="1">_xll.BInterpol('Base CDI'!$H$4:$H$28,'Base CDI'!$J$4:$J$29,S1963,"Cubic","Extrapolate=Linear","MultiX=Average","Skip=True","Sort=True")</f>
        <v>14.757644597632119</v>
      </c>
      <c r="U1963" s="43">
        <f ca="1">_xll.BInterpol('Base CDI'!$H$4:$H$28,'Base CDI'!$I$4:$I$29,S1963,"Cubic","Extrapolate=Linear","MultiX=Average","Skip=True","Sort=True")</f>
        <v>14.81323249013063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47670</v>
      </c>
      <c r="T1964" s="43">
        <f ca="1">_xll.BInterpol('Base CDI'!$H$4:$H$28,'Base CDI'!$J$4:$J$29,S1964,"Cubic","Extrapolate=Linear","MultiX=Average","Skip=True","Sort=True")</f>
        <v>14.757660786123333</v>
      </c>
      <c r="U1964" s="43">
        <f ca="1">_xll.BInterpol('Base CDI'!$H$4:$H$28,'Base CDI'!$I$4:$I$29,S1964,"Cubic","Extrapolate=Linear","MultiX=Average","Skip=True","Sort=True")</f>
        <v>14.813293806065902</v>
      </c>
    </row>
    <row r="1965" spans="16:21" x14ac:dyDescent="0.25">
      <c r="P1965" s="10">
        <v>37375</v>
      </c>
      <c r="Q1965">
        <v>7.328303</v>
      </c>
      <c r="S1965" s="42">
        <f t="shared" ca="1" si="35"/>
        <v>47671</v>
      </c>
      <c r="T1965" s="43">
        <f ca="1">_xll.BInterpol('Base CDI'!$H$4:$H$28,'Base CDI'!$J$4:$J$29,S1965,"Cubic","Extrapolate=Linear","MultiX=Average","Skip=True","Sort=True")</f>
        <v>14.757676670718791</v>
      </c>
      <c r="U1965" s="43">
        <f ca="1">_xll.BInterpol('Base CDI'!$H$4:$H$28,'Base CDI'!$I$4:$I$29,S1965,"Cubic","Extrapolate=Linear","MultiX=Average","Skip=True","Sort=True")</f>
        <v>14.813354786261359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47672</v>
      </c>
      <c r="T1966" s="43">
        <f ca="1">_xll.BInterpol('Base CDI'!$H$4:$H$28,'Base CDI'!$J$4:$J$29,S1966,"Cubic","Extrapolate=Linear","MultiX=Average","Skip=True","Sort=True")</f>
        <v>14.757692252833913</v>
      </c>
      <c r="U1966" s="43">
        <f ca="1">_xll.BInterpol('Base CDI'!$H$4:$H$28,'Base CDI'!$I$4:$I$29,S1966,"Cubic","Extrapolate=Linear","MultiX=Average","Skip=True","Sort=True")</f>
        <v>14.813415431888359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47673</v>
      </c>
      <c r="T1967" s="43">
        <f ca="1">_xll.BInterpol('Base CDI'!$H$4:$H$28,'Base CDI'!$J$4:$J$29,S1967,"Cubic","Extrapolate=Linear","MultiX=Average","Skip=True","Sort=True")</f>
        <v>14.757707533884123</v>
      </c>
      <c r="U1967" s="43">
        <f ca="1">_xll.BInterpol('Base CDI'!$H$4:$H$28,'Base CDI'!$I$4:$I$29,S1967,"Cubic","Extrapolate=Linear","MultiX=Average","Skip=True","Sort=True")</f>
        <v>14.813475744118263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47674</v>
      </c>
      <c r="T1968" s="43">
        <f ca="1">_xll.BInterpol('Base CDI'!$H$4:$H$28,'Base CDI'!$J$4:$J$29,S1968,"Cubic","Extrapolate=Linear","MultiX=Average","Skip=True","Sort=True")</f>
        <v>14.757722515284842</v>
      </c>
      <c r="U1968" s="43">
        <f ca="1">_xll.BInterpol('Base CDI'!$H$4:$H$28,'Base CDI'!$I$4:$I$29,S1968,"Cubic","Extrapolate=Linear","MultiX=Average","Skip=True","Sort=True")</f>
        <v>14.813535724122433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47675</v>
      </c>
      <c r="T1969" s="43">
        <f ca="1">_xll.BInterpol('Base CDI'!$H$4:$H$28,'Base CDI'!$J$4:$J$29,S1969,"Cubic","Extrapolate=Linear","MultiX=Average","Skip=True","Sort=True")</f>
        <v>14.75773719845149</v>
      </c>
      <c r="U1969" s="43">
        <f ca="1">_xll.BInterpol('Base CDI'!$H$4:$H$28,'Base CDI'!$I$4:$I$29,S1969,"Cubic","Extrapolate=Linear","MultiX=Average","Skip=True","Sort=True")</f>
        <v>14.813595373072229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47676</v>
      </c>
      <c r="T1970" s="43">
        <f ca="1">_xll.BInterpol('Base CDI'!$H$4:$H$28,'Base CDI'!$J$4:$J$29,S1970,"Cubic","Extrapolate=Linear","MultiX=Average","Skip=True","Sort=True")</f>
        <v>14.757751584799491</v>
      </c>
      <c r="U1970" s="43">
        <f ca="1">_xll.BInterpol('Base CDI'!$H$4:$H$28,'Base CDI'!$I$4:$I$29,S1970,"Cubic","Extrapolate=Linear","MultiX=Average","Skip=True","Sort=True")</f>
        <v>14.813654692139009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47677</v>
      </c>
      <c r="T1971" s="43">
        <f ca="1">_xll.BInterpol('Base CDI'!$H$4:$H$28,'Base CDI'!$J$4:$J$29,S1971,"Cubic","Extrapolate=Linear","MultiX=Average","Skip=True","Sort=True")</f>
        <v>14.757765675744265</v>
      </c>
      <c r="U1971" s="43">
        <f ca="1">_xll.BInterpol('Base CDI'!$H$4:$H$28,'Base CDI'!$I$4:$I$29,S1971,"Cubic","Extrapolate=Linear","MultiX=Average","Skip=True","Sort=True")</f>
        <v>14.813713682494138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47678</v>
      </c>
      <c r="T1972" s="43">
        <f ca="1">_xll.BInterpol('Base CDI'!$H$4:$H$28,'Base CDI'!$J$4:$J$29,S1972,"Cubic","Extrapolate=Linear","MultiX=Average","Skip=True","Sort=True")</f>
        <v>14.757779472701234</v>
      </c>
      <c r="U1972" s="43">
        <f ca="1">_xll.BInterpol('Base CDI'!$H$4:$H$28,'Base CDI'!$I$4:$I$29,S1972,"Cubic","Extrapolate=Linear","MultiX=Average","Skip=True","Sort=True")</f>
        <v>14.813772345308973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47679</v>
      </c>
      <c r="T1973" s="43">
        <f ca="1">_xll.BInterpol('Base CDI'!$H$4:$H$28,'Base CDI'!$J$4:$J$29,S1973,"Cubic","Extrapolate=Linear","MultiX=Average","Skip=True","Sort=True")</f>
        <v>14.75779297708582</v>
      </c>
      <c r="U1973" s="43">
        <f ca="1">_xll.BInterpol('Base CDI'!$H$4:$H$28,'Base CDI'!$I$4:$I$29,S1973,"Cubic","Extrapolate=Linear","MultiX=Average","Skip=True","Sort=True")</f>
        <v>14.813830681754874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47680</v>
      </c>
      <c r="T1974" s="43">
        <f ca="1">_xll.BInterpol('Base CDI'!$H$4:$H$28,'Base CDI'!$J$4:$J$29,S1974,"Cubic","Extrapolate=Linear","MultiX=Average","Skip=True","Sort=True")</f>
        <v>14.757806190313444</v>
      </c>
      <c r="U1974" s="43">
        <f ca="1">_xll.BInterpol('Base CDI'!$H$4:$H$28,'Base CDI'!$I$4:$I$29,S1974,"Cubic","Extrapolate=Linear","MultiX=Average","Skip=True","Sort=True")</f>
        <v>14.813888693003205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47681</v>
      </c>
      <c r="T1975" s="43">
        <f ca="1">_xll.BInterpol('Base CDI'!$H$4:$H$28,'Base CDI'!$J$4:$J$29,S1975,"Cubic","Extrapolate=Linear","MultiX=Average","Skip=True","Sort=True")</f>
        <v>14.757819113799528</v>
      </c>
      <c r="U1975" s="43">
        <f ca="1">_xll.BInterpol('Base CDI'!$H$4:$H$28,'Base CDI'!$I$4:$I$29,S1975,"Cubic","Extrapolate=Linear","MultiX=Average","Skip=True","Sort=True")</f>
        <v>14.813946380225323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47682</v>
      </c>
      <c r="T1976" s="43">
        <f ca="1">_xll.BInterpol('Base CDI'!$H$4:$H$28,'Base CDI'!$J$4:$J$29,S1976,"Cubic","Extrapolate=Linear","MultiX=Average","Skip=True","Sort=True")</f>
        <v>14.757831748959493</v>
      </c>
      <c r="U1976" s="43">
        <f ca="1">_xll.BInterpol('Base CDI'!$H$4:$H$28,'Base CDI'!$I$4:$I$29,S1976,"Cubic","Extrapolate=Linear","MultiX=Average","Skip=True","Sort=True")</f>
        <v>14.81400374459259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47683</v>
      </c>
      <c r="T1977" s="43">
        <f ca="1">_xll.BInterpol('Base CDI'!$H$4:$H$28,'Base CDI'!$J$4:$J$29,S1977,"Cubic","Extrapolate=Linear","MultiX=Average","Skip=True","Sort=True")</f>
        <v>14.757844097208762</v>
      </c>
      <c r="U1977" s="43">
        <f ca="1">_xll.BInterpol('Base CDI'!$H$4:$H$28,'Base CDI'!$I$4:$I$29,S1977,"Cubic","Extrapolate=Linear","MultiX=Average","Skip=True","Sort=True")</f>
        <v>14.814060787276365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47684</v>
      </c>
      <c r="T1978" s="43">
        <f ca="1">_xll.BInterpol('Base CDI'!$H$4:$H$28,'Base CDI'!$J$4:$J$29,S1978,"Cubic","Extrapolate=Linear","MultiX=Average","Skip=True","Sort=True")</f>
        <v>14.757856159962756</v>
      </c>
      <c r="U1978" s="43">
        <f ca="1">_xll.BInterpol('Base CDI'!$H$4:$H$28,'Base CDI'!$I$4:$I$29,S1978,"Cubic","Extrapolate=Linear","MultiX=Average","Skip=True","Sort=True")</f>
        <v>14.81411750944801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47685</v>
      </c>
      <c r="T1979" s="43">
        <f ca="1">_xll.BInterpol('Base CDI'!$H$4:$H$28,'Base CDI'!$J$4:$J$29,S1979,"Cubic","Extrapolate=Linear","MultiX=Average","Skip=True","Sort=True")</f>
        <v>14.757867938636895</v>
      </c>
      <c r="U1979" s="43">
        <f ca="1">_xll.BInterpol('Base CDI'!$H$4:$H$28,'Base CDI'!$I$4:$I$29,S1979,"Cubic","Extrapolate=Linear","MultiX=Average","Skip=True","Sort=True")</f>
        <v>14.814173912278886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47686</v>
      </c>
      <c r="T1980" s="43">
        <f ca="1">_xll.BInterpol('Base CDI'!$H$4:$H$28,'Base CDI'!$J$4:$J$29,S1980,"Cubic","Extrapolate=Linear","MultiX=Average","Skip=True","Sort=True")</f>
        <v>14.757879434646602</v>
      </c>
      <c r="U1980" s="43">
        <f ca="1">_xll.BInterpol('Base CDI'!$H$4:$H$28,'Base CDI'!$I$4:$I$29,S1980,"Cubic","Extrapolate=Linear","MultiX=Average","Skip=True","Sort=True")</f>
        <v>14.81422999694035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47687</v>
      </c>
      <c r="T1981" s="43">
        <f ca="1">_xll.BInterpol('Base CDI'!$H$4:$H$28,'Base CDI'!$J$4:$J$29,S1981,"Cubic","Extrapolate=Linear","MultiX=Average","Skip=True","Sort=True")</f>
        <v>14.757890649407299</v>
      </c>
      <c r="U1981" s="43">
        <f ca="1">_xll.BInterpol('Base CDI'!$H$4:$H$28,'Base CDI'!$I$4:$I$29,S1981,"Cubic","Extrapolate=Linear","MultiX=Average","Skip=True","Sort=True")</f>
        <v>14.814285764603765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47688</v>
      </c>
      <c r="T1982" s="43">
        <f ca="1">_xll.BInterpol('Base CDI'!$H$4:$H$28,'Base CDI'!$J$4:$J$29,S1982,"Cubic","Extrapolate=Linear","MultiX=Average","Skip=True","Sort=True")</f>
        <v>14.757901584334407</v>
      </c>
      <c r="U1982" s="43">
        <f ca="1">_xll.BInterpol('Base CDI'!$H$4:$H$28,'Base CDI'!$I$4:$I$29,S1982,"Cubic","Extrapolate=Linear","MultiX=Average","Skip=True","Sort=True")</f>
        <v>14.814341216440493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47689</v>
      </c>
      <c r="T1983" s="43">
        <f ca="1">_xll.BInterpol('Base CDI'!$H$4:$H$28,'Base CDI'!$J$4:$J$29,S1983,"Cubic","Extrapolate=Linear","MultiX=Average","Skip=True","Sort=True")</f>
        <v>14.757912240843346</v>
      </c>
      <c r="U1983" s="43">
        <f ca="1">_xll.BInterpol('Base CDI'!$H$4:$H$28,'Base CDI'!$I$4:$I$29,S1983,"Cubic","Extrapolate=Linear","MultiX=Average","Skip=True","Sort=True")</f>
        <v>14.814396353621891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47690</v>
      </c>
      <c r="T1984" s="43">
        <f ca="1">_xll.BInterpol('Base CDI'!$H$4:$H$28,'Base CDI'!$J$4:$J$29,S1984,"Cubic","Extrapolate=Linear","MultiX=Average","Skip=True","Sort=True")</f>
        <v>14.757922620349541</v>
      </c>
      <c r="U1984" s="43">
        <f ca="1">_xll.BInterpol('Base CDI'!$H$4:$H$28,'Base CDI'!$I$4:$I$29,S1984,"Cubic","Extrapolate=Linear","MultiX=Average","Skip=True","Sort=True")</f>
        <v>14.814451177319322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47691</v>
      </c>
      <c r="T1985" s="43">
        <f ca="1">_xll.BInterpol('Base CDI'!$H$4:$H$28,'Base CDI'!$J$4:$J$29,S1985,"Cubic","Extrapolate=Linear","MultiX=Average","Skip=True","Sort=True")</f>
        <v>14.757932724268411</v>
      </c>
      <c r="U1985" s="43">
        <f ca="1">_xll.BInterpol('Base CDI'!$H$4:$H$28,'Base CDI'!$I$4:$I$29,S1985,"Cubic","Extrapolate=Linear","MultiX=Average","Skip=True","Sort=True")</f>
        <v>14.814505688704145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47692</v>
      </c>
      <c r="T1986" s="43">
        <f ca="1">_xll.BInterpol('Base CDI'!$H$4:$H$28,'Base CDI'!$J$4:$J$29,S1986,"Cubic","Extrapolate=Linear","MultiX=Average","Skip=True","Sort=True")</f>
        <v>14.757942554015377</v>
      </c>
      <c r="U1986" s="43">
        <f ca="1">_xll.BInterpol('Base CDI'!$H$4:$H$28,'Base CDI'!$I$4:$I$29,S1986,"Cubic","Extrapolate=Linear","MultiX=Average","Skip=True","Sort=True")</f>
        <v>14.81455988894772</v>
      </c>
    </row>
    <row r="1987" spans="16:21" x14ac:dyDescent="0.25">
      <c r="P1987" s="10">
        <v>37407</v>
      </c>
      <c r="Q1987">
        <v>7.43621</v>
      </c>
      <c r="S1987" s="42">
        <f t="shared" ca="1" si="35"/>
        <v>47693</v>
      </c>
      <c r="T1987" s="43">
        <f ca="1">_xll.BInterpol('Base CDI'!$H$4:$H$28,'Base CDI'!$J$4:$J$29,S1987,"Cubic","Extrapolate=Linear","MultiX=Average","Skip=True","Sort=True")</f>
        <v>14.757952111005865</v>
      </c>
      <c r="U1987" s="43">
        <f ca="1">_xll.BInterpol('Base CDI'!$H$4:$H$28,'Base CDI'!$I$4:$I$29,S1987,"Cubic","Extrapolate=Linear","MultiX=Average","Skip=True","Sort=True")</f>
        <v>14.814613779221409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47694</v>
      </c>
      <c r="T1988" s="43">
        <f ca="1">_xll.BInterpol('Base CDI'!$H$4:$H$28,'Base CDI'!$J$4:$J$29,S1988,"Cubic","Extrapolate=Linear","MultiX=Average","Skip=True","Sort=True")</f>
        <v>14.757961396655292</v>
      </c>
      <c r="U1988" s="43">
        <f ca="1">_xll.BInterpol('Base CDI'!$H$4:$H$28,'Base CDI'!$I$4:$I$29,S1988,"Cubic","Extrapolate=Linear","MultiX=Average","Skip=True","Sort=True")</f>
        <v>14.814667360696571</v>
      </c>
    </row>
    <row r="1989" spans="16:21" x14ac:dyDescent="0.25">
      <c r="P1989" s="10">
        <v>37411</v>
      </c>
      <c r="Q1989">
        <v>7.44564</v>
      </c>
      <c r="S1989" s="42">
        <f t="shared" ca="1" si="35"/>
        <v>47695</v>
      </c>
      <c r="T1989" s="43">
        <f ca="1">_xll.BInterpol('Base CDI'!$H$4:$H$28,'Base CDI'!$J$4:$J$29,S1989,"Cubic","Extrapolate=Linear","MultiX=Average","Skip=True","Sort=True")</f>
        <v>14.75797041237908</v>
      </c>
      <c r="U1989" s="43">
        <f ca="1">_xll.BInterpol('Base CDI'!$H$4:$H$28,'Base CDI'!$I$4:$I$29,S1989,"Cubic","Extrapolate=Linear","MultiX=Average","Skip=True","Sort=True")</f>
        <v>14.814720634544567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47696</v>
      </c>
      <c r="T1990" s="43">
        <f ca="1">_xll.BInterpol('Base CDI'!$H$4:$H$28,'Base CDI'!$J$4:$J$29,S1990,"Cubic","Extrapolate=Linear","MultiX=Average","Skip=True","Sort=True")</f>
        <v>14.757979159592654</v>
      </c>
      <c r="U1990" s="43">
        <f ca="1">_xll.BInterpol('Base CDI'!$H$4:$H$28,'Base CDI'!$I$4:$I$29,S1990,"Cubic","Extrapolate=Linear","MultiX=Average","Skip=True","Sort=True")</f>
        <v>14.814773601936759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47697</v>
      </c>
      <c r="T1991" s="43">
        <f ca="1">_xll.BInterpol('Base CDI'!$H$4:$H$28,'Base CDI'!$J$4:$J$29,S1991,"Cubic","Extrapolate=Linear","MultiX=Average","Skip=True","Sort=True")</f>
        <v>14.757987639711432</v>
      </c>
      <c r="U1991" s="43">
        <f ca="1">_xll.BInterpol('Base CDI'!$H$4:$H$28,'Base CDI'!$I$4:$I$29,S1991,"Cubic","Extrapolate=Linear","MultiX=Average","Skip=True","Sort=True")</f>
        <v>14.814826264044504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47698</v>
      </c>
      <c r="T1992" s="43">
        <f ca="1">_xll.BInterpol('Base CDI'!$H$4:$H$28,'Base CDI'!$J$4:$J$29,S1992,"Cubic","Extrapolate=Linear","MultiX=Average","Skip=True","Sort=True")</f>
        <v>14.757995854150836</v>
      </c>
      <c r="U1992" s="43">
        <f ca="1">_xll.BInterpol('Base CDI'!$H$4:$H$28,'Base CDI'!$I$4:$I$29,S1992,"Cubic","Extrapolate=Linear","MultiX=Average","Skip=True","Sort=True")</f>
        <v>14.814878622039165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47699</v>
      </c>
      <c r="T1993" s="43">
        <f ca="1">_xll.BInterpol('Base CDI'!$H$4:$H$28,'Base CDI'!$J$4:$J$29,S1993,"Cubic","Extrapolate=Linear","MultiX=Average","Skip=True","Sort=True")</f>
        <v>14.75800380432629</v>
      </c>
      <c r="U1993" s="43">
        <f ca="1">_xll.BInterpol('Base CDI'!$H$4:$H$28,'Base CDI'!$I$4:$I$29,S1993,"Cubic","Extrapolate=Linear","MultiX=Average","Skip=True","Sort=True")</f>
        <v>14.814930677092102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47700</v>
      </c>
      <c r="T1994" s="43">
        <f ca="1">_xll.BInterpol('Base CDI'!$H$4:$H$28,'Base CDI'!$J$4:$J$29,S1994,"Cubic","Extrapolate=Linear","MultiX=Average","Skip=True","Sort=True")</f>
        <v>14.758011491653214</v>
      </c>
      <c r="U1994" s="43">
        <f ca="1">_xll.BInterpol('Base CDI'!$H$4:$H$28,'Base CDI'!$I$4:$I$29,S1994,"Cubic","Extrapolate=Linear","MultiX=Average","Skip=True","Sort=True")</f>
        <v>14.814982430374675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47701</v>
      </c>
      <c r="T1995" s="43">
        <f ca="1">_xll.BInterpol('Base CDI'!$H$4:$H$28,'Base CDI'!$J$4:$J$29,S1995,"Cubic","Extrapolate=Linear","MultiX=Average","Skip=True","Sort=True")</f>
        <v>14.758018917547028</v>
      </c>
      <c r="U1995" s="43">
        <f ca="1">_xll.BInterpol('Base CDI'!$H$4:$H$28,'Base CDI'!$I$4:$I$29,S1995,"Cubic","Extrapolate=Linear","MultiX=Average","Skip=True","Sort=True")</f>
        <v>14.815033883058245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47702</v>
      </c>
      <c r="T1996" s="43">
        <f ca="1">_xll.BInterpol('Base CDI'!$H$4:$H$28,'Base CDI'!$J$4:$J$29,S1996,"Cubic","Extrapolate=Linear","MultiX=Average","Skip=True","Sort=True")</f>
        <v>14.758026083423157</v>
      </c>
      <c r="U1996" s="43">
        <f ca="1">_xll.BInterpol('Base CDI'!$H$4:$H$28,'Base CDI'!$I$4:$I$29,S1996,"Cubic","Extrapolate=Linear","MultiX=Average","Skip=True","Sort=True")</f>
        <v>14.815085036314171</v>
      </c>
    </row>
    <row r="1997" spans="16:21" x14ac:dyDescent="0.25">
      <c r="P1997" s="10">
        <v>37421</v>
      </c>
      <c r="Q1997">
        <v>7.483142</v>
      </c>
      <c r="S1997" s="42">
        <f t="shared" ca="1" si="36"/>
        <v>47703</v>
      </c>
      <c r="T1997" s="43">
        <f ca="1">_xll.BInterpol('Base CDI'!$H$4:$H$28,'Base CDI'!$J$4:$J$29,S1997,"Cubic","Extrapolate=Linear","MultiX=Average","Skip=True","Sort=True")</f>
        <v>14.758032990697021</v>
      </c>
      <c r="U1997" s="43">
        <f ca="1">_xll.BInterpol('Base CDI'!$H$4:$H$28,'Base CDI'!$I$4:$I$29,S1997,"Cubic","Extrapolate=Linear","MultiX=Average","Skip=True","Sort=True")</f>
        <v>14.815135891313815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47704</v>
      </c>
      <c r="T1998" s="43">
        <f ca="1">_xll.BInterpol('Base CDI'!$H$4:$H$28,'Base CDI'!$J$4:$J$29,S1998,"Cubic","Extrapolate=Linear","MultiX=Average","Skip=True","Sort=True")</f>
        <v>14.758039640784041</v>
      </c>
      <c r="U1998" s="43">
        <f ca="1">_xll.BInterpol('Base CDI'!$H$4:$H$28,'Base CDI'!$I$4:$I$29,S1998,"Cubic","Extrapolate=Linear","MultiX=Average","Skip=True","Sort=True")</f>
        <v>14.815186449228538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47705</v>
      </c>
      <c r="T1999" s="43">
        <f ca="1">_xll.BInterpol('Base CDI'!$H$4:$H$28,'Base CDI'!$J$4:$J$29,S1999,"Cubic","Extrapolate=Linear","MultiX=Average","Skip=True","Sort=True")</f>
        <v>14.758046035099639</v>
      </c>
      <c r="U1999" s="43">
        <f ca="1">_xll.BInterpol('Base CDI'!$H$4:$H$28,'Base CDI'!$I$4:$I$29,S1999,"Cubic","Extrapolate=Linear","MultiX=Average","Skip=True","Sort=True")</f>
        <v>14.815236711229696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47706</v>
      </c>
      <c r="T2000" s="43">
        <f ca="1">_xll.BInterpol('Base CDI'!$H$4:$H$28,'Base CDI'!$J$4:$J$29,S2000,"Cubic","Extrapolate=Linear","MultiX=Average","Skip=True","Sort=True")</f>
        <v>14.758052175059237</v>
      </c>
      <c r="U2000" s="43">
        <f ca="1">_xll.BInterpol('Base CDI'!$H$4:$H$28,'Base CDI'!$I$4:$I$29,S2000,"Cubic","Extrapolate=Linear","MultiX=Average","Skip=True","Sort=True")</f>
        <v>14.815286678488656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47707</v>
      </c>
      <c r="T2001" s="43">
        <f ca="1">_xll.BInterpol('Base CDI'!$H$4:$H$28,'Base CDI'!$J$4:$J$29,S2001,"Cubic","Extrapolate=Linear","MultiX=Average","Skip=True","Sort=True")</f>
        <v>14.758058062078256</v>
      </c>
      <c r="U2001" s="43">
        <f ca="1">_xll.BInterpol('Base CDI'!$H$4:$H$28,'Base CDI'!$I$4:$I$29,S2001,"Cubic","Extrapolate=Linear","MultiX=Average","Skip=True","Sort=True")</f>
        <v>14.815336352176773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47708</v>
      </c>
      <c r="T2002" s="43">
        <f ca="1">_xll.BInterpol('Base CDI'!$H$4:$H$28,'Base CDI'!$J$4:$J$29,S2002,"Cubic","Extrapolate=Linear","MultiX=Average","Skip=True","Sort=True")</f>
        <v>14.758063697572117</v>
      </c>
      <c r="U2002" s="43">
        <f ca="1">_xll.BInterpol('Base CDI'!$H$4:$H$28,'Base CDI'!$I$4:$I$29,S2002,"Cubic","Extrapolate=Linear","MultiX=Average","Skip=True","Sort=True")</f>
        <v>14.815385733465412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47709</v>
      </c>
      <c r="T2003" s="43">
        <f ca="1">_xll.BInterpol('Base CDI'!$H$4:$H$28,'Base CDI'!$J$4:$J$29,S2003,"Cubic","Extrapolate=Linear","MultiX=Average","Skip=True","Sort=True")</f>
        <v>14.758069082956244</v>
      </c>
      <c r="U2003" s="43">
        <f ca="1">_xll.BInterpol('Base CDI'!$H$4:$H$28,'Base CDI'!$I$4:$I$29,S2003,"Cubic","Extrapolate=Linear","MultiX=Average","Skip=True","Sort=True")</f>
        <v>14.815434823525928</v>
      </c>
    </row>
    <row r="2004" spans="16:21" x14ac:dyDescent="0.25">
      <c r="P2004" s="10">
        <v>37432</v>
      </c>
      <c r="Q2004">
        <v>7.518262</v>
      </c>
      <c r="S2004" s="42">
        <f t="shared" ca="1" si="36"/>
        <v>47710</v>
      </c>
      <c r="T2004" s="43">
        <f ca="1">_xll.BInterpol('Base CDI'!$H$4:$H$28,'Base CDI'!$J$4:$J$29,S2004,"Cubic","Extrapolate=Linear","MultiX=Average","Skip=True","Sort=True")</f>
        <v>14.758074219646057</v>
      </c>
      <c r="U2004" s="43">
        <f ca="1">_xll.BInterpol('Base CDI'!$H$4:$H$28,'Base CDI'!$I$4:$I$29,S2004,"Cubic","Extrapolate=Linear","MultiX=Average","Skip=True","Sort=True")</f>
        <v>14.815483623529687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47711</v>
      </c>
      <c r="T2005" s="43">
        <f ca="1">_xll.BInterpol('Base CDI'!$H$4:$H$28,'Base CDI'!$J$4:$J$29,S2005,"Cubic","Extrapolate=Linear","MultiX=Average","Skip=True","Sort=True")</f>
        <v>14.758079109056975</v>
      </c>
      <c r="U2005" s="43">
        <f ca="1">_xll.BInterpol('Base CDI'!$H$4:$H$28,'Base CDI'!$I$4:$I$29,S2005,"Cubic","Extrapolate=Linear","MultiX=Average","Skip=True","Sort=True")</f>
        <v>14.815532134648045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47712</v>
      </c>
      <c r="T2006" s="43">
        <f ca="1">_xll.BInterpol('Base CDI'!$H$4:$H$28,'Base CDI'!$J$4:$J$29,S2006,"Cubic","Extrapolate=Linear","MultiX=Average","Skip=True","Sort=True")</f>
        <v>14.758083752604424</v>
      </c>
      <c r="U2006" s="43">
        <f ca="1">_xll.BInterpol('Base CDI'!$H$4:$H$28,'Base CDI'!$I$4:$I$29,S2006,"Cubic","Extrapolate=Linear","MultiX=Average","Skip=True","Sort=True")</f>
        <v>14.815580358052365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47713</v>
      </c>
      <c r="T2007" s="43">
        <f ca="1">_xll.BInterpol('Base CDI'!$H$4:$H$28,'Base CDI'!$J$4:$J$29,S2007,"Cubic","Extrapolate=Linear","MultiX=Average","Skip=True","Sort=True")</f>
        <v>14.758088151703824</v>
      </c>
      <c r="U2007" s="43">
        <f ca="1">_xll.BInterpol('Base CDI'!$H$4:$H$28,'Base CDI'!$I$4:$I$29,S2007,"Cubic","Extrapolate=Linear","MultiX=Average","Skip=True","Sort=True")</f>
        <v>14.815628294914006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47714</v>
      </c>
      <c r="T2008" s="43">
        <f ca="1">_xll.BInterpol('Base CDI'!$H$4:$H$28,'Base CDI'!$J$4:$J$29,S2008,"Cubic","Extrapolate=Linear","MultiX=Average","Skip=True","Sort=True")</f>
        <v>14.758092307770596</v>
      </c>
      <c r="U2008" s="43">
        <f ca="1">_xll.BInterpol('Base CDI'!$H$4:$H$28,'Base CDI'!$I$4:$I$29,S2008,"Cubic","Extrapolate=Linear","MultiX=Average","Skip=True","Sort=True")</f>
        <v>14.81567594640433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47715</v>
      </c>
      <c r="T2009" s="43">
        <f ca="1">_xll.BInterpol('Base CDI'!$H$4:$H$28,'Base CDI'!$J$4:$J$29,S2009,"Cubic","Extrapolate=Linear","MultiX=Average","Skip=True","Sort=True")</f>
        <v>14.758096222220162</v>
      </c>
      <c r="U2009" s="43">
        <f ca="1">_xll.BInterpol('Base CDI'!$H$4:$H$28,'Base CDI'!$I$4:$I$29,S2009,"Cubic","Extrapolate=Linear","MultiX=Average","Skip=True","Sort=True")</f>
        <v>14.815723313694695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47716</v>
      </c>
      <c r="T2010" s="43">
        <f ca="1">_xll.BInterpol('Base CDI'!$H$4:$H$28,'Base CDI'!$J$4:$J$29,S2010,"Cubic","Extrapolate=Linear","MultiX=Average","Skip=True","Sort=True")</f>
        <v>14.758099896467945</v>
      </c>
      <c r="U2010" s="43">
        <f ca="1">_xll.BInterpol('Base CDI'!$H$4:$H$28,'Base CDI'!$I$4:$I$29,S2010,"Cubic","Extrapolate=Linear","MultiX=Average","Skip=True","Sort=True")</f>
        <v>14.815770397956465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47717</v>
      </c>
      <c r="T2011" s="43">
        <f ca="1">_xll.BInterpol('Base CDI'!$H$4:$H$28,'Base CDI'!$J$4:$J$29,S2011,"Cubic","Extrapolate=Linear","MultiX=Average","Skip=True","Sort=True")</f>
        <v>14.758103331929362</v>
      </c>
      <c r="U2011" s="43">
        <f ca="1">_xll.BInterpol('Base CDI'!$H$4:$H$28,'Base CDI'!$I$4:$I$29,S2011,"Cubic","Extrapolate=Linear","MultiX=Average","Skip=True","Sort=True")</f>
        <v>14.815817200360996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47718</v>
      </c>
      <c r="T2012" s="43">
        <f ca="1">_xll.BInterpol('Base CDI'!$H$4:$H$28,'Base CDI'!$J$4:$J$29,S2012,"Cubic","Extrapolate=Linear","MultiX=Average","Skip=True","Sort=True")</f>
        <v>14.758106530019841</v>
      </c>
      <c r="U2012" s="43">
        <f ca="1">_xll.BInterpol('Base CDI'!$H$4:$H$28,'Base CDI'!$I$4:$I$29,S2012,"Cubic","Extrapolate=Linear","MultiX=Average","Skip=True","Sort=True")</f>
        <v>14.815863722079653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47719</v>
      </c>
      <c r="T2013" s="43">
        <f ca="1">_xll.BInterpol('Base CDI'!$H$4:$H$28,'Base CDI'!$J$4:$J$29,S2013,"Cubic","Extrapolate=Linear","MultiX=Average","Skip=True","Sort=True")</f>
        <v>14.758109492154798</v>
      </c>
      <c r="U2013" s="43">
        <f ca="1">_xll.BInterpol('Base CDI'!$H$4:$H$28,'Base CDI'!$I$4:$I$29,S2013,"Cubic","Extrapolate=Linear","MultiX=Average","Skip=True","Sort=True")</f>
        <v>14.815909964283792</v>
      </c>
    </row>
    <row r="2014" spans="16:21" x14ac:dyDescent="0.25">
      <c r="P2014" s="10">
        <v>37446</v>
      </c>
      <c r="Q2014">
        <v>7.568829</v>
      </c>
      <c r="S2014" s="42">
        <f t="shared" ca="1" si="36"/>
        <v>47720</v>
      </c>
      <c r="T2014" s="43">
        <f ca="1">_xll.BInterpol('Base CDI'!$H$4:$H$28,'Base CDI'!$J$4:$J$29,S2014,"Cubic","Extrapolate=Linear","MultiX=Average","Skip=True","Sort=True")</f>
        <v>14.758112219749659</v>
      </c>
      <c r="U2014" s="43">
        <f ca="1">_xll.BInterpol('Base CDI'!$H$4:$H$28,'Base CDI'!$I$4:$I$29,S2014,"Cubic","Extrapolate=Linear","MultiX=Average","Skip=True","Sort=True")</f>
        <v>14.815955928144778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47721</v>
      </c>
      <c r="T2015" s="43">
        <f ca="1">_xll.BInterpol('Base CDI'!$H$4:$H$28,'Base CDI'!$J$4:$J$29,S2015,"Cubic","Extrapolate=Linear","MultiX=Average","Skip=True","Sort=True")</f>
        <v>14.758114714219841</v>
      </c>
      <c r="U2015" s="43">
        <f ca="1">_xll.BInterpol('Base CDI'!$H$4:$H$28,'Base CDI'!$I$4:$I$29,S2015,"Cubic","Extrapolate=Linear","MultiX=Average","Skip=True","Sort=True")</f>
        <v>14.816001614833967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47722</v>
      </c>
      <c r="T2016" s="43">
        <f ca="1">_xll.BInterpol('Base CDI'!$H$4:$H$28,'Base CDI'!$J$4:$J$29,S2016,"Cubic","Extrapolate=Linear","MultiX=Average","Skip=True","Sort=True")</f>
        <v>14.758116976980771</v>
      </c>
      <c r="U2016" s="43">
        <f ca="1">_xll.BInterpol('Base CDI'!$H$4:$H$28,'Base CDI'!$I$4:$I$29,S2016,"Cubic","Extrapolate=Linear","MultiX=Average","Skip=True","Sort=True")</f>
        <v>14.816047025522723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47723</v>
      </c>
      <c r="T2017" s="43">
        <f ca="1">_xll.BInterpol('Base CDI'!$H$4:$H$28,'Base CDI'!$J$4:$J$29,S2017,"Cubic","Extrapolate=Linear","MultiX=Average","Skip=True","Sort=True")</f>
        <v>14.758119009447865</v>
      </c>
      <c r="U2017" s="43">
        <f ca="1">_xll.BInterpol('Base CDI'!$H$4:$H$28,'Base CDI'!$I$4:$I$29,S2017,"Cubic","Extrapolate=Linear","MultiX=Average","Skip=True","Sort=True")</f>
        <v>14.816092161382404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47724</v>
      </c>
      <c r="T2018" s="43">
        <f ca="1">_xll.BInterpol('Base CDI'!$H$4:$H$28,'Base CDI'!$J$4:$J$29,S2018,"Cubic","Extrapolate=Linear","MultiX=Average","Skip=True","Sort=True")</f>
        <v>14.758120813036548</v>
      </c>
      <c r="U2018" s="43">
        <f ca="1">_xll.BInterpol('Base CDI'!$H$4:$H$28,'Base CDI'!$I$4:$I$29,S2018,"Cubic","Extrapolate=Linear","MultiX=Average","Skip=True","Sort=True")</f>
        <v>14.816137023584371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47725</v>
      </c>
      <c r="T2019" s="43">
        <f ca="1">_xll.BInterpol('Base CDI'!$H$4:$H$28,'Base CDI'!$J$4:$J$29,S2019,"Cubic","Extrapolate=Linear","MultiX=Average","Skip=True","Sort=True")</f>
        <v>14.758122389162242</v>
      </c>
      <c r="U2019" s="43">
        <f ca="1">_xll.BInterpol('Base CDI'!$H$4:$H$28,'Base CDI'!$I$4:$I$29,S2019,"Cubic","Extrapolate=Linear","MultiX=Average","Skip=True","Sort=True")</f>
        <v>14.816181613299984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47726</v>
      </c>
      <c r="T2020" s="43">
        <f ca="1">_xll.BInterpol('Base CDI'!$H$4:$H$28,'Base CDI'!$J$4:$J$29,S2020,"Cubic","Extrapolate=Linear","MultiX=Average","Skip=True","Sort=True")</f>
        <v>14.758123739240368</v>
      </c>
      <c r="U2020" s="43">
        <f ca="1">_xll.BInterpol('Base CDI'!$H$4:$H$28,'Base CDI'!$I$4:$I$29,S2020,"Cubic","Extrapolate=Linear","MultiX=Average","Skip=True","Sort=True")</f>
        <v>14.816225931700606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47727</v>
      </c>
      <c r="T2021" s="43">
        <f ca="1">_xll.BInterpol('Base CDI'!$H$4:$H$28,'Base CDI'!$J$4:$J$29,S2021,"Cubic","Extrapolate=Linear","MultiX=Average","Skip=True","Sort=True")</f>
        <v>14.758124864686344</v>
      </c>
      <c r="U2021" s="43">
        <f ca="1">_xll.BInterpol('Base CDI'!$H$4:$H$28,'Base CDI'!$I$4:$I$29,S2021,"Cubic","Extrapolate=Linear","MultiX=Average","Skip=True","Sort=True")</f>
        <v>14.816269979957594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47728</v>
      </c>
      <c r="T2022" s="43">
        <f ca="1">_xll.BInterpol('Base CDI'!$H$4:$H$28,'Base CDI'!$J$4:$J$29,S2022,"Cubic","Extrapolate=Linear","MultiX=Average","Skip=True","Sort=True")</f>
        <v>14.758125766915597</v>
      </c>
      <c r="U2022" s="43">
        <f ca="1">_xll.BInterpol('Base CDI'!$H$4:$H$28,'Base CDI'!$I$4:$I$29,S2022,"Cubic","Extrapolate=Linear","MultiX=Average","Skip=True","Sort=True")</f>
        <v>14.816313759242311</v>
      </c>
    </row>
    <row r="2023" spans="16:21" x14ac:dyDescent="0.25">
      <c r="P2023" s="10">
        <v>37459</v>
      </c>
      <c r="Q2023">
        <v>7.614242</v>
      </c>
      <c r="S2023" s="42">
        <f t="shared" ca="1" si="36"/>
        <v>47729</v>
      </c>
      <c r="T2023" s="43">
        <f ca="1">_xll.BInterpol('Base CDI'!$H$4:$H$28,'Base CDI'!$J$4:$J$29,S2023,"Cubic","Extrapolate=Linear","MultiX=Average","Skip=True","Sort=True")</f>
        <v>14.758126447343546</v>
      </c>
      <c r="U2023" s="43">
        <f ca="1">_xll.BInterpol('Base CDI'!$H$4:$H$28,'Base CDI'!$I$4:$I$29,S2023,"Cubic","Extrapolate=Linear","MultiX=Average","Skip=True","Sort=True")</f>
        <v>14.816357270726115</v>
      </c>
    </row>
    <row r="2024" spans="16:21" x14ac:dyDescent="0.25">
      <c r="P2024" s="10">
        <v>37460</v>
      </c>
      <c r="Q2024">
        <v>7.619211</v>
      </c>
      <c r="S2024" s="42">
        <f t="shared" ca="1" si="36"/>
        <v>47730</v>
      </c>
      <c r="T2024" s="43">
        <f ca="1">_xll.BInterpol('Base CDI'!$H$4:$H$28,'Base CDI'!$J$4:$J$29,S2024,"Cubic","Extrapolate=Linear","MultiX=Average","Skip=True","Sort=True")</f>
        <v>14.758126907385613</v>
      </c>
      <c r="U2024" s="43">
        <f ca="1">_xll.BInterpol('Base CDI'!$H$4:$H$28,'Base CDI'!$I$4:$I$29,S2024,"Cubic","Extrapolate=Linear","MultiX=Average","Skip=True","Sort=True")</f>
        <v>14.816400515580369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47731</v>
      </c>
      <c r="T2025" s="43">
        <f ca="1">_xll.BInterpol('Base CDI'!$H$4:$H$28,'Base CDI'!$J$4:$J$29,S2025,"Cubic","Extrapolate=Linear","MultiX=Average","Skip=True","Sort=True")</f>
        <v>14.75812714845722</v>
      </c>
      <c r="U2025" s="43">
        <f ca="1">_xll.BInterpol('Base CDI'!$H$4:$H$28,'Base CDI'!$I$4:$I$29,S2025,"Cubic","Extrapolate=Linear","MultiX=Average","Skip=True","Sort=True")</f>
        <v>14.816443494976433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47732</v>
      </c>
      <c r="T2026" s="43">
        <f ca="1">_xll.BInterpol('Base CDI'!$H$4:$H$28,'Base CDI'!$J$4:$J$29,S2026,"Cubic","Extrapolate=Linear","MultiX=Average","Skip=True","Sort=True")</f>
        <v>14.758127171973786</v>
      </c>
      <c r="U2026" s="43">
        <f ca="1">_xll.BInterpol('Base CDI'!$H$4:$H$28,'Base CDI'!$I$4:$I$29,S2026,"Cubic","Extrapolate=Linear","MultiX=Average","Skip=True","Sort=True")</f>
        <v>14.816486210085666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47733</v>
      </c>
      <c r="T2027" s="43">
        <f ca="1">_xll.BInterpol('Base CDI'!$H$4:$H$28,'Base CDI'!$J$4:$J$29,S2027,"Cubic","Extrapolate=Linear","MultiX=Average","Skip=True","Sort=True")</f>
        <v>14.758126979350736</v>
      </c>
      <c r="U2027" s="43">
        <f ca="1">_xll.BInterpol('Base CDI'!$H$4:$H$28,'Base CDI'!$I$4:$I$29,S2027,"Cubic","Extrapolate=Linear","MultiX=Average","Skip=True","Sort=True")</f>
        <v>14.816528662079428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47734</v>
      </c>
      <c r="T2028" s="43">
        <f ca="1">_xll.BInterpol('Base CDI'!$H$4:$H$28,'Base CDI'!$J$4:$J$29,S2028,"Cubic","Extrapolate=Linear","MultiX=Average","Skip=True","Sort=True")</f>
        <v>14.758126572003491</v>
      </c>
      <c r="U2028" s="43">
        <f ca="1">_xll.BInterpol('Base CDI'!$H$4:$H$28,'Base CDI'!$I$4:$I$29,S2028,"Cubic","Extrapolate=Linear","MultiX=Average","Skip=True","Sort=True")</f>
        <v>14.816570852129081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47735</v>
      </c>
      <c r="T2029" s="43">
        <f ca="1">_xll.BInterpol('Base CDI'!$H$4:$H$28,'Base CDI'!$J$4:$J$29,S2029,"Cubic","Extrapolate=Linear","MultiX=Average","Skip=True","Sort=True")</f>
        <v>14.75812595134747</v>
      </c>
      <c r="U2029" s="43">
        <f ca="1">_xll.BInterpol('Base CDI'!$H$4:$H$28,'Base CDI'!$I$4:$I$29,S2029,"Cubic","Extrapolate=Linear","MultiX=Average","Skip=True","Sort=True")</f>
        <v>14.816612781405984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47736</v>
      </c>
      <c r="T2030" s="43">
        <f ca="1">_xll.BInterpol('Base CDI'!$H$4:$H$28,'Base CDI'!$J$4:$J$29,S2030,"Cubic","Extrapolate=Linear","MultiX=Average","Skip=True","Sort=True")</f>
        <v>14.758125118798098</v>
      </c>
      <c r="U2030" s="43">
        <f ca="1">_xll.BInterpol('Base CDI'!$H$4:$H$28,'Base CDI'!$I$4:$I$29,S2030,"Cubic","Extrapolate=Linear","MultiX=Average","Skip=True","Sort=True")</f>
        <v>14.816654451081501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47737</v>
      </c>
      <c r="T2031" s="43">
        <f ca="1">_xll.BInterpol('Base CDI'!$H$4:$H$28,'Base CDI'!$J$4:$J$29,S2031,"Cubic","Extrapolate=Linear","MultiX=Average","Skip=True","Sort=True")</f>
        <v>14.758124075770795</v>
      </c>
      <c r="U2031" s="43">
        <f ca="1">_xll.BInterpol('Base CDI'!$H$4:$H$28,'Base CDI'!$I$4:$I$29,S2031,"Cubic","Extrapolate=Linear","MultiX=Average","Skip=True","Sort=True")</f>
        <v>14.816695862326988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47738</v>
      </c>
      <c r="T2032" s="43">
        <f ca="1">_xll.BInterpol('Base CDI'!$H$4:$H$28,'Base CDI'!$J$4:$J$29,S2032,"Cubic","Extrapolate=Linear","MultiX=Average","Skip=True","Sort=True")</f>
        <v>14.758122823680981</v>
      </c>
      <c r="U2032" s="43">
        <f ca="1">_xll.BInterpol('Base CDI'!$H$4:$H$28,'Base CDI'!$I$4:$I$29,S2032,"Cubic","Extrapolate=Linear","MultiX=Average","Skip=True","Sort=True")</f>
        <v>14.816737016313807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47739</v>
      </c>
      <c r="T2033" s="43">
        <f ca="1">_xll.BInterpol('Base CDI'!$H$4:$H$28,'Base CDI'!$J$4:$J$29,S2033,"Cubic","Extrapolate=Linear","MultiX=Average","Skip=True","Sort=True")</f>
        <v>14.758121363944079</v>
      </c>
      <c r="U2033" s="43">
        <f ca="1">_xll.BInterpol('Base CDI'!$H$4:$H$28,'Base CDI'!$I$4:$I$29,S2033,"Cubic","Extrapolate=Linear","MultiX=Average","Skip=True","Sort=True")</f>
        <v>14.816777914213318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47740</v>
      </c>
      <c r="T2034" s="43">
        <f ca="1">_xll.BInterpol('Base CDI'!$H$4:$H$28,'Base CDI'!$J$4:$J$29,S2034,"Cubic","Extrapolate=Linear","MultiX=Average","Skip=True","Sort=True")</f>
        <v>14.758119697975513</v>
      </c>
      <c r="U2034" s="43">
        <f ca="1">_xll.BInterpol('Base CDI'!$H$4:$H$28,'Base CDI'!$I$4:$I$29,S2034,"Cubic","Extrapolate=Linear","MultiX=Average","Skip=True","Sort=True")</f>
        <v>14.816818557196884</v>
      </c>
    </row>
    <row r="2035" spans="16:21" x14ac:dyDescent="0.25">
      <c r="P2035" s="10">
        <v>37475</v>
      </c>
      <c r="Q2035">
        <v>7.674112</v>
      </c>
      <c r="S2035" s="42">
        <f t="shared" ca="1" si="36"/>
        <v>47741</v>
      </c>
      <c r="T2035" s="43">
        <f ca="1">_xll.BInterpol('Base CDI'!$H$4:$H$28,'Base CDI'!$J$4:$J$29,S2035,"Cubic","Extrapolate=Linear","MultiX=Average","Skip=True","Sort=True")</f>
        <v>14.7581178271907</v>
      </c>
      <c r="U2035" s="43">
        <f ca="1">_xll.BInterpol('Base CDI'!$H$4:$H$28,'Base CDI'!$I$4:$I$29,S2035,"Cubic","Extrapolate=Linear","MultiX=Average","Skip=True","Sort=True")</f>
        <v>14.816858946435863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47742</v>
      </c>
      <c r="T2036" s="43">
        <f ca="1">_xll.BInterpol('Base CDI'!$H$4:$H$28,'Base CDI'!$J$4:$J$29,S2036,"Cubic","Extrapolate=Linear","MultiX=Average","Skip=True","Sort=True")</f>
        <v>14.758115753005066</v>
      </c>
      <c r="U2036" s="43">
        <f ca="1">_xll.BInterpol('Base CDI'!$H$4:$H$28,'Base CDI'!$I$4:$I$29,S2036,"Cubic","Extrapolate=Linear","MultiX=Average","Skip=True","Sort=True")</f>
        <v>14.816899083101616</v>
      </c>
    </row>
    <row r="2037" spans="16:21" x14ac:dyDescent="0.25">
      <c r="P2037" s="10">
        <v>37477</v>
      </c>
      <c r="Q2037">
        <v>7.684145</v>
      </c>
      <c r="S2037" s="42">
        <f t="shared" ca="1" si="36"/>
        <v>47743</v>
      </c>
      <c r="T2037" s="43">
        <f ca="1">_xll.BInterpol('Base CDI'!$H$4:$H$28,'Base CDI'!$J$4:$J$29,S2037,"Cubic","Extrapolate=Linear","MultiX=Average","Skip=True","Sort=True")</f>
        <v>14.75811347683403</v>
      </c>
      <c r="U2037" s="43">
        <f ca="1">_xll.BInterpol('Base CDI'!$H$4:$H$28,'Base CDI'!$I$4:$I$29,S2037,"Cubic","Extrapolate=Linear","MultiX=Average","Skip=True","Sort=True")</f>
        <v>14.816938968365502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47744</v>
      </c>
      <c r="T2038" s="43">
        <f ca="1">_xll.BInterpol('Base CDI'!$H$4:$H$28,'Base CDI'!$J$4:$J$29,S2038,"Cubic","Extrapolate=Linear","MultiX=Average","Skip=True","Sort=True")</f>
        <v>14.758111000093013</v>
      </c>
      <c r="U2038" s="43">
        <f ca="1">_xll.BInterpol('Base CDI'!$H$4:$H$28,'Base CDI'!$I$4:$I$29,S2038,"Cubic","Extrapolate=Linear","MultiX=Average","Skip=True","Sort=True")</f>
        <v>14.816978603398884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47745</v>
      </c>
      <c r="T2039" s="43">
        <f ca="1">_xll.BInterpol('Base CDI'!$H$4:$H$28,'Base CDI'!$J$4:$J$29,S2039,"Cubic","Extrapolate=Linear","MultiX=Average","Skip=True","Sort=True")</f>
        <v>14.758108324197439</v>
      </c>
      <c r="U2039" s="43">
        <f ca="1">_xll.BInterpol('Base CDI'!$H$4:$H$28,'Base CDI'!$I$4:$I$29,S2039,"Cubic","Extrapolate=Linear","MultiX=Average","Skip=True","Sort=True")</f>
        <v>14.817017989373118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47746</v>
      </c>
      <c r="T2040" s="43">
        <f ca="1">_xll.BInterpol('Base CDI'!$H$4:$H$28,'Base CDI'!$J$4:$J$29,S2040,"Cubic","Extrapolate=Linear","MultiX=Average","Skip=True","Sort=True")</f>
        <v>14.758105450562727</v>
      </c>
      <c r="U2040" s="43">
        <f ca="1">_xll.BInterpol('Base CDI'!$H$4:$H$28,'Base CDI'!$I$4:$I$29,S2040,"Cubic","Extrapolate=Linear","MultiX=Average","Skip=True","Sort=True")</f>
        <v>14.817057127459572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47747</v>
      </c>
      <c r="T2041" s="43">
        <f ca="1">_xll.BInterpol('Base CDI'!$H$4:$H$28,'Base CDI'!$J$4:$J$29,S2041,"Cubic","Extrapolate=Linear","MultiX=Average","Skip=True","Sort=True")</f>
        <v>14.758102380604301</v>
      </c>
      <c r="U2041" s="43">
        <f ca="1">_xll.BInterpol('Base CDI'!$H$4:$H$28,'Base CDI'!$I$4:$I$29,S2041,"Cubic","Extrapolate=Linear","MultiX=Average","Skip=True","Sort=True")</f>
        <v>14.817096018829599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47748</v>
      </c>
      <c r="T2042" s="43">
        <f ca="1">_xll.BInterpol('Base CDI'!$H$4:$H$28,'Base CDI'!$J$4:$J$29,S2042,"Cubic","Extrapolate=Linear","MultiX=Average","Skip=True","Sort=True")</f>
        <v>14.758099115737581</v>
      </c>
      <c r="U2042" s="43">
        <f ca="1">_xll.BInterpol('Base CDI'!$H$4:$H$28,'Base CDI'!$I$4:$I$29,S2042,"Cubic","Extrapolate=Linear","MultiX=Average","Skip=True","Sort=True")</f>
        <v>14.817134664654564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47749</v>
      </c>
      <c r="T2043" s="43">
        <f ca="1">_xll.BInterpol('Base CDI'!$H$4:$H$28,'Base CDI'!$J$4:$J$29,S2043,"Cubic","Extrapolate=Linear","MultiX=Average","Skip=True","Sort=True")</f>
        <v>14.758095657377989</v>
      </c>
      <c r="U2043" s="43">
        <f ca="1">_xll.BInterpol('Base CDI'!$H$4:$H$28,'Base CDI'!$I$4:$I$29,S2043,"Cubic","Extrapolate=Linear","MultiX=Average","Skip=True","Sort=True")</f>
        <v>14.817173066105825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47750</v>
      </c>
      <c r="T2044" s="43">
        <f ca="1">_xll.BInterpol('Base CDI'!$H$4:$H$28,'Base CDI'!$J$4:$J$29,S2044,"Cubic","Extrapolate=Linear","MultiX=Average","Skip=True","Sort=True")</f>
        <v>14.758092006940949</v>
      </c>
      <c r="U2044" s="43">
        <f ca="1">_xll.BInterpol('Base CDI'!$H$4:$H$28,'Base CDI'!$I$4:$I$29,S2044,"Cubic","Extrapolate=Linear","MultiX=Average","Skip=True","Sort=True")</f>
        <v>14.817211224354743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47751</v>
      </c>
      <c r="T2045" s="43">
        <f ca="1">_xll.BInterpol('Base CDI'!$H$4:$H$28,'Base CDI'!$J$4:$J$29,S2045,"Cubic","Extrapolate=Linear","MultiX=Average","Skip=True","Sort=True")</f>
        <v>14.758088165841878</v>
      </c>
      <c r="U2045" s="43">
        <f ca="1">_xll.BInterpol('Base CDI'!$H$4:$H$28,'Base CDI'!$I$4:$I$29,S2045,"Cubic","Extrapolate=Linear","MultiX=Average","Skip=True","Sort=True")</f>
        <v>14.817249140572679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47752</v>
      </c>
      <c r="T2046" s="43">
        <f ca="1">_xll.BInterpol('Base CDI'!$H$4:$H$28,'Base CDI'!$J$4:$J$29,S2046,"Cubic","Extrapolate=Linear","MultiX=Average","Skip=True","Sort=True")</f>
        <v>14.758084135496199</v>
      </c>
      <c r="U2046" s="43">
        <f ca="1">_xll.BInterpol('Base CDI'!$H$4:$H$28,'Base CDI'!$I$4:$I$29,S2046,"Cubic","Extrapolate=Linear","MultiX=Average","Skip=True","Sort=True")</f>
        <v>14.817286815930993</v>
      </c>
    </row>
    <row r="2047" spans="16:21" x14ac:dyDescent="0.25">
      <c r="P2047" s="10">
        <v>37491</v>
      </c>
      <c r="Q2047">
        <v>7.734432</v>
      </c>
      <c r="S2047" s="42">
        <f t="shared" ca="1" si="36"/>
        <v>47753</v>
      </c>
      <c r="T2047" s="43">
        <f ca="1">_xll.BInterpol('Base CDI'!$H$4:$H$28,'Base CDI'!$J$4:$J$29,S2047,"Cubic","Extrapolate=Linear","MultiX=Average","Skip=True","Sort=True")</f>
        <v>14.758079917319336</v>
      </c>
      <c r="U2047" s="43">
        <f ca="1">_xll.BInterpol('Base CDI'!$H$4:$H$28,'Base CDI'!$I$4:$I$29,S2047,"Cubic","Extrapolate=Linear","MultiX=Average","Skip=True","Sort=True")</f>
        <v>14.817324251601045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47754</v>
      </c>
      <c r="T2048" s="43">
        <f ca="1">_xll.BInterpol('Base CDI'!$H$4:$H$28,'Base CDI'!$J$4:$J$29,S2048,"Cubic","Extrapolate=Linear","MultiX=Average","Skip=True","Sort=True")</f>
        <v>14.758075512726709</v>
      </c>
      <c r="U2048" s="43">
        <f ca="1">_xll.BInterpol('Base CDI'!$H$4:$H$28,'Base CDI'!$I$4:$I$29,S2048,"Cubic","Extrapolate=Linear","MultiX=Average","Skip=True","Sort=True")</f>
        <v>14.817361448754198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47755</v>
      </c>
      <c r="T2049" s="43">
        <f ca="1">_xll.BInterpol('Base CDI'!$H$4:$H$28,'Base CDI'!$J$4:$J$29,S2049,"Cubic","Extrapolate=Linear","MultiX=Average","Skip=True","Sort=True")</f>
        <v>14.75807092313374</v>
      </c>
      <c r="U2049" s="43">
        <f ca="1">_xll.BInterpol('Base CDI'!$H$4:$H$28,'Base CDI'!$I$4:$I$29,S2049,"Cubic","Extrapolate=Linear","MultiX=Average","Skip=True","Sort=True")</f>
        <v>14.817398408561809</v>
      </c>
    </row>
    <row r="2050" spans="16:21" x14ac:dyDescent="0.25">
      <c r="P2050" s="10">
        <v>37496</v>
      </c>
      <c r="Q2050">
        <v>7.749568</v>
      </c>
      <c r="S2050" s="42">
        <f t="shared" ca="1" si="36"/>
        <v>47756</v>
      </c>
      <c r="T2050" s="43">
        <f ca="1">_xll.BInterpol('Base CDI'!$H$4:$H$28,'Base CDI'!$J$4:$J$29,S2050,"Cubic","Extrapolate=Linear","MultiX=Average","Skip=True","Sort=True")</f>
        <v>14.758066149955848</v>
      </c>
      <c r="U2050" s="43">
        <f ca="1">_xll.BInterpol('Base CDI'!$H$4:$H$28,'Base CDI'!$I$4:$I$29,S2050,"Cubic","Extrapolate=Linear","MultiX=Average","Skip=True","Sort=True")</f>
        <v>14.817435132195239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47757</v>
      </c>
      <c r="T2051" s="43">
        <f ca="1">_xll.BInterpol('Base CDI'!$H$4:$H$28,'Base CDI'!$J$4:$J$29,S2051,"Cubic","Extrapolate=Linear","MultiX=Average","Skip=True","Sort=True")</f>
        <v>14.758061194608459</v>
      </c>
      <c r="U2051" s="43">
        <f ca="1">_xll.BInterpol('Base CDI'!$H$4:$H$28,'Base CDI'!$I$4:$I$29,S2051,"Cubic","Extrapolate=Linear","MultiX=Average","Skip=True","Sort=True")</f>
        <v>14.817471620825851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47758</v>
      </c>
      <c r="T2052" s="43">
        <f ca="1">_xll.BInterpol('Base CDI'!$H$4:$H$28,'Base CDI'!$J$4:$J$29,S2052,"Cubic","Extrapolate=Linear","MultiX=Average","Skip=True","Sort=True")</f>
        <v>14.758056058506993</v>
      </c>
      <c r="U2052" s="43">
        <f ca="1">_xll.BInterpol('Base CDI'!$H$4:$H$28,'Base CDI'!$I$4:$I$29,S2052,"Cubic","Extrapolate=Linear","MultiX=Average","Skip=True","Sort=True")</f>
        <v>14.817507875625001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47759</v>
      </c>
      <c r="T2053" s="43">
        <f ca="1">_xll.BInterpol('Base CDI'!$H$4:$H$28,'Base CDI'!$J$4:$J$29,S2053,"Cubic","Extrapolate=Linear","MultiX=Average","Skip=True","Sort=True")</f>
        <v>14.758050743066869</v>
      </c>
      <c r="U2053" s="43">
        <f ca="1">_xll.BInterpol('Base CDI'!$H$4:$H$28,'Base CDI'!$I$4:$I$29,S2053,"Cubic","Extrapolate=Linear","MultiX=Average","Skip=True","Sort=True")</f>
        <v>14.817543897764054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47760</v>
      </c>
      <c r="T2054" s="43">
        <f ca="1">_xll.BInterpol('Base CDI'!$H$4:$H$28,'Base CDI'!$J$4:$J$29,S2054,"Cubic","Extrapolate=Linear","MultiX=Average","Skip=True","Sort=True")</f>
        <v>14.758045249703512</v>
      </c>
      <c r="U2054" s="43">
        <f ca="1">_xll.BInterpol('Base CDI'!$H$4:$H$28,'Base CDI'!$I$4:$I$29,S2054,"Cubic","Extrapolate=Linear","MultiX=Average","Skip=True","Sort=True")</f>
        <v>14.817579688414368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47761</v>
      </c>
      <c r="T2055" s="43">
        <f ca="1">_xll.BInterpol('Base CDI'!$H$4:$H$28,'Base CDI'!$J$4:$J$29,S2055,"Cubic","Extrapolate=Linear","MultiX=Average","Skip=True","Sort=True")</f>
        <v>14.75803957983234</v>
      </c>
      <c r="U2055" s="43">
        <f ca="1">_xll.BInterpol('Base CDI'!$H$4:$H$28,'Base CDI'!$I$4:$I$29,S2055,"Cubic","Extrapolate=Linear","MultiX=Average","Skip=True","Sort=True")</f>
        <v>14.817615248747304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47762</v>
      </c>
      <c r="T2056" s="43">
        <f ca="1">_xll.BInterpol('Base CDI'!$H$4:$H$28,'Base CDI'!$J$4:$J$29,S2056,"Cubic","Extrapolate=Linear","MultiX=Average","Skip=True","Sort=True")</f>
        <v>14.75803373486878</v>
      </c>
      <c r="U2056" s="43">
        <f ca="1">_xll.BInterpol('Base CDI'!$H$4:$H$28,'Base CDI'!$I$4:$I$29,S2056,"Cubic","Extrapolate=Linear","MultiX=Average","Skip=True","Sort=True")</f>
        <v>14.817650579934222</v>
      </c>
    </row>
    <row r="2057" spans="16:21" x14ac:dyDescent="0.25">
      <c r="P2057" s="10">
        <v>37505</v>
      </c>
      <c r="Q2057">
        <v>7.785069</v>
      </c>
      <c r="S2057" s="42">
        <f t="shared" ca="1" si="36"/>
        <v>47763</v>
      </c>
      <c r="T2057" s="43">
        <f ca="1">_xll.BInterpol('Base CDI'!$H$4:$H$28,'Base CDI'!$J$4:$J$29,S2057,"Cubic","Extrapolate=Linear","MultiX=Average","Skip=True","Sort=True")</f>
        <v>14.758027716228248</v>
      </c>
      <c r="U2057" s="43">
        <f ca="1">_xll.BInterpol('Base CDI'!$H$4:$H$28,'Base CDI'!$I$4:$I$29,S2057,"Cubic","Extrapolate=Linear","MultiX=Average","Skip=True","Sort=True")</f>
        <v>14.817685683146482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47764</v>
      </c>
      <c r="T2058" s="43">
        <f ca="1">_xll.BInterpol('Base CDI'!$H$4:$H$28,'Base CDI'!$J$4:$J$29,S2058,"Cubic","Extrapolate=Linear","MultiX=Average","Skip=True","Sort=True")</f>
        <v>14.75802152532617</v>
      </c>
      <c r="U2058" s="43">
        <f ca="1">_xll.BInterpol('Base CDI'!$H$4:$H$28,'Base CDI'!$I$4:$I$29,S2058,"Cubic","Extrapolate=Linear","MultiX=Average","Skip=True","Sort=True")</f>
        <v>14.817720559555447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47765</v>
      </c>
      <c r="T2059" s="43">
        <f ca="1">_xll.BInterpol('Base CDI'!$H$4:$H$28,'Base CDI'!$J$4:$J$29,S2059,"Cubic","Extrapolate=Linear","MultiX=Average","Skip=True","Sort=True")</f>
        <v>14.758015163577964</v>
      </c>
      <c r="U2059" s="43">
        <f ca="1">_xll.BInterpol('Base CDI'!$H$4:$H$28,'Base CDI'!$I$4:$I$29,S2059,"Cubic","Extrapolate=Linear","MultiX=Average","Skip=True","Sort=True")</f>
        <v>14.817755210332473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47766</v>
      </c>
      <c r="T2060" s="43">
        <f ca="1">_xll.BInterpol('Base CDI'!$H$4:$H$28,'Base CDI'!$J$4:$J$29,S2060,"Cubic","Extrapolate=Linear","MultiX=Average","Skip=True","Sort=True")</f>
        <v>14.758008632399052</v>
      </c>
      <c r="U2060" s="43">
        <f ca="1">_xll.BInterpol('Base CDI'!$H$4:$H$28,'Base CDI'!$I$4:$I$29,S2060,"Cubic","Extrapolate=Linear","MultiX=Average","Skip=True","Sort=True")</f>
        <v>14.817789636648925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47767</v>
      </c>
      <c r="T2061" s="43">
        <f ca="1">_xll.BInterpol('Base CDI'!$H$4:$H$28,'Base CDI'!$J$4:$J$29,S2061,"Cubic","Extrapolate=Linear","MultiX=Average","Skip=True","Sort=True")</f>
        <v>14.758001933204859</v>
      </c>
      <c r="U2061" s="43">
        <f ca="1">_xll.BInterpol('Base CDI'!$H$4:$H$28,'Base CDI'!$I$4:$I$29,S2061,"Cubic","Extrapolate=Linear","MultiX=Average","Skip=True","Sort=True")</f>
        <v>14.817823839676162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47768</v>
      </c>
      <c r="T2062" s="43">
        <f ca="1">_xll.BInterpol('Base CDI'!$H$4:$H$28,'Base CDI'!$J$4:$J$29,S2062,"Cubic","Extrapolate=Linear","MultiX=Average","Skip=True","Sort=True")</f>
        <v>14.757995067410803</v>
      </c>
      <c r="U2062" s="43">
        <f ca="1">_xll.BInterpol('Base CDI'!$H$4:$H$28,'Base CDI'!$I$4:$I$29,S2062,"Cubic","Extrapolate=Linear","MultiX=Average","Skip=True","Sort=True")</f>
        <v>14.817857820585543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47769</v>
      </c>
      <c r="T2063" s="43">
        <f ca="1">_xll.BInterpol('Base CDI'!$H$4:$H$28,'Base CDI'!$J$4:$J$29,S2063,"Cubic","Extrapolate=Linear","MultiX=Average","Skip=True","Sort=True")</f>
        <v>14.757988036432309</v>
      </c>
      <c r="U2063" s="43">
        <f ca="1">_xll.BInterpol('Base CDI'!$H$4:$H$28,'Base CDI'!$I$4:$I$29,S2063,"Cubic","Extrapolate=Linear","MultiX=Average","Skip=True","Sort=True")</f>
        <v>14.817891580548428</v>
      </c>
    </row>
    <row r="2064" spans="16:21" x14ac:dyDescent="0.25">
      <c r="P2064" s="10">
        <v>37516</v>
      </c>
      <c r="Q2064">
        <v>7.820729</v>
      </c>
      <c r="S2064" s="42">
        <f t="shared" ca="1" si="37"/>
        <v>47770</v>
      </c>
      <c r="T2064" s="43">
        <f ca="1">_xll.BInterpol('Base CDI'!$H$4:$H$28,'Base CDI'!$J$4:$J$29,S2064,"Cubic","Extrapolate=Linear","MultiX=Average","Skip=True","Sort=True")</f>
        <v>14.757980841684795</v>
      </c>
      <c r="U2064" s="43">
        <f ca="1">_xll.BInterpol('Base CDI'!$H$4:$H$28,'Base CDI'!$I$4:$I$29,S2064,"Cubic","Extrapolate=Linear","MultiX=Average","Skip=True","Sort=True")</f>
        <v>14.817925120736179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47771</v>
      </c>
      <c r="T2065" s="43">
        <f ca="1">_xll.BInterpol('Base CDI'!$H$4:$H$28,'Base CDI'!$J$4:$J$29,S2065,"Cubic","Extrapolate=Linear","MultiX=Average","Skip=True","Sort=True")</f>
        <v>14.757973484583683</v>
      </c>
      <c r="U2065" s="43">
        <f ca="1">_xll.BInterpol('Base CDI'!$H$4:$H$28,'Base CDI'!$I$4:$I$29,S2065,"Cubic","Extrapolate=Linear","MultiX=Average","Skip=True","Sort=True")</f>
        <v>14.817958442320158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47772</v>
      </c>
      <c r="T2066" s="43">
        <f ca="1">_xll.BInterpol('Base CDI'!$H$4:$H$28,'Base CDI'!$J$4:$J$29,S2066,"Cubic","Extrapolate=Linear","MultiX=Average","Skip=True","Sort=True")</f>
        <v>14.757965966544399</v>
      </c>
      <c r="U2066" s="43">
        <f ca="1">_xll.BInterpol('Base CDI'!$H$4:$H$28,'Base CDI'!$I$4:$I$29,S2066,"Cubic","Extrapolate=Linear","MultiX=Average","Skip=True","Sort=True")</f>
        <v>14.817991546471722</v>
      </c>
    </row>
    <row r="2067" spans="16:21" x14ac:dyDescent="0.25">
      <c r="P2067" s="10">
        <v>37519</v>
      </c>
      <c r="Q2067">
        <v>7.836068</v>
      </c>
      <c r="S2067" s="42">
        <f t="shared" ca="1" si="37"/>
        <v>47773</v>
      </c>
      <c r="T2067" s="43">
        <f ca="1">_xll.BInterpol('Base CDI'!$H$4:$H$28,'Base CDI'!$J$4:$J$29,S2067,"Cubic","Extrapolate=Linear","MultiX=Average","Skip=True","Sort=True")</f>
        <v>14.757958288982358</v>
      </c>
      <c r="U2067" s="43">
        <f ca="1">_xll.BInterpol('Base CDI'!$H$4:$H$28,'Base CDI'!$I$4:$I$29,S2067,"Cubic","Extrapolate=Linear","MultiX=Average","Skip=True","Sort=True")</f>
        <v>14.818024434362233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47774</v>
      </c>
      <c r="T2068" s="43">
        <f ca="1">_xll.BInterpol('Base CDI'!$H$4:$H$28,'Base CDI'!$J$4:$J$29,S2068,"Cubic","Extrapolate=Linear","MultiX=Average","Skip=True","Sort=True")</f>
        <v>14.757950453312986</v>
      </c>
      <c r="U2068" s="43">
        <f ca="1">_xll.BInterpol('Base CDI'!$H$4:$H$28,'Base CDI'!$I$4:$I$29,S2068,"Cubic","Extrapolate=Linear","MultiX=Average","Skip=True","Sort=True")</f>
        <v>14.818057107163051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47775</v>
      </c>
      <c r="T2069" s="43">
        <f ca="1">_xll.BInterpol('Base CDI'!$H$4:$H$28,'Base CDI'!$J$4:$J$29,S2069,"Cubic","Extrapolate=Linear","MultiX=Average","Skip=True","Sort=True")</f>
        <v>14.757942460951703</v>
      </c>
      <c r="U2069" s="43">
        <f ca="1">_xll.BInterpol('Base CDI'!$H$4:$H$28,'Base CDI'!$I$4:$I$29,S2069,"Cubic","Extrapolate=Linear","MultiX=Average","Skip=True","Sort=True")</f>
        <v>14.818089566045538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47776</v>
      </c>
      <c r="T2070" s="43">
        <f ca="1">_xll.BInterpol('Base CDI'!$H$4:$H$28,'Base CDI'!$J$4:$J$29,S2070,"Cubic","Extrapolate=Linear","MultiX=Average","Skip=True","Sort=True")</f>
        <v>14.757934313313932</v>
      </c>
      <c r="U2070" s="43">
        <f ca="1">_xll.BInterpol('Base CDI'!$H$4:$H$28,'Base CDI'!$I$4:$I$29,S2070,"Cubic","Extrapolate=Linear","MultiX=Average","Skip=True","Sort=True")</f>
        <v>14.818121812181053</v>
      </c>
    </row>
    <row r="2071" spans="16:21" x14ac:dyDescent="0.25">
      <c r="P2071" s="10">
        <v>37525</v>
      </c>
      <c r="Q2071">
        <v>7.85656</v>
      </c>
      <c r="S2071" s="42">
        <f t="shared" ca="1" si="37"/>
        <v>47777</v>
      </c>
      <c r="T2071" s="43">
        <f ca="1">_xll.BInterpol('Base CDI'!$H$4:$H$28,'Base CDI'!$J$4:$J$29,S2071,"Cubic","Extrapolate=Linear","MultiX=Average","Skip=True","Sort=True")</f>
        <v>14.757926011815094</v>
      </c>
      <c r="U2071" s="43">
        <f ca="1">_xll.BInterpol('Base CDI'!$H$4:$H$28,'Base CDI'!$I$4:$I$29,S2071,"Cubic","Extrapolate=Linear","MultiX=Average","Skip=True","Sort=True")</f>
        <v>14.818153846740955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47778</v>
      </c>
      <c r="T2072" s="43">
        <f ca="1">_xll.BInterpol('Base CDI'!$H$4:$H$28,'Base CDI'!$J$4:$J$29,S2072,"Cubic","Extrapolate=Linear","MultiX=Average","Skip=True","Sort=True")</f>
        <v>14.757917557870609</v>
      </c>
      <c r="U2072" s="43">
        <f ca="1">_xll.BInterpol('Base CDI'!$H$4:$H$28,'Base CDI'!$I$4:$I$29,S2072,"Cubic","Extrapolate=Linear","MultiX=Average","Skip=True","Sort=True")</f>
        <v>14.818185670896607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47779</v>
      </c>
      <c r="T2073" s="43">
        <f ca="1">_xll.BInterpol('Base CDI'!$H$4:$H$28,'Base CDI'!$J$4:$J$29,S2073,"Cubic","Extrapolate=Linear","MultiX=Average","Skip=True","Sort=True")</f>
        <v>14.757908952895901</v>
      </c>
      <c r="U2073" s="43">
        <f ca="1">_xll.BInterpol('Base CDI'!$H$4:$H$28,'Base CDI'!$I$4:$I$29,S2073,"Cubic","Extrapolate=Linear","MultiX=Average","Skip=True","Sort=True")</f>
        <v>14.818217285819369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47780</v>
      </c>
      <c r="T2074" s="43">
        <f ca="1">_xll.BInterpol('Base CDI'!$H$4:$H$28,'Base CDI'!$J$4:$J$29,S2074,"Cubic","Extrapolate=Linear","MultiX=Average","Skip=True","Sort=True")</f>
        <v>14.757900198306389</v>
      </c>
      <c r="U2074" s="43">
        <f ca="1">_xll.BInterpol('Base CDI'!$H$4:$H$28,'Base CDI'!$I$4:$I$29,S2074,"Cubic","Extrapolate=Linear","MultiX=Average","Skip=True","Sort=True")</f>
        <v>14.8182486926806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47781</v>
      </c>
      <c r="T2075" s="43">
        <f ca="1">_xll.BInterpol('Base CDI'!$H$4:$H$28,'Base CDI'!$J$4:$J$29,S2075,"Cubic","Extrapolate=Linear","MultiX=Average","Skip=True","Sort=True")</f>
        <v>14.757891295517497</v>
      </c>
      <c r="U2075" s="43">
        <f ca="1">_xll.BInterpol('Base CDI'!$H$4:$H$28,'Base CDI'!$I$4:$I$29,S2075,"Cubic","Extrapolate=Linear","MultiX=Average","Skip=True","Sort=True")</f>
        <v>14.818279892651661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47782</v>
      </c>
      <c r="T2076" s="43">
        <f ca="1">_xll.BInterpol('Base CDI'!$H$4:$H$28,'Base CDI'!$J$4:$J$29,S2076,"Cubic","Extrapolate=Linear","MultiX=Average","Skip=True","Sort=True")</f>
        <v>14.757882245944646</v>
      </c>
      <c r="U2076" s="43">
        <f ca="1">_xll.BInterpol('Base CDI'!$H$4:$H$28,'Base CDI'!$I$4:$I$29,S2076,"Cubic","Extrapolate=Linear","MultiX=Average","Skip=True","Sort=True")</f>
        <v>14.818310886903914</v>
      </c>
    </row>
    <row r="2077" spans="16:21" x14ac:dyDescent="0.25">
      <c r="P2077" s="10">
        <v>37533</v>
      </c>
      <c r="Q2077">
        <v>7.88741</v>
      </c>
      <c r="S2077" s="42">
        <f t="shared" ca="1" si="37"/>
        <v>47783</v>
      </c>
      <c r="T2077" s="43">
        <f ca="1">_xll.BInterpol('Base CDI'!$H$4:$H$28,'Base CDI'!$J$4:$J$29,S2077,"Cubic","Extrapolate=Linear","MultiX=Average","Skip=True","Sort=True")</f>
        <v>14.757873051003257</v>
      </c>
      <c r="U2077" s="43">
        <f ca="1">_xll.BInterpol('Base CDI'!$H$4:$H$28,'Base CDI'!$I$4:$I$29,S2077,"Cubic","Extrapolate=Linear","MultiX=Average","Skip=True","Sort=True")</f>
        <v>14.818341676608718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47784</v>
      </c>
      <c r="T2078" s="43">
        <f ca="1">_xll.BInterpol('Base CDI'!$H$4:$H$28,'Base CDI'!$J$4:$J$29,S2078,"Cubic","Extrapolate=Linear","MultiX=Average","Skip=True","Sort=True")</f>
        <v>14.757863712108751</v>
      </c>
      <c r="U2078" s="43">
        <f ca="1">_xll.BInterpol('Base CDI'!$H$4:$H$28,'Base CDI'!$I$4:$I$29,S2078,"Cubic","Extrapolate=Linear","MultiX=Average","Skip=True","Sort=True")</f>
        <v>14.818372262937434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47785</v>
      </c>
      <c r="T2079" s="43">
        <f ca="1">_xll.BInterpol('Base CDI'!$H$4:$H$28,'Base CDI'!$J$4:$J$29,S2079,"Cubic","Extrapolate=Linear","MultiX=Average","Skip=True","Sort=True")</f>
        <v>14.757854230676552</v>
      </c>
      <c r="U2079" s="43">
        <f ca="1">_xll.BInterpol('Base CDI'!$H$4:$H$28,'Base CDI'!$I$4:$I$29,S2079,"Cubic","Extrapolate=Linear","MultiX=Average","Skip=True","Sort=True")</f>
        <v>14.81840264706142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47786</v>
      </c>
      <c r="T2080" s="43">
        <f ca="1">_xll.BInterpol('Base CDI'!$H$4:$H$28,'Base CDI'!$J$4:$J$29,S2080,"Cubic","Extrapolate=Linear","MultiX=Average","Skip=True","Sort=True")</f>
        <v>14.757844608122079</v>
      </c>
      <c r="U2080" s="43">
        <f ca="1">_xll.BInterpol('Base CDI'!$H$4:$H$28,'Base CDI'!$I$4:$I$29,S2080,"Cubic","Extrapolate=Linear","MultiX=Average","Skip=True","Sort=True")</f>
        <v>14.818432830152041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47787</v>
      </c>
      <c r="T2081" s="43">
        <f ca="1">_xll.BInterpol('Base CDI'!$H$4:$H$28,'Base CDI'!$J$4:$J$29,S2081,"Cubic","Extrapolate=Linear","MultiX=Average","Skip=True","Sort=True")</f>
        <v>14.757834845860755</v>
      </c>
      <c r="U2081" s="43">
        <f ca="1">_xll.BInterpol('Base CDI'!$H$4:$H$28,'Base CDI'!$I$4:$I$29,S2081,"Cubic","Extrapolate=Linear","MultiX=Average","Skip=True","Sort=True")</f>
        <v>14.818462813380652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47788</v>
      </c>
      <c r="T2082" s="43">
        <f ca="1">_xll.BInterpol('Base CDI'!$H$4:$H$28,'Base CDI'!$J$4:$J$29,S2082,"Cubic","Extrapolate=Linear","MultiX=Average","Skip=True","Sort=True")</f>
        <v>14.757824945308</v>
      </c>
      <c r="U2082" s="43">
        <f ca="1">_xll.BInterpol('Base CDI'!$H$4:$H$28,'Base CDI'!$I$4:$I$29,S2082,"Cubic","Extrapolate=Linear","MultiX=Average","Skip=True","Sort=True")</f>
        <v>14.818492597918619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47789</v>
      </c>
      <c r="T2083" s="43">
        <f ca="1">_xll.BInterpol('Base CDI'!$H$4:$H$28,'Base CDI'!$J$4:$J$29,S2083,"Cubic","Extrapolate=Linear","MultiX=Average","Skip=True","Sort=True")</f>
        <v>14.757814907879238</v>
      </c>
      <c r="U2083" s="43">
        <f ca="1">_xll.BInterpol('Base CDI'!$H$4:$H$28,'Base CDI'!$I$4:$I$29,S2083,"Cubic","Extrapolate=Linear","MultiX=Average","Skip=True","Sort=True")</f>
        <v>14.818522184937297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47790</v>
      </c>
      <c r="T2084" s="43">
        <f ca="1">_xll.BInterpol('Base CDI'!$H$4:$H$28,'Base CDI'!$J$4:$J$29,S2084,"Cubic","Extrapolate=Linear","MultiX=Average","Skip=True","Sort=True")</f>
        <v>14.757804734989888</v>
      </c>
      <c r="U2084" s="43">
        <f ca="1">_xll.BInterpol('Base CDI'!$H$4:$H$28,'Base CDI'!$I$4:$I$29,S2084,"Cubic","Extrapolate=Linear","MultiX=Average","Skip=True","Sort=True")</f>
        <v>14.818551575608051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47791</v>
      </c>
      <c r="T2085" s="43">
        <f ca="1">_xll.BInterpol('Base CDI'!$H$4:$H$28,'Base CDI'!$J$4:$J$29,S2085,"Cubic","Extrapolate=Linear","MultiX=Average","Skip=True","Sort=True")</f>
        <v>14.757794428055375</v>
      </c>
      <c r="U2085" s="43">
        <f ca="1">_xll.BInterpol('Base CDI'!$H$4:$H$28,'Base CDI'!$I$4:$I$29,S2085,"Cubic","Extrapolate=Linear","MultiX=Average","Skip=True","Sort=True")</f>
        <v>14.818580771102239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47792</v>
      </c>
      <c r="T2086" s="43">
        <f ca="1">_xll.BInterpol('Base CDI'!$H$4:$H$28,'Base CDI'!$J$4:$J$29,S2086,"Cubic","Extrapolate=Linear","MultiX=Average","Skip=True","Sort=True")</f>
        <v>14.757783988491116</v>
      </c>
      <c r="U2086" s="43">
        <f ca="1">_xll.BInterpol('Base CDI'!$H$4:$H$28,'Base CDI'!$I$4:$I$29,S2086,"Cubic","Extrapolate=Linear","MultiX=Average","Skip=True","Sort=True")</f>
        <v>14.818609772591222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47793</v>
      </c>
      <c r="T2087" s="43">
        <f ca="1">_xll.BInterpol('Base CDI'!$H$4:$H$28,'Base CDI'!$J$4:$J$29,S2087,"Cubic","Extrapolate=Linear","MultiX=Average","Skip=True","Sort=True")</f>
        <v>14.757773417712537</v>
      </c>
      <c r="U2087" s="43">
        <f ca="1">_xll.BInterpol('Base CDI'!$H$4:$H$28,'Base CDI'!$I$4:$I$29,S2087,"Cubic","Extrapolate=Linear","MultiX=Average","Skip=True","Sort=True")</f>
        <v>14.818638581246361</v>
      </c>
    </row>
    <row r="2088" spans="16:21" x14ac:dyDescent="0.25">
      <c r="P2088" s="10">
        <v>37550</v>
      </c>
      <c r="Q2088">
        <v>7.947336</v>
      </c>
      <c r="S2088" s="42">
        <f t="shared" ca="1" si="37"/>
        <v>47794</v>
      </c>
      <c r="T2088" s="43">
        <f ca="1">_xll.BInterpol('Base CDI'!$H$4:$H$28,'Base CDI'!$J$4:$J$29,S2088,"Cubic","Extrapolate=Linear","MultiX=Average","Skip=True","Sort=True")</f>
        <v>14.757762717135057</v>
      </c>
      <c r="U2088" s="43">
        <f ca="1">_xll.BInterpol('Base CDI'!$H$4:$H$28,'Base CDI'!$I$4:$I$29,S2088,"Cubic","Extrapolate=Linear","MultiX=Average","Skip=True","Sort=True")</f>
        <v>14.818667198239014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47795</v>
      </c>
      <c r="T2089" s="43">
        <f ca="1">_xll.BInterpol('Base CDI'!$H$4:$H$28,'Base CDI'!$J$4:$J$29,S2089,"Cubic","Extrapolate=Linear","MultiX=Average","Skip=True","Sort=True")</f>
        <v>14.757751888174099</v>
      </c>
      <c r="U2089" s="43">
        <f ca="1">_xll.BInterpol('Base CDI'!$H$4:$H$28,'Base CDI'!$I$4:$I$29,S2089,"Cubic","Extrapolate=Linear","MultiX=Average","Skip=True","Sort=True")</f>
        <v>14.818695624740545</v>
      </c>
    </row>
    <row r="2090" spans="16:21" x14ac:dyDescent="0.25">
      <c r="P2090" s="10">
        <v>37552</v>
      </c>
      <c r="Q2090">
        <v>7.959282</v>
      </c>
      <c r="S2090" s="42">
        <f t="shared" ca="1" si="37"/>
        <v>47796</v>
      </c>
      <c r="T2090" s="43">
        <f ca="1">_xll.BInterpol('Base CDI'!$H$4:$H$28,'Base CDI'!$J$4:$J$29,S2090,"Cubic","Extrapolate=Linear","MultiX=Average","Skip=True","Sort=True")</f>
        <v>14.757740932245083</v>
      </c>
      <c r="U2090" s="43">
        <f ca="1">_xll.BInterpol('Base CDI'!$H$4:$H$28,'Base CDI'!$I$4:$I$29,S2090,"Cubic","Extrapolate=Linear","MultiX=Average","Skip=True","Sort=True")</f>
        <v>14.818723861922312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47797</v>
      </c>
      <c r="T2091" s="43">
        <f ca="1">_xll.BInterpol('Base CDI'!$H$4:$H$28,'Base CDI'!$J$4:$J$29,S2091,"Cubic","Extrapolate=Linear","MultiX=Average","Skip=True","Sort=True")</f>
        <v>14.757729850763432</v>
      </c>
      <c r="U2091" s="43">
        <f ca="1">_xll.BInterpol('Base CDI'!$H$4:$H$28,'Base CDI'!$I$4:$I$29,S2091,"Cubic","Extrapolate=Linear","MultiX=Average","Skip=True","Sort=True")</f>
        <v>14.818751910955676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47798</v>
      </c>
      <c r="T2092" s="43">
        <f ca="1">_xll.BInterpol('Base CDI'!$H$4:$H$28,'Base CDI'!$J$4:$J$29,S2092,"Cubic","Extrapolate=Linear","MultiX=Average","Skip=True","Sort=True")</f>
        <v>14.757718645144568</v>
      </c>
      <c r="U2092" s="43">
        <f ca="1">_xll.BInterpol('Base CDI'!$H$4:$H$28,'Base CDI'!$I$4:$I$29,S2092,"Cubic","Extrapolate=Linear","MultiX=Average","Skip=True","Sort=True")</f>
        <v>14.818779773011997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47799</v>
      </c>
      <c r="T2093" s="43">
        <f ca="1">_xll.BInterpol('Base CDI'!$H$4:$H$28,'Base CDI'!$J$4:$J$29,S2093,"Cubic","Extrapolate=Linear","MultiX=Average","Skip=True","Sort=True")</f>
        <v>14.757707316803911</v>
      </c>
      <c r="U2093" s="43">
        <f ca="1">_xll.BInterpol('Base CDI'!$H$4:$H$28,'Base CDI'!$I$4:$I$29,S2093,"Cubic","Extrapolate=Linear","MultiX=Average","Skip=True","Sort=True")</f>
        <v>14.818807449262637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47800</v>
      </c>
      <c r="T2094" s="43">
        <f ca="1">_xll.BInterpol('Base CDI'!$H$4:$H$28,'Base CDI'!$J$4:$J$29,S2094,"Cubic","Extrapolate=Linear","MultiX=Average","Skip=True","Sort=True")</f>
        <v>14.757695867156883</v>
      </c>
      <c r="U2094" s="43">
        <f ca="1">_xll.BInterpol('Base CDI'!$H$4:$H$28,'Base CDI'!$I$4:$I$29,S2094,"Cubic","Extrapolate=Linear","MultiX=Average","Skip=True","Sort=True")</f>
        <v>14.818834940878954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47801</v>
      </c>
      <c r="T2095" s="43">
        <f ca="1">_xll.BInterpol('Base CDI'!$H$4:$H$28,'Base CDI'!$J$4:$J$29,S2095,"Cubic","Extrapolate=Linear","MultiX=Average","Skip=True","Sort=True")</f>
        <v>14.757684297618905</v>
      </c>
      <c r="U2095" s="43">
        <f ca="1">_xll.BInterpol('Base CDI'!$H$4:$H$28,'Base CDI'!$I$4:$I$29,S2095,"Cubic","Extrapolate=Linear","MultiX=Average","Skip=True","Sort=True")</f>
        <v>14.818862249032311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47802</v>
      </c>
      <c r="T2096" s="43">
        <f ca="1">_xll.BInterpol('Base CDI'!$H$4:$H$28,'Base CDI'!$J$4:$J$29,S2096,"Cubic","Extrapolate=Linear","MultiX=Average","Skip=True","Sort=True")</f>
        <v>14.7576726096054</v>
      </c>
      <c r="U2096" s="43">
        <f ca="1">_xll.BInterpol('Base CDI'!$H$4:$H$28,'Base CDI'!$I$4:$I$29,S2096,"Cubic","Extrapolate=Linear","MultiX=Average","Skip=True","Sort=True")</f>
        <v>14.818889374894066</v>
      </c>
    </row>
    <row r="2097" spans="16:21" x14ac:dyDescent="0.25">
      <c r="P2097" s="10">
        <v>37561</v>
      </c>
      <c r="Q2097">
        <v>8.001182</v>
      </c>
      <c r="S2097" s="42">
        <f t="shared" ca="1" si="37"/>
        <v>47803</v>
      </c>
      <c r="T2097" s="43">
        <f ca="1">_xll.BInterpol('Base CDI'!$H$4:$H$28,'Base CDI'!$J$4:$J$29,S2097,"Cubic","Extrapolate=Linear","MultiX=Average","Skip=True","Sort=True")</f>
        <v>14.75766080453179</v>
      </c>
      <c r="U2097" s="43">
        <f ca="1">_xll.BInterpol('Base CDI'!$H$4:$H$28,'Base CDI'!$I$4:$I$29,S2097,"Cubic","Extrapolate=Linear","MultiX=Average","Skip=True","Sort=True")</f>
        <v>14.818916319635582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47804</v>
      </c>
      <c r="T2098" s="43">
        <f ca="1">_xll.BInterpol('Base CDI'!$H$4:$H$28,'Base CDI'!$J$4:$J$29,S2098,"Cubic","Extrapolate=Linear","MultiX=Average","Skip=True","Sort=True")</f>
        <v>14.757648883813495</v>
      </c>
      <c r="U2098" s="43">
        <f ca="1">_xll.BInterpol('Base CDI'!$H$4:$H$28,'Base CDI'!$I$4:$I$29,S2098,"Cubic","Extrapolate=Linear","MultiX=Average","Skip=True","Sort=True")</f>
        <v>14.818943084428216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47805</v>
      </c>
      <c r="T2099" s="43">
        <f ca="1">_xll.BInterpol('Base CDI'!$H$4:$H$28,'Base CDI'!$J$4:$J$29,S2099,"Cubic","Extrapolate=Linear","MultiX=Average","Skip=True","Sort=True")</f>
        <v>14.757636848865937</v>
      </c>
      <c r="U2099" s="43">
        <f ca="1">_xll.BInterpol('Base CDI'!$H$4:$H$28,'Base CDI'!$I$4:$I$29,S2099,"Cubic","Extrapolate=Linear","MultiX=Average","Skip=True","Sort=True")</f>
        <v>14.818969670443332</v>
      </c>
    </row>
    <row r="2100" spans="16:21" x14ac:dyDescent="0.25">
      <c r="P2100" s="10">
        <v>37566</v>
      </c>
      <c r="Q2100">
        <v>8.019209</v>
      </c>
      <c r="S2100" s="42">
        <f t="shared" ca="1" si="37"/>
        <v>47806</v>
      </c>
      <c r="T2100" s="43">
        <f ca="1">_xll.BInterpol('Base CDI'!$H$4:$H$28,'Base CDI'!$J$4:$J$29,S2100,"Cubic","Extrapolate=Linear","MultiX=Average","Skip=True","Sort=True")</f>
        <v>14.75762470110454</v>
      </c>
      <c r="U2100" s="43">
        <f ca="1">_xll.BInterpol('Base CDI'!$H$4:$H$28,'Base CDI'!$I$4:$I$29,S2100,"Cubic","Extrapolate=Linear","MultiX=Average","Skip=True","Sort=True")</f>
        <v>14.818996078852289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47807</v>
      </c>
      <c r="T2101" s="43">
        <f ca="1">_xll.BInterpol('Base CDI'!$H$4:$H$28,'Base CDI'!$J$4:$J$29,S2101,"Cubic","Extrapolate=Linear","MultiX=Average","Skip=True","Sort=True")</f>
        <v>14.757612441944721</v>
      </c>
      <c r="U2101" s="43">
        <f ca="1">_xll.BInterpol('Base CDI'!$H$4:$H$28,'Base CDI'!$I$4:$I$29,S2101,"Cubic","Extrapolate=Linear","MultiX=Average","Skip=True","Sort=True")</f>
        <v>14.819022310826446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47808</v>
      </c>
      <c r="T2102" s="43">
        <f ca="1">_xll.BInterpol('Base CDI'!$H$4:$H$28,'Base CDI'!$J$4:$J$29,S2102,"Cubic","Extrapolate=Linear","MultiX=Average","Skip=True","Sort=True")</f>
        <v>14.757600072801905</v>
      </c>
      <c r="U2102" s="43">
        <f ca="1">_xll.BInterpol('Base CDI'!$H$4:$H$28,'Base CDI'!$I$4:$I$29,S2102,"Cubic","Extrapolate=Linear","MultiX=Average","Skip=True","Sort=True")</f>
        <v>14.819048367537166</v>
      </c>
    </row>
    <row r="2103" spans="16:21" x14ac:dyDescent="0.25">
      <c r="P2103" s="10">
        <v>37571</v>
      </c>
      <c r="Q2103">
        <v>8.037293</v>
      </c>
      <c r="S2103" s="42">
        <f t="shared" ca="1" si="37"/>
        <v>47809</v>
      </c>
      <c r="T2103" s="43">
        <f ca="1">_xll.BInterpol('Base CDI'!$H$4:$H$28,'Base CDI'!$J$4:$J$29,S2103,"Cubic","Extrapolate=Linear","MultiX=Average","Skip=True","Sort=True")</f>
        <v>14.757587595091511</v>
      </c>
      <c r="U2103" s="43">
        <f ca="1">_xll.BInterpol('Base CDI'!$H$4:$H$28,'Base CDI'!$I$4:$I$29,S2103,"Cubic","Extrapolate=Linear","MultiX=Average","Skip=True","Sort=True")</f>
        <v>14.819074250155806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47810</v>
      </c>
      <c r="T2104" s="43">
        <f ca="1">_xll.BInterpol('Base CDI'!$H$4:$H$28,'Base CDI'!$J$4:$J$29,S2104,"Cubic","Extrapolate=Linear","MultiX=Average","Skip=True","Sort=True")</f>
        <v>14.757575010228964</v>
      </c>
      <c r="U2104" s="43">
        <f ca="1">_xll.BInterpol('Base CDI'!$H$4:$H$28,'Base CDI'!$I$4:$I$29,S2104,"Cubic","Extrapolate=Linear","MultiX=Average","Skip=True","Sort=True")</f>
        <v>14.81909995985373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47811</v>
      </c>
      <c r="T2105" s="43">
        <f ca="1">_xll.BInterpol('Base CDI'!$H$4:$H$28,'Base CDI'!$J$4:$J$29,S2105,"Cubic","Extrapolate=Linear","MultiX=Average","Skip=True","Sort=True")</f>
        <v>14.757562319629683</v>
      </c>
      <c r="U2105" s="43">
        <f ca="1">_xll.BInterpol('Base CDI'!$H$4:$H$28,'Base CDI'!$I$4:$I$29,S2105,"Cubic","Extrapolate=Linear","MultiX=Average","Skip=True","Sort=True")</f>
        <v>14.819125497802297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47812</v>
      </c>
      <c r="T2106" s="43">
        <f ca="1">_xll.BInterpol('Base CDI'!$H$4:$H$28,'Base CDI'!$J$4:$J$29,S2106,"Cubic","Extrapolate=Linear","MultiX=Average","Skip=True","Sort=True")</f>
        <v>14.757549524709091</v>
      </c>
      <c r="U2106" s="43">
        <f ca="1">_xll.BInterpol('Base CDI'!$H$4:$H$28,'Base CDI'!$I$4:$I$29,S2106,"Cubic","Extrapolate=Linear","MultiX=Average","Skip=True","Sort=True")</f>
        <v>14.819150865172867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47813</v>
      </c>
      <c r="T2107" s="43">
        <f ca="1">_xll.BInterpol('Base CDI'!$H$4:$H$28,'Base CDI'!$J$4:$J$29,S2107,"Cubic","Extrapolate=Linear","MultiX=Average","Skip=True","Sort=True")</f>
        <v>14.757536626882608</v>
      </c>
      <c r="U2107" s="43">
        <f ca="1">_xll.BInterpol('Base CDI'!$H$4:$H$28,'Base CDI'!$I$4:$I$29,S2107,"Cubic","Extrapolate=Linear","MultiX=Average","Skip=True","Sort=True")</f>
        <v>14.819176063136801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47814</v>
      </c>
      <c r="T2108" s="43">
        <f ca="1">_xll.BInterpol('Base CDI'!$H$4:$H$28,'Base CDI'!$J$4:$J$29,S2108,"Cubic","Extrapolate=Linear","MultiX=Average","Skip=True","Sort=True")</f>
        <v>14.757523627565657</v>
      </c>
      <c r="U2108" s="43">
        <f ca="1">_xll.BInterpol('Base CDI'!$H$4:$H$28,'Base CDI'!$I$4:$I$29,S2108,"Cubic","Extrapolate=Linear","MultiX=Average","Skip=True","Sort=True")</f>
        <v>14.819201092865461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47815</v>
      </c>
      <c r="T2109" s="43">
        <f ca="1">_xll.BInterpol('Base CDI'!$H$4:$H$28,'Base CDI'!$J$4:$J$29,S2109,"Cubic","Extrapolate=Linear","MultiX=Average","Skip=True","Sort=True")</f>
        <v>14.757510528173659</v>
      </c>
      <c r="U2109" s="43">
        <f ca="1">_xll.BInterpol('Base CDI'!$H$4:$H$28,'Base CDI'!$I$4:$I$29,S2109,"Cubic","Extrapolate=Linear","MultiX=Average","Skip=True","Sort=True")</f>
        <v>14.819225955530204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47816</v>
      </c>
      <c r="T2110" s="43">
        <f ca="1">_xll.BInterpol('Base CDI'!$H$4:$H$28,'Base CDI'!$J$4:$J$29,S2110,"Cubic","Extrapolate=Linear","MultiX=Average","Skip=True","Sort=True")</f>
        <v>14.757497330122037</v>
      </c>
      <c r="U2110" s="43">
        <f ca="1">_xll.BInterpol('Base CDI'!$H$4:$H$28,'Base CDI'!$I$4:$I$29,S2110,"Cubic","Extrapolate=Linear","MultiX=Average","Skip=True","Sort=True")</f>
        <v>14.81925065230239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47817</v>
      </c>
      <c r="T2111" s="43">
        <f ca="1">_xll.BInterpol('Base CDI'!$H$4:$H$28,'Base CDI'!$J$4:$J$29,S2111,"Cubic","Extrapolate=Linear","MultiX=Average","Skip=True","Sort=True")</f>
        <v>14.757484034826211</v>
      </c>
      <c r="U2111" s="43">
        <f ca="1">_xll.BInterpol('Base CDI'!$H$4:$H$28,'Base CDI'!$I$4:$I$29,S2111,"Cubic","Extrapolate=Linear","MultiX=Average","Skip=True","Sort=True")</f>
        <v>14.819275184353385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47818</v>
      </c>
      <c r="T2112" s="43">
        <f ca="1">_xll.BInterpol('Base CDI'!$H$4:$H$28,'Base CDI'!$J$4:$J$29,S2112,"Cubic","Extrapolate=Linear","MultiX=Average","Skip=True","Sort=True")</f>
        <v>14.757470643701602</v>
      </c>
      <c r="U2112" s="43">
        <f ca="1">_xll.BInterpol('Base CDI'!$H$4:$H$28,'Base CDI'!$I$4:$I$29,S2112,"Cubic","Extrapolate=Linear","MultiX=Average","Skip=True","Sort=True")</f>
        <v>14.819299552854543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47819</v>
      </c>
      <c r="T2113" s="43">
        <f ca="1">_xll.BInterpol('Base CDI'!$H$4:$H$28,'Base CDI'!$J$4:$J$29,S2113,"Cubic","Extrapolate=Linear","MultiX=Average","Skip=True","Sort=True")</f>
        <v>14.757457158163632</v>
      </c>
      <c r="U2113" s="43">
        <f ca="1">_xll.BInterpol('Base CDI'!$H$4:$H$28,'Base CDI'!$I$4:$I$29,S2113,"Cubic","Extrapolate=Linear","MultiX=Average","Skip=True","Sort=True")</f>
        <v>14.81932375897723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47820</v>
      </c>
      <c r="T2114" s="43">
        <f ca="1">_xll.BInterpol('Base CDI'!$H$4:$H$28,'Base CDI'!$J$4:$J$29,S2114,"Cubic","Extrapolate=Linear","MultiX=Average","Skip=True","Sort=True")</f>
        <v>14.757443579627724</v>
      </c>
      <c r="U2114" s="43">
        <f ca="1">_xll.BInterpol('Base CDI'!$H$4:$H$28,'Base CDI'!$I$4:$I$29,S2114,"Cubic","Extrapolate=Linear","MultiX=Average","Skip=True","Sort=True")</f>
        <v>14.819347803892802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47821</v>
      </c>
      <c r="T2115" s="43">
        <f ca="1">_xll.BInterpol('Base CDI'!$H$4:$H$28,'Base CDI'!$J$4:$J$29,S2115,"Cubic","Extrapolate=Linear","MultiX=Average","Skip=True","Sort=True")</f>
        <v>14.7574299095093</v>
      </c>
      <c r="U2115" s="43">
        <f ca="1">_xll.BInterpol('Base CDI'!$H$4:$H$28,'Base CDI'!$I$4:$I$29,S2115,"Cubic","Extrapolate=Linear","MultiX=Average","Skip=True","Sort=True")</f>
        <v>14.819371688772621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47822</v>
      </c>
      <c r="T2116" s="43">
        <f ca="1">_xll.BInterpol('Base CDI'!$H$4:$H$28,'Base CDI'!$J$4:$J$29,S2116,"Cubic","Extrapolate=Linear","MultiX=Average","Skip=True","Sort=True")</f>
        <v>14.757416149223777</v>
      </c>
      <c r="U2116" s="43">
        <f ca="1">_xll.BInterpol('Base CDI'!$H$4:$H$28,'Base CDI'!$I$4:$I$29,S2116,"Cubic","Extrapolate=Linear","MultiX=Average","Skip=True","Sort=True")</f>
        <v>14.819395414788049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47823</v>
      </c>
      <c r="T2117" s="43">
        <f ca="1">_xll.BInterpol('Base CDI'!$H$4:$H$28,'Base CDI'!$J$4:$J$29,S2117,"Cubic","Extrapolate=Linear","MultiX=Average","Skip=True","Sort=True")</f>
        <v>14.757402300186584</v>
      </c>
      <c r="U2117" s="43">
        <f ca="1">_xll.BInterpol('Base CDI'!$H$4:$H$28,'Base CDI'!$I$4:$I$29,S2117,"Cubic","Extrapolate=Linear","MultiX=Average","Skip=True","Sort=True")</f>
        <v>14.819418983110443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47824</v>
      </c>
      <c r="T2118" s="43">
        <f ca="1">_xll.BInterpol('Base CDI'!$H$4:$H$28,'Base CDI'!$J$4:$J$29,S2118,"Cubic","Extrapolate=Linear","MultiX=Average","Skip=True","Sort=True")</f>
        <v>14.757388363813135</v>
      </c>
      <c r="U2118" s="43">
        <f ca="1">_xll.BInterpol('Base CDI'!$H$4:$H$28,'Base CDI'!$I$4:$I$29,S2118,"Cubic","Extrapolate=Linear","MultiX=Average","Skip=True","Sort=True")</f>
        <v>14.819442394911167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47825</v>
      </c>
      <c r="T2119" s="43">
        <f ca="1">_xll.BInterpol('Base CDI'!$H$4:$H$28,'Base CDI'!$J$4:$J$29,S2119,"Cubic","Extrapolate=Linear","MultiX=Average","Skip=True","Sort=True")</f>
        <v>14.757374341518856</v>
      </c>
      <c r="U2119" s="43">
        <f ca="1">_xll.BInterpol('Base CDI'!$H$4:$H$28,'Base CDI'!$I$4:$I$29,S2119,"Cubic","Extrapolate=Linear","MultiX=Average","Skip=True","Sort=True")</f>
        <v>14.819465651361579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47826</v>
      </c>
      <c r="T2120" s="43">
        <f ca="1">_xll.BInterpol('Base CDI'!$H$4:$H$28,'Base CDI'!$J$4:$J$29,S2120,"Cubic","Extrapolate=Linear","MultiX=Average","Skip=True","Sort=True")</f>
        <v>14.757360234719169</v>
      </c>
      <c r="U2120" s="43">
        <f ca="1">_xll.BInterpol('Base CDI'!$H$4:$H$28,'Base CDI'!$I$4:$I$29,S2120,"Cubic","Extrapolate=Linear","MultiX=Average","Skip=True","Sort=True")</f>
        <v>14.819488753633042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47827</v>
      </c>
      <c r="T2121" s="43">
        <f ca="1">_xll.BInterpol('Base CDI'!$H$4:$H$28,'Base CDI'!$J$4:$J$29,S2121,"Cubic","Extrapolate=Linear","MultiX=Average","Skip=True","Sort=True")</f>
        <v>14.757346044829493</v>
      </c>
      <c r="U2121" s="43">
        <f ca="1">_xll.BInterpol('Base CDI'!$H$4:$H$28,'Base CDI'!$I$4:$I$29,S2121,"Cubic","Extrapolate=Linear","MultiX=Average","Skip=True","Sort=True")</f>
        <v>14.819511702896913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47828</v>
      </c>
      <c r="T2122" s="43">
        <f ca="1">_xll.BInterpol('Base CDI'!$H$4:$H$28,'Base CDI'!$J$4:$J$29,S2122,"Cubic","Extrapolate=Linear","MultiX=Average","Skip=True","Sort=True")</f>
        <v>14.757331773265252</v>
      </c>
      <c r="U2122" s="43">
        <f ca="1">_xll.BInterpol('Base CDI'!$H$4:$H$28,'Base CDI'!$I$4:$I$29,S2122,"Cubic","Extrapolate=Linear","MultiX=Average","Skip=True","Sort=True")</f>
        <v>14.819534500324554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47829</v>
      </c>
      <c r="T2123" s="43">
        <f ca="1">_xll.BInterpol('Base CDI'!$H$4:$H$28,'Base CDI'!$J$4:$J$29,S2123,"Cubic","Extrapolate=Linear","MultiX=Average","Skip=True","Sort=True")</f>
        <v>14.757317421441865</v>
      </c>
      <c r="U2123" s="43">
        <f ca="1">_xll.BInterpol('Base CDI'!$H$4:$H$28,'Base CDI'!$I$4:$I$29,S2123,"Cubic","Extrapolate=Linear","MultiX=Average","Skip=True","Sort=True")</f>
        <v>14.819557147087327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47830</v>
      </c>
      <c r="T2124" s="43">
        <f ca="1">_xll.BInterpol('Base CDI'!$H$4:$H$28,'Base CDI'!$J$4:$J$29,S2124,"Cubic","Extrapolate=Linear","MultiX=Average","Skip=True","Sort=True")</f>
        <v>14.757302990774756</v>
      </c>
      <c r="U2124" s="43">
        <f ca="1">_xll.BInterpol('Base CDI'!$H$4:$H$28,'Base CDI'!$I$4:$I$29,S2124,"Cubic","Extrapolate=Linear","MultiX=Average","Skip=True","Sort=True")</f>
        <v>14.819579644356589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47831</v>
      </c>
      <c r="T2125" s="43">
        <f ca="1">_xll.BInterpol('Base CDI'!$H$4:$H$28,'Base CDI'!$J$4:$J$29,S2125,"Cubic","Extrapolate=Linear","MultiX=Average","Skip=True","Sort=True")</f>
        <v>14.757288482679346</v>
      </c>
      <c r="U2125" s="43">
        <f ca="1">_xll.BInterpol('Base CDI'!$H$4:$H$28,'Base CDI'!$I$4:$I$29,S2125,"Cubic","Extrapolate=Linear","MultiX=Average","Skip=True","Sort=True")</f>
        <v>14.819601993303705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47832</v>
      </c>
      <c r="T2126" s="43">
        <f ca="1">_xll.BInterpol('Base CDI'!$H$4:$H$28,'Base CDI'!$J$4:$J$29,S2126,"Cubic","Extrapolate=Linear","MultiX=Average","Skip=True","Sort=True")</f>
        <v>14.757273898571055</v>
      </c>
      <c r="U2126" s="43">
        <f ca="1">_xll.BInterpol('Base CDI'!$H$4:$H$28,'Base CDI'!$I$4:$I$29,S2126,"Cubic","Extrapolate=Linear","MultiX=Average","Skip=True","Sort=True")</f>
        <v>14.81962419510003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47833</v>
      </c>
      <c r="T2127" s="43">
        <f ca="1">_xll.BInterpol('Base CDI'!$H$4:$H$28,'Base CDI'!$J$4:$J$29,S2127,"Cubic","Extrapolate=Linear","MultiX=Average","Skip=True","Sort=True")</f>
        <v>14.757259239865306</v>
      </c>
      <c r="U2127" s="43">
        <f ca="1">_xll.BInterpol('Base CDI'!$H$4:$H$28,'Base CDI'!$I$4:$I$29,S2127,"Cubic","Extrapolate=Linear","MultiX=Average","Skip=True","Sort=True")</f>
        <v>14.819646250916929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47834</v>
      </c>
      <c r="T2128" s="43">
        <f ca="1">_xll.BInterpol('Base CDI'!$H$4:$H$28,'Base CDI'!$J$4:$J$29,S2128,"Cubic","Extrapolate=Linear","MultiX=Average","Skip=True","Sort=True")</f>
        <v>14.757244507977521</v>
      </c>
      <c r="U2128" s="43">
        <f ca="1">_xll.BInterpol('Base CDI'!$H$4:$H$28,'Base CDI'!$I$4:$I$29,S2128,"Cubic","Extrapolate=Linear","MultiX=Average","Skip=True","Sort=True")</f>
        <v>14.81966816192576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47835</v>
      </c>
      <c r="T2129" s="43">
        <f ca="1">_xll.BInterpol('Base CDI'!$H$4:$H$28,'Base CDI'!$J$4:$J$29,S2129,"Cubic","Extrapolate=Linear","MultiX=Average","Skip=True","Sort=True")</f>
        <v>14.757229704323121</v>
      </c>
      <c r="U2129" s="43">
        <f ca="1">_xll.BInterpol('Base CDI'!$H$4:$H$28,'Base CDI'!$I$4:$I$29,S2129,"Cubic","Extrapolate=Linear","MultiX=Average","Skip=True","Sort=True")</f>
        <v>14.819689929297883</v>
      </c>
    </row>
    <row r="2130" spans="16:21" x14ac:dyDescent="0.25">
      <c r="P2130" s="10">
        <v>37609</v>
      </c>
      <c r="Q2130">
        <v>8.206906</v>
      </c>
      <c r="S2130" s="42">
        <f t="shared" ca="1" si="38"/>
        <v>47836</v>
      </c>
      <c r="T2130" s="43">
        <f ca="1">_xll.BInterpol('Base CDI'!$H$4:$H$28,'Base CDI'!$J$4:$J$29,S2130,"Cubic","Extrapolate=Linear","MultiX=Average","Skip=True","Sort=True")</f>
        <v>14.757214830317528</v>
      </c>
      <c r="U2130" s="43">
        <f ca="1">_xll.BInterpol('Base CDI'!$H$4:$H$28,'Base CDI'!$I$4:$I$29,S2130,"Cubic","Extrapolate=Linear","MultiX=Average","Skip=True","Sort=True")</f>
        <v>14.819711554204661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47837</v>
      </c>
      <c r="T2131" s="43">
        <f ca="1">_xll.BInterpol('Base CDI'!$H$4:$H$28,'Base CDI'!$J$4:$J$29,S2131,"Cubic","Extrapolate=Linear","MultiX=Average","Skip=True","Sort=True")</f>
        <v>14.757199887376162</v>
      </c>
      <c r="U2131" s="43">
        <f ca="1">_xll.BInterpol('Base CDI'!$H$4:$H$28,'Base CDI'!$I$4:$I$29,S2131,"Cubic","Extrapolate=Linear","MultiX=Average","Skip=True","Sort=True")</f>
        <v>14.819733037817453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47838</v>
      </c>
      <c r="T2132" s="43">
        <f ca="1">_xll.BInterpol('Base CDI'!$H$4:$H$28,'Base CDI'!$J$4:$J$29,S2132,"Cubic","Extrapolate=Linear","MultiX=Average","Skip=True","Sort=True")</f>
        <v>14.757184876914446</v>
      </c>
      <c r="U2132" s="43">
        <f ca="1">_xll.BInterpol('Base CDI'!$H$4:$H$28,'Base CDI'!$I$4:$I$29,S2132,"Cubic","Extrapolate=Linear","MultiX=Average","Skip=True","Sort=True")</f>
        <v>14.819754381307618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47839</v>
      </c>
      <c r="T2133" s="43">
        <f ca="1">_xll.BInterpol('Base CDI'!$H$4:$H$28,'Base CDI'!$J$4:$J$29,S2133,"Cubic","Extrapolate=Linear","MultiX=Average","Skip=True","Sort=True")</f>
        <v>14.757169800347802</v>
      </c>
      <c r="U2133" s="43">
        <f ca="1">_xll.BInterpol('Base CDI'!$H$4:$H$28,'Base CDI'!$I$4:$I$29,S2133,"Cubic","Extrapolate=Linear","MultiX=Average","Skip=True","Sort=True")</f>
        <v>14.81977558584652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47840</v>
      </c>
      <c r="T2134" s="43">
        <f ca="1">_xll.BInterpol('Base CDI'!$H$4:$H$28,'Base CDI'!$J$4:$J$29,S2134,"Cubic","Extrapolate=Linear","MultiX=Average","Skip=True","Sort=True")</f>
        <v>14.75715465909165</v>
      </c>
      <c r="U2134" s="43">
        <f ca="1">_xll.BInterpol('Base CDI'!$H$4:$H$28,'Base CDI'!$I$4:$I$29,S2134,"Cubic","Extrapolate=Linear","MultiX=Average","Skip=True","Sort=True")</f>
        <v>14.819796652605515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47841</v>
      </c>
      <c r="T2135" s="43">
        <f ca="1">_xll.BInterpol('Base CDI'!$H$4:$H$28,'Base CDI'!$J$4:$J$29,S2135,"Cubic","Extrapolate=Linear","MultiX=Average","Skip=True","Sort=True")</f>
        <v>14.757139454561413</v>
      </c>
      <c r="U2135" s="43">
        <f ca="1">_xll.BInterpol('Base CDI'!$H$4:$H$28,'Base CDI'!$I$4:$I$29,S2135,"Cubic","Extrapolate=Linear","MultiX=Average","Skip=True","Sort=True")</f>
        <v>14.819817582755967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47842</v>
      </c>
      <c r="T2136" s="43">
        <f ca="1">_xll.BInterpol('Base CDI'!$H$4:$H$28,'Base CDI'!$J$4:$J$29,S2136,"Cubic","Extrapolate=Linear","MultiX=Average","Skip=True","Sort=True")</f>
        <v>14.757124188172513</v>
      </c>
      <c r="U2136" s="43">
        <f ca="1">_xll.BInterpol('Base CDI'!$H$4:$H$28,'Base CDI'!$I$4:$I$29,S2136,"Cubic","Extrapolate=Linear","MultiX=Average","Skip=True","Sort=True")</f>
        <v>14.819838377469233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47843</v>
      </c>
      <c r="T2137" s="43">
        <f ca="1">_xll.BInterpol('Base CDI'!$H$4:$H$28,'Base CDI'!$J$4:$J$29,S2137,"Cubic","Extrapolate=Linear","MultiX=Average","Skip=True","Sort=True")</f>
        <v>14.75710886134037</v>
      </c>
      <c r="U2137" s="43">
        <f ca="1">_xll.BInterpol('Base CDI'!$H$4:$H$28,'Base CDI'!$I$4:$I$29,S2137,"Cubic","Extrapolate=Linear","MultiX=Average","Skip=True","Sort=True")</f>
        <v>14.819859037916677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47844</v>
      </c>
      <c r="T2138" s="43">
        <f ca="1">_xll.BInterpol('Base CDI'!$H$4:$H$28,'Base CDI'!$J$4:$J$29,S2138,"Cubic","Extrapolate=Linear","MultiX=Average","Skip=True","Sort=True")</f>
        <v>14.757093475480406</v>
      </c>
      <c r="U2138" s="43">
        <f ca="1">_xll.BInterpol('Base CDI'!$H$4:$H$28,'Base CDI'!$I$4:$I$29,S2138,"Cubic","Extrapolate=Linear","MultiX=Average","Skip=True","Sort=True")</f>
        <v>14.819879565269659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47845</v>
      </c>
      <c r="T2139" s="43">
        <f ca="1">_xll.BInterpol('Base CDI'!$H$4:$H$28,'Base CDI'!$J$4:$J$29,S2139,"Cubic","Extrapolate=Linear","MultiX=Average","Skip=True","Sort=True")</f>
        <v>14.757078032008044</v>
      </c>
      <c r="U2139" s="43">
        <f ca="1">_xll.BInterpol('Base CDI'!$H$4:$H$28,'Base CDI'!$I$4:$I$29,S2139,"Cubic","Extrapolate=Linear","MultiX=Average","Skip=True","Sort=True")</f>
        <v>14.819899960699537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47846</v>
      </c>
      <c r="T2140" s="43">
        <f ca="1">_xll.BInterpol('Base CDI'!$H$4:$H$28,'Base CDI'!$J$4:$J$29,S2140,"Cubic","Extrapolate=Linear","MultiX=Average","Skip=True","Sort=True")</f>
        <v>14.757062532338704</v>
      </c>
      <c r="U2140" s="43">
        <f ca="1">_xll.BInterpol('Base CDI'!$H$4:$H$28,'Base CDI'!$I$4:$I$29,S2140,"Cubic","Extrapolate=Linear","MultiX=Average","Skip=True","Sort=True")</f>
        <v>14.819920225377672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47847</v>
      </c>
      <c r="T2141" s="43">
        <f ca="1">_xll.BInterpol('Base CDI'!$H$4:$H$28,'Base CDI'!$J$4:$J$29,S2141,"Cubic","Extrapolate=Linear","MultiX=Average","Skip=True","Sort=True")</f>
        <v>14.757046977887807</v>
      </c>
      <c r="U2141" s="43">
        <f ca="1">_xll.BInterpol('Base CDI'!$H$4:$H$28,'Base CDI'!$I$4:$I$29,S2141,"Cubic","Extrapolate=Linear","MultiX=Average","Skip=True","Sort=True")</f>
        <v>14.819940360475426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47848</v>
      </c>
      <c r="T2142" s="43">
        <f ca="1">_xll.BInterpol('Base CDI'!$H$4:$H$28,'Base CDI'!$J$4:$J$29,S2142,"Cubic","Extrapolate=Linear","MultiX=Average","Skip=True","Sort=True")</f>
        <v>14.757031370070777</v>
      </c>
      <c r="U2142" s="43">
        <f ca="1">_xll.BInterpol('Base CDI'!$H$4:$H$28,'Base CDI'!$I$4:$I$29,S2142,"Cubic","Extrapolate=Linear","MultiX=Average","Skip=True","Sort=True")</f>
        <v>14.819960367164159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47849</v>
      </c>
      <c r="T2143" s="43">
        <f ca="1">_xll.BInterpol('Base CDI'!$H$4:$H$28,'Base CDI'!$J$4:$J$29,S2143,"Cubic","Extrapolate=Linear","MultiX=Average","Skip=True","Sort=True")</f>
        <v>14.757015710303033</v>
      </c>
      <c r="U2143" s="43">
        <f ca="1">_xll.BInterpol('Base CDI'!$H$4:$H$28,'Base CDI'!$I$4:$I$29,S2143,"Cubic","Extrapolate=Linear","MultiX=Average","Skip=True","Sort=True")</f>
        <v>14.819980246615229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47850</v>
      </c>
      <c r="T2144" s="43">
        <f ca="1">_xll.BInterpol('Base CDI'!$H$4:$H$28,'Base CDI'!$J$4:$J$29,S2144,"Cubic","Extrapolate=Linear","MultiX=Average","Skip=True","Sort=True")</f>
        <v>14.757</v>
      </c>
      <c r="U2144" s="43">
        <f ca="1">_xll.BInterpol('Base CDI'!$H$4:$H$28,'Base CDI'!$I$4:$I$29,S2144,"Cubic","Extrapolate=Linear","MultiX=Average","Skip=True","Sort=True")</f>
        <v>14.82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47851</v>
      </c>
      <c r="T2145" s="43">
        <f ca="1">_xll.BInterpol('Base CDI'!$H$4:$H$28,'Base CDI'!$J$4:$J$29,S2145,"Cubic","Extrapolate=Linear","MultiX=Average","Skip=True","Sort=True")</f>
        <v>14.75698424034292</v>
      </c>
      <c r="U2145" s="43">
        <f ca="1">_xll.BInterpol('Base CDI'!$H$4:$H$28,'Base CDI'!$I$4:$I$29,S2145,"Cubic","Extrapolate=Linear","MultiX=Average","Skip=True","Sort=True")</f>
        <v>14.82001962831767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47852</v>
      </c>
      <c r="T2146" s="43">
        <f ca="1">_xll.BInterpol('Base CDI'!$H$4:$H$28,'Base CDI'!$J$4:$J$29,S2146,"Cubic","Extrapolate=Linear","MultiX=Average","Skip=True","Sort=True")</f>
        <v>14.756968431576341</v>
      </c>
      <c r="U2146" s="43">
        <f ca="1">_xll.BInterpol('Base CDI'!$H$4:$H$28,'Base CDI'!$I$4:$I$29,S2146,"Cubic","Extrapolate=Linear","MultiX=Average","Skip=True","Sort=True")</f>
        <v>14.820039131878801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47853</v>
      </c>
      <c r="T2147" s="43">
        <f ca="1">_xll.BInterpol('Base CDI'!$H$4:$H$28,'Base CDI'!$J$4:$J$29,S2147,"Cubic","Extrapolate=Linear","MultiX=Average","Skip=True","Sort=True")</f>
        <v>14.756952573710635</v>
      </c>
      <c r="U2147" s="43">
        <f ca="1">_xll.BInterpol('Base CDI'!$H$4:$H$28,'Base CDI'!$I$4:$I$29,S2147,"Cubic","Extrapolate=Linear","MultiX=Average","Skip=True","Sort=True")</f>
        <v>14.820058510821788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47854</v>
      </c>
      <c r="T2148" s="43">
        <f ca="1">_xll.BInterpol('Base CDI'!$H$4:$H$28,'Base CDI'!$J$4:$J$29,S2148,"Cubic","Extrapolate=Linear","MultiX=Average","Skip=True","Sort=True")</f>
        <v>14.756936666756166</v>
      </c>
      <c r="U2148" s="43">
        <f ca="1">_xll.BInterpol('Base CDI'!$H$4:$H$28,'Base CDI'!$I$4:$I$29,S2148,"Cubic","Extrapolate=Linear","MultiX=Average","Skip=True","Sort=True")</f>
        <v>14.820077765285033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47855</v>
      </c>
      <c r="T2149" s="43">
        <f ca="1">_xll.BInterpol('Base CDI'!$H$4:$H$28,'Base CDI'!$J$4:$J$29,S2149,"Cubic","Extrapolate=Linear","MultiX=Average","Skip=True","Sort=True")</f>
        <v>14.75692071072331</v>
      </c>
      <c r="U2149" s="43">
        <f ca="1">_xll.BInterpol('Base CDI'!$H$4:$H$28,'Base CDI'!$I$4:$I$29,S2149,"Cubic","Extrapolate=Linear","MultiX=Average","Skip=True","Sort=True")</f>
        <v>14.820096895406934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47856</v>
      </c>
      <c r="T2150" s="43">
        <f ca="1">_xll.BInterpol('Base CDI'!$H$4:$H$28,'Base CDI'!$J$4:$J$29,S2150,"Cubic","Extrapolate=Linear","MultiX=Average","Skip=True","Sort=True")</f>
        <v>14.756904705622434</v>
      </c>
      <c r="U2150" s="43">
        <f ca="1">_xll.BInterpol('Base CDI'!$H$4:$H$28,'Base CDI'!$I$4:$I$29,S2150,"Cubic","Extrapolate=Linear","MultiX=Average","Skip=True","Sort=True")</f>
        <v>14.820115901325892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47857</v>
      </c>
      <c r="T2151" s="43">
        <f ca="1">_xll.BInterpol('Base CDI'!$H$4:$H$28,'Base CDI'!$J$4:$J$29,S2151,"Cubic","Extrapolate=Linear","MultiX=Average","Skip=True","Sort=True")</f>
        <v>14.756888651463909</v>
      </c>
      <c r="U2151" s="43">
        <f ca="1">_xll.BInterpol('Base CDI'!$H$4:$H$28,'Base CDI'!$I$4:$I$29,S2151,"Cubic","Extrapolate=Linear","MultiX=Average","Skip=True","Sort=True")</f>
        <v>14.820134783180304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47858</v>
      </c>
      <c r="T2152" s="43">
        <f ca="1">_xll.BInterpol('Base CDI'!$H$4:$H$28,'Base CDI'!$J$4:$J$29,S2152,"Cubic","Extrapolate=Linear","MultiX=Average","Skip=True","Sort=True")</f>
        <v>14.756872548258103</v>
      </c>
      <c r="U2152" s="43">
        <f ca="1">_xll.BInterpol('Base CDI'!$H$4:$H$28,'Base CDI'!$I$4:$I$29,S2152,"Cubic","Extrapolate=Linear","MultiX=Average","Skip=True","Sort=True")</f>
        <v>14.820153541108573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47859</v>
      </c>
      <c r="T2153" s="43">
        <f ca="1">_xll.BInterpol('Base CDI'!$H$4:$H$28,'Base CDI'!$J$4:$J$29,S2153,"Cubic","Extrapolate=Linear","MultiX=Average","Skip=True","Sort=True")</f>
        <v>14.75685639601539</v>
      </c>
      <c r="U2153" s="43">
        <f ca="1">_xll.BInterpol('Base CDI'!$H$4:$H$28,'Base CDI'!$I$4:$I$29,S2153,"Cubic","Extrapolate=Linear","MultiX=Average","Skip=True","Sort=True")</f>
        <v>14.820172175249093</v>
      </c>
    </row>
    <row r="2154" spans="16:21" x14ac:dyDescent="0.25">
      <c r="P2154" s="10">
        <v>37645</v>
      </c>
      <c r="Q2154">
        <v>8.382066</v>
      </c>
      <c r="S2154" s="42">
        <f t="shared" ca="1" si="38"/>
        <v>47860</v>
      </c>
      <c r="T2154" s="43">
        <f ca="1">_xll.BInterpol('Base CDI'!$H$4:$H$28,'Base CDI'!$J$4:$J$29,S2154,"Cubic","Extrapolate=Linear","MultiX=Average","Skip=True","Sort=True")</f>
        <v>14.756840194746136</v>
      </c>
      <c r="U2154" s="43">
        <f ca="1">_xll.BInterpol('Base CDI'!$H$4:$H$28,'Base CDI'!$I$4:$I$29,S2154,"Cubic","Extrapolate=Linear","MultiX=Average","Skip=True","Sort=True")</f>
        <v>14.820190685740267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47861</v>
      </c>
      <c r="T2155" s="43">
        <f ca="1">_xll.BInterpol('Base CDI'!$H$4:$H$28,'Base CDI'!$J$4:$J$29,S2155,"Cubic","Extrapolate=Linear","MultiX=Average","Skip=True","Sort=True")</f>
        <v>14.756823944460715</v>
      </c>
      <c r="U2155" s="43">
        <f ca="1">_xll.BInterpol('Base CDI'!$H$4:$H$28,'Base CDI'!$I$4:$I$29,S2155,"Cubic","Extrapolate=Linear","MultiX=Average","Skip=True","Sort=True")</f>
        <v>14.820209072720491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47862</v>
      </c>
      <c r="T2156" s="43">
        <f ca="1">_xll.BInterpol('Base CDI'!$H$4:$H$28,'Base CDI'!$J$4:$J$29,S2156,"Cubic","Extrapolate=Linear","MultiX=Average","Skip=True","Sort=True")</f>
        <v>14.756807645169493</v>
      </c>
      <c r="U2156" s="43">
        <f ca="1">_xll.BInterpol('Base CDI'!$H$4:$H$28,'Base CDI'!$I$4:$I$29,S2156,"Cubic","Extrapolate=Linear","MultiX=Average","Skip=True","Sort=True")</f>
        <v>14.820227336328168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47863</v>
      </c>
      <c r="T2157" s="43">
        <f ca="1">_xll.BInterpol('Base CDI'!$H$4:$H$28,'Base CDI'!$J$4:$J$29,S2157,"Cubic","Extrapolate=Linear","MultiX=Average","Skip=True","Sort=True")</f>
        <v>14.756791296882842</v>
      </c>
      <c r="U2157" s="43">
        <f ca="1">_xll.BInterpol('Base CDI'!$H$4:$H$28,'Base CDI'!$I$4:$I$29,S2157,"Cubic","Extrapolate=Linear","MultiX=Average","Skip=True","Sort=True")</f>
        <v>14.820245476701695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47864</v>
      </c>
      <c r="T2158" s="43">
        <f ca="1">_xll.BInterpol('Base CDI'!$H$4:$H$28,'Base CDI'!$J$4:$J$29,S2158,"Cubic","Extrapolate=Linear","MultiX=Average","Skip=True","Sort=True")</f>
        <v>14.756774899611132</v>
      </c>
      <c r="U2158" s="43">
        <f ca="1">_xll.BInterpol('Base CDI'!$H$4:$H$28,'Base CDI'!$I$4:$I$29,S2158,"Cubic","Extrapolate=Linear","MultiX=Average","Skip=True","Sort=True")</f>
        <v>14.820263493979473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47865</v>
      </c>
      <c r="T2159" s="43">
        <f ca="1">_xll.BInterpol('Base CDI'!$H$4:$H$28,'Base CDI'!$J$4:$J$29,S2159,"Cubic","Extrapolate=Linear","MultiX=Average","Skip=True","Sort=True")</f>
        <v>14.756758453364734</v>
      </c>
      <c r="U2159" s="43">
        <f ca="1">_xll.BInterpol('Base CDI'!$H$4:$H$28,'Base CDI'!$I$4:$I$29,S2159,"Cubic","Extrapolate=Linear","MultiX=Average","Skip=True","Sort=True")</f>
        <v>14.820281388299898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47866</v>
      </c>
      <c r="T2160" s="43">
        <f ca="1">_xll.BInterpol('Base CDI'!$H$4:$H$28,'Base CDI'!$J$4:$J$29,S2160,"Cubic","Extrapolate=Linear","MultiX=Average","Skip=True","Sort=True")</f>
        <v>14.756741958154016</v>
      </c>
      <c r="U2160" s="43">
        <f ca="1">_xll.BInterpol('Base CDI'!$H$4:$H$28,'Base CDI'!$I$4:$I$29,S2160,"Cubic","Extrapolate=Linear","MultiX=Average","Skip=True","Sort=True")</f>
        <v>14.820299159801372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47867</v>
      </c>
      <c r="T2161" s="43">
        <f ca="1">_xll.BInterpol('Base CDI'!$H$4:$H$28,'Base CDI'!$J$4:$J$29,S2161,"Cubic","Extrapolate=Linear","MultiX=Average","Skip=True","Sort=True")</f>
        <v>14.756725413989351</v>
      </c>
      <c r="U2161" s="43">
        <f ca="1">_xll.BInterpol('Base CDI'!$H$4:$H$28,'Base CDI'!$I$4:$I$29,S2161,"Cubic","Extrapolate=Linear","MultiX=Average","Skip=True","Sort=True")</f>
        <v>14.820316808622293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47868</v>
      </c>
      <c r="T2162" s="43">
        <f ca="1">_xll.BInterpol('Base CDI'!$H$4:$H$28,'Base CDI'!$J$4:$J$29,S2162,"Cubic","Extrapolate=Linear","MultiX=Average","Skip=True","Sort=True")</f>
        <v>14.756708820881105</v>
      </c>
      <c r="U2162" s="43">
        <f ca="1">_xll.BInterpol('Base CDI'!$H$4:$H$28,'Base CDI'!$I$4:$I$29,S2162,"Cubic","Extrapolate=Linear","MultiX=Average","Skip=True","Sort=True")</f>
        <v>14.820334334901061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47869</v>
      </c>
      <c r="T2163" s="43">
        <f ca="1">_xll.BInterpol('Base CDI'!$H$4:$H$28,'Base CDI'!$J$4:$J$29,S2163,"Cubic","Extrapolate=Linear","MultiX=Average","Skip=True","Sort=True")</f>
        <v>14.756692178839652</v>
      </c>
      <c r="U2163" s="43">
        <f ca="1">_xll.BInterpol('Base CDI'!$H$4:$H$28,'Base CDI'!$I$4:$I$29,S2163,"Cubic","Extrapolate=Linear","MultiX=Average","Skip=True","Sort=True")</f>
        <v>14.820351738776074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47870</v>
      </c>
      <c r="T2164" s="43">
        <f ca="1">_xll.BInterpol('Base CDI'!$H$4:$H$28,'Base CDI'!$J$4:$J$29,S2164,"Cubic","Extrapolate=Linear","MultiX=Average","Skip=True","Sort=True")</f>
        <v>14.756675487875357</v>
      </c>
      <c r="U2164" s="43">
        <f ca="1">_xll.BInterpol('Base CDI'!$H$4:$H$28,'Base CDI'!$I$4:$I$29,S2164,"Cubic","Extrapolate=Linear","MultiX=Average","Skip=True","Sort=True")</f>
        <v>14.820369020385732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47871</v>
      </c>
      <c r="T2165" s="43">
        <f ca="1">_xll.BInterpol('Base CDI'!$H$4:$H$28,'Base CDI'!$J$4:$J$29,S2165,"Cubic","Extrapolate=Linear","MultiX=Average","Skip=True","Sort=True")</f>
        <v>14.756658747998596</v>
      </c>
      <c r="U2165" s="43">
        <f ca="1">_xll.BInterpol('Base CDI'!$H$4:$H$28,'Base CDI'!$I$4:$I$29,S2165,"Cubic","Extrapolate=Linear","MultiX=Average","Skip=True","Sort=True")</f>
        <v>14.820386179868434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47872</v>
      </c>
      <c r="T2166" s="43">
        <f ca="1">_xll.BInterpol('Base CDI'!$H$4:$H$28,'Base CDI'!$J$4:$J$29,S2166,"Cubic","Extrapolate=Linear","MultiX=Average","Skip=True","Sort=True")</f>
        <v>14.756641959219735</v>
      </c>
      <c r="U2166" s="43">
        <f ca="1">_xll.BInterpol('Base CDI'!$H$4:$H$28,'Base CDI'!$I$4:$I$29,S2166,"Cubic","Extrapolate=Linear","MultiX=Average","Skip=True","Sort=True")</f>
        <v>14.82040321736258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47873</v>
      </c>
      <c r="T2167" s="43">
        <f ca="1">_xll.BInterpol('Base CDI'!$H$4:$H$28,'Base CDI'!$J$4:$J$29,S2167,"Cubic","Extrapolate=Linear","MultiX=Average","Skip=True","Sort=True")</f>
        <v>14.756625121549147</v>
      </c>
      <c r="U2167" s="43">
        <f ca="1">_xll.BInterpol('Base CDI'!$H$4:$H$28,'Base CDI'!$I$4:$I$29,S2167,"Cubic","Extrapolate=Linear","MultiX=Average","Skip=True","Sort=True")</f>
        <v>14.82042013300657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47874</v>
      </c>
      <c r="T2168" s="43">
        <f ca="1">_xll.BInterpol('Base CDI'!$H$4:$H$28,'Base CDI'!$J$4:$J$29,S2168,"Cubic","Extrapolate=Linear","MultiX=Average","Skip=True","Sort=True")</f>
        <v>14.756608234997199</v>
      </c>
      <c r="U2168" s="43">
        <f ca="1">_xll.BInterpol('Base CDI'!$H$4:$H$28,'Base CDI'!$I$4:$I$29,S2168,"Cubic","Extrapolate=Linear","MultiX=Average","Skip=True","Sort=True")</f>
        <v>14.820436926938799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47875</v>
      </c>
      <c r="T2169" s="43">
        <f ca="1">_xll.BInterpol('Base CDI'!$H$4:$H$28,'Base CDI'!$J$4:$J$29,S2169,"Cubic","Extrapolate=Linear","MultiX=Average","Skip=True","Sort=True")</f>
        <v>14.756591299574263</v>
      </c>
      <c r="U2169" s="43">
        <f ca="1">_xll.BInterpol('Base CDI'!$H$4:$H$28,'Base CDI'!$I$4:$I$29,S2169,"Cubic","Extrapolate=Linear","MultiX=Average","Skip=True","Sort=True")</f>
        <v>14.820453599297672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47876</v>
      </c>
      <c r="T2170" s="43">
        <f ca="1">_xll.BInterpol('Base CDI'!$H$4:$H$28,'Base CDI'!$J$4:$J$29,S2170,"Cubic","Extrapolate=Linear","MultiX=Average","Skip=True","Sort=True")</f>
        <v>14.756574315290708</v>
      </c>
      <c r="U2170" s="43">
        <f ca="1">_xll.BInterpol('Base CDI'!$H$4:$H$28,'Base CDI'!$I$4:$I$29,S2170,"Cubic","Extrapolate=Linear","MultiX=Average","Skip=True","Sort=True")</f>
        <v>14.820470150221583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47877</v>
      </c>
      <c r="T2171" s="43">
        <f ca="1">_xll.BInterpol('Base CDI'!$H$4:$H$28,'Base CDI'!$J$4:$J$29,S2171,"Cubic","Extrapolate=Linear","MultiX=Average","Skip=True","Sort=True")</f>
        <v>14.756557282156903</v>
      </c>
      <c r="U2171" s="43">
        <f ca="1">_xll.BInterpol('Base CDI'!$H$4:$H$28,'Base CDI'!$I$4:$I$29,S2171,"Cubic","Extrapolate=Linear","MultiX=Average","Skip=True","Sort=True")</f>
        <v>14.820486579848934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47878</v>
      </c>
      <c r="T2172" s="43">
        <f ca="1">_xll.BInterpol('Base CDI'!$H$4:$H$28,'Base CDI'!$J$4:$J$29,S2172,"Cubic","Extrapolate=Linear","MultiX=Average","Skip=True","Sort=True")</f>
        <v>14.756540200183222</v>
      </c>
      <c r="U2172" s="43">
        <f ca="1">_xll.BInterpol('Base CDI'!$H$4:$H$28,'Base CDI'!$I$4:$I$29,S2172,"Cubic","Extrapolate=Linear","MultiX=Average","Skip=True","Sort=True")</f>
        <v>14.820502888318124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47879</v>
      </c>
      <c r="T2173" s="43">
        <f ca="1">_xll.BInterpol('Base CDI'!$H$4:$H$28,'Base CDI'!$J$4:$J$29,S2173,"Cubic","Extrapolate=Linear","MultiX=Average","Skip=True","Sort=True")</f>
        <v>14.75652306938003</v>
      </c>
      <c r="U2173" s="43">
        <f ca="1">_xll.BInterpol('Base CDI'!$H$4:$H$28,'Base CDI'!$I$4:$I$29,S2173,"Cubic","Extrapolate=Linear","MultiX=Average","Skip=True","Sort=True")</f>
        <v>14.820519075767551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47880</v>
      </c>
      <c r="T2174" s="43">
        <f ca="1">_xll.BInterpol('Base CDI'!$H$4:$H$28,'Base CDI'!$J$4:$J$29,S2174,"Cubic","Extrapolate=Linear","MultiX=Average","Skip=True","Sort=True")</f>
        <v>14.756505889757703</v>
      </c>
      <c r="U2174" s="43">
        <f ca="1">_xll.BInterpol('Base CDI'!$H$4:$H$28,'Base CDI'!$I$4:$I$29,S2174,"Cubic","Extrapolate=Linear","MultiX=Average","Skip=True","Sort=True")</f>
        <v>14.820535142335617</v>
      </c>
    </row>
    <row r="2175" spans="16:21" x14ac:dyDescent="0.25">
      <c r="P2175" s="10">
        <v>37676</v>
      </c>
      <c r="Q2175">
        <v>8.54162</v>
      </c>
      <c r="S2175" s="42">
        <f t="shared" ca="1" si="38"/>
        <v>47881</v>
      </c>
      <c r="T2175" s="43">
        <f ca="1">_xll.BInterpol('Base CDI'!$H$4:$H$28,'Base CDI'!$J$4:$J$29,S2175,"Cubic","Extrapolate=Linear","MultiX=Average","Skip=True","Sort=True")</f>
        <v>14.756488661326605</v>
      </c>
      <c r="U2175" s="43">
        <f ca="1">_xll.BInterpol('Base CDI'!$H$4:$H$28,'Base CDI'!$I$4:$I$29,S2175,"Cubic","Extrapolate=Linear","MultiX=Average","Skip=True","Sort=True")</f>
        <v>14.820551088160718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47882</v>
      </c>
      <c r="T2176" s="43">
        <f ca="1">_xll.BInterpol('Base CDI'!$H$4:$H$28,'Base CDI'!$J$4:$J$29,S2176,"Cubic","Extrapolate=Linear","MultiX=Average","Skip=True","Sort=True")</f>
        <v>14.756471384097109</v>
      </c>
      <c r="U2176" s="43">
        <f ca="1">_xll.BInterpol('Base CDI'!$H$4:$H$28,'Base CDI'!$I$4:$I$29,S2176,"Cubic","Extrapolate=Linear","MultiX=Average","Skip=True","Sort=True")</f>
        <v>14.820566913381255</v>
      </c>
    </row>
    <row r="2177" spans="16:21" x14ac:dyDescent="0.25">
      <c r="P2177" s="10">
        <v>37678</v>
      </c>
      <c r="Q2177">
        <v>8.557423</v>
      </c>
      <c r="S2177" s="42">
        <f t="shared" ca="1" si="38"/>
        <v>47883</v>
      </c>
      <c r="T2177" s="43">
        <f ca="1">_xll.BInterpol('Base CDI'!$H$4:$H$28,'Base CDI'!$J$4:$J$29,S2177,"Cubic","Extrapolate=Linear","MultiX=Average","Skip=True","Sort=True")</f>
        <v>14.756454058079585</v>
      </c>
      <c r="U2177" s="43">
        <f ca="1">_xll.BInterpol('Base CDI'!$H$4:$H$28,'Base CDI'!$I$4:$I$29,S2177,"Cubic","Extrapolate=Linear","MultiX=Average","Skip=True","Sort=True")</f>
        <v>14.820582618135628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47884</v>
      </c>
      <c r="T2178" s="43">
        <f ca="1">_xll.BInterpol('Base CDI'!$H$4:$H$28,'Base CDI'!$J$4:$J$29,S2178,"Cubic","Extrapolate=Linear","MultiX=Average","Skip=True","Sort=True")</f>
        <v>14.756436683284402</v>
      </c>
      <c r="U2178" s="43">
        <f ca="1">_xll.BInterpol('Base CDI'!$H$4:$H$28,'Base CDI'!$I$4:$I$29,S2178,"Cubic","Extrapolate=Linear","MultiX=Average","Skip=True","Sort=True")</f>
        <v>14.820598202562232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47885</v>
      </c>
      <c r="T2179" s="43">
        <f ca="1">_xll.BInterpol('Base CDI'!$H$4:$H$28,'Base CDI'!$J$4:$J$29,S2179,"Cubic","Extrapolate=Linear","MultiX=Average","Skip=True","Sort=True")</f>
        <v>14.756419259721932</v>
      </c>
      <c r="U2179" s="43">
        <f ca="1">_xll.BInterpol('Base CDI'!$H$4:$H$28,'Base CDI'!$I$4:$I$29,S2179,"Cubic","Extrapolate=Linear","MultiX=Average","Skip=True","Sort=True")</f>
        <v>14.820613666799472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47886</v>
      </c>
      <c r="T2180" s="43">
        <f ca="1">_xll.BInterpol('Base CDI'!$H$4:$H$28,'Base CDI'!$J$4:$J$29,S2180,"Cubic","Extrapolate=Linear","MultiX=Average","Skip=True","Sort=True")</f>
        <v>14.756401787402543</v>
      </c>
      <c r="U2180" s="43">
        <f ca="1">_xll.BInterpol('Base CDI'!$H$4:$H$28,'Base CDI'!$I$4:$I$29,S2180,"Cubic","Extrapolate=Linear","MultiX=Average","Skip=True","Sort=True")</f>
        <v>14.820629010985744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47887</v>
      </c>
      <c r="T2181" s="43">
        <f ca="1">_xll.BInterpol('Base CDI'!$H$4:$H$28,'Base CDI'!$J$4:$J$29,S2181,"Cubic","Extrapolate=Linear","MultiX=Average","Skip=True","Sort=True")</f>
        <v>14.756384266336607</v>
      </c>
      <c r="U2181" s="43">
        <f ca="1">_xll.BInterpol('Base CDI'!$H$4:$H$28,'Base CDI'!$I$4:$I$29,S2181,"Cubic","Extrapolate=Linear","MultiX=Average","Skip=True","Sort=True")</f>
        <v>14.820644235259447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47888</v>
      </c>
      <c r="T2182" s="43">
        <f ca="1">_xll.BInterpol('Base CDI'!$H$4:$H$28,'Base CDI'!$J$4:$J$29,S2182,"Cubic","Extrapolate=Linear","MultiX=Average","Skip=True","Sort=True")</f>
        <v>14.75636669653449</v>
      </c>
      <c r="U2182" s="43">
        <f ca="1">_xll.BInterpol('Base CDI'!$H$4:$H$28,'Base CDI'!$I$4:$I$29,S2182,"Cubic","Extrapolate=Linear","MultiX=Average","Skip=True","Sort=True")</f>
        <v>14.820659339758981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47889</v>
      </c>
      <c r="T2183" s="43">
        <f ca="1">_xll.BInterpol('Base CDI'!$H$4:$H$28,'Base CDI'!$J$4:$J$29,S2183,"Cubic","Extrapolate=Linear","MultiX=Average","Skip=True","Sort=True")</f>
        <v>14.756349078006568</v>
      </c>
      <c r="U2183" s="43">
        <f ca="1">_xll.BInterpol('Base CDI'!$H$4:$H$28,'Base CDI'!$I$4:$I$29,S2183,"Cubic","Extrapolate=Linear","MultiX=Average","Skip=True","Sort=True")</f>
        <v>14.820674324622745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47890</v>
      </c>
      <c r="T2184" s="43">
        <f ca="1">_xll.BInterpol('Base CDI'!$H$4:$H$28,'Base CDI'!$J$4:$J$29,S2184,"Cubic","Extrapolate=Linear","MultiX=Average","Skip=True","Sort=True")</f>
        <v>14.756331410763206</v>
      </c>
      <c r="U2184" s="43">
        <f ca="1">_xll.BInterpol('Base CDI'!$H$4:$H$28,'Base CDI'!$I$4:$I$29,S2184,"Cubic","Extrapolate=Linear","MultiX=Average","Skip=True","Sort=True")</f>
        <v>14.820689189989139</v>
      </c>
    </row>
    <row r="2185" spans="16:21" x14ac:dyDescent="0.25">
      <c r="P2185" s="10">
        <v>37692</v>
      </c>
      <c r="Q2185">
        <v>8.621048</v>
      </c>
      <c r="S2185" s="42">
        <f t="shared" ca="1" si="38"/>
        <v>47891</v>
      </c>
      <c r="T2185" s="43">
        <f ca="1">_xll.BInterpol('Base CDI'!$H$4:$H$28,'Base CDI'!$J$4:$J$29,S2185,"Cubic","Extrapolate=Linear","MultiX=Average","Skip=True","Sort=True")</f>
        <v>14.756313694814777</v>
      </c>
      <c r="U2185" s="43">
        <f ca="1">_xll.BInterpol('Base CDI'!$H$4:$H$28,'Base CDI'!$I$4:$I$29,S2185,"Cubic","Extrapolate=Linear","MultiX=Average","Skip=True","Sort=True")</f>
        <v>14.820703935996562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47892</v>
      </c>
      <c r="T2186" s="43">
        <f ca="1">_xll.BInterpol('Base CDI'!$H$4:$H$28,'Base CDI'!$J$4:$J$29,S2186,"Cubic","Extrapolate=Linear","MultiX=Average","Skip=True","Sort=True")</f>
        <v>14.75629593017165</v>
      </c>
      <c r="U2186" s="43">
        <f ca="1">_xll.BInterpol('Base CDI'!$H$4:$H$28,'Base CDI'!$I$4:$I$29,S2186,"Cubic","Extrapolate=Linear","MultiX=Average","Skip=True","Sort=True")</f>
        <v>14.820718562783412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47893</v>
      </c>
      <c r="T2187" s="43">
        <f ca="1">_xll.BInterpol('Base CDI'!$H$4:$H$28,'Base CDI'!$J$4:$J$29,S2187,"Cubic","Extrapolate=Linear","MultiX=Average","Skip=True","Sort=True")</f>
        <v>14.756278116844195</v>
      </c>
      <c r="U2187" s="43">
        <f ca="1">_xll.BInterpol('Base CDI'!$H$4:$H$28,'Base CDI'!$I$4:$I$29,S2187,"Cubic","Extrapolate=Linear","MultiX=Average","Skip=True","Sort=True")</f>
        <v>14.820733070488089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47894</v>
      </c>
      <c r="T2188" s="43">
        <f ca="1">_xll.BInterpol('Base CDI'!$H$4:$H$28,'Base CDI'!$J$4:$J$29,S2188,"Cubic","Extrapolate=Linear","MultiX=Average","Skip=True","Sort=True")</f>
        <v>14.756260254842783</v>
      </c>
      <c r="U2188" s="43">
        <f ca="1">_xll.BInterpol('Base CDI'!$H$4:$H$28,'Base CDI'!$I$4:$I$29,S2188,"Cubic","Extrapolate=Linear","MultiX=Average","Skip=True","Sort=True")</f>
        <v>14.820747459248992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47895</v>
      </c>
      <c r="T2189" s="43">
        <f ca="1">_xll.BInterpol('Base CDI'!$H$4:$H$28,'Base CDI'!$J$4:$J$29,S2189,"Cubic","Extrapolate=Linear","MultiX=Average","Skip=True","Sort=True")</f>
        <v>14.756242344177782</v>
      </c>
      <c r="U2189" s="43">
        <f ca="1">_xll.BInterpol('Base CDI'!$H$4:$H$28,'Base CDI'!$I$4:$I$29,S2189,"Cubic","Extrapolate=Linear","MultiX=Average","Skip=True","Sort=True")</f>
        <v>14.820761729204522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47896</v>
      </c>
      <c r="T2190" s="43">
        <f ca="1">_xll.BInterpol('Base CDI'!$H$4:$H$28,'Base CDI'!$J$4:$J$29,S2190,"Cubic","Extrapolate=Linear","MultiX=Average","Skip=True","Sort=True")</f>
        <v>14.756224384859562</v>
      </c>
      <c r="U2190" s="43">
        <f ca="1">_xll.BInterpol('Base CDI'!$H$4:$H$28,'Base CDI'!$I$4:$I$29,S2190,"Cubic","Extrapolate=Linear","MultiX=Average","Skip=True","Sort=True")</f>
        <v>14.820775880493075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47897</v>
      </c>
      <c r="T2191" s="43">
        <f ca="1">_xll.BInterpol('Base CDI'!$H$4:$H$28,'Base CDI'!$J$4:$J$29,S2191,"Cubic","Extrapolate=Linear","MultiX=Average","Skip=True","Sort=True")</f>
        <v>14.756206376898497</v>
      </c>
      <c r="U2191" s="43">
        <f ca="1">_xll.BInterpol('Base CDI'!$H$4:$H$28,'Base CDI'!$I$4:$I$29,S2191,"Cubic","Extrapolate=Linear","MultiX=Average","Skip=True","Sort=True")</f>
        <v>14.820789913253051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47898</v>
      </c>
      <c r="T2192" s="43">
        <f ca="1">_xll.BInterpol('Base CDI'!$H$4:$H$28,'Base CDI'!$J$4:$J$29,S2192,"Cubic","Extrapolate=Linear","MultiX=Average","Skip=True","Sort=True")</f>
        <v>14.756188320304952</v>
      </c>
      <c r="U2192" s="43">
        <f ca="1">_xll.BInterpol('Base CDI'!$H$4:$H$28,'Base CDI'!$I$4:$I$29,S2192,"Cubic","Extrapolate=Linear","MultiX=Average","Skip=True","Sort=True")</f>
        <v>14.820803827622852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47899</v>
      </c>
      <c r="T2193" s="43">
        <f ca="1">_xll.BInterpol('Base CDI'!$H$4:$H$28,'Base CDI'!$J$4:$J$29,S2193,"Cubic","Extrapolate=Linear","MultiX=Average","Skip=True","Sort=True")</f>
        <v>14.7561702150893</v>
      </c>
      <c r="U2193" s="43">
        <f ca="1">_xll.BInterpol('Base CDI'!$H$4:$H$28,'Base CDI'!$I$4:$I$29,S2193,"Cubic","Extrapolate=Linear","MultiX=Average","Skip=True","Sort=True")</f>
        <v>14.820817623740876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47900</v>
      </c>
      <c r="T2194" s="43">
        <f ca="1">_xll.BInterpol('Base CDI'!$H$4:$H$28,'Base CDI'!$J$4:$J$29,S2194,"Cubic","Extrapolate=Linear","MultiX=Average","Skip=True","Sort=True")</f>
        <v>14.756152061261909</v>
      </c>
      <c r="U2194" s="43">
        <f ca="1">_xll.BInterpol('Base CDI'!$H$4:$H$28,'Base CDI'!$I$4:$I$29,S2194,"Cubic","Extrapolate=Linear","MultiX=Average","Skip=True","Sort=True")</f>
        <v>14.820831301745519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47901</v>
      </c>
      <c r="T2195" s="43">
        <f ca="1">_xll.BInterpol('Base CDI'!$H$4:$H$28,'Base CDI'!$J$4:$J$29,S2195,"Cubic","Extrapolate=Linear","MultiX=Average","Skip=True","Sort=True")</f>
        <v>14.756133858833152</v>
      </c>
      <c r="U2195" s="43">
        <f ca="1">_xll.BInterpol('Base CDI'!$H$4:$H$28,'Base CDI'!$I$4:$I$29,S2195,"Cubic","Extrapolate=Linear","MultiX=Average","Skip=True","Sort=True")</f>
        <v>14.820844861775184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47902</v>
      </c>
      <c r="T2196" s="43">
        <f ca="1">_xll.BInterpol('Base CDI'!$H$4:$H$28,'Base CDI'!$J$4:$J$29,S2196,"Cubic","Extrapolate=Linear","MultiX=Average","Skip=True","Sort=True")</f>
        <v>14.756115607813399</v>
      </c>
      <c r="U2196" s="43">
        <f ca="1">_xll.BInterpol('Base CDI'!$H$4:$H$28,'Base CDI'!$I$4:$I$29,S2196,"Cubic","Extrapolate=Linear","MultiX=Average","Skip=True","Sort=True")</f>
        <v>14.820858303968269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47903</v>
      </c>
      <c r="T2197" s="43">
        <f ca="1">_xll.BInterpol('Base CDI'!$H$4:$H$28,'Base CDI'!$J$4:$J$29,S2197,"Cubic","Extrapolate=Linear","MultiX=Average","Skip=True","Sort=True")</f>
        <v>14.756097308213016</v>
      </c>
      <c r="U2197" s="43">
        <f ca="1">_xll.BInterpol('Base CDI'!$H$4:$H$28,'Base CDI'!$I$4:$I$29,S2197,"Cubic","Extrapolate=Linear","MultiX=Average","Skip=True","Sort=True")</f>
        <v>14.820871628463173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47904</v>
      </c>
      <c r="T2198" s="43">
        <f ca="1">_xll.BInterpol('Base CDI'!$H$4:$H$28,'Base CDI'!$J$4:$J$29,S2198,"Cubic","Extrapolate=Linear","MultiX=Average","Skip=True","Sort=True")</f>
        <v>14.756078960042377</v>
      </c>
      <c r="U2198" s="43">
        <f ca="1">_xll.BInterpol('Base CDI'!$H$4:$H$28,'Base CDI'!$I$4:$I$29,S2198,"Cubic","Extrapolate=Linear","MultiX=Average","Skip=True","Sort=True")</f>
        <v>14.820884835398296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47905</v>
      </c>
      <c r="T2199" s="43">
        <f ca="1">_xll.BInterpol('Base CDI'!$H$4:$H$28,'Base CDI'!$J$4:$J$29,S2199,"Cubic","Extrapolate=Linear","MultiX=Average","Skip=True","Sort=True")</f>
        <v>14.756060563311848</v>
      </c>
      <c r="U2199" s="43">
        <f ca="1">_xll.BInterpol('Base CDI'!$H$4:$H$28,'Base CDI'!$I$4:$I$29,S2199,"Cubic","Extrapolate=Linear","MultiX=Average","Skip=True","Sort=True")</f>
        <v>14.820897924912037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47906</v>
      </c>
      <c r="T2200" s="43">
        <f ca="1">_xll.BInterpol('Base CDI'!$H$4:$H$28,'Base CDI'!$J$4:$J$29,S2200,"Cubic","Extrapolate=Linear","MultiX=Average","Skip=True","Sort=True")</f>
        <v>14.756042118031804</v>
      </c>
      <c r="U2200" s="43">
        <f ca="1">_xll.BInterpol('Base CDI'!$H$4:$H$28,'Base CDI'!$I$4:$I$29,S2200,"Cubic","Extrapolate=Linear","MultiX=Average","Skip=True","Sort=True")</f>
        <v>14.820910897142793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47907</v>
      </c>
      <c r="T2201" s="43">
        <f ca="1">_xll.BInterpol('Base CDI'!$H$4:$H$28,'Base CDI'!$J$4:$J$29,S2201,"Cubic","Extrapolate=Linear","MultiX=Average","Skip=True","Sort=True")</f>
        <v>14.756023624212611</v>
      </c>
      <c r="U2201" s="43">
        <f ca="1">_xll.BInterpol('Base CDI'!$H$4:$H$28,'Base CDI'!$I$4:$I$29,S2201,"Cubic","Extrapolate=Linear","MultiX=Average","Skip=True","Sort=True")</f>
        <v>14.820923752228966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47908</v>
      </c>
      <c r="T2202" s="43">
        <f ca="1">_xll.BInterpol('Base CDI'!$H$4:$H$28,'Base CDI'!$J$4:$J$29,S2202,"Cubic","Extrapolate=Linear","MultiX=Average","Skip=True","Sort=True")</f>
        <v>14.756005081864641</v>
      </c>
      <c r="U2202" s="43">
        <f ca="1">_xll.BInterpol('Base CDI'!$H$4:$H$28,'Base CDI'!$I$4:$I$29,S2202,"Cubic","Extrapolate=Linear","MultiX=Average","Skip=True","Sort=True")</f>
        <v>14.820936490308956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47909</v>
      </c>
      <c r="T2203" s="43">
        <f ca="1">_xll.BInterpol('Base CDI'!$H$4:$H$28,'Base CDI'!$J$4:$J$29,S2203,"Cubic","Extrapolate=Linear","MultiX=Average","Skip=True","Sort=True")</f>
        <v>14.755986490998264</v>
      </c>
      <c r="U2203" s="43">
        <f ca="1">_xll.BInterpol('Base CDI'!$H$4:$H$28,'Base CDI'!$I$4:$I$29,S2203,"Cubic","Extrapolate=Linear","MultiX=Average","Skip=True","Sort=True")</f>
        <v>14.820949111521157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47910</v>
      </c>
      <c r="T2204" s="43">
        <f ca="1">_xll.BInterpol('Base CDI'!$H$4:$H$28,'Base CDI'!$J$4:$J$29,S2204,"Cubic","Extrapolate=Linear","MultiX=Average","Skip=True","Sort=True")</f>
        <v>14.755967851623851</v>
      </c>
      <c r="U2204" s="43">
        <f ca="1">_xll.BInterpol('Base CDI'!$H$4:$H$28,'Base CDI'!$I$4:$I$29,S2204,"Cubic","Extrapolate=Linear","MultiX=Average","Skip=True","Sort=True")</f>
        <v>14.820961616003975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47911</v>
      </c>
      <c r="T2205" s="43">
        <f ca="1">_xll.BInterpol('Base CDI'!$H$4:$H$28,'Base CDI'!$J$4:$J$29,S2205,"Cubic","Extrapolate=Linear","MultiX=Average","Skip=True","Sort=True")</f>
        <v>14.755949163751769</v>
      </c>
      <c r="U2205" s="43">
        <f ca="1">_xll.BInterpol('Base CDI'!$H$4:$H$28,'Base CDI'!$I$4:$I$29,S2205,"Cubic","Extrapolate=Linear","MultiX=Average","Skip=True","Sort=True")</f>
        <v>14.820974003895804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47912</v>
      </c>
      <c r="T2206" s="43">
        <f ca="1">_xll.BInterpol('Base CDI'!$H$4:$H$28,'Base CDI'!$J$4:$J$29,S2206,"Cubic","Extrapolate=Linear","MultiX=Average","Skip=True","Sort=True")</f>
        <v>14.755930427392391</v>
      </c>
      <c r="U2206" s="43">
        <f ca="1">_xll.BInterpol('Base CDI'!$H$4:$H$28,'Base CDI'!$I$4:$I$29,S2206,"Cubic","Extrapolate=Linear","MultiX=Average","Skip=True","Sort=True")</f>
        <v>14.820986275335047</v>
      </c>
    </row>
    <row r="2207" spans="16:21" x14ac:dyDescent="0.25">
      <c r="P2207" s="10">
        <v>37722</v>
      </c>
      <c r="Q2207">
        <v>8.798133</v>
      </c>
      <c r="S2207" s="42">
        <f t="shared" ca="1" si="39"/>
        <v>47913</v>
      </c>
      <c r="T2207" s="43">
        <f ca="1">_xll.BInterpol('Base CDI'!$H$4:$H$28,'Base CDI'!$J$4:$J$29,S2207,"Cubic","Extrapolate=Linear","MultiX=Average","Skip=True","Sort=True")</f>
        <v>14.755911642556084</v>
      </c>
      <c r="U2207" s="43">
        <f ca="1">_xll.BInterpol('Base CDI'!$H$4:$H$28,'Base CDI'!$I$4:$I$29,S2207,"Cubic","Extrapolate=Linear","MultiX=Average","Skip=True","Sort=True")</f>
        <v>14.820998430460099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47914</v>
      </c>
      <c r="T2208" s="43">
        <f ca="1">_xll.BInterpol('Base CDI'!$H$4:$H$28,'Base CDI'!$J$4:$J$29,S2208,"Cubic","Extrapolate=Linear","MultiX=Average","Skip=True","Sort=True")</f>
        <v>14.755892809253222</v>
      </c>
      <c r="U2208" s="43">
        <f ca="1">_xll.BInterpol('Base CDI'!$H$4:$H$28,'Base CDI'!$I$4:$I$29,S2208,"Cubic","Extrapolate=Linear","MultiX=Average","Skip=True","Sort=True")</f>
        <v>14.821010469409364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47915</v>
      </c>
      <c r="T2209" s="43">
        <f ca="1">_xll.BInterpol('Base CDI'!$H$4:$H$28,'Base CDI'!$J$4:$J$29,S2209,"Cubic","Extrapolate=Linear","MultiX=Average","Skip=True","Sort=True")</f>
        <v>14.755873927494171</v>
      </c>
      <c r="U2209" s="43">
        <f ca="1">_xll.BInterpol('Base CDI'!$H$4:$H$28,'Base CDI'!$I$4:$I$29,S2209,"Cubic","Extrapolate=Linear","MultiX=Average","Skip=True","Sort=True")</f>
        <v>14.821022392321236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47916</v>
      </c>
      <c r="T2210" s="43">
        <f ca="1">_xll.BInterpol('Base CDI'!$H$4:$H$28,'Base CDI'!$J$4:$J$29,S2210,"Cubic","Extrapolate=Linear","MultiX=Average","Skip=True","Sort=True")</f>
        <v>14.755854997289305</v>
      </c>
      <c r="U2210" s="43">
        <f ca="1">_xll.BInterpol('Base CDI'!$H$4:$H$28,'Base CDI'!$I$4:$I$29,S2210,"Cubic","Extrapolate=Linear","MultiX=Average","Skip=True","Sort=True")</f>
        <v>14.82103419933412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47917</v>
      </c>
      <c r="T2211" s="43">
        <f ca="1">_xll.BInterpol('Base CDI'!$H$4:$H$28,'Base CDI'!$J$4:$J$29,S2211,"Cubic","Extrapolate=Linear","MultiX=Average","Skip=True","Sort=True")</f>
        <v>14.75583601864899</v>
      </c>
      <c r="U2211" s="43">
        <f ca="1">_xll.BInterpol('Base CDI'!$H$4:$H$28,'Base CDI'!$I$4:$I$29,S2211,"Cubic","Extrapolate=Linear","MultiX=Average","Skip=True","Sort=True")</f>
        <v>14.82104589058641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47918</v>
      </c>
      <c r="T2212" s="43">
        <f ca="1">_xll.BInterpol('Base CDI'!$H$4:$H$28,'Base CDI'!$J$4:$J$29,S2212,"Cubic","Extrapolate=Linear","MultiX=Average","Skip=True","Sort=True")</f>
        <v>14.755816991583599</v>
      </c>
      <c r="U2212" s="43">
        <f ca="1">_xll.BInterpol('Base CDI'!$H$4:$H$28,'Base CDI'!$I$4:$I$29,S2212,"Cubic","Extrapolate=Linear","MultiX=Average","Skip=True","Sort=True")</f>
        <v>14.821057466216509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47919</v>
      </c>
      <c r="T2213" s="43">
        <f ca="1">_xll.BInterpol('Base CDI'!$H$4:$H$28,'Base CDI'!$J$4:$J$29,S2213,"Cubic","Extrapolate=Linear","MultiX=Average","Skip=True","Sort=True")</f>
        <v>14.7557979161035</v>
      </c>
      <c r="U2213" s="43">
        <f ca="1">_xll.BInterpol('Base CDI'!$H$4:$H$28,'Base CDI'!$I$4:$I$29,S2213,"Cubic","Extrapolate=Linear","MultiX=Average","Skip=True","Sort=True")</f>
        <v>14.821068926362814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47920</v>
      </c>
      <c r="T2214" s="43">
        <f ca="1">_xll.BInterpol('Base CDI'!$H$4:$H$28,'Base CDI'!$J$4:$J$29,S2214,"Cubic","Extrapolate=Linear","MultiX=Average","Skip=True","Sort=True")</f>
        <v>14.755778792219065</v>
      </c>
      <c r="U2214" s="43">
        <f ca="1">_xll.BInterpol('Base CDI'!$H$4:$H$28,'Base CDI'!$I$4:$I$29,S2214,"Cubic","Extrapolate=Linear","MultiX=Average","Skip=True","Sort=True")</f>
        <v>14.821080271163725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47921</v>
      </c>
      <c r="T2215" s="43">
        <f ca="1">_xll.BInterpol('Base CDI'!$H$4:$H$28,'Base CDI'!$J$4:$J$29,S2215,"Cubic","Extrapolate=Linear","MultiX=Average","Skip=True","Sort=True")</f>
        <v>14.755759619940664</v>
      </c>
      <c r="U2215" s="43">
        <f ca="1">_xll.BInterpol('Base CDI'!$H$4:$H$28,'Base CDI'!$I$4:$I$29,S2215,"Cubic","Extrapolate=Linear","MultiX=Average","Skip=True","Sort=True")</f>
        <v>14.821091500757641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47922</v>
      </c>
      <c r="T2216" s="43">
        <f ca="1">_xll.BInterpol('Base CDI'!$H$4:$H$28,'Base CDI'!$J$4:$J$29,S2216,"Cubic","Extrapolate=Linear","MultiX=Average","Skip=True","Sort=True")</f>
        <v>14.755740399278665</v>
      </c>
      <c r="U2216" s="43">
        <f ca="1">_xll.BInterpol('Base CDI'!$H$4:$H$28,'Base CDI'!$I$4:$I$29,S2216,"Cubic","Extrapolate=Linear","MultiX=Average","Skip=True","Sort=True")</f>
        <v>14.821102615282962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47923</v>
      </c>
      <c r="T2217" s="43">
        <f ca="1">_xll.BInterpol('Base CDI'!$H$4:$H$28,'Base CDI'!$J$4:$J$29,S2217,"Cubic","Extrapolate=Linear","MultiX=Average","Skip=True","Sort=True")</f>
        <v>14.755721130243439</v>
      </c>
      <c r="U2217" s="43">
        <f ca="1">_xll.BInterpol('Base CDI'!$H$4:$H$28,'Base CDI'!$I$4:$I$29,S2217,"Cubic","Extrapolate=Linear","MultiX=Average","Skip=True","Sort=True")</f>
        <v>14.821113614878087</v>
      </c>
    </row>
    <row r="2218" spans="16:21" x14ac:dyDescent="0.25">
      <c r="P2218" s="10">
        <v>37741</v>
      </c>
      <c r="Q2218">
        <v>8.888083</v>
      </c>
      <c r="S2218" s="42">
        <f t="shared" ca="1" si="39"/>
        <v>47924</v>
      </c>
      <c r="T2218" s="43">
        <f ca="1">_xll.BInterpol('Base CDI'!$H$4:$H$28,'Base CDI'!$J$4:$J$29,S2218,"Cubic","Extrapolate=Linear","MultiX=Average","Skip=True","Sort=True")</f>
        <v>14.755701812845357</v>
      </c>
      <c r="U2218" s="43">
        <f ca="1">_xll.BInterpol('Base CDI'!$H$4:$H$28,'Base CDI'!$I$4:$I$29,S2218,"Cubic","Extrapolate=Linear","MultiX=Average","Skip=True","Sort=True")</f>
        <v>14.821124499681414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47925</v>
      </c>
      <c r="T2219" s="43">
        <f ca="1">_xll.BInterpol('Base CDI'!$H$4:$H$28,'Base CDI'!$J$4:$J$29,S2219,"Cubic","Extrapolate=Linear","MultiX=Average","Skip=True","Sort=True")</f>
        <v>14.755682447094788</v>
      </c>
      <c r="U2219" s="43">
        <f ca="1">_xll.BInterpol('Base CDI'!$H$4:$H$28,'Base CDI'!$I$4:$I$29,S2219,"Cubic","Extrapolate=Linear","MultiX=Average","Skip=True","Sort=True")</f>
        <v>14.821135269831341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47926</v>
      </c>
      <c r="T2220" s="43">
        <f ca="1">_xll.BInterpol('Base CDI'!$H$4:$H$28,'Base CDI'!$J$4:$J$29,S2220,"Cubic","Extrapolate=Linear","MultiX=Average","Skip=True","Sort=True")</f>
        <v>14.755663033002103</v>
      </c>
      <c r="U2220" s="43">
        <f ca="1">_xll.BInterpol('Base CDI'!$H$4:$H$28,'Base CDI'!$I$4:$I$29,S2220,"Cubic","Extrapolate=Linear","MultiX=Average","Skip=True","Sort=True")</f>
        <v>14.821145925466272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47927</v>
      </c>
      <c r="T2221" s="43">
        <f ca="1">_xll.BInterpol('Base CDI'!$H$4:$H$28,'Base CDI'!$J$4:$J$29,S2221,"Cubic","Extrapolate=Linear","MultiX=Average","Skip=True","Sort=True")</f>
        <v>14.75564357057767</v>
      </c>
      <c r="U2221" s="43">
        <f ca="1">_xll.BInterpol('Base CDI'!$H$4:$H$28,'Base CDI'!$I$4:$I$29,S2221,"Cubic","Extrapolate=Linear","MultiX=Average","Skip=True","Sort=True")</f>
        <v>14.821156466724602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47928</v>
      </c>
      <c r="T2222" s="43">
        <f ca="1">_xll.BInterpol('Base CDI'!$H$4:$H$28,'Base CDI'!$J$4:$J$29,S2222,"Cubic","Extrapolate=Linear","MultiX=Average","Skip=True","Sort=True")</f>
        <v>14.755624059831861</v>
      </c>
      <c r="U2222" s="43">
        <f ca="1">_xll.BInterpol('Base CDI'!$H$4:$H$28,'Base CDI'!$I$4:$I$29,S2222,"Cubic","Extrapolate=Linear","MultiX=Average","Skip=True","Sort=True")</f>
        <v>14.821166893744733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47929</v>
      </c>
      <c r="T2223" s="43">
        <f ca="1">_xll.BInterpol('Base CDI'!$H$4:$H$28,'Base CDI'!$J$4:$J$29,S2223,"Cubic","Extrapolate=Linear","MultiX=Average","Skip=True","Sort=True")</f>
        <v>14.755604500775046</v>
      </c>
      <c r="U2223" s="43">
        <f ca="1">_xll.BInterpol('Base CDI'!$H$4:$H$28,'Base CDI'!$I$4:$I$29,S2223,"Cubic","Extrapolate=Linear","MultiX=Average","Skip=True","Sort=True")</f>
        <v>14.821177206665062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47930</v>
      </c>
      <c r="T2224" s="43">
        <f ca="1">_xll.BInterpol('Base CDI'!$H$4:$H$28,'Base CDI'!$J$4:$J$29,S2224,"Cubic","Extrapolate=Linear","MultiX=Average","Skip=True","Sort=True")</f>
        <v>14.755584893417593</v>
      </c>
      <c r="U2224" s="43">
        <f ca="1">_xll.BInterpol('Base CDI'!$H$4:$H$28,'Base CDI'!$I$4:$I$29,S2224,"Cubic","Extrapolate=Linear","MultiX=Average","Skip=True","Sort=True")</f>
        <v>14.82118740562399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47931</v>
      </c>
      <c r="T2225" s="43">
        <f ca="1">_xll.BInterpol('Base CDI'!$H$4:$H$28,'Base CDI'!$J$4:$J$29,S2225,"Cubic","Extrapolate=Linear","MultiX=Average","Skip=True","Sort=True")</f>
        <v>14.755565237769876</v>
      </c>
      <c r="U2225" s="43">
        <f ca="1">_xll.BInterpol('Base CDI'!$H$4:$H$28,'Base CDI'!$I$4:$I$29,S2225,"Cubic","Extrapolate=Linear","MultiX=Average","Skip=True","Sort=True")</f>
        <v>14.821197490759914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47932</v>
      </c>
      <c r="T2226" s="43">
        <f ca="1">_xll.BInterpol('Base CDI'!$H$4:$H$28,'Base CDI'!$J$4:$J$29,S2226,"Cubic","Extrapolate=Linear","MultiX=Average","Skip=True","Sort=True")</f>
        <v>14.755545533842261</v>
      </c>
      <c r="U2226" s="43">
        <f ca="1">_xll.BInterpol('Base CDI'!$H$4:$H$28,'Base CDI'!$I$4:$I$29,S2226,"Cubic","Extrapolate=Linear","MultiX=Average","Skip=True","Sort=True")</f>
        <v>14.821207462211236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47933</v>
      </c>
      <c r="T2227" s="43">
        <f ca="1">_xll.BInterpol('Base CDI'!$H$4:$H$28,'Base CDI'!$J$4:$J$29,S2227,"Cubic","Extrapolate=Linear","MultiX=Average","Skip=True","Sort=True")</f>
        <v>14.755525781645119</v>
      </c>
      <c r="U2227" s="43">
        <f ca="1">_xll.BInterpol('Base CDI'!$H$4:$H$28,'Base CDI'!$I$4:$I$29,S2227,"Cubic","Extrapolate=Linear","MultiX=Average","Skip=True","Sort=True")</f>
        <v>14.821217320116352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47934</v>
      </c>
      <c r="T2228" s="43">
        <f ca="1">_xll.BInterpol('Base CDI'!$H$4:$H$28,'Base CDI'!$J$4:$J$29,S2228,"Cubic","Extrapolate=Linear","MultiX=Average","Skip=True","Sort=True")</f>
        <v>14.75550598118882</v>
      </c>
      <c r="U2228" s="43">
        <f ca="1">_xll.BInterpol('Base CDI'!$H$4:$H$28,'Base CDI'!$I$4:$I$29,S2228,"Cubic","Extrapolate=Linear","MultiX=Average","Skip=True","Sort=True")</f>
        <v>14.821227064613664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47935</v>
      </c>
      <c r="T2229" s="43">
        <f ca="1">_xll.BInterpol('Base CDI'!$H$4:$H$28,'Base CDI'!$J$4:$J$29,S2229,"Cubic","Extrapolate=Linear","MultiX=Average","Skip=True","Sort=True")</f>
        <v>14.755486132483737</v>
      </c>
      <c r="U2229" s="43">
        <f ca="1">_xll.BInterpol('Base CDI'!$H$4:$H$28,'Base CDI'!$I$4:$I$29,S2229,"Cubic","Extrapolate=Linear","MultiX=Average","Skip=True","Sort=True")</f>
        <v>14.82123669584157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47936</v>
      </c>
      <c r="T2230" s="43">
        <f ca="1">_xll.BInterpol('Base CDI'!$H$4:$H$28,'Base CDI'!$J$4:$J$29,S2230,"Cubic","Extrapolate=Linear","MultiX=Average","Skip=True","Sort=True")</f>
        <v>14.755466235540236</v>
      </c>
      <c r="U2230" s="43">
        <f ca="1">_xll.BInterpol('Base CDI'!$H$4:$H$28,'Base CDI'!$I$4:$I$29,S2230,"Cubic","Extrapolate=Linear","MultiX=Average","Skip=True","Sort=True")</f>
        <v>14.821246213938469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47937</v>
      </c>
      <c r="T2231" s="43">
        <f ca="1">_xll.BInterpol('Base CDI'!$H$4:$H$28,'Base CDI'!$J$4:$J$29,S2231,"Cubic","Extrapolate=Linear","MultiX=Average","Skip=True","Sort=True")</f>
        <v>14.75544629036869</v>
      </c>
      <c r="U2231" s="43">
        <f ca="1">_xll.BInterpol('Base CDI'!$H$4:$H$28,'Base CDI'!$I$4:$I$29,S2231,"Cubic","Extrapolate=Linear","MultiX=Average","Skip=True","Sort=True")</f>
        <v>14.821255619042761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47938</v>
      </c>
      <c r="T2232" s="43">
        <f ca="1">_xll.BInterpol('Base CDI'!$H$4:$H$28,'Base CDI'!$J$4:$J$29,S2232,"Cubic","Extrapolate=Linear","MultiX=Average","Skip=True","Sort=True")</f>
        <v>14.755426296979467</v>
      </c>
      <c r="U2232" s="43">
        <f ca="1">_xll.BInterpol('Base CDI'!$H$4:$H$28,'Base CDI'!$I$4:$I$29,S2232,"Cubic","Extrapolate=Linear","MultiX=Average","Skip=True","Sort=True")</f>
        <v>14.821264911292845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47939</v>
      </c>
      <c r="T2233" s="43">
        <f ca="1">_xll.BInterpol('Base CDI'!$H$4:$H$28,'Base CDI'!$J$4:$J$29,S2233,"Cubic","Extrapolate=Linear","MultiX=Average","Skip=True","Sort=True")</f>
        <v>14.755406255382937</v>
      </c>
      <c r="U2233" s="43">
        <f ca="1">_xll.BInterpol('Base CDI'!$H$4:$H$28,'Base CDI'!$I$4:$I$29,S2233,"Cubic","Extrapolate=Linear","MultiX=Average","Skip=True","Sort=True")</f>
        <v>14.821274090827121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47940</v>
      </c>
      <c r="T2234" s="43">
        <f ca="1">_xll.BInterpol('Base CDI'!$H$4:$H$28,'Base CDI'!$J$4:$J$29,S2234,"Cubic","Extrapolate=Linear","MultiX=Average","Skip=True","Sort=True")</f>
        <v>14.755386165589472</v>
      </c>
      <c r="U2234" s="43">
        <f ca="1">_xll.BInterpol('Base CDI'!$H$4:$H$28,'Base CDI'!$I$4:$I$29,S2234,"Cubic","Extrapolate=Linear","MultiX=Average","Skip=True","Sort=True")</f>
        <v>14.821283157783986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47941</v>
      </c>
      <c r="T2235" s="43">
        <f ca="1">_xll.BInterpol('Base CDI'!$H$4:$H$28,'Base CDI'!$J$4:$J$29,S2235,"Cubic","Extrapolate=Linear","MultiX=Average","Skip=True","Sort=True")</f>
        <v>14.75536602760944</v>
      </c>
      <c r="U2235" s="43">
        <f ca="1">_xll.BInterpol('Base CDI'!$H$4:$H$28,'Base CDI'!$I$4:$I$29,S2235,"Cubic","Extrapolate=Linear","MultiX=Average","Skip=True","Sort=True")</f>
        <v>14.82129211230184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47942</v>
      </c>
      <c r="T2236" s="43">
        <f ca="1">_xll.BInterpol('Base CDI'!$H$4:$H$28,'Base CDI'!$J$4:$J$29,S2236,"Cubic","Extrapolate=Linear","MultiX=Average","Skip=True","Sort=True")</f>
        <v>14.755345841453213</v>
      </c>
      <c r="U2236" s="43">
        <f ca="1">_xll.BInterpol('Base CDI'!$H$4:$H$28,'Base CDI'!$I$4:$I$29,S2236,"Cubic","Extrapolate=Linear","MultiX=Average","Skip=True","Sort=True")</f>
        <v>14.821300954519085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47943</v>
      </c>
      <c r="T2237" s="43">
        <f ca="1">_xll.BInterpol('Base CDI'!$H$4:$H$28,'Base CDI'!$J$4:$J$29,S2237,"Cubic","Extrapolate=Linear","MultiX=Average","Skip=True","Sort=True")</f>
        <v>14.75532560713116</v>
      </c>
      <c r="U2237" s="43">
        <f ca="1">_xll.BInterpol('Base CDI'!$H$4:$H$28,'Base CDI'!$I$4:$I$29,S2237,"Cubic","Extrapolate=Linear","MultiX=Average","Skip=True","Sort=True")</f>
        <v>14.821309684574116</v>
      </c>
    </row>
    <row r="2238" spans="16:21" x14ac:dyDescent="0.25">
      <c r="P2238" s="10">
        <v>37770</v>
      </c>
      <c r="Q2238">
        <v>9.053903</v>
      </c>
      <c r="S2238" s="42">
        <f t="shared" ca="1" si="39"/>
        <v>47944</v>
      </c>
      <c r="T2238" s="43">
        <f ca="1">_xll.BInterpol('Base CDI'!$H$4:$H$28,'Base CDI'!$J$4:$J$29,S2238,"Cubic","Extrapolate=Linear","MultiX=Average","Skip=True","Sort=True")</f>
        <v>14.75530532465365</v>
      </c>
      <c r="U2238" s="43">
        <f ca="1">_xll.BInterpol('Base CDI'!$H$4:$H$28,'Base CDI'!$I$4:$I$29,S2238,"Cubic","Extrapolate=Linear","MultiX=Average","Skip=True","Sort=True")</f>
        <v>14.821318302605334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47945</v>
      </c>
      <c r="T2239" s="43">
        <f ca="1">_xll.BInterpol('Base CDI'!$H$4:$H$28,'Base CDI'!$J$4:$J$29,S2239,"Cubic","Extrapolate=Linear","MultiX=Average","Skip=True","Sort=True")</f>
        <v>14.755284994031054</v>
      </c>
      <c r="U2239" s="43">
        <f ca="1">_xll.BInterpol('Base CDI'!$H$4:$H$28,'Base CDI'!$I$4:$I$29,S2239,"Cubic","Extrapolate=Linear","MultiX=Average","Skip=True","Sort=True")</f>
        <v>14.82132680875114</v>
      </c>
    </row>
    <row r="2240" spans="16:21" x14ac:dyDescent="0.25">
      <c r="P2240" s="10">
        <v>37774</v>
      </c>
      <c r="Q2240">
        <v>9.070627</v>
      </c>
      <c r="S2240" s="42">
        <f t="shared" ca="1" si="39"/>
        <v>47946</v>
      </c>
      <c r="T2240" s="43">
        <f ca="1">_xll.BInterpol('Base CDI'!$H$4:$H$28,'Base CDI'!$J$4:$J$29,S2240,"Cubic","Extrapolate=Linear","MultiX=Average","Skip=True","Sort=True")</f>
        <v>14.755264615273743</v>
      </c>
      <c r="U2240" s="43">
        <f ca="1">_xll.BInterpol('Base CDI'!$H$4:$H$28,'Base CDI'!$I$4:$I$29,S2240,"Cubic","Extrapolate=Linear","MultiX=Average","Skip=True","Sort=True")</f>
        <v>14.82133520314993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47947</v>
      </c>
      <c r="T2241" s="43">
        <f ca="1">_xll.BInterpol('Base CDI'!$H$4:$H$28,'Base CDI'!$J$4:$J$29,S2241,"Cubic","Extrapolate=Linear","MultiX=Average","Skip=True","Sort=True")</f>
        <v>14.755244188392087</v>
      </c>
      <c r="U2241" s="43">
        <f ca="1">_xll.BInterpol('Base CDI'!$H$4:$H$28,'Base CDI'!$I$4:$I$29,S2241,"Cubic","Extrapolate=Linear","MultiX=Average","Skip=True","Sort=True")</f>
        <v>14.821343485940107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47948</v>
      </c>
      <c r="T2242" s="43">
        <f ca="1">_xll.BInterpol('Base CDI'!$H$4:$H$28,'Base CDI'!$J$4:$J$29,S2242,"Cubic","Extrapolate=Linear","MultiX=Average","Skip=True","Sort=True")</f>
        <v>14.755223713396454</v>
      </c>
      <c r="U2242" s="43">
        <f ca="1">_xll.BInterpol('Base CDI'!$H$4:$H$28,'Base CDI'!$I$4:$I$29,S2242,"Cubic","Extrapolate=Linear","MultiX=Average","Skip=True","Sort=True")</f>
        <v>14.821351657260067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47949</v>
      </c>
      <c r="T2243" s="43">
        <f ca="1">_xll.BInterpol('Base CDI'!$H$4:$H$28,'Base CDI'!$J$4:$J$29,S2243,"Cubic","Extrapolate=Linear","MultiX=Average","Skip=True","Sort=True")</f>
        <v>14.755203190297214</v>
      </c>
      <c r="U2243" s="43">
        <f ca="1">_xll.BInterpol('Base CDI'!$H$4:$H$28,'Base CDI'!$I$4:$I$29,S2243,"Cubic","Extrapolate=Linear","MultiX=Average","Skip=True","Sort=True")</f>
        <v>14.821359717248209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47950</v>
      </c>
      <c r="T2244" s="43">
        <f ca="1">_xll.BInterpol('Base CDI'!$H$4:$H$28,'Base CDI'!$J$4:$J$29,S2244,"Cubic","Extrapolate=Linear","MultiX=Average","Skip=True","Sort=True")</f>
        <v>14.75518261910474</v>
      </c>
      <c r="U2244" s="43">
        <f ca="1">_xll.BInterpol('Base CDI'!$H$4:$H$28,'Base CDI'!$I$4:$I$29,S2244,"Cubic","Extrapolate=Linear","MultiX=Average","Skip=True","Sort=True")</f>
        <v>14.821367666042935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47951</v>
      </c>
      <c r="T2245" s="43">
        <f ca="1">_xll.BInterpol('Base CDI'!$H$4:$H$28,'Base CDI'!$J$4:$J$29,S2245,"Cubic","Extrapolate=Linear","MultiX=Average","Skip=True","Sort=True")</f>
        <v>14.755161999829399</v>
      </c>
      <c r="U2245" s="43">
        <f ca="1">_xll.BInterpol('Base CDI'!$H$4:$H$28,'Base CDI'!$I$4:$I$29,S2245,"Cubic","Extrapolate=Linear","MultiX=Average","Skip=True","Sort=True")</f>
        <v>14.821375503782642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47952</v>
      </c>
      <c r="T2246" s="43">
        <f ca="1">_xll.BInterpol('Base CDI'!$H$4:$H$28,'Base CDI'!$J$4:$J$29,S2246,"Cubic","Extrapolate=Linear","MultiX=Average","Skip=True","Sort=True")</f>
        <v>14.755141332481564</v>
      </c>
      <c r="U2246" s="43">
        <f ca="1">_xll.BInterpol('Base CDI'!$H$4:$H$28,'Base CDI'!$I$4:$I$29,S2246,"Cubic","Extrapolate=Linear","MultiX=Average","Skip=True","Sort=True")</f>
        <v>14.821383230605729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47953</v>
      </c>
      <c r="T2247" s="43">
        <f ca="1">_xll.BInterpol('Base CDI'!$H$4:$H$28,'Base CDI'!$J$4:$J$29,S2247,"Cubic","Extrapolate=Linear","MultiX=Average","Skip=True","Sort=True")</f>
        <v>14.755120617071601</v>
      </c>
      <c r="U2247" s="43">
        <f ca="1">_xll.BInterpol('Base CDI'!$H$4:$H$28,'Base CDI'!$I$4:$I$29,S2247,"Cubic","Extrapolate=Linear","MultiX=Average","Skip=True","Sort=True")</f>
        <v>14.821390846650598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47954</v>
      </c>
      <c r="T2248" s="43">
        <f ca="1">_xll.BInterpol('Base CDI'!$H$4:$H$28,'Base CDI'!$J$4:$J$29,S2248,"Cubic","Extrapolate=Linear","MultiX=Average","Skip=True","Sort=True")</f>
        <v>14.755099853609885</v>
      </c>
      <c r="U2248" s="43">
        <f ca="1">_xll.BInterpol('Base CDI'!$H$4:$H$28,'Base CDI'!$I$4:$I$29,S2248,"Cubic","Extrapolate=Linear","MultiX=Average","Skip=True","Sort=True")</f>
        <v>14.821398352055645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47955</v>
      </c>
      <c r="T2249" s="43">
        <f ca="1">_xll.BInterpol('Base CDI'!$H$4:$H$28,'Base CDI'!$J$4:$J$29,S2249,"Cubic","Extrapolate=Linear","MultiX=Average","Skip=True","Sort=True")</f>
        <v>14.755079042106781</v>
      </c>
      <c r="U2249" s="43">
        <f ca="1">_xll.BInterpol('Base CDI'!$H$4:$H$28,'Base CDI'!$I$4:$I$29,S2249,"Cubic","Extrapolate=Linear","MultiX=Average","Skip=True","Sort=True")</f>
        <v>14.821405746959272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47956</v>
      </c>
      <c r="T2250" s="43">
        <f ca="1">_xll.BInterpol('Base CDI'!$H$4:$H$28,'Base CDI'!$J$4:$J$29,S2250,"Cubic","Extrapolate=Linear","MultiX=Average","Skip=True","Sort=True")</f>
        <v>14.755058182572663</v>
      </c>
      <c r="U2250" s="43">
        <f ca="1">_xll.BInterpol('Base CDI'!$H$4:$H$28,'Base CDI'!$I$4:$I$29,S2250,"Cubic","Extrapolate=Linear","MultiX=Average","Skip=True","Sort=True")</f>
        <v>14.821413031499876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47957</v>
      </c>
      <c r="T2251" s="43">
        <f ca="1">_xll.BInterpol('Base CDI'!$H$4:$H$28,'Base CDI'!$J$4:$J$29,S2251,"Cubic","Extrapolate=Linear","MultiX=Average","Skip=True","Sort=True")</f>
        <v>14.755037275017898</v>
      </c>
      <c r="U2251" s="43">
        <f ca="1">_xll.BInterpol('Base CDI'!$H$4:$H$28,'Base CDI'!$I$4:$I$29,S2251,"Cubic","Extrapolate=Linear","MultiX=Average","Skip=True","Sort=True")</f>
        <v>14.821420205815857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47958</v>
      </c>
      <c r="T2252" s="43">
        <f ca="1">_xll.BInterpol('Base CDI'!$H$4:$H$28,'Base CDI'!$J$4:$J$29,S2252,"Cubic","Extrapolate=Linear","MultiX=Average","Skip=True","Sort=True")</f>
        <v>14.75501631945286</v>
      </c>
      <c r="U2252" s="43">
        <f ca="1">_xll.BInterpol('Base CDI'!$H$4:$H$28,'Base CDI'!$I$4:$I$29,S2252,"Cubic","Extrapolate=Linear","MultiX=Average","Skip=True","Sort=True")</f>
        <v>14.821427270045614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47959</v>
      </c>
      <c r="T2253" s="43">
        <f ca="1">_xll.BInterpol('Base CDI'!$H$4:$H$28,'Base CDI'!$J$4:$J$29,S2253,"Cubic","Extrapolate=Linear","MultiX=Average","Skip=True","Sort=True")</f>
        <v>14.754995315887914</v>
      </c>
      <c r="U2253" s="43">
        <f ca="1">_xll.BInterpol('Base CDI'!$H$4:$H$28,'Base CDI'!$I$4:$I$29,S2253,"Cubic","Extrapolate=Linear","MultiX=Average","Skip=True","Sort=True")</f>
        <v>14.821434224327547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47960</v>
      </c>
      <c r="T2254" s="43">
        <f ca="1">_xll.BInterpol('Base CDI'!$H$4:$H$28,'Base CDI'!$J$4:$J$29,S2254,"Cubic","Extrapolate=Linear","MultiX=Average","Skip=True","Sort=True")</f>
        <v>14.754974264333434</v>
      </c>
      <c r="U2254" s="43">
        <f ca="1">_xll.BInterpol('Base CDI'!$H$4:$H$28,'Base CDI'!$I$4:$I$29,S2254,"Cubic","Extrapolate=Linear","MultiX=Average","Skip=True","Sort=True")</f>
        <v>14.821441068800054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47961</v>
      </c>
      <c r="T2255" s="43">
        <f ca="1">_xll.BInterpol('Base CDI'!$H$4:$H$28,'Base CDI'!$J$4:$J$29,S2255,"Cubic","Extrapolate=Linear","MultiX=Average","Skip=True","Sort=True")</f>
        <v>14.754953164799788</v>
      </c>
      <c r="U2255" s="43">
        <f ca="1">_xll.BInterpol('Base CDI'!$H$4:$H$28,'Base CDI'!$I$4:$I$29,S2255,"Cubic","Extrapolate=Linear","MultiX=Average","Skip=True","Sort=True")</f>
        <v>14.821447803601535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47962</v>
      </c>
      <c r="T2256" s="43">
        <f ca="1">_xll.BInterpol('Base CDI'!$H$4:$H$28,'Base CDI'!$J$4:$J$29,S2256,"Cubic","Extrapolate=Linear","MultiX=Average","Skip=True","Sort=True")</f>
        <v>14.754932017297348</v>
      </c>
      <c r="U2256" s="43">
        <f ca="1">_xll.BInterpol('Base CDI'!$H$4:$H$28,'Base CDI'!$I$4:$I$29,S2256,"Cubic","Extrapolate=Linear","MultiX=Average","Skip=True","Sort=True")</f>
        <v>14.821454428870389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47963</v>
      </c>
      <c r="T2257" s="43">
        <f ca="1">_xll.BInterpol('Base CDI'!$H$4:$H$28,'Base CDI'!$J$4:$J$29,S2257,"Cubic","Extrapolate=Linear","MultiX=Average","Skip=True","Sort=True")</f>
        <v>14.754910821836482</v>
      </c>
      <c r="U2257" s="43">
        <f ca="1">_xll.BInterpol('Base CDI'!$H$4:$H$28,'Base CDI'!$I$4:$I$29,S2257,"Cubic","Extrapolate=Linear","MultiX=Average","Skip=True","Sort=True")</f>
        <v>14.821460944745017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47964</v>
      </c>
      <c r="T2258" s="43">
        <f ca="1">_xll.BInterpol('Base CDI'!$H$4:$H$28,'Base CDI'!$J$4:$J$29,S2258,"Cubic","Extrapolate=Linear","MultiX=Average","Skip=True","Sort=True")</f>
        <v>14.75488957842756</v>
      </c>
      <c r="U2258" s="43">
        <f ca="1">_xll.BInterpol('Base CDI'!$H$4:$H$28,'Base CDI'!$I$4:$I$29,S2258,"Cubic","Extrapolate=Linear","MultiX=Average","Skip=True","Sort=True")</f>
        <v>14.821467351363815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47965</v>
      </c>
      <c r="T2259" s="43">
        <f ca="1">_xll.BInterpol('Base CDI'!$H$4:$H$28,'Base CDI'!$J$4:$J$29,S2259,"Cubic","Extrapolate=Linear","MultiX=Average","Skip=True","Sort=True")</f>
        <v>14.754868287080953</v>
      </c>
      <c r="U2259" s="43">
        <f ca="1">_xll.BInterpol('Base CDI'!$H$4:$H$28,'Base CDI'!$I$4:$I$29,S2259,"Cubic","Extrapolate=Linear","MultiX=Average","Skip=True","Sort=True")</f>
        <v>14.821473648865183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47966</v>
      </c>
      <c r="T2260" s="43">
        <f ca="1">_xll.BInterpol('Base CDI'!$H$4:$H$28,'Base CDI'!$J$4:$J$29,S2260,"Cubic","Extrapolate=Linear","MultiX=Average","Skip=True","Sort=True")</f>
        <v>14.754846947807032</v>
      </c>
      <c r="U2260" s="43">
        <f ca="1">_xll.BInterpol('Base CDI'!$H$4:$H$28,'Base CDI'!$I$4:$I$29,S2260,"Cubic","Extrapolate=Linear","MultiX=Average","Skip=True","Sort=True")</f>
        <v>14.821479837387521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47967</v>
      </c>
      <c r="T2261" s="43">
        <f ca="1">_xll.BInterpol('Base CDI'!$H$4:$H$28,'Base CDI'!$J$4:$J$29,S2261,"Cubic","Extrapolate=Linear","MultiX=Average","Skip=True","Sort=True")</f>
        <v>14.754825560616165</v>
      </c>
      <c r="U2261" s="43">
        <f ca="1">_xll.BInterpol('Base CDI'!$H$4:$H$28,'Base CDI'!$I$4:$I$29,S2261,"Cubic","Extrapolate=Linear","MultiX=Average","Skip=True","Sort=True")</f>
        <v>14.82148591706923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47968</v>
      </c>
      <c r="T2262" s="43">
        <f ca="1">_xll.BInterpol('Base CDI'!$H$4:$H$28,'Base CDI'!$J$4:$J$29,S2262,"Cubic","Extrapolate=Linear","MultiX=Average","Skip=True","Sort=True")</f>
        <v>14.754804125518723</v>
      </c>
      <c r="U2262" s="43">
        <f ca="1">_xll.BInterpol('Base CDI'!$H$4:$H$28,'Base CDI'!$I$4:$I$29,S2262,"Cubic","Extrapolate=Linear","MultiX=Average","Skip=True","Sort=True")</f>
        <v>14.821491888048707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47969</v>
      </c>
      <c r="T2263" s="43">
        <f ca="1">_xll.BInterpol('Base CDI'!$H$4:$H$28,'Base CDI'!$J$4:$J$29,S2263,"Cubic","Extrapolate=Linear","MultiX=Average","Skip=True","Sort=True")</f>
        <v>14.754782642525075</v>
      </c>
      <c r="U2263" s="43">
        <f ca="1">_xll.BInterpol('Base CDI'!$H$4:$H$28,'Base CDI'!$I$4:$I$29,S2263,"Cubic","Extrapolate=Linear","MultiX=Average","Skip=True","Sort=True")</f>
        <v>14.821497750464351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47970</v>
      </c>
      <c r="T2264" s="43">
        <f ca="1">_xll.BInterpol('Base CDI'!$H$4:$H$28,'Base CDI'!$J$4:$J$29,S2264,"Cubic","Extrapolate=Linear","MultiX=Average","Skip=True","Sort=True")</f>
        <v>14.754761111645594</v>
      </c>
      <c r="U2264" s="43">
        <f ca="1">_xll.BInterpol('Base CDI'!$H$4:$H$28,'Base CDI'!$I$4:$I$29,S2264,"Cubic","Extrapolate=Linear","MultiX=Average","Skip=True","Sort=True")</f>
        <v>14.821503504454562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47971</v>
      </c>
      <c r="T2265" s="43">
        <f ca="1">_xll.BInterpol('Base CDI'!$H$4:$H$28,'Base CDI'!$J$4:$J$29,S2265,"Cubic","Extrapolate=Linear","MultiX=Average","Skip=True","Sort=True")</f>
        <v>14.754739532890646</v>
      </c>
      <c r="U2265" s="43">
        <f ca="1">_xll.BInterpol('Base CDI'!$H$4:$H$28,'Base CDI'!$I$4:$I$29,S2265,"Cubic","Extrapolate=Linear","MultiX=Average","Skip=True","Sort=True")</f>
        <v>14.821509150157739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47972</v>
      </c>
      <c r="T2266" s="43">
        <f ca="1">_xll.BInterpol('Base CDI'!$H$4:$H$28,'Base CDI'!$J$4:$J$29,S2266,"Cubic","Extrapolate=Linear","MultiX=Average","Skip=True","Sort=True")</f>
        <v>14.754717906270605</v>
      </c>
      <c r="U2266" s="43">
        <f ca="1">_xll.BInterpol('Base CDI'!$H$4:$H$28,'Base CDI'!$I$4:$I$29,S2266,"Cubic","Extrapolate=Linear","MultiX=Average","Skip=True","Sort=True")</f>
        <v>14.821514687712282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47973</v>
      </c>
      <c r="T2267" s="43">
        <f ca="1">_xll.BInterpol('Base CDI'!$H$4:$H$28,'Base CDI'!$J$4:$J$29,S2267,"Cubic","Extrapolate=Linear","MultiX=Average","Skip=True","Sort=True")</f>
        <v>14.754696231795839</v>
      </c>
      <c r="U2267" s="43">
        <f ca="1">_xll.BInterpol('Base CDI'!$H$4:$H$28,'Base CDI'!$I$4:$I$29,S2267,"Cubic","Extrapolate=Linear","MultiX=Average","Skip=True","Sort=True")</f>
        <v>14.82152011725659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47974</v>
      </c>
      <c r="T2268" s="43">
        <f ca="1">_xll.BInterpol('Base CDI'!$H$4:$H$28,'Base CDI'!$J$4:$J$29,S2268,"Cubic","Extrapolate=Linear","MultiX=Average","Skip=True","Sort=True")</f>
        <v>14.754674509476716</v>
      </c>
      <c r="U2268" s="43">
        <f ca="1">_xll.BInterpol('Base CDI'!$H$4:$H$28,'Base CDI'!$I$4:$I$29,S2268,"Cubic","Extrapolate=Linear","MultiX=Average","Skip=True","Sort=True")</f>
        <v>14.82152543892906</v>
      </c>
    </row>
    <row r="2269" spans="16:21" x14ac:dyDescent="0.25">
      <c r="P2269" s="10">
        <v>37816</v>
      </c>
      <c r="Q2269">
        <v>9.314095</v>
      </c>
      <c r="S2269" s="42">
        <f t="shared" ca="1" si="40"/>
        <v>47975</v>
      </c>
      <c r="T2269" s="43">
        <f ca="1">_xll.BInterpol('Base CDI'!$H$4:$H$28,'Base CDI'!$J$4:$J$29,S2269,"Cubic","Extrapolate=Linear","MultiX=Average","Skip=True","Sort=True")</f>
        <v>14.754652739323609</v>
      </c>
      <c r="U2269" s="43">
        <f ca="1">_xll.BInterpol('Base CDI'!$H$4:$H$28,'Base CDI'!$I$4:$I$29,S2269,"Cubic","Extrapolate=Linear","MultiX=Average","Skip=True","Sort=True")</f>
        <v>14.821530652868093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47976</v>
      </c>
      <c r="T2270" s="43">
        <f ca="1">_xll.BInterpol('Base CDI'!$H$4:$H$28,'Base CDI'!$J$4:$J$29,S2270,"Cubic","Extrapolate=Linear","MultiX=Average","Skip=True","Sort=True")</f>
        <v>14.754630921346887</v>
      </c>
      <c r="U2270" s="43">
        <f ca="1">_xll.BInterpol('Base CDI'!$H$4:$H$28,'Base CDI'!$I$4:$I$29,S2270,"Cubic","Extrapolate=Linear","MultiX=Average","Skip=True","Sort=True")</f>
        <v>14.82153575921209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47977</v>
      </c>
      <c r="T2271" s="43">
        <f ca="1">_xll.BInterpol('Base CDI'!$H$4:$H$28,'Base CDI'!$J$4:$J$29,S2271,"Cubic","Extrapolate=Linear","MultiX=Average","Skip=True","Sort=True")</f>
        <v>14.754609055556923</v>
      </c>
      <c r="U2271" s="43">
        <f ca="1">_xll.BInterpol('Base CDI'!$H$4:$H$28,'Base CDI'!$I$4:$I$29,S2271,"Cubic","Extrapolate=Linear","MultiX=Average","Skip=True","Sort=True")</f>
        <v>14.821540758099447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47978</v>
      </c>
      <c r="T2272" s="43">
        <f ca="1">_xll.BInterpol('Base CDI'!$H$4:$H$28,'Base CDI'!$J$4:$J$29,S2272,"Cubic","Extrapolate=Linear","MultiX=Average","Skip=True","Sort=True")</f>
        <v>14.754587141964082</v>
      </c>
      <c r="U2272" s="43">
        <f ca="1">_xll.BInterpol('Base CDI'!$H$4:$H$28,'Base CDI'!$I$4:$I$29,S2272,"Cubic","Extrapolate=Linear","MultiX=Average","Skip=True","Sort=True")</f>
        <v>14.821545649668565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47979</v>
      </c>
      <c r="T2273" s="43">
        <f ca="1">_xll.BInterpol('Base CDI'!$H$4:$H$28,'Base CDI'!$J$4:$J$29,S2273,"Cubic","Extrapolate=Linear","MultiX=Average","Skip=True","Sort=True")</f>
        <v>14.754565180578735</v>
      </c>
      <c r="U2273" s="43">
        <f ca="1">_xll.BInterpol('Base CDI'!$H$4:$H$28,'Base CDI'!$I$4:$I$29,S2273,"Cubic","Extrapolate=Linear","MultiX=Average","Skip=True","Sort=True")</f>
        <v>14.821550434057842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47980</v>
      </c>
      <c r="T2274" s="43">
        <f ca="1">_xll.BInterpol('Base CDI'!$H$4:$H$28,'Base CDI'!$J$4:$J$29,S2274,"Cubic","Extrapolate=Linear","MultiX=Average","Skip=True","Sort=True")</f>
        <v>14.754543171411257</v>
      </c>
      <c r="U2274" s="43">
        <f ca="1">_xll.BInterpol('Base CDI'!$H$4:$H$28,'Base CDI'!$I$4:$I$29,S2274,"Cubic","Extrapolate=Linear","MultiX=Average","Skip=True","Sort=True")</f>
        <v>14.821555111405679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47981</v>
      </c>
      <c r="T2275" s="43">
        <f ca="1">_xll.BInterpol('Base CDI'!$H$4:$H$28,'Base CDI'!$J$4:$J$29,S2275,"Cubic","Extrapolate=Linear","MultiX=Average","Skip=True","Sort=True")</f>
        <v>14.754521114472011</v>
      </c>
      <c r="U2275" s="43">
        <f ca="1">_xll.BInterpol('Base CDI'!$H$4:$H$28,'Base CDI'!$I$4:$I$29,S2275,"Cubic","Extrapolate=Linear","MultiX=Average","Skip=True","Sort=True")</f>
        <v>14.821559681850475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47982</v>
      </c>
      <c r="T2276" s="43">
        <f ca="1">_xll.BInterpol('Base CDI'!$H$4:$H$28,'Base CDI'!$J$4:$J$29,S2276,"Cubic","Extrapolate=Linear","MultiX=Average","Skip=True","Sort=True")</f>
        <v>14.754499009771372</v>
      </c>
      <c r="U2276" s="43">
        <f ca="1">_xll.BInterpol('Base CDI'!$H$4:$H$28,'Base CDI'!$I$4:$I$29,S2276,"Cubic","Extrapolate=Linear","MultiX=Average","Skip=True","Sort=True")</f>
        <v>14.821564145530628</v>
      </c>
    </row>
    <row r="2277" spans="16:21" x14ac:dyDescent="0.25">
      <c r="P2277" s="10">
        <v>37826</v>
      </c>
      <c r="Q2277">
        <v>9.381748</v>
      </c>
      <c r="S2277" s="42">
        <f t="shared" ca="1" si="40"/>
        <v>47983</v>
      </c>
      <c r="T2277" s="43">
        <f ca="1">_xll.BInterpol('Base CDI'!$H$4:$H$28,'Base CDI'!$J$4:$J$29,S2277,"Cubic","Extrapolate=Linear","MultiX=Average","Skip=True","Sort=True")</f>
        <v>14.754476857319709</v>
      </c>
      <c r="U2277" s="43">
        <f ca="1">_xll.BInterpol('Base CDI'!$H$4:$H$28,'Base CDI'!$I$4:$I$29,S2277,"Cubic","Extrapolate=Linear","MultiX=Average","Skip=True","Sort=True")</f>
        <v>14.821568502584537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47984</v>
      </c>
      <c r="T2278" s="43">
        <f ca="1">_xll.BInterpol('Base CDI'!$H$4:$H$28,'Base CDI'!$J$4:$J$29,S2278,"Cubic","Extrapolate=Linear","MultiX=Average","Skip=True","Sort=True")</f>
        <v>14.75445465712739</v>
      </c>
      <c r="U2278" s="43">
        <f ca="1">_xll.BInterpol('Base CDI'!$H$4:$H$28,'Base CDI'!$I$4:$I$29,S2278,"Cubic","Extrapolate=Linear","MultiX=Average","Skip=True","Sort=True")</f>
        <v>14.821572753150601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47985</v>
      </c>
      <c r="T2279" s="43">
        <f ca="1">_xll.BInterpol('Base CDI'!$H$4:$H$28,'Base CDI'!$J$4:$J$29,S2279,"Cubic","Extrapolate=Linear","MultiX=Average","Skip=True","Sort=True")</f>
        <v>14.754432409204787</v>
      </c>
      <c r="U2279" s="43">
        <f ca="1">_xll.BInterpol('Base CDI'!$H$4:$H$28,'Base CDI'!$I$4:$I$29,S2279,"Cubic","Extrapolate=Linear","MultiX=Average","Skip=True","Sort=True")</f>
        <v>14.821576897367223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47986</v>
      </c>
      <c r="T2280" s="43">
        <f ca="1">_xll.BInterpol('Base CDI'!$H$4:$H$28,'Base CDI'!$J$4:$J$29,S2280,"Cubic","Extrapolate=Linear","MultiX=Average","Skip=True","Sort=True")</f>
        <v>14.754410113562271</v>
      </c>
      <c r="U2280" s="43">
        <f ca="1">_xll.BInterpol('Base CDI'!$H$4:$H$28,'Base CDI'!$I$4:$I$29,S2280,"Cubic","Extrapolate=Linear","MultiX=Average","Skip=True","Sort=True")</f>
        <v>14.821580935372797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47987</v>
      </c>
      <c r="T2281" s="43">
        <f ca="1">_xll.BInterpol('Base CDI'!$H$4:$H$28,'Base CDI'!$J$4:$J$29,S2281,"Cubic","Extrapolate=Linear","MultiX=Average","Skip=True","Sort=True")</f>
        <v>14.75438777021021</v>
      </c>
      <c r="U2281" s="43">
        <f ca="1">_xll.BInterpol('Base CDI'!$H$4:$H$28,'Base CDI'!$I$4:$I$29,S2281,"Cubic","Extrapolate=Linear","MultiX=Average","Skip=True","Sort=True")</f>
        <v>14.821584867305726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47988</v>
      </c>
      <c r="T2282" s="43">
        <f ca="1">_xll.BInterpol('Base CDI'!$H$4:$H$28,'Base CDI'!$J$4:$J$29,S2282,"Cubic","Extrapolate=Linear","MultiX=Average","Skip=True","Sort=True")</f>
        <v>14.754365379158973</v>
      </c>
      <c r="U2282" s="43">
        <f ca="1">_xll.BInterpol('Base CDI'!$H$4:$H$28,'Base CDI'!$I$4:$I$29,S2282,"Cubic","Extrapolate=Linear","MultiX=Average","Skip=True","Sort=True")</f>
        <v>14.821588693304406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47989</v>
      </c>
      <c r="T2283" s="43">
        <f ca="1">_xll.BInterpol('Base CDI'!$H$4:$H$28,'Base CDI'!$J$4:$J$29,S2283,"Cubic","Extrapolate=Linear","MultiX=Average","Skip=True","Sort=True")</f>
        <v>14.754342940418933</v>
      </c>
      <c r="U2283" s="43">
        <f ca="1">_xll.BInterpol('Base CDI'!$H$4:$H$28,'Base CDI'!$I$4:$I$29,S2283,"Cubic","Extrapolate=Linear","MultiX=Average","Skip=True","Sort=True")</f>
        <v>14.82159241350724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47990</v>
      </c>
      <c r="T2284" s="43">
        <f ca="1">_xll.BInterpol('Base CDI'!$H$4:$H$28,'Base CDI'!$J$4:$J$29,S2284,"Cubic","Extrapolate=Linear","MultiX=Average","Skip=True","Sort=True")</f>
        <v>14.754320454000458</v>
      </c>
      <c r="U2284" s="43">
        <f ca="1">_xll.BInterpol('Base CDI'!$H$4:$H$28,'Base CDI'!$I$4:$I$29,S2284,"Cubic","Extrapolate=Linear","MultiX=Average","Skip=True","Sort=True")</f>
        <v>14.821596028052625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47991</v>
      </c>
      <c r="T2285" s="43">
        <f ca="1">_xll.BInterpol('Base CDI'!$H$4:$H$28,'Base CDI'!$J$4:$J$29,S2285,"Cubic","Extrapolate=Linear","MultiX=Average","Skip=True","Sort=True")</f>
        <v>14.75429791991392</v>
      </c>
      <c r="U2285" s="43">
        <f ca="1">_xll.BInterpol('Base CDI'!$H$4:$H$28,'Base CDI'!$I$4:$I$29,S2285,"Cubic","Extrapolate=Linear","MultiX=Average","Skip=True","Sort=True")</f>
        <v>14.82159953707896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47992</v>
      </c>
      <c r="T2286" s="43">
        <f ca="1">_xll.BInterpol('Base CDI'!$H$4:$H$28,'Base CDI'!$J$4:$J$29,S2286,"Cubic","Extrapolate=Linear","MultiX=Average","Skip=True","Sort=True")</f>
        <v>14.754275338169688</v>
      </c>
      <c r="U2286" s="43">
        <f ca="1">_xll.BInterpol('Base CDI'!$H$4:$H$28,'Base CDI'!$I$4:$I$29,S2286,"Cubic","Extrapolate=Linear","MultiX=Average","Skip=True","Sort=True")</f>
        <v>14.821602940724643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47993</v>
      </c>
      <c r="T2287" s="43">
        <f ca="1">_xll.BInterpol('Base CDI'!$H$4:$H$28,'Base CDI'!$J$4:$J$29,S2287,"Cubic","Extrapolate=Linear","MultiX=Average","Skip=True","Sort=True")</f>
        <v>14.754252708778131</v>
      </c>
      <c r="U2287" s="43">
        <f ca="1">_xll.BInterpol('Base CDI'!$H$4:$H$28,'Base CDI'!$I$4:$I$29,S2287,"Cubic","Extrapolate=Linear","MultiX=Average","Skip=True","Sort=True")</f>
        <v>14.821606239128077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47994</v>
      </c>
      <c r="T2288" s="43">
        <f ca="1">_xll.BInterpol('Base CDI'!$H$4:$H$28,'Base CDI'!$J$4:$J$29,S2288,"Cubic","Extrapolate=Linear","MultiX=Average","Skip=True","Sort=True")</f>
        <v>14.75423003174962</v>
      </c>
      <c r="U2288" s="43">
        <f ca="1">_xll.BInterpol('Base CDI'!$H$4:$H$28,'Base CDI'!$I$4:$I$29,S2288,"Cubic","Extrapolate=Linear","MultiX=Average","Skip=True","Sort=True")</f>
        <v>14.821609432427659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47995</v>
      </c>
      <c r="T2289" s="43">
        <f ca="1">_xll.BInterpol('Base CDI'!$H$4:$H$28,'Base CDI'!$J$4:$J$29,S2289,"Cubic","Extrapolate=Linear","MultiX=Average","Skip=True","Sort=True")</f>
        <v>14.754207307094525</v>
      </c>
      <c r="U2289" s="43">
        <f ca="1">_xll.BInterpol('Base CDI'!$H$4:$H$28,'Base CDI'!$I$4:$I$29,S2289,"Cubic","Extrapolate=Linear","MultiX=Average","Skip=True","Sort=True")</f>
        <v>14.821612520761787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47996</v>
      </c>
      <c r="T2290" s="43">
        <f ca="1">_xll.BInterpol('Base CDI'!$H$4:$H$28,'Base CDI'!$J$4:$J$29,S2290,"Cubic","Extrapolate=Linear","MultiX=Average","Skip=True","Sort=True")</f>
        <v>14.754184534823217</v>
      </c>
      <c r="U2290" s="43">
        <f ca="1">_xll.BInterpol('Base CDI'!$H$4:$H$28,'Base CDI'!$I$4:$I$29,S2290,"Cubic","Extrapolate=Linear","MultiX=Average","Skip=True","Sort=True")</f>
        <v>14.821615504268863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47997</v>
      </c>
      <c r="T2291" s="43">
        <f ca="1">_xll.BInterpol('Base CDI'!$H$4:$H$28,'Base CDI'!$J$4:$J$29,S2291,"Cubic","Extrapolate=Linear","MultiX=Average","Skip=True","Sort=True")</f>
        <v>14.754161714946063</v>
      </c>
      <c r="U2291" s="43">
        <f ca="1">_xll.BInterpol('Base CDI'!$H$4:$H$28,'Base CDI'!$I$4:$I$29,S2291,"Cubic","Extrapolate=Linear","MultiX=Average","Skip=True","Sort=True")</f>
        <v>14.821618383087285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47998</v>
      </c>
      <c r="T2292" s="43">
        <f ca="1">_xll.BInterpol('Base CDI'!$H$4:$H$28,'Base CDI'!$J$4:$J$29,S2292,"Cubic","Extrapolate=Linear","MultiX=Average","Skip=True","Sort=True")</f>
        <v>14.754138847473437</v>
      </c>
      <c r="U2292" s="43">
        <f ca="1">_xll.BInterpol('Base CDI'!$H$4:$H$28,'Base CDI'!$I$4:$I$29,S2292,"Cubic","Extrapolate=Linear","MultiX=Average","Skip=True","Sort=True")</f>
        <v>14.821621157355452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47999</v>
      </c>
      <c r="T2293" s="43">
        <f ca="1">_xll.BInterpol('Base CDI'!$H$4:$H$28,'Base CDI'!$J$4:$J$29,S2293,"Cubic","Extrapolate=Linear","MultiX=Average","Skip=True","Sort=True")</f>
        <v>14.754115932415706</v>
      </c>
      <c r="U2293" s="43">
        <f ca="1">_xll.BInterpol('Base CDI'!$H$4:$H$28,'Base CDI'!$I$4:$I$29,S2293,"Cubic","Extrapolate=Linear","MultiX=Average","Skip=True","Sort=True")</f>
        <v>14.821623827211761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48000</v>
      </c>
      <c r="T2294" s="43">
        <f ca="1">_xll.BInterpol('Base CDI'!$H$4:$H$28,'Base CDI'!$J$4:$J$29,S2294,"Cubic","Extrapolate=Linear","MultiX=Average","Skip=True","Sort=True")</f>
        <v>14.754092969783242</v>
      </c>
      <c r="U2294" s="43">
        <f ca="1">_xll.BInterpol('Base CDI'!$H$4:$H$28,'Base CDI'!$I$4:$I$29,S2294,"Cubic","Extrapolate=Linear","MultiX=Average","Skip=True","Sort=True")</f>
        <v>14.821626392794615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48001</v>
      </c>
      <c r="T2295" s="43">
        <f ca="1">_xll.BInterpol('Base CDI'!$H$4:$H$28,'Base CDI'!$J$4:$J$29,S2295,"Cubic","Extrapolate=Linear","MultiX=Average","Skip=True","Sort=True")</f>
        <v>14.754069959586413</v>
      </c>
      <c r="U2295" s="43">
        <f ca="1">_xll.BInterpol('Base CDI'!$H$4:$H$28,'Base CDI'!$I$4:$I$29,S2295,"Cubic","Extrapolate=Linear","MultiX=Average","Skip=True","Sort=True")</f>
        <v>14.821628854242412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48002</v>
      </c>
      <c r="T2296" s="43">
        <f ca="1">_xll.BInterpol('Base CDI'!$H$4:$H$28,'Base CDI'!$J$4:$J$29,S2296,"Cubic","Extrapolate=Linear","MultiX=Average","Skip=True","Sort=True")</f>
        <v>14.75404690183559</v>
      </c>
      <c r="U2296" s="43">
        <f ca="1">_xll.BInterpol('Base CDI'!$H$4:$H$28,'Base CDI'!$I$4:$I$29,S2296,"Cubic","Extrapolate=Linear","MultiX=Average","Skip=True","Sort=True")</f>
        <v>14.82163121169355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48003</v>
      </c>
      <c r="T2297" s="43">
        <f ca="1">_xll.BInterpol('Base CDI'!$H$4:$H$28,'Base CDI'!$J$4:$J$29,S2297,"Cubic","Extrapolate=Linear","MultiX=Average","Skip=True","Sort=True")</f>
        <v>14.754023796541144</v>
      </c>
      <c r="U2297" s="43">
        <f ca="1">_xll.BInterpol('Base CDI'!$H$4:$H$28,'Base CDI'!$I$4:$I$29,S2297,"Cubic","Extrapolate=Linear","MultiX=Average","Skip=True","Sort=True")</f>
        <v>14.82163346528643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48004</v>
      </c>
      <c r="T2298" s="43">
        <f ca="1">_xll.BInterpol('Base CDI'!$H$4:$H$28,'Base CDI'!$J$4:$J$29,S2298,"Cubic","Extrapolate=Linear","MultiX=Average","Skip=True","Sort=True")</f>
        <v>14.754000643713445</v>
      </c>
      <c r="U2298" s="43">
        <f ca="1">_xll.BInterpol('Base CDI'!$H$4:$H$28,'Base CDI'!$I$4:$I$29,S2298,"Cubic","Extrapolate=Linear","MultiX=Average","Skip=True","Sort=True")</f>
        <v>14.821635615159449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48005</v>
      </c>
      <c r="T2299" s="43">
        <f ca="1">_xll.BInterpol('Base CDI'!$H$4:$H$28,'Base CDI'!$J$4:$J$29,S2299,"Cubic","Extrapolate=Linear","MultiX=Average","Skip=True","Sort=True")</f>
        <v>14.753977443362862</v>
      </c>
      <c r="U2299" s="43">
        <f ca="1">_xll.BInterpol('Base CDI'!$H$4:$H$28,'Base CDI'!$I$4:$I$29,S2299,"Cubic","Extrapolate=Linear","MultiX=Average","Skip=True","Sort=True")</f>
        <v>14.821637661451009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48006</v>
      </c>
      <c r="T2300" s="43">
        <f ca="1">_xll.BInterpol('Base CDI'!$H$4:$H$28,'Base CDI'!$J$4:$J$29,S2300,"Cubic","Extrapolate=Linear","MultiX=Average","Skip=True","Sort=True")</f>
        <v>14.753954195499764</v>
      </c>
      <c r="U2300" s="43">
        <f ca="1">_xll.BInterpol('Base CDI'!$H$4:$H$28,'Base CDI'!$I$4:$I$29,S2300,"Cubic","Extrapolate=Linear","MultiX=Average","Skip=True","Sort=True")</f>
        <v>14.821639604299508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48007</v>
      </c>
      <c r="T2301" s="43">
        <f ca="1">_xll.BInterpol('Base CDI'!$H$4:$H$28,'Base CDI'!$J$4:$J$29,S2301,"Cubic","Extrapolate=Linear","MultiX=Average","Skip=True","Sort=True")</f>
        <v>14.753930900134524</v>
      </c>
      <c r="U2301" s="43">
        <f ca="1">_xll.BInterpol('Base CDI'!$H$4:$H$28,'Base CDI'!$I$4:$I$29,S2301,"Cubic","Extrapolate=Linear","MultiX=Average","Skip=True","Sort=True")</f>
        <v>14.821641443843344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48008</v>
      </c>
      <c r="T2302" s="43">
        <f ca="1">_xll.BInterpol('Base CDI'!$H$4:$H$28,'Base CDI'!$J$4:$J$29,S2302,"Cubic","Extrapolate=Linear","MultiX=Average","Skip=True","Sort=True")</f>
        <v>14.753907557277509</v>
      </c>
      <c r="U2302" s="43">
        <f ca="1">_xll.BInterpol('Base CDI'!$H$4:$H$28,'Base CDI'!$I$4:$I$29,S2302,"Cubic","Extrapolate=Linear","MultiX=Average","Skip=True","Sort=True")</f>
        <v>14.821643180220917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48009</v>
      </c>
      <c r="T2303" s="43">
        <f ca="1">_xll.BInterpol('Base CDI'!$H$4:$H$28,'Base CDI'!$J$4:$J$29,S2303,"Cubic","Extrapolate=Linear","MultiX=Average","Skip=True","Sort=True")</f>
        <v>14.753884166939091</v>
      </c>
      <c r="U2303" s="43">
        <f ca="1">_xll.BInterpol('Base CDI'!$H$4:$H$28,'Base CDI'!$I$4:$I$29,S2303,"Cubic","Extrapolate=Linear","MultiX=Average","Skip=True","Sort=True")</f>
        <v>14.821644813570627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48010</v>
      </c>
      <c r="T2304" s="43">
        <f ca="1">_xll.BInterpol('Base CDI'!$H$4:$H$28,'Base CDI'!$J$4:$J$29,S2304,"Cubic","Extrapolate=Linear","MultiX=Average","Skip=True","Sort=True")</f>
        <v>14.753860729129642</v>
      </c>
      <c r="U2304" s="43">
        <f ca="1">_xll.BInterpol('Base CDI'!$H$4:$H$28,'Base CDI'!$I$4:$I$29,S2304,"Cubic","Extrapolate=Linear","MultiX=Average","Skip=True","Sort=True")</f>
        <v>14.821646344030873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48011</v>
      </c>
      <c r="T2305" s="43">
        <f ca="1">_xll.BInterpol('Base CDI'!$H$4:$H$28,'Base CDI'!$J$4:$J$29,S2305,"Cubic","Extrapolate=Linear","MultiX=Average","Skip=True","Sort=True")</f>
        <v>14.753837243859525</v>
      </c>
      <c r="U2305" s="43">
        <f ca="1">_xll.BInterpol('Base CDI'!$H$4:$H$28,'Base CDI'!$I$4:$I$29,S2305,"Cubic","Extrapolate=Linear","MultiX=Average","Skip=True","Sort=True")</f>
        <v>14.821647771740052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48012</v>
      </c>
      <c r="T2306" s="43">
        <f ca="1">_xll.BInterpol('Base CDI'!$H$4:$H$28,'Base CDI'!$J$4:$J$29,S2306,"Cubic","Extrapolate=Linear","MultiX=Average","Skip=True","Sort=True")</f>
        <v>14.753813711139118</v>
      </c>
      <c r="U2306" s="43">
        <f ca="1">_xll.BInterpol('Base CDI'!$H$4:$H$28,'Base CDI'!$I$4:$I$29,S2306,"Cubic","Extrapolate=Linear","MultiX=Average","Skip=True","Sort=True")</f>
        <v>14.821649096836566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48013</v>
      </c>
      <c r="T2307" s="43">
        <f ca="1">_xll.BInterpol('Base CDI'!$H$4:$H$28,'Base CDI'!$J$4:$J$29,S2307,"Cubic","Extrapolate=Linear","MultiX=Average","Skip=True","Sort=True")</f>
        <v>14.753790130978787</v>
      </c>
      <c r="U2307" s="43">
        <f ca="1">_xll.BInterpol('Base CDI'!$H$4:$H$28,'Base CDI'!$I$4:$I$29,S2307,"Cubic","Extrapolate=Linear","MultiX=Average","Skip=True","Sort=True")</f>
        <v>14.821650319458813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48014</v>
      </c>
      <c r="T2308" s="43">
        <f ca="1">_xll.BInterpol('Base CDI'!$H$4:$H$28,'Base CDI'!$J$4:$J$29,S2308,"Cubic","Extrapolate=Linear","MultiX=Average","Skip=True","Sort=True")</f>
        <v>14.753766503388901</v>
      </c>
      <c r="U2308" s="43">
        <f ca="1">_xll.BInterpol('Base CDI'!$H$4:$H$28,'Base CDI'!$I$4:$I$29,S2308,"Cubic","Extrapolate=Linear","MultiX=Average","Skip=True","Sort=True")</f>
        <v>14.821651439745194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48015</v>
      </c>
      <c r="T2309" s="43">
        <f ca="1">_xll.BInterpol('Base CDI'!$H$4:$H$28,'Base CDI'!$J$4:$J$29,S2309,"Cubic","Extrapolate=Linear","MultiX=Average","Skip=True","Sort=True")</f>
        <v>14.753742828379833</v>
      </c>
      <c r="U2309" s="43">
        <f ca="1">_xll.BInterpol('Base CDI'!$H$4:$H$28,'Base CDI'!$I$4:$I$29,S2309,"Cubic","Extrapolate=Linear","MultiX=Average","Skip=True","Sort=True")</f>
        <v>14.821652457834105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48016</v>
      </c>
      <c r="T2310" s="43">
        <f ca="1">_xll.BInterpol('Base CDI'!$H$4:$H$28,'Base CDI'!$J$4:$J$29,S2310,"Cubic","Extrapolate=Linear","MultiX=Average","Skip=True","Sort=True")</f>
        <v>14.753719105961952</v>
      </c>
      <c r="U2310" s="43">
        <f ca="1">_xll.BInterpol('Base CDI'!$H$4:$H$28,'Base CDI'!$I$4:$I$29,S2310,"Cubic","Extrapolate=Linear","MultiX=Average","Skip=True","Sort=True")</f>
        <v>14.821653373863949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48017</v>
      </c>
      <c r="T2311" s="43">
        <f ca="1">_xll.BInterpol('Base CDI'!$H$4:$H$28,'Base CDI'!$J$4:$J$29,S2311,"Cubic","Extrapolate=Linear","MultiX=Average","Skip=True","Sort=True")</f>
        <v>14.753695336145627</v>
      </c>
      <c r="U2311" s="43">
        <f ca="1">_xll.BInterpol('Base CDI'!$H$4:$H$28,'Base CDI'!$I$4:$I$29,S2311,"Cubic","Extrapolate=Linear","MultiX=Average","Skip=True","Sort=True")</f>
        <v>14.821654187973122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48018</v>
      </c>
      <c r="T2312" s="43">
        <f ca="1">_xll.BInterpol('Base CDI'!$H$4:$H$28,'Base CDI'!$J$4:$J$29,S2312,"Cubic","Extrapolate=Linear","MultiX=Average","Skip=True","Sort=True")</f>
        <v>14.75367151894123</v>
      </c>
      <c r="U2312" s="43">
        <f ca="1">_xll.BInterpol('Base CDI'!$H$4:$H$28,'Base CDI'!$I$4:$I$29,S2312,"Cubic","Extrapolate=Linear","MultiX=Average","Skip=True","Sort=True")</f>
        <v>14.821654900300024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48019</v>
      </c>
      <c r="T2313" s="43">
        <f ca="1">_xll.BInterpol('Base CDI'!$H$4:$H$28,'Base CDI'!$J$4:$J$29,S2313,"Cubic","Extrapolate=Linear","MultiX=Average","Skip=True","Sort=True")</f>
        <v>14.75364765435913</v>
      </c>
      <c r="U2313" s="43">
        <f ca="1">_xll.BInterpol('Base CDI'!$H$4:$H$28,'Base CDI'!$I$4:$I$29,S2313,"Cubic","Extrapolate=Linear","MultiX=Average","Skip=True","Sort=True")</f>
        <v>14.821655510983055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48020</v>
      </c>
      <c r="T2314" s="43">
        <f ca="1">_xll.BInterpol('Base CDI'!$H$4:$H$28,'Base CDI'!$J$4:$J$29,S2314,"Cubic","Extrapolate=Linear","MultiX=Average","Skip=True","Sort=True")</f>
        <v>14.753623742409696</v>
      </c>
      <c r="U2314" s="43">
        <f ca="1">_xll.BInterpol('Base CDI'!$H$4:$H$28,'Base CDI'!$I$4:$I$29,S2314,"Cubic","Extrapolate=Linear","MultiX=Average","Skip=True","Sort=True")</f>
        <v>14.821656020160614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48021</v>
      </c>
      <c r="T2315" s="43">
        <f ca="1">_xll.BInterpol('Base CDI'!$H$4:$H$28,'Base CDI'!$J$4:$J$29,S2315,"Cubic","Extrapolate=Linear","MultiX=Average","Skip=True","Sort=True")</f>
        <v>14.753599783103297</v>
      </c>
      <c r="U2315" s="43">
        <f ca="1">_xll.BInterpol('Base CDI'!$H$4:$H$28,'Base CDI'!$I$4:$I$29,S2315,"Cubic","Extrapolate=Linear","MultiX=Average","Skip=True","Sort=True")</f>
        <v>14.821656427971099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48022</v>
      </c>
      <c r="T2316" s="43">
        <f ca="1">_xll.BInterpol('Base CDI'!$H$4:$H$28,'Base CDI'!$J$4:$J$29,S2316,"Cubic","Extrapolate=Linear","MultiX=Average","Skip=True","Sort=True")</f>
        <v>14.753575776450308</v>
      </c>
      <c r="U2316" s="43">
        <f ca="1">_xll.BInterpol('Base CDI'!$H$4:$H$28,'Base CDI'!$I$4:$I$29,S2316,"Cubic","Extrapolate=Linear","MultiX=Average","Skip=True","Sort=True")</f>
        <v>14.82165673455291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48023</v>
      </c>
      <c r="T2317" s="43">
        <f ca="1">_xll.BInterpol('Base CDI'!$H$4:$H$28,'Base CDI'!$J$4:$J$29,S2317,"Cubic","Extrapolate=Linear","MultiX=Average","Skip=True","Sort=True")</f>
        <v>14.753551722461095</v>
      </c>
      <c r="U2317" s="43">
        <f ca="1">_xll.BInterpol('Base CDI'!$H$4:$H$28,'Base CDI'!$I$4:$I$29,S2317,"Cubic","Extrapolate=Linear","MultiX=Average","Skip=True","Sort=True")</f>
        <v>14.821656940044448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48024</v>
      </c>
      <c r="T2318" s="43">
        <f ca="1">_xll.BInterpol('Base CDI'!$H$4:$H$28,'Base CDI'!$J$4:$J$29,S2318,"Cubic","Extrapolate=Linear","MultiX=Average","Skip=True","Sort=True")</f>
        <v>14.753527621146029</v>
      </c>
      <c r="U2318" s="43">
        <f ca="1">_xll.BInterpol('Base CDI'!$H$4:$H$28,'Base CDI'!$I$4:$I$29,S2318,"Cubic","Extrapolate=Linear","MultiX=Average","Skip=True","Sort=True")</f>
        <v>14.821657044584111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48025</v>
      </c>
      <c r="T2319" s="43">
        <f ca="1">_xll.BInterpol('Base CDI'!$H$4:$H$28,'Base CDI'!$J$4:$J$29,S2319,"Cubic","Extrapolate=Linear","MultiX=Average","Skip=True","Sort=True")</f>
        <v>14.753503472515479</v>
      </c>
      <c r="U2319" s="43">
        <f ca="1">_xll.BInterpol('Base CDI'!$H$4:$H$28,'Base CDI'!$I$4:$I$29,S2319,"Cubic","Extrapolate=Linear","MultiX=Average","Skip=True","Sort=True")</f>
        <v>14.821657048310296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48026</v>
      </c>
      <c r="T2320" s="43">
        <f ca="1">_xll.BInterpol('Base CDI'!$H$4:$H$28,'Base CDI'!$J$4:$J$29,S2320,"Cubic","Extrapolate=Linear","MultiX=Average","Skip=True","Sort=True")</f>
        <v>14.753479276579817</v>
      </c>
      <c r="U2320" s="43">
        <f ca="1">_xll.BInterpol('Base CDI'!$H$4:$H$28,'Base CDI'!$I$4:$I$29,S2320,"Cubic","Extrapolate=Linear","MultiX=Average","Skip=True","Sort=True")</f>
        <v>14.821656951361405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48027</v>
      </c>
      <c r="T2321" s="43">
        <f ca="1">_xll.BInterpol('Base CDI'!$H$4:$H$28,'Base CDI'!$J$4:$J$29,S2321,"Cubic","Extrapolate=Linear","MultiX=Average","Skip=True","Sort=True")</f>
        <v>14.753455033349413</v>
      </c>
      <c r="U2321" s="43">
        <f ca="1">_xll.BInterpol('Base CDI'!$H$4:$H$28,'Base CDI'!$I$4:$I$29,S2321,"Cubic","Extrapolate=Linear","MultiX=Average","Skip=True","Sort=True")</f>
        <v>14.821656753875837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48028</v>
      </c>
      <c r="T2322" s="43">
        <f ca="1">_xll.BInterpol('Base CDI'!$H$4:$H$28,'Base CDI'!$J$4:$J$29,S2322,"Cubic","Extrapolate=Linear","MultiX=Average","Skip=True","Sort=True")</f>
        <v>14.753430742834636</v>
      </c>
      <c r="U2322" s="43">
        <f ca="1">_xll.BInterpol('Base CDI'!$H$4:$H$28,'Base CDI'!$I$4:$I$29,S2322,"Cubic","Extrapolate=Linear","MultiX=Average","Skip=True","Sort=True")</f>
        <v>14.82165645599199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48029</v>
      </c>
      <c r="T2323" s="43">
        <f ca="1">_xll.BInterpol('Base CDI'!$H$4:$H$28,'Base CDI'!$J$4:$J$29,S2323,"Cubic","Extrapolate=Linear","MultiX=Average","Skip=True","Sort=True")</f>
        <v>14.753406405045856</v>
      </c>
      <c r="U2323" s="43">
        <f ca="1">_xll.BInterpol('Base CDI'!$H$4:$H$28,'Base CDI'!$I$4:$I$29,S2323,"Cubic","Extrapolate=Linear","MultiX=Average","Skip=True","Sort=True")</f>
        <v>14.821656057848264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48030</v>
      </c>
      <c r="T2324" s="43">
        <f ca="1">_xll.BInterpol('Base CDI'!$H$4:$H$28,'Base CDI'!$J$4:$J$29,S2324,"Cubic","Extrapolate=Linear","MultiX=Average","Skip=True","Sort=True")</f>
        <v>14.753382019993444</v>
      </c>
      <c r="U2324" s="43">
        <f ca="1">_xll.BInterpol('Base CDI'!$H$4:$H$28,'Base CDI'!$I$4:$I$29,S2324,"Cubic","Extrapolate=Linear","MultiX=Average","Skip=True","Sort=True")</f>
        <v>14.821655559583057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48031</v>
      </c>
      <c r="T2325" s="43">
        <f ca="1">_xll.BInterpol('Base CDI'!$H$4:$H$28,'Base CDI'!$J$4:$J$29,S2325,"Cubic","Extrapolate=Linear","MultiX=Average","Skip=True","Sort=True")</f>
        <v>14.753357587687766</v>
      </c>
      <c r="U2325" s="43">
        <f ca="1">_xll.BInterpol('Base CDI'!$H$4:$H$28,'Base CDI'!$I$4:$I$29,S2325,"Cubic","Extrapolate=Linear","MultiX=Average","Skip=True","Sort=True")</f>
        <v>14.821654961334771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48032</v>
      </c>
      <c r="T2326" s="43">
        <f ca="1">_xll.BInterpol('Base CDI'!$H$4:$H$28,'Base CDI'!$J$4:$J$29,S2326,"Cubic","Extrapolate=Linear","MultiX=Average","Skip=True","Sort=True")</f>
        <v>14.753333108139199</v>
      </c>
      <c r="U2326" s="43">
        <f ca="1">_xll.BInterpol('Base CDI'!$H$4:$H$28,'Base CDI'!$I$4:$I$29,S2326,"Cubic","Extrapolate=Linear","MultiX=Average","Skip=True","Sort=True")</f>
        <v>14.821654263241802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48033</v>
      </c>
      <c r="T2327" s="43">
        <f ca="1">_xll.BInterpol('Base CDI'!$H$4:$H$28,'Base CDI'!$J$4:$J$29,S2327,"Cubic","Extrapolate=Linear","MultiX=Average","Skip=True","Sort=True")</f>
        <v>14.753308581358107</v>
      </c>
      <c r="U2327" s="43">
        <f ca="1">_xll.BInterpol('Base CDI'!$H$4:$H$28,'Base CDI'!$I$4:$I$29,S2327,"Cubic","Extrapolate=Linear","MultiX=Average","Skip=True","Sort=True")</f>
        <v>14.821653465442552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48034</v>
      </c>
      <c r="T2328" s="43">
        <f ca="1">_xll.BInterpol('Base CDI'!$H$4:$H$28,'Base CDI'!$J$4:$J$29,S2328,"Cubic","Extrapolate=Linear","MultiX=Average","Skip=True","Sort=True")</f>
        <v>14.753284007354864</v>
      </c>
      <c r="U2328" s="43">
        <f ca="1">_xll.BInterpol('Base CDI'!$H$4:$H$28,'Base CDI'!$I$4:$I$29,S2328,"Cubic","Extrapolate=Linear","MultiX=Average","Skip=True","Sort=True")</f>
        <v>14.821652568075416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48035</v>
      </c>
      <c r="T2329" s="43">
        <f ca="1">_xll.BInterpol('Base CDI'!$H$4:$H$28,'Base CDI'!$J$4:$J$29,S2329,"Cubic","Extrapolate=Linear","MultiX=Average","Skip=True","Sort=True")</f>
        <v>14.753259386139838</v>
      </c>
      <c r="U2329" s="43">
        <f ca="1">_xll.BInterpol('Base CDI'!$H$4:$H$28,'Base CDI'!$I$4:$I$29,S2329,"Cubic","Extrapolate=Linear","MultiX=Average","Skip=True","Sort=True")</f>
        <v>14.8216515712788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48036</v>
      </c>
      <c r="T2330" s="43">
        <f ca="1">_xll.BInterpol('Base CDI'!$H$4:$H$28,'Base CDI'!$J$4:$J$29,S2330,"Cubic","Extrapolate=Linear","MultiX=Average","Skip=True","Sort=True")</f>
        <v>14.7532347177234</v>
      </c>
      <c r="U2330" s="43">
        <f ca="1">_xll.BInterpol('Base CDI'!$H$4:$H$28,'Base CDI'!$I$4:$I$29,S2330,"Cubic","Extrapolate=Linear","MultiX=Average","Skip=True","Sort=True")</f>
        <v>14.821650475191097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48037</v>
      </c>
      <c r="T2331" s="43">
        <f ca="1">_xll.BInterpol('Base CDI'!$H$4:$H$28,'Base CDI'!$J$4:$J$29,S2331,"Cubic","Extrapolate=Linear","MultiX=Average","Skip=True","Sort=True")</f>
        <v>14.753210002115919</v>
      </c>
      <c r="U2331" s="43">
        <f ca="1">_xll.BInterpol('Base CDI'!$H$4:$H$28,'Base CDI'!$I$4:$I$29,S2331,"Cubic","Extrapolate=Linear","MultiX=Average","Skip=True","Sort=True")</f>
        <v>14.821649279950709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48038</v>
      </c>
      <c r="T2332" s="43">
        <f ca="1">_xll.BInterpol('Base CDI'!$H$4:$H$28,'Base CDI'!$J$4:$J$29,S2332,"Cubic","Extrapolate=Linear","MultiX=Average","Skip=True","Sort=True")</f>
        <v>14.753185239327765</v>
      </c>
      <c r="U2332" s="43">
        <f ca="1">_xll.BInterpol('Base CDI'!$H$4:$H$28,'Base CDI'!$I$4:$I$29,S2332,"Cubic","Extrapolate=Linear","MultiX=Average","Skip=True","Sort=True")</f>
        <v>14.821647985696034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48039</v>
      </c>
      <c r="T2333" s="43">
        <f ca="1">_xll.BInterpol('Base CDI'!$H$4:$H$28,'Base CDI'!$J$4:$J$29,S2333,"Cubic","Extrapolate=Linear","MultiX=Average","Skip=True","Sort=True")</f>
        <v>14.753160429369309</v>
      </c>
      <c r="U2333" s="43">
        <f ca="1">_xll.BInterpol('Base CDI'!$H$4:$H$28,'Base CDI'!$I$4:$I$29,S2333,"Cubic","Extrapolate=Linear","MultiX=Average","Skip=True","Sort=True")</f>
        <v>14.821646592565473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48040</v>
      </c>
      <c r="T2334" s="43">
        <f ca="1">_xll.BInterpol('Base CDI'!$H$4:$H$28,'Base CDI'!$J$4:$J$29,S2334,"Cubic","Extrapolate=Linear","MultiX=Average","Skip=True","Sort=True")</f>
        <v>14.753135572250921</v>
      </c>
      <c r="U2334" s="43">
        <f ca="1">_xll.BInterpol('Base CDI'!$H$4:$H$28,'Base CDI'!$I$4:$I$29,S2334,"Cubic","Extrapolate=Linear","MultiX=Average","Skip=True","Sort=True")</f>
        <v>14.821645100697424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48041</v>
      </c>
      <c r="T2335" s="43">
        <f ca="1">_xll.BInterpol('Base CDI'!$H$4:$H$28,'Base CDI'!$J$4:$J$29,S2335,"Cubic","Extrapolate=Linear","MultiX=Average","Skip=True","Sort=True")</f>
        <v>14.753110667982972</v>
      </c>
      <c r="U2335" s="43">
        <f ca="1">_xll.BInterpol('Base CDI'!$H$4:$H$28,'Base CDI'!$I$4:$I$29,S2335,"Cubic","Extrapolate=Linear","MultiX=Average","Skip=True","Sort=True")</f>
        <v>14.821643510230286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48042</v>
      </c>
      <c r="T2336" s="43">
        <f ca="1">_xll.BInterpol('Base CDI'!$H$4:$H$28,'Base CDI'!$J$4:$J$29,S2336,"Cubic","Extrapolate=Linear","MultiX=Average","Skip=True","Sort=True")</f>
        <v>14.753085716575828</v>
      </c>
      <c r="U2336" s="43">
        <f ca="1">_xll.BInterpol('Base CDI'!$H$4:$H$28,'Base CDI'!$I$4:$I$29,S2336,"Cubic","Extrapolate=Linear","MultiX=Average","Skip=True","Sort=True")</f>
        <v>14.821641821302459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48043</v>
      </c>
      <c r="T2337" s="43">
        <f ca="1">_xll.BInterpol('Base CDI'!$H$4:$H$28,'Base CDI'!$J$4:$J$29,S2337,"Cubic","Extrapolate=Linear","MultiX=Average","Skip=True","Sort=True")</f>
        <v>14.753060718039864</v>
      </c>
      <c r="U2337" s="43">
        <f ca="1">_xll.BInterpol('Base CDI'!$H$4:$H$28,'Base CDI'!$I$4:$I$29,S2337,"Cubic","Extrapolate=Linear","MultiX=Average","Skip=True","Sort=True")</f>
        <v>14.821640034052342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48044</v>
      </c>
      <c r="T2338" s="43">
        <f ca="1">_xll.BInterpol('Base CDI'!$H$4:$H$28,'Base CDI'!$J$4:$J$29,S2338,"Cubic","Extrapolate=Linear","MultiX=Average","Skip=True","Sort=True")</f>
        <v>14.753035672385446</v>
      </c>
      <c r="U2338" s="43">
        <f ca="1">_xll.BInterpol('Base CDI'!$H$4:$H$28,'Base CDI'!$I$4:$I$29,S2338,"Cubic","Extrapolate=Linear","MultiX=Average","Skip=True","Sort=True")</f>
        <v>14.821638148618334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48045</v>
      </c>
      <c r="T2339" s="43">
        <f ca="1">_xll.BInterpol('Base CDI'!$H$4:$H$28,'Base CDI'!$J$4:$J$29,S2339,"Cubic","Extrapolate=Linear","MultiX=Average","Skip=True","Sort=True")</f>
        <v>14.753010579622947</v>
      </c>
      <c r="U2339" s="43">
        <f ca="1">_xll.BInterpol('Base CDI'!$H$4:$H$28,'Base CDI'!$I$4:$I$29,S2339,"Cubic","Extrapolate=Linear","MultiX=Average","Skip=True","Sort=True")</f>
        <v>14.821636165138834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48046</v>
      </c>
      <c r="T2340" s="43">
        <f ca="1">_xll.BInterpol('Base CDI'!$H$4:$H$28,'Base CDI'!$J$4:$J$29,S2340,"Cubic","Extrapolate=Linear","MultiX=Average","Skip=True","Sort=True")</f>
        <v>14.752985439762735</v>
      </c>
      <c r="U2340" s="43">
        <f ca="1">_xll.BInterpol('Base CDI'!$H$4:$H$28,'Base CDI'!$I$4:$I$29,S2340,"Cubic","Extrapolate=Linear","MultiX=Average","Skip=True","Sort=True")</f>
        <v>14.821634083752242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48047</v>
      </c>
      <c r="T2341" s="43">
        <f ca="1">_xll.BInterpol('Base CDI'!$H$4:$H$28,'Base CDI'!$J$4:$J$29,S2341,"Cubic","Extrapolate=Linear","MultiX=Average","Skip=True","Sort=True")</f>
        <v>14.752960252815182</v>
      </c>
      <c r="U2341" s="43">
        <f ca="1">_xll.BInterpol('Base CDI'!$H$4:$H$28,'Base CDI'!$I$4:$I$29,S2341,"Cubic","Extrapolate=Linear","MultiX=Average","Skip=True","Sort=True")</f>
        <v>14.821631904596956</v>
      </c>
    </row>
    <row r="2342" spans="16:21" x14ac:dyDescent="0.25">
      <c r="P2342" s="10">
        <v>37917</v>
      </c>
      <c r="Q2342">
        <v>9.86904</v>
      </c>
      <c r="S2342" s="42">
        <f t="shared" ca="1" si="41"/>
        <v>48048</v>
      </c>
      <c r="T2342" s="43">
        <f ca="1">_xll.BInterpol('Base CDI'!$H$4:$H$28,'Base CDI'!$J$4:$J$29,S2342,"Cubic","Extrapolate=Linear","MultiX=Average","Skip=True","Sort=True")</f>
        <v>14.752935018790657</v>
      </c>
      <c r="U2342" s="43">
        <f ca="1">_xll.BInterpol('Base CDI'!$H$4:$H$28,'Base CDI'!$I$4:$I$29,S2342,"Cubic","Extrapolate=Linear","MultiX=Average","Skip=True","Sort=True")</f>
        <v>14.821629627811376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48049</v>
      </c>
      <c r="T2343" s="43">
        <f ca="1">_xll.BInterpol('Base CDI'!$H$4:$H$28,'Base CDI'!$J$4:$J$29,S2343,"Cubic","Extrapolate=Linear","MultiX=Average","Skip=True","Sort=True")</f>
        <v>14.752909737699529</v>
      </c>
      <c r="U2343" s="43">
        <f ca="1">_xll.BInterpol('Base CDI'!$H$4:$H$28,'Base CDI'!$I$4:$I$29,S2343,"Cubic","Extrapolate=Linear","MultiX=Average","Skip=True","Sort=True")</f>
        <v>14.821627253533901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48050</v>
      </c>
      <c r="T2344" s="43">
        <f ca="1">_xll.BInterpol('Base CDI'!$H$4:$H$28,'Base CDI'!$J$4:$J$29,S2344,"Cubic","Extrapolate=Linear","MultiX=Average","Skip=True","Sort=True")</f>
        <v>14.75288440955217</v>
      </c>
      <c r="U2344" s="43">
        <f ca="1">_xll.BInterpol('Base CDI'!$H$4:$H$28,'Base CDI'!$I$4:$I$29,S2344,"Cubic","Extrapolate=Linear","MultiX=Average","Skip=True","Sort=True")</f>
        <v>14.821624781902932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48051</v>
      </c>
      <c r="T2345" s="43">
        <f ca="1">_xll.BInterpol('Base CDI'!$H$4:$H$28,'Base CDI'!$J$4:$J$29,S2345,"Cubic","Extrapolate=Linear","MultiX=Average","Skip=True","Sort=True")</f>
        <v>14.752859034358949</v>
      </c>
      <c r="U2345" s="43">
        <f ca="1">_xll.BInterpol('Base CDI'!$H$4:$H$28,'Base CDI'!$I$4:$I$29,S2345,"Cubic","Extrapolate=Linear","MultiX=Average","Skip=True","Sort=True")</f>
        <v>14.821622213056864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48052</v>
      </c>
      <c r="T2346" s="43">
        <f ca="1">_xll.BInterpol('Base CDI'!$H$4:$H$28,'Base CDI'!$J$4:$J$29,S2346,"Cubic","Extrapolate=Linear","MultiX=Average","Skip=True","Sort=True")</f>
        <v>14.752833612130233</v>
      </c>
      <c r="U2346" s="43">
        <f ca="1">_xll.BInterpol('Base CDI'!$H$4:$H$28,'Base CDI'!$I$4:$I$29,S2346,"Cubic","Extrapolate=Linear","MultiX=Average","Skip=True","Sort=True")</f>
        <v>14.821619547134102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48053</v>
      </c>
      <c r="T2347" s="43">
        <f ca="1">_xll.BInterpol('Base CDI'!$H$4:$H$28,'Base CDI'!$J$4:$J$29,S2347,"Cubic","Extrapolate=Linear","MultiX=Average","Skip=True","Sort=True")</f>
        <v>14.752808142876399</v>
      </c>
      <c r="U2347" s="43">
        <f ca="1">_xll.BInterpol('Base CDI'!$H$4:$H$28,'Base CDI'!$I$4:$I$29,S2347,"Cubic","Extrapolate=Linear","MultiX=Average","Skip=True","Sort=True")</f>
        <v>14.82161678427304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48054</v>
      </c>
      <c r="T2348" s="43">
        <f ca="1">_xll.BInterpol('Base CDI'!$H$4:$H$28,'Base CDI'!$J$4:$J$29,S2348,"Cubic","Extrapolate=Linear","MultiX=Average","Skip=True","Sort=True")</f>
        <v>14.752782626607813</v>
      </c>
      <c r="U2348" s="43">
        <f ca="1">_xll.BInterpol('Base CDI'!$H$4:$H$28,'Base CDI'!$I$4:$I$29,S2348,"Cubic","Extrapolate=Linear","MultiX=Average","Skip=True","Sort=True")</f>
        <v>14.821613924612079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48055</v>
      </c>
      <c r="T2349" s="43">
        <f ca="1">_xll.BInterpol('Base CDI'!$H$4:$H$28,'Base CDI'!$J$4:$J$29,S2349,"Cubic","Extrapolate=Linear","MultiX=Average","Skip=True","Sort=True")</f>
        <v>14.752757063334844</v>
      </c>
      <c r="U2349" s="43">
        <f ca="1">_xll.BInterpol('Base CDI'!$H$4:$H$28,'Base CDI'!$I$4:$I$29,S2349,"Cubic","Extrapolate=Linear","MultiX=Average","Skip=True","Sort=True")</f>
        <v>14.821610968289619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48056</v>
      </c>
      <c r="T2350" s="43">
        <f ca="1">_xll.BInterpol('Base CDI'!$H$4:$H$28,'Base CDI'!$J$4:$J$29,S2350,"Cubic","Extrapolate=Linear","MultiX=Average","Skip=True","Sort=True")</f>
        <v>14.752731453067863</v>
      </c>
      <c r="U2350" s="43">
        <f ca="1">_xll.BInterpol('Base CDI'!$H$4:$H$28,'Base CDI'!$I$4:$I$29,S2350,"Cubic","Extrapolate=Linear","MultiX=Average","Skip=True","Sort=True")</f>
        <v>14.821607915444059</v>
      </c>
    </row>
    <row r="2351" spans="16:21" x14ac:dyDescent="0.25">
      <c r="P2351" s="10">
        <v>37930</v>
      </c>
      <c r="Q2351">
        <v>9.929729</v>
      </c>
      <c r="S2351" s="42">
        <f t="shared" ca="1" si="41"/>
        <v>48057</v>
      </c>
      <c r="T2351" s="43">
        <f ca="1">_xll.BInterpol('Base CDI'!$H$4:$H$28,'Base CDI'!$J$4:$J$29,S2351,"Cubic","Extrapolate=Linear","MultiX=Average","Skip=True","Sort=True")</f>
        <v>14.75270579581724</v>
      </c>
      <c r="U2351" s="43">
        <f ca="1">_xll.BInterpol('Base CDI'!$H$4:$H$28,'Base CDI'!$I$4:$I$29,S2351,"Cubic","Extrapolate=Linear","MultiX=Average","Skip=True","Sort=True")</f>
        <v>14.821604766213797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48058</v>
      </c>
      <c r="T2352" s="43">
        <f ca="1">_xll.BInterpol('Base CDI'!$H$4:$H$28,'Base CDI'!$J$4:$J$29,S2352,"Cubic","Extrapolate=Linear","MultiX=Average","Skip=True","Sort=True")</f>
        <v>14.752680091593346</v>
      </c>
      <c r="U2352" s="43">
        <f ca="1">_xll.BInterpol('Base CDI'!$H$4:$H$28,'Base CDI'!$I$4:$I$29,S2352,"Cubic","Extrapolate=Linear","MultiX=Average","Skip=True","Sort=True")</f>
        <v>14.821601520737234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48059</v>
      </c>
      <c r="T2353" s="43">
        <f ca="1">_xll.BInterpol('Base CDI'!$H$4:$H$28,'Base CDI'!$J$4:$J$29,S2353,"Cubic","Extrapolate=Linear","MultiX=Average","Skip=True","Sort=True")</f>
        <v>14.752654340406551</v>
      </c>
      <c r="U2353" s="43">
        <f ca="1">_xll.BInterpol('Base CDI'!$H$4:$H$28,'Base CDI'!$I$4:$I$29,S2353,"Cubic","Extrapolate=Linear","MultiX=Average","Skip=True","Sort=True")</f>
        <v>14.821598179152769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48060</v>
      </c>
      <c r="T2354" s="43">
        <f ca="1">_xll.BInterpol('Base CDI'!$H$4:$H$28,'Base CDI'!$J$4:$J$29,S2354,"Cubic","Extrapolate=Linear","MultiX=Average","Skip=True","Sort=True")</f>
        <v>14.752628542267225</v>
      </c>
      <c r="U2354" s="43">
        <f ca="1">_xll.BInterpol('Base CDI'!$H$4:$H$28,'Base CDI'!$I$4:$I$29,S2354,"Cubic","Extrapolate=Linear","MultiX=Average","Skip=True","Sort=True")</f>
        <v>14.821594741598799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48061</v>
      </c>
      <c r="T2355" s="43">
        <f ca="1">_xll.BInterpol('Base CDI'!$H$4:$H$28,'Base CDI'!$J$4:$J$29,S2355,"Cubic","Extrapolate=Linear","MultiX=Average","Skip=True","Sort=True")</f>
        <v>14.752602697185736</v>
      </c>
      <c r="U2355" s="43">
        <f ca="1">_xll.BInterpol('Base CDI'!$H$4:$H$28,'Base CDI'!$I$4:$I$29,S2355,"Cubic","Extrapolate=Linear","MultiX=Average","Skip=True","Sort=True")</f>
        <v>14.821591208213725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48062</v>
      </c>
      <c r="T2356" s="43">
        <f ca="1">_xll.BInterpol('Base CDI'!$H$4:$H$28,'Base CDI'!$J$4:$J$29,S2356,"Cubic","Extrapolate=Linear","MultiX=Average","Skip=True","Sort=True")</f>
        <v>14.752576805172454</v>
      </c>
      <c r="U2356" s="43">
        <f ca="1">_xll.BInterpol('Base CDI'!$H$4:$H$28,'Base CDI'!$I$4:$I$29,S2356,"Cubic","Extrapolate=Linear","MultiX=Average","Skip=True","Sort=True")</f>
        <v>14.821587579135947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48063</v>
      </c>
      <c r="T2357" s="43">
        <f ca="1">_xll.BInterpol('Base CDI'!$H$4:$H$28,'Base CDI'!$J$4:$J$29,S2357,"Cubic","Extrapolate=Linear","MultiX=Average","Skip=True","Sort=True")</f>
        <v>14.752550866237753</v>
      </c>
      <c r="U2357" s="43">
        <f ca="1">_xll.BInterpol('Base CDI'!$H$4:$H$28,'Base CDI'!$I$4:$I$29,S2357,"Cubic","Extrapolate=Linear","MultiX=Average","Skip=True","Sort=True")</f>
        <v>14.821583854503864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48064</v>
      </c>
      <c r="T2358" s="43">
        <f ca="1">_xll.BInterpol('Base CDI'!$H$4:$H$28,'Base CDI'!$J$4:$J$29,S2358,"Cubic","Extrapolate=Linear","MultiX=Average","Skip=True","Sort=True")</f>
        <v>14.752524880392</v>
      </c>
      <c r="U2358" s="43">
        <f ca="1">_xll.BInterpol('Base CDI'!$H$4:$H$28,'Base CDI'!$I$4:$I$29,S2358,"Cubic","Extrapolate=Linear","MultiX=Average","Skip=True","Sort=True")</f>
        <v>14.821580034455872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48065</v>
      </c>
      <c r="T2359" s="43">
        <f ca="1">_xll.BInterpol('Base CDI'!$H$4:$H$28,'Base CDI'!$J$4:$J$29,S2359,"Cubic","Extrapolate=Linear","MultiX=Average","Skip=True","Sort=True")</f>
        <v>14.752498847645565</v>
      </c>
      <c r="U2359" s="43">
        <f ca="1">_xll.BInterpol('Base CDI'!$H$4:$H$28,'Base CDI'!$I$4:$I$29,S2359,"Cubic","Extrapolate=Linear","MultiX=Average","Skip=True","Sort=True")</f>
        <v>14.821576119130373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48066</v>
      </c>
      <c r="T2360" s="43">
        <f ca="1">_xll.BInterpol('Base CDI'!$H$4:$H$28,'Base CDI'!$J$4:$J$29,S2360,"Cubic","Extrapolate=Linear","MultiX=Average","Skip=True","Sort=True")</f>
        <v>14.75247276800882</v>
      </c>
      <c r="U2360" s="43">
        <f ca="1">_xll.BInterpol('Base CDI'!$H$4:$H$28,'Base CDI'!$I$4:$I$29,S2360,"Cubic","Extrapolate=Linear","MultiX=Average","Skip=True","Sort=True")</f>
        <v>14.821572108665768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48067</v>
      </c>
      <c r="T2361" s="43">
        <f ca="1">_xll.BInterpol('Base CDI'!$H$4:$H$28,'Base CDI'!$J$4:$J$29,S2361,"Cubic","Extrapolate=Linear","MultiX=Average","Skip=True","Sort=True")</f>
        <v>14.752446641492133</v>
      </c>
      <c r="U2361" s="43">
        <f ca="1">_xll.BInterpol('Base CDI'!$H$4:$H$28,'Base CDI'!$I$4:$I$29,S2361,"Cubic","Extrapolate=Linear","MultiX=Average","Skip=True","Sort=True")</f>
        <v>14.821568003200452</v>
      </c>
    </row>
    <row r="2362" spans="16:21" x14ac:dyDescent="0.25">
      <c r="P2362" s="10">
        <v>37945</v>
      </c>
      <c r="Q2362">
        <v>10.00451</v>
      </c>
      <c r="S2362" s="42">
        <f t="shared" ca="1" si="41"/>
        <v>48068</v>
      </c>
      <c r="T2362" s="43">
        <f ca="1">_xll.BInterpol('Base CDI'!$H$4:$H$28,'Base CDI'!$J$4:$J$29,S2362,"Cubic","Extrapolate=Linear","MultiX=Average","Skip=True","Sort=True")</f>
        <v>14.752420468105875</v>
      </c>
      <c r="U2362" s="43">
        <f ca="1">_xll.BInterpol('Base CDI'!$H$4:$H$28,'Base CDI'!$I$4:$I$29,S2362,"Cubic","Extrapolate=Linear","MultiX=Average","Skip=True","Sort=True")</f>
        <v>14.821563802872827</v>
      </c>
    </row>
    <row r="2363" spans="16:21" x14ac:dyDescent="0.25">
      <c r="P2363" s="10">
        <v>37946</v>
      </c>
      <c r="Q2363">
        <v>10.01084</v>
      </c>
      <c r="S2363" s="42">
        <f t="shared" ca="1" si="41"/>
        <v>48069</v>
      </c>
      <c r="T2363" s="43">
        <f ca="1">_xll.BInterpol('Base CDI'!$H$4:$H$28,'Base CDI'!$J$4:$J$29,S2363,"Cubic","Extrapolate=Linear","MultiX=Average","Skip=True","Sort=True")</f>
        <v>14.752394247860416</v>
      </c>
      <c r="U2363" s="43">
        <f ca="1">_xll.BInterpol('Base CDI'!$H$4:$H$28,'Base CDI'!$I$4:$I$29,S2363,"Cubic","Extrapolate=Linear","MultiX=Average","Skip=True","Sort=True")</f>
        <v>14.821559507821293</v>
      </c>
    </row>
    <row r="2364" spans="16:21" x14ac:dyDescent="0.25">
      <c r="P2364" s="10">
        <v>37949</v>
      </c>
      <c r="Q2364">
        <v>10.01718</v>
      </c>
      <c r="S2364" s="42">
        <f t="shared" ca="1" si="41"/>
        <v>48070</v>
      </c>
      <c r="T2364" s="43">
        <f ca="1">_xll.BInterpol('Base CDI'!$H$4:$H$28,'Base CDI'!$J$4:$J$29,S2364,"Cubic","Extrapolate=Linear","MultiX=Average","Skip=True","Sort=True")</f>
        <v>14.752367980766124</v>
      </c>
      <c r="U2364" s="43">
        <f ca="1">_xll.BInterpol('Base CDI'!$H$4:$H$28,'Base CDI'!$I$4:$I$29,S2364,"Cubic","Extrapolate=Linear","MultiX=Average","Skip=True","Sort=True")</f>
        <v>14.821555118184246</v>
      </c>
    </row>
    <row r="2365" spans="16:21" x14ac:dyDescent="0.25">
      <c r="P2365" s="10">
        <v>37950</v>
      </c>
      <c r="Q2365">
        <v>10.02352</v>
      </c>
      <c r="S2365" s="42">
        <f t="shared" ca="1" si="41"/>
        <v>48071</v>
      </c>
      <c r="T2365" s="43">
        <f ca="1">_xll.BInterpol('Base CDI'!$H$4:$H$28,'Base CDI'!$J$4:$J$29,S2365,"Cubic","Extrapolate=Linear","MultiX=Average","Skip=True","Sort=True")</f>
        <v>14.752341666833372</v>
      </c>
      <c r="U2365" s="43">
        <f ca="1">_xll.BInterpol('Base CDI'!$H$4:$H$28,'Base CDI'!$I$4:$I$29,S2365,"Cubic","Extrapolate=Linear","MultiX=Average","Skip=True","Sort=True")</f>
        <v>14.821550634100088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48072</v>
      </c>
      <c r="T2366" s="43">
        <f ca="1">_xll.BInterpol('Base CDI'!$H$4:$H$28,'Base CDI'!$J$4:$J$29,S2366,"Cubic","Extrapolate=Linear","MultiX=Average","Skip=True","Sort=True")</f>
        <v>14.752315306072529</v>
      </c>
      <c r="U2366" s="43">
        <f ca="1">_xll.BInterpol('Base CDI'!$H$4:$H$28,'Base CDI'!$I$4:$I$29,S2366,"Cubic","Extrapolate=Linear","MultiX=Average","Skip=True","Sort=True")</f>
        <v>14.821546055707216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48073</v>
      </c>
      <c r="T2367" s="43">
        <f ca="1">_xll.BInterpol('Base CDI'!$H$4:$H$28,'Base CDI'!$J$4:$J$29,S2367,"Cubic","Extrapolate=Linear","MultiX=Average","Skip=True","Sort=True")</f>
        <v>14.752288898493966</v>
      </c>
      <c r="U2367" s="43">
        <f ca="1">_xll.BInterpol('Base CDI'!$H$4:$H$28,'Base CDI'!$I$4:$I$29,S2367,"Cubic","Extrapolate=Linear","MultiX=Average","Skip=True","Sort=True")</f>
        <v>14.821541383144032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48074</v>
      </c>
      <c r="T2368" s="43">
        <f ca="1">_xll.BInterpol('Base CDI'!$H$4:$H$28,'Base CDI'!$J$4:$J$29,S2368,"Cubic","Extrapolate=Linear","MultiX=Average","Skip=True","Sort=True")</f>
        <v>14.75226244410805</v>
      </c>
      <c r="U2368" s="43">
        <f ca="1">_xll.BInterpol('Base CDI'!$H$4:$H$28,'Base CDI'!$I$4:$I$29,S2368,"Cubic","Extrapolate=Linear","MultiX=Average","Skip=True","Sort=True")</f>
        <v>14.821536616548933</v>
      </c>
    </row>
    <row r="2369" spans="16:21" x14ac:dyDescent="0.25">
      <c r="P2369" s="10">
        <v>37956</v>
      </c>
      <c r="Q2369">
        <v>10.04889</v>
      </c>
      <c r="S2369" s="42">
        <f t="shared" ca="1" si="41"/>
        <v>48075</v>
      </c>
      <c r="T2369" s="43">
        <f ca="1">_xll.BInterpol('Base CDI'!$H$4:$H$28,'Base CDI'!$J$4:$J$29,S2369,"Cubic","Extrapolate=Linear","MultiX=Average","Skip=True","Sort=True")</f>
        <v>14.752235942925154</v>
      </c>
      <c r="U2369" s="43">
        <f ca="1">_xll.BInterpol('Base CDI'!$H$4:$H$28,'Base CDI'!$I$4:$I$29,S2369,"Cubic","Extrapolate=Linear","MultiX=Average","Skip=True","Sort=True")</f>
        <v>14.821531756060319</v>
      </c>
    </row>
    <row r="2370" spans="16:21" x14ac:dyDescent="0.25">
      <c r="P2370" s="10">
        <v>37957</v>
      </c>
      <c r="Q2370">
        <v>10.05523</v>
      </c>
      <c r="S2370" s="42">
        <f t="shared" ca="1" si="41"/>
        <v>48076</v>
      </c>
      <c r="T2370" s="43">
        <f ca="1">_xll.BInterpol('Base CDI'!$H$4:$H$28,'Base CDI'!$J$4:$J$29,S2370,"Cubic","Extrapolate=Linear","MultiX=Average","Skip=True","Sort=True")</f>
        <v>14.752209394955646</v>
      </c>
      <c r="U2370" s="43">
        <f ca="1">_xll.BInterpol('Base CDI'!$H$4:$H$28,'Base CDI'!$I$4:$I$29,S2370,"Cubic","Extrapolate=Linear","MultiX=Average","Skip=True","Sort=True")</f>
        <v>14.821526801816587</v>
      </c>
    </row>
    <row r="2371" spans="16:21" x14ac:dyDescent="0.25">
      <c r="P2371" s="10">
        <v>37958</v>
      </c>
      <c r="Q2371">
        <v>10.06157</v>
      </c>
      <c r="S2371" s="42">
        <f t="shared" ca="1" si="41"/>
        <v>48077</v>
      </c>
      <c r="T2371" s="43">
        <f ca="1">_xll.BInterpol('Base CDI'!$H$4:$H$28,'Base CDI'!$J$4:$J$29,S2371,"Cubic","Extrapolate=Linear","MultiX=Average","Skip=True","Sort=True")</f>
        <v>14.752182800209898</v>
      </c>
      <c r="U2371" s="43">
        <f ca="1">_xll.BInterpol('Base CDI'!$H$4:$H$28,'Base CDI'!$I$4:$I$29,S2371,"Cubic","Extrapolate=Linear","MultiX=Average","Skip=True","Sort=True")</f>
        <v>14.821521753956141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48078</v>
      </c>
      <c r="T2372" s="43">
        <f ca="1">_xll.BInterpol('Base CDI'!$H$4:$H$28,'Base CDI'!$J$4:$J$29,S2372,"Cubic","Extrapolate=Linear","MultiX=Average","Skip=True","Sort=True")</f>
        <v>14.752156158698279</v>
      </c>
      <c r="U2372" s="43">
        <f ca="1">_xll.BInterpol('Base CDI'!$H$4:$H$28,'Base CDI'!$I$4:$I$29,S2372,"Cubic","Extrapolate=Linear","MultiX=Average","Skip=True","Sort=True")</f>
        <v>14.821516612617376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48079</v>
      </c>
      <c r="T2373" s="43">
        <f ca="1">_xll.BInterpol('Base CDI'!$H$4:$H$28,'Base CDI'!$J$4:$J$29,S2373,"Cubic","Extrapolate=Linear","MultiX=Average","Skip=True","Sort=True")</f>
        <v>14.752129470431159</v>
      </c>
      <c r="U2373" s="43">
        <f ca="1">_xll.BInterpol('Base CDI'!$H$4:$H$28,'Base CDI'!$I$4:$I$29,S2373,"Cubic","Extrapolate=Linear","MultiX=Average","Skip=True","Sort=True")</f>
        <v>14.821511377938693</v>
      </c>
    </row>
    <row r="2374" spans="16:21" x14ac:dyDescent="0.25">
      <c r="P2374" s="10">
        <v>37963</v>
      </c>
      <c r="Q2374">
        <v>10.08061</v>
      </c>
      <c r="S2374" s="42">
        <f t="shared" ca="1" si="41"/>
        <v>48080</v>
      </c>
      <c r="T2374" s="43">
        <f ca="1">_xll.BInterpol('Base CDI'!$H$4:$H$28,'Base CDI'!$J$4:$J$29,S2374,"Cubic","Extrapolate=Linear","MultiX=Average","Skip=True","Sort=True")</f>
        <v>14.752102735418907</v>
      </c>
      <c r="U2374" s="43">
        <f ca="1">_xll.BInterpol('Base CDI'!$H$4:$H$28,'Base CDI'!$I$4:$I$29,S2374,"Cubic","Extrapolate=Linear","MultiX=Average","Skip=True","Sort=True")</f>
        <v>14.821506050058492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48081</v>
      </c>
      <c r="T2375" s="43">
        <f ca="1">_xll.BInterpol('Base CDI'!$H$4:$H$28,'Base CDI'!$J$4:$J$29,S2375,"Cubic","Extrapolate=Linear","MultiX=Average","Skip=True","Sort=True")</f>
        <v>14.752075953671897</v>
      </c>
      <c r="U2375" s="43">
        <f ca="1">_xll.BInterpol('Base CDI'!$H$4:$H$28,'Base CDI'!$I$4:$I$29,S2375,"Cubic","Extrapolate=Linear","MultiX=Average","Skip=True","Sort=True")</f>
        <v>14.821500629115169</v>
      </c>
    </row>
    <row r="2376" spans="16:21" x14ac:dyDescent="0.25">
      <c r="P2376" s="10">
        <v>37965</v>
      </c>
      <c r="Q2376">
        <v>10.09334</v>
      </c>
      <c r="S2376" s="42">
        <f t="shared" ca="1" si="41"/>
        <v>48082</v>
      </c>
      <c r="T2376" s="43">
        <f ca="1">_xll.BInterpol('Base CDI'!$H$4:$H$28,'Base CDI'!$J$4:$J$29,S2376,"Cubic","Extrapolate=Linear","MultiX=Average","Skip=True","Sort=True")</f>
        <v>14.752049125200493</v>
      </c>
      <c r="U2376" s="43">
        <f ca="1">_xll.BInterpol('Base CDI'!$H$4:$H$28,'Base CDI'!$I$4:$I$29,S2376,"Cubic","Extrapolate=Linear","MultiX=Average","Skip=True","Sort=True")</f>
        <v>14.821495115247128</v>
      </c>
    </row>
    <row r="2377" spans="16:21" x14ac:dyDescent="0.25">
      <c r="P2377" s="10">
        <v>37966</v>
      </c>
      <c r="Q2377">
        <v>10.09971</v>
      </c>
      <c r="S2377" s="42">
        <f t="shared" ca="1" si="41"/>
        <v>48083</v>
      </c>
      <c r="T2377" s="43">
        <f ca="1">_xll.BInterpol('Base CDI'!$H$4:$H$28,'Base CDI'!$J$4:$J$29,S2377,"Cubic","Extrapolate=Linear","MultiX=Average","Skip=True","Sort=True")</f>
        <v>14.75202225001507</v>
      </c>
      <c r="U2377" s="43">
        <f ca="1">_xll.BInterpol('Base CDI'!$H$4:$H$28,'Base CDI'!$I$4:$I$29,S2377,"Cubic","Extrapolate=Linear","MultiX=Average","Skip=True","Sort=True")</f>
        <v>14.821489508592764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48084</v>
      </c>
      <c r="T2378" s="43">
        <f ca="1">_xll.BInterpol('Base CDI'!$H$4:$H$28,'Base CDI'!$J$4:$J$29,S2378,"Cubic","Extrapolate=Linear","MultiX=Average","Skip=True","Sort=True")</f>
        <v>14.751995328125997</v>
      </c>
      <c r="U2378" s="43">
        <f ca="1">_xll.BInterpol('Base CDI'!$H$4:$H$28,'Base CDI'!$I$4:$I$29,S2378,"Cubic","Extrapolate=Linear","MultiX=Average","Skip=True","Sort=True")</f>
        <v>14.821483809290479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48085</v>
      </c>
      <c r="T2379" s="43">
        <f ca="1">_xll.BInterpol('Base CDI'!$H$4:$H$28,'Base CDI'!$J$4:$J$29,S2379,"Cubic","Extrapolate=Linear","MultiX=Average","Skip=True","Sort=True")</f>
        <v>14.751968359543643</v>
      </c>
      <c r="U2379" s="43">
        <f ca="1">_xll.BInterpol('Base CDI'!$H$4:$H$28,'Base CDI'!$I$4:$I$29,S2379,"Cubic","Extrapolate=Linear","MultiX=Average","Skip=True","Sort=True")</f>
        <v>14.82147801747867</v>
      </c>
    </row>
    <row r="2380" spans="16:21" x14ac:dyDescent="0.25">
      <c r="P2380" s="10">
        <v>37971</v>
      </c>
      <c r="Q2380">
        <v>10.11881</v>
      </c>
      <c r="S2380" s="42">
        <f t="shared" ca="1" si="42"/>
        <v>48086</v>
      </c>
      <c r="T2380" s="43">
        <f ca="1">_xll.BInterpol('Base CDI'!$H$4:$H$28,'Base CDI'!$J$4:$J$29,S2380,"Cubic","Extrapolate=Linear","MultiX=Average","Skip=True","Sort=True")</f>
        <v>14.751941344278377</v>
      </c>
      <c r="U2380" s="43">
        <f ca="1">_xll.BInterpol('Base CDI'!$H$4:$H$28,'Base CDI'!$I$4:$I$29,S2380,"Cubic","Extrapolate=Linear","MultiX=Average","Skip=True","Sort=True")</f>
        <v>14.821472133295737</v>
      </c>
    </row>
    <row r="2381" spans="16:21" x14ac:dyDescent="0.25">
      <c r="P2381" s="10">
        <v>37972</v>
      </c>
      <c r="Q2381">
        <v>10.12518</v>
      </c>
      <c r="S2381" s="42">
        <f t="shared" ca="1" si="42"/>
        <v>48087</v>
      </c>
      <c r="T2381" s="43">
        <f ca="1">_xll.BInterpol('Base CDI'!$H$4:$H$28,'Base CDI'!$J$4:$J$29,S2381,"Cubic","Extrapolate=Linear","MultiX=Average","Skip=True","Sort=True")</f>
        <v>14.751914282340572</v>
      </c>
      <c r="U2381" s="43">
        <f ca="1">_xll.BInterpol('Base CDI'!$H$4:$H$28,'Base CDI'!$I$4:$I$29,S2381,"Cubic","Extrapolate=Linear","MultiX=Average","Skip=True","Sort=True")</f>
        <v>14.82146615688008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48088</v>
      </c>
      <c r="T2382" s="43">
        <f ca="1">_xll.BInterpol('Base CDI'!$H$4:$H$28,'Base CDI'!$J$4:$J$29,S2382,"Cubic","Extrapolate=Linear","MultiX=Average","Skip=True","Sort=True")</f>
        <v>14.751887173740595</v>
      </c>
      <c r="U2382" s="43">
        <f ca="1">_xll.BInterpol('Base CDI'!$H$4:$H$28,'Base CDI'!$I$4:$I$29,S2382,"Cubic","Extrapolate=Linear","MultiX=Average","Skip=True","Sort=True")</f>
        <v>14.821460088370097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48089</v>
      </c>
      <c r="T2383" s="43">
        <f ca="1">_xll.BInterpol('Base CDI'!$H$4:$H$28,'Base CDI'!$J$4:$J$29,S2383,"Cubic","Extrapolate=Linear","MultiX=Average","Skip=True","Sort=True")</f>
        <v>14.75186001848882</v>
      </c>
      <c r="U2383" s="43">
        <f ca="1">_xll.BInterpol('Base CDI'!$H$4:$H$28,'Base CDI'!$I$4:$I$29,S2383,"Cubic","Extrapolate=Linear","MultiX=Average","Skip=True","Sort=True")</f>
        <v>14.821453927904189</v>
      </c>
    </row>
    <row r="2384" spans="16:21" x14ac:dyDescent="0.25">
      <c r="P2384" s="10">
        <v>37977</v>
      </c>
      <c r="Q2384">
        <v>10.14364</v>
      </c>
      <c r="S2384" s="42">
        <f t="shared" ca="1" si="42"/>
        <v>48090</v>
      </c>
      <c r="T2384" s="43">
        <f ca="1">_xll.BInterpol('Base CDI'!$H$4:$H$28,'Base CDI'!$J$4:$J$29,S2384,"Cubic","Extrapolate=Linear","MultiX=Average","Skip=True","Sort=True")</f>
        <v>14.751832816595613</v>
      </c>
      <c r="U2384" s="43">
        <f ca="1">_xll.BInterpol('Base CDI'!$H$4:$H$28,'Base CDI'!$I$4:$I$29,S2384,"Cubic","Extrapolate=Linear","MultiX=Average","Skip=True","Sort=True")</f>
        <v>14.821447675620753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48091</v>
      </c>
      <c r="T2385" s="43">
        <f ca="1">_xll.BInterpol('Base CDI'!$H$4:$H$28,'Base CDI'!$J$4:$J$29,S2385,"Cubic","Extrapolate=Linear","MultiX=Average","Skip=True","Sort=True")</f>
        <v>14.751805568071346</v>
      </c>
      <c r="U2385" s="43">
        <f ca="1">_xll.BInterpol('Base CDI'!$H$4:$H$28,'Base CDI'!$I$4:$I$29,S2385,"Cubic","Extrapolate=Linear","MultiX=Average","Skip=True","Sort=True")</f>
        <v>14.821441331658191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48092</v>
      </c>
      <c r="T2386" s="43">
        <f ca="1">_xll.BInterpol('Base CDI'!$H$4:$H$28,'Base CDI'!$J$4:$J$29,S2386,"Cubic","Extrapolate=Linear","MultiX=Average","Skip=True","Sort=True")</f>
        <v>14.751778272926387</v>
      </c>
      <c r="U2386" s="43">
        <f ca="1">_xll.BInterpol('Base CDI'!$H$4:$H$28,'Base CDI'!$I$4:$I$29,S2386,"Cubic","Extrapolate=Linear","MultiX=Average","Skip=True","Sort=True")</f>
        <v>14.8214348961549</v>
      </c>
    </row>
    <row r="2387" spans="16:21" x14ac:dyDescent="0.25">
      <c r="P2387" s="10">
        <v>37981</v>
      </c>
      <c r="Q2387">
        <v>10.16183</v>
      </c>
      <c r="S2387" s="42">
        <f t="shared" ca="1" si="42"/>
        <v>48093</v>
      </c>
      <c r="T2387" s="43">
        <f ca="1">_xll.BInterpol('Base CDI'!$H$4:$H$28,'Base CDI'!$J$4:$J$29,S2387,"Cubic","Extrapolate=Linear","MultiX=Average","Skip=True","Sort=True")</f>
        <v>14.751750931171109</v>
      </c>
      <c r="U2387" s="43">
        <f ca="1">_xll.BInterpol('Base CDI'!$H$4:$H$28,'Base CDI'!$I$4:$I$29,S2387,"Cubic","Extrapolate=Linear","MultiX=Average","Skip=True","Sort=True")</f>
        <v>14.821428369249279</v>
      </c>
    </row>
    <row r="2388" spans="16:21" x14ac:dyDescent="0.25">
      <c r="P2388" s="10">
        <v>37984</v>
      </c>
      <c r="Q2388">
        <v>10.16789</v>
      </c>
      <c r="S2388" s="42">
        <f t="shared" ca="1" si="42"/>
        <v>48094</v>
      </c>
      <c r="T2388" s="43">
        <f ca="1">_xll.BInterpol('Base CDI'!$H$4:$H$28,'Base CDI'!$J$4:$J$29,S2388,"Cubic","Extrapolate=Linear","MultiX=Average","Skip=True","Sort=True")</f>
        <v>14.751723542815881</v>
      </c>
      <c r="U2388" s="43">
        <f ca="1">_xll.BInterpol('Base CDI'!$H$4:$H$28,'Base CDI'!$I$4:$I$29,S2388,"Cubic","Extrapolate=Linear","MultiX=Average","Skip=True","Sort=True")</f>
        <v>14.821421751079729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48095</v>
      </c>
      <c r="T2389" s="43">
        <f ca="1">_xll.BInterpol('Base CDI'!$H$4:$H$28,'Base CDI'!$J$4:$J$29,S2389,"Cubic","Extrapolate=Linear","MultiX=Average","Skip=True","Sort=True")</f>
        <v>14.751696107871073</v>
      </c>
      <c r="U2389" s="43">
        <f ca="1">_xll.BInterpol('Base CDI'!$H$4:$H$28,'Base CDI'!$I$4:$I$29,S2389,"Cubic","Extrapolate=Linear","MultiX=Average","Skip=True","Sort=True")</f>
        <v>14.821415041784647</v>
      </c>
    </row>
    <row r="2390" spans="16:21" x14ac:dyDescent="0.25">
      <c r="P2390" s="10">
        <v>37986</v>
      </c>
      <c r="Q2390">
        <v>10.18004</v>
      </c>
      <c r="S2390" s="42">
        <f t="shared" ca="1" si="42"/>
        <v>48096</v>
      </c>
      <c r="T2390" s="43">
        <f ca="1">_xll.BInterpol('Base CDI'!$H$4:$H$28,'Base CDI'!$J$4:$J$29,S2390,"Cubic","Extrapolate=Linear","MultiX=Average","Skip=True","Sort=True")</f>
        <v>14.751668626347053</v>
      </c>
      <c r="U2390" s="43">
        <f ca="1">_xll.BInterpol('Base CDI'!$H$4:$H$28,'Base CDI'!$I$4:$I$29,S2390,"Cubic","Extrapolate=Linear","MultiX=Average","Skip=True","Sort=True")</f>
        <v>14.821408241502434</v>
      </c>
    </row>
    <row r="2391" spans="16:21" x14ac:dyDescent="0.25">
      <c r="P2391" s="10">
        <v>37988</v>
      </c>
      <c r="Q2391">
        <v>10.18613</v>
      </c>
      <c r="S2391" s="42">
        <f t="shared" ca="1" si="42"/>
        <v>48097</v>
      </c>
      <c r="T2391" s="43">
        <f ca="1">_xll.BInterpol('Base CDI'!$H$4:$H$28,'Base CDI'!$J$4:$J$29,S2391,"Cubic","Extrapolate=Linear","MultiX=Average","Skip=True","Sort=True")</f>
        <v>14.751641098254193</v>
      </c>
      <c r="U2391" s="43">
        <f ca="1">_xll.BInterpol('Base CDI'!$H$4:$H$28,'Base CDI'!$I$4:$I$29,S2391,"Cubic","Extrapolate=Linear","MultiX=Average","Skip=True","Sort=True")</f>
        <v>14.82140135037149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48098</v>
      </c>
      <c r="T2392" s="43">
        <f ca="1">_xll.BInterpol('Base CDI'!$H$4:$H$28,'Base CDI'!$J$4:$J$29,S2392,"Cubic","Extrapolate=Linear","MultiX=Average","Skip=True","Sort=True")</f>
        <v>14.751613523602865</v>
      </c>
      <c r="U2392" s="43">
        <f ca="1">_xll.BInterpol('Base CDI'!$H$4:$H$28,'Base CDI'!$I$4:$I$29,S2392,"Cubic","Extrapolate=Linear","MultiX=Average","Skip=True","Sort=True")</f>
        <v>14.821394368530211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48099</v>
      </c>
      <c r="T2393" s="43">
        <f ca="1">_xll.BInterpol('Base CDI'!$H$4:$H$28,'Base CDI'!$J$4:$J$29,S2393,"Cubic","Extrapolate=Linear","MultiX=Average","Skip=True","Sort=True")</f>
        <v>14.751585902403436</v>
      </c>
      <c r="U2393" s="43">
        <f ca="1">_xll.BInterpol('Base CDI'!$H$4:$H$28,'Base CDI'!$I$4:$I$29,S2393,"Cubic","Extrapolate=Linear","MultiX=Average","Skip=True","Sort=True")</f>
        <v>14.821387296116999</v>
      </c>
    </row>
    <row r="2394" spans="16:21" x14ac:dyDescent="0.25">
      <c r="P2394" s="10">
        <v>37993</v>
      </c>
      <c r="Q2394">
        <v>10.2044</v>
      </c>
      <c r="S2394" s="42">
        <f t="shared" ca="1" si="42"/>
        <v>48100</v>
      </c>
      <c r="T2394" s="43">
        <f ca="1">_xll.BInterpol('Base CDI'!$H$4:$H$28,'Base CDI'!$J$4:$J$29,S2394,"Cubic","Extrapolate=Linear","MultiX=Average","Skip=True","Sort=True")</f>
        <v>14.751558234666277</v>
      </c>
      <c r="U2394" s="43">
        <f ca="1">_xll.BInterpol('Base CDI'!$H$4:$H$28,'Base CDI'!$I$4:$I$29,S2394,"Cubic","Extrapolate=Linear","MultiX=Average","Skip=True","Sort=True")</f>
        <v>14.821380133270251</v>
      </c>
    </row>
    <row r="2395" spans="16:21" x14ac:dyDescent="0.25">
      <c r="P2395" s="10">
        <v>37994</v>
      </c>
      <c r="Q2395">
        <v>10.2105</v>
      </c>
      <c r="S2395" s="42">
        <f t="shared" ca="1" si="42"/>
        <v>48101</v>
      </c>
      <c r="T2395" s="43">
        <f ca="1">_xll.BInterpol('Base CDI'!$H$4:$H$28,'Base CDI'!$J$4:$J$29,S2395,"Cubic","Extrapolate=Linear","MultiX=Average","Skip=True","Sort=True")</f>
        <v>14.751530520401756</v>
      </c>
      <c r="U2395" s="43">
        <f ca="1">_xll.BInterpol('Base CDI'!$H$4:$H$28,'Base CDI'!$I$4:$I$29,S2395,"Cubic","Extrapolate=Linear","MultiX=Average","Skip=True","Sort=True")</f>
        <v>14.82137288012837</v>
      </c>
    </row>
    <row r="2396" spans="16:21" x14ac:dyDescent="0.25">
      <c r="P2396" s="10">
        <v>37995</v>
      </c>
      <c r="Q2396">
        <v>10.21659</v>
      </c>
      <c r="S2396" s="42">
        <f t="shared" ca="1" si="42"/>
        <v>48102</v>
      </c>
      <c r="T2396" s="43">
        <f ca="1">_xll.BInterpol('Base CDI'!$H$4:$H$28,'Base CDI'!$J$4:$J$29,S2396,"Cubic","Extrapolate=Linear","MultiX=Average","Skip=True","Sort=True")</f>
        <v>14.751502759620248</v>
      </c>
      <c r="U2396" s="43">
        <f ca="1">_xll.BInterpol('Base CDI'!$H$4:$H$28,'Base CDI'!$I$4:$I$29,S2396,"Cubic","Extrapolate=Linear","MultiX=Average","Skip=True","Sort=True")</f>
        <v>14.821365536829751</v>
      </c>
    </row>
    <row r="2397" spans="16:21" x14ac:dyDescent="0.25">
      <c r="P2397" s="10">
        <v>37998</v>
      </c>
      <c r="Q2397">
        <v>10.22268</v>
      </c>
      <c r="S2397" s="42">
        <f t="shared" ca="1" si="42"/>
        <v>48103</v>
      </c>
      <c r="T2397" s="43">
        <f ca="1">_xll.BInterpol('Base CDI'!$H$4:$H$28,'Base CDI'!$J$4:$J$29,S2397,"Cubic","Extrapolate=Linear","MultiX=Average","Skip=True","Sort=True")</f>
        <v>14.751474952332119</v>
      </c>
      <c r="U2397" s="43">
        <f ca="1">_xll.BInterpol('Base CDI'!$H$4:$H$28,'Base CDI'!$I$4:$I$29,S2397,"Cubic","Extrapolate=Linear","MultiX=Average","Skip=True","Sort=True")</f>
        <v>14.821358103512795</v>
      </c>
    </row>
    <row r="2398" spans="16:21" x14ac:dyDescent="0.25">
      <c r="P2398" s="10">
        <v>37999</v>
      </c>
      <c r="Q2398">
        <v>10.22878</v>
      </c>
      <c r="S2398" s="42">
        <f t="shared" ca="1" si="42"/>
        <v>48104</v>
      </c>
      <c r="T2398" s="43">
        <f ca="1">_xll.BInterpol('Base CDI'!$H$4:$H$28,'Base CDI'!$J$4:$J$29,S2398,"Cubic","Extrapolate=Linear","MultiX=Average","Skip=True","Sort=True")</f>
        <v>14.75144709854774</v>
      </c>
      <c r="U2398" s="43">
        <f ca="1">_xll.BInterpol('Base CDI'!$H$4:$H$28,'Base CDI'!$I$4:$I$29,S2398,"Cubic","Extrapolate=Linear","MultiX=Average","Skip=True","Sort=True")</f>
        <v>14.821350580315903</v>
      </c>
    </row>
    <row r="2399" spans="16:21" x14ac:dyDescent="0.25">
      <c r="P2399" s="10">
        <v>38000</v>
      </c>
      <c r="Q2399">
        <v>10.23489</v>
      </c>
      <c r="S2399" s="42">
        <f t="shared" ca="1" si="42"/>
        <v>48105</v>
      </c>
      <c r="T2399" s="43">
        <f ca="1">_xll.BInterpol('Base CDI'!$H$4:$H$28,'Base CDI'!$J$4:$J$29,S2399,"Cubic","Extrapolate=Linear","MultiX=Average","Skip=True","Sort=True")</f>
        <v>14.75141919827748</v>
      </c>
      <c r="U2399" s="43">
        <f ca="1">_xll.BInterpol('Base CDI'!$H$4:$H$28,'Base CDI'!$I$4:$I$29,S2399,"Cubic","Extrapolate=Linear","MultiX=Average","Skip=True","Sort=True")</f>
        <v>14.82134296737747</v>
      </c>
    </row>
    <row r="2400" spans="16:21" x14ac:dyDescent="0.25">
      <c r="P2400" s="10">
        <v>38001</v>
      </c>
      <c r="Q2400">
        <v>10.24099</v>
      </c>
      <c r="S2400" s="42">
        <f t="shared" ca="1" si="42"/>
        <v>48106</v>
      </c>
      <c r="T2400" s="43">
        <f ca="1">_xll.BInterpol('Base CDI'!$H$4:$H$28,'Base CDI'!$J$4:$J$29,S2400,"Cubic","Extrapolate=Linear","MultiX=Average","Skip=True","Sort=True")</f>
        <v>14.751391251531711</v>
      </c>
      <c r="U2400" s="43">
        <f ca="1">_xll.BInterpol('Base CDI'!$H$4:$H$28,'Base CDI'!$I$4:$I$29,S2400,"Cubic","Extrapolate=Linear","MultiX=Average","Skip=True","Sort=True")</f>
        <v>14.821335264835898</v>
      </c>
    </row>
    <row r="2401" spans="16:21" x14ac:dyDescent="0.25">
      <c r="P2401" s="10">
        <v>38002</v>
      </c>
      <c r="Q2401">
        <v>10.2471</v>
      </c>
      <c r="S2401" s="42">
        <f t="shared" ca="1" si="42"/>
        <v>48107</v>
      </c>
      <c r="T2401" s="43">
        <f ca="1">_xll.BInterpol('Base CDI'!$H$4:$H$28,'Base CDI'!$J$4:$J$29,S2401,"Cubic","Extrapolate=Linear","MultiX=Average","Skip=True","Sort=True")</f>
        <v>14.751363258320803</v>
      </c>
      <c r="U2401" s="43">
        <f ca="1">_xll.BInterpol('Base CDI'!$H$4:$H$28,'Base CDI'!$I$4:$I$29,S2401,"Cubic","Extrapolate=Linear","MultiX=Average","Skip=True","Sort=True")</f>
        <v>14.821327472829587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48108</v>
      </c>
      <c r="T2402" s="43">
        <f ca="1">_xll.BInterpol('Base CDI'!$H$4:$H$28,'Base CDI'!$J$4:$J$29,S2402,"Cubic","Extrapolate=Linear","MultiX=Average","Skip=True","Sort=True")</f>
        <v>14.751335218655123</v>
      </c>
      <c r="U2402" s="43">
        <f ca="1">_xll.BInterpol('Base CDI'!$H$4:$H$28,'Base CDI'!$I$4:$I$29,S2402,"Cubic","Extrapolate=Linear","MultiX=Average","Skip=True","Sort=True")</f>
        <v>14.821319591496936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48109</v>
      </c>
      <c r="T2403" s="43">
        <f ca="1">_xll.BInterpol('Base CDI'!$H$4:$H$28,'Base CDI'!$J$4:$J$29,S2403,"Cubic","Extrapolate=Linear","MultiX=Average","Skip=True","Sort=True")</f>
        <v>14.751307132545046</v>
      </c>
      <c r="U2403" s="43">
        <f ca="1">_xll.BInterpol('Base CDI'!$H$4:$H$28,'Base CDI'!$I$4:$I$29,S2403,"Cubic","Extrapolate=Linear","MultiX=Average","Skip=True","Sort=True")</f>
        <v>14.821311620976342</v>
      </c>
    </row>
    <row r="2404" spans="16:21" x14ac:dyDescent="0.25">
      <c r="P2404" s="10">
        <v>38007</v>
      </c>
      <c r="Q2404">
        <v>10.26543</v>
      </c>
      <c r="S2404" s="42">
        <f t="shared" ca="1" si="42"/>
        <v>48110</v>
      </c>
      <c r="T2404" s="43">
        <f ca="1">_xll.BInterpol('Base CDI'!$H$4:$H$28,'Base CDI'!$J$4:$J$29,S2404,"Cubic","Extrapolate=Linear","MultiX=Average","Skip=True","Sort=True")</f>
        <v>14.751279000000938</v>
      </c>
      <c r="U2404" s="43">
        <f ca="1">_xll.BInterpol('Base CDI'!$H$4:$H$28,'Base CDI'!$I$4:$I$29,S2404,"Cubic","Extrapolate=Linear","MultiX=Average","Skip=True","Sort=True")</f>
        <v>14.821303561406205</v>
      </c>
    </row>
    <row r="2405" spans="16:21" x14ac:dyDescent="0.25">
      <c r="P2405" s="10">
        <v>38008</v>
      </c>
      <c r="Q2405">
        <v>10.27155</v>
      </c>
      <c r="S2405" s="42">
        <f t="shared" ca="1" si="42"/>
        <v>48111</v>
      </c>
      <c r="T2405" s="43">
        <f ca="1">_xll.BInterpol('Base CDI'!$H$4:$H$28,'Base CDI'!$J$4:$J$29,S2405,"Cubic","Extrapolate=Linear","MultiX=Average","Skip=True","Sort=True")</f>
        <v>14.751250821033171</v>
      </c>
      <c r="U2405" s="43">
        <f ca="1">_xll.BInterpol('Base CDI'!$H$4:$H$28,'Base CDI'!$I$4:$I$29,S2405,"Cubic","Extrapolate=Linear","MultiX=Average","Skip=True","Sort=True")</f>
        <v>14.821295412924925</v>
      </c>
    </row>
    <row r="2406" spans="16:21" x14ac:dyDescent="0.25">
      <c r="P2406" s="10">
        <v>38009</v>
      </c>
      <c r="Q2406">
        <v>10.27768</v>
      </c>
      <c r="S2406" s="42">
        <f t="shared" ca="1" si="42"/>
        <v>48112</v>
      </c>
      <c r="T2406" s="43">
        <f ca="1">_xll.BInterpol('Base CDI'!$H$4:$H$28,'Base CDI'!$J$4:$J$29,S2406,"Cubic","Extrapolate=Linear","MultiX=Average","Skip=True","Sort=True")</f>
        <v>14.751222595652113</v>
      </c>
      <c r="U2406" s="43">
        <f ca="1">_xll.BInterpol('Base CDI'!$H$4:$H$28,'Base CDI'!$I$4:$I$29,S2406,"Cubic","Extrapolate=Linear","MultiX=Average","Skip=True","Sort=True")</f>
        <v>14.821287175670902</v>
      </c>
    </row>
    <row r="2407" spans="16:21" x14ac:dyDescent="0.25">
      <c r="P2407" s="10">
        <v>38012</v>
      </c>
      <c r="Q2407">
        <v>10.28382</v>
      </c>
      <c r="S2407" s="42">
        <f t="shared" ca="1" si="42"/>
        <v>48113</v>
      </c>
      <c r="T2407" s="43">
        <f ca="1">_xll.BInterpol('Base CDI'!$H$4:$H$28,'Base CDI'!$J$4:$J$29,S2407,"Cubic","Extrapolate=Linear","MultiX=Average","Skip=True","Sort=True")</f>
        <v>14.751194323868136</v>
      </c>
      <c r="U2407" s="43">
        <f ca="1">_xll.BInterpol('Base CDI'!$H$4:$H$28,'Base CDI'!$I$4:$I$29,S2407,"Cubic","Extrapolate=Linear","MultiX=Average","Skip=True","Sort=True")</f>
        <v>14.821278849782534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48114</v>
      </c>
      <c r="T2408" s="43">
        <f ca="1">_xll.BInterpol('Base CDI'!$H$4:$H$28,'Base CDI'!$J$4:$J$29,S2408,"Cubic","Extrapolate=Linear","MultiX=Average","Skip=True","Sort=True")</f>
        <v>14.75116600569161</v>
      </c>
      <c r="U2408" s="43">
        <f ca="1">_xll.BInterpol('Base CDI'!$H$4:$H$28,'Base CDI'!$I$4:$I$29,S2408,"Cubic","Extrapolate=Linear","MultiX=Average","Skip=True","Sort=True")</f>
        <v>14.821270435398219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48115</v>
      </c>
      <c r="T2409" s="43">
        <f ca="1">_xll.BInterpol('Base CDI'!$H$4:$H$28,'Base CDI'!$J$4:$J$29,S2409,"Cubic","Extrapolate=Linear","MultiX=Average","Skip=True","Sort=True")</f>
        <v>14.751137641132905</v>
      </c>
      <c r="U2409" s="43">
        <f ca="1">_xll.BInterpol('Base CDI'!$H$4:$H$28,'Base CDI'!$I$4:$I$29,S2409,"Cubic","Extrapolate=Linear","MultiX=Average","Skip=True","Sort=True")</f>
        <v>14.821261932656357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48116</v>
      </c>
      <c r="T2410" s="43">
        <f ca="1">_xll.BInterpol('Base CDI'!$H$4:$H$28,'Base CDI'!$J$4:$J$29,S2410,"Cubic","Extrapolate=Linear","MultiX=Average","Skip=True","Sort=True")</f>
        <v>14.751109230202388</v>
      </c>
      <c r="U2410" s="43">
        <f ca="1">_xll.BInterpol('Base CDI'!$H$4:$H$28,'Base CDI'!$I$4:$I$29,S2410,"Cubic","Extrapolate=Linear","MultiX=Average","Skip=True","Sort=True")</f>
        <v>14.82125334169535</v>
      </c>
    </row>
    <row r="2411" spans="16:21" x14ac:dyDescent="0.25">
      <c r="P2411" s="10">
        <v>38016</v>
      </c>
      <c r="Q2411">
        <v>10.30838</v>
      </c>
      <c r="S2411" s="42">
        <f t="shared" ca="1" si="42"/>
        <v>48117</v>
      </c>
      <c r="T2411" s="43">
        <f ca="1">_xll.BInterpol('Base CDI'!$H$4:$H$28,'Base CDI'!$J$4:$J$29,S2411,"Cubic","Extrapolate=Linear","MultiX=Average","Skip=True","Sort=True")</f>
        <v>14.751080772910434</v>
      </c>
      <c r="U2411" s="43">
        <f ca="1">_xll.BInterpol('Base CDI'!$H$4:$H$28,'Base CDI'!$I$4:$I$29,S2411,"Cubic","Extrapolate=Linear","MultiX=Average","Skip=True","Sort=True")</f>
        <v>14.821244662653594</v>
      </c>
    </row>
    <row r="2412" spans="16:21" x14ac:dyDescent="0.25">
      <c r="P2412" s="10">
        <v>38019</v>
      </c>
      <c r="Q2412">
        <v>10.31453</v>
      </c>
      <c r="S2412" s="42">
        <f t="shared" ca="1" si="42"/>
        <v>48118</v>
      </c>
      <c r="T2412" s="43">
        <f ca="1">_xll.BInterpol('Base CDI'!$H$4:$H$28,'Base CDI'!$J$4:$J$29,S2412,"Cubic","Extrapolate=Linear","MultiX=Average","Skip=True","Sort=True")</f>
        <v>14.75105226926741</v>
      </c>
      <c r="U2412" s="43">
        <f ca="1">_xll.BInterpol('Base CDI'!$H$4:$H$28,'Base CDI'!$I$4:$I$29,S2412,"Cubic","Extrapolate=Linear","MultiX=Average","Skip=True","Sort=True")</f>
        <v>14.82123589566949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48119</v>
      </c>
      <c r="T2413" s="43">
        <f ca="1">_xll.BInterpol('Base CDI'!$H$4:$H$28,'Base CDI'!$J$4:$J$29,S2413,"Cubic","Extrapolate=Linear","MultiX=Average","Skip=True","Sort=True")</f>
        <v>14.751023719283687</v>
      </c>
      <c r="U2413" s="43">
        <f ca="1">_xll.BInterpol('Base CDI'!$H$4:$H$28,'Base CDI'!$I$4:$I$29,S2413,"Cubic","Extrapolate=Linear","MultiX=Average","Skip=True","Sort=True")</f>
        <v>14.821227040881435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48120</v>
      </c>
      <c r="T2414" s="43">
        <f ca="1">_xll.BInterpol('Base CDI'!$H$4:$H$28,'Base CDI'!$J$4:$J$29,S2414,"Cubic","Extrapolate=Linear","MultiX=Average","Skip=True","Sort=True")</f>
        <v>14.750995122969634</v>
      </c>
      <c r="U2414" s="43">
        <f ca="1">_xll.BInterpol('Base CDI'!$H$4:$H$28,'Base CDI'!$I$4:$I$29,S2414,"Cubic","Extrapolate=Linear","MultiX=Average","Skip=True","Sort=True")</f>
        <v>14.821218098427831</v>
      </c>
    </row>
    <row r="2415" spans="16:21" x14ac:dyDescent="0.25">
      <c r="P2415" s="10">
        <v>38022</v>
      </c>
      <c r="Q2415">
        <v>10.33301</v>
      </c>
      <c r="S2415" s="42">
        <f t="shared" ca="1" si="42"/>
        <v>48121</v>
      </c>
      <c r="T2415" s="43">
        <f ca="1">_xll.BInterpol('Base CDI'!$H$4:$H$28,'Base CDI'!$J$4:$J$29,S2415,"Cubic","Extrapolate=Linear","MultiX=Average","Skip=True","Sort=True")</f>
        <v>14.750966480335622</v>
      </c>
      <c r="U2415" s="43">
        <f ca="1">_xll.BInterpol('Base CDI'!$H$4:$H$28,'Base CDI'!$I$4:$I$29,S2415,"Cubic","Extrapolate=Linear","MultiX=Average","Skip=True","Sort=True")</f>
        <v>14.821209068447077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48122</v>
      </c>
      <c r="T2416" s="43">
        <f ca="1">_xll.BInterpol('Base CDI'!$H$4:$H$28,'Base CDI'!$J$4:$J$29,S2416,"Cubic","Extrapolate=Linear","MultiX=Average","Skip=True","Sort=True")</f>
        <v>14.750937791392021</v>
      </c>
      <c r="U2416" s="43">
        <f ca="1">_xll.BInterpol('Base CDI'!$H$4:$H$28,'Base CDI'!$I$4:$I$29,S2416,"Cubic","Extrapolate=Linear","MultiX=Average","Skip=True","Sort=True")</f>
        <v>14.821199951077569</v>
      </c>
    </row>
    <row r="2417" spans="16:21" x14ac:dyDescent="0.25">
      <c r="P2417" s="10">
        <v>38026</v>
      </c>
      <c r="Q2417">
        <v>10.34534</v>
      </c>
      <c r="S2417" s="42">
        <f t="shared" ca="1" si="42"/>
        <v>48123</v>
      </c>
      <c r="T2417" s="43">
        <f ca="1">_xll.BInterpol('Base CDI'!$H$4:$H$28,'Base CDI'!$J$4:$J$29,S2417,"Cubic","Extrapolate=Linear","MultiX=Average","Skip=True","Sort=True")</f>
        <v>14.750909056149201</v>
      </c>
      <c r="U2417" s="43">
        <f ca="1">_xll.BInterpol('Base CDI'!$H$4:$H$28,'Base CDI'!$I$4:$I$29,S2417,"Cubic","Extrapolate=Linear","MultiX=Average","Skip=True","Sort=True")</f>
        <v>14.82119074645771</v>
      </c>
    </row>
    <row r="2418" spans="16:21" x14ac:dyDescent="0.25">
      <c r="P2418" s="10">
        <v>38027</v>
      </c>
      <c r="Q2418">
        <v>10.3515</v>
      </c>
      <c r="S2418" s="42">
        <f t="shared" ca="1" si="42"/>
        <v>48124</v>
      </c>
      <c r="T2418" s="43">
        <f ca="1">_xll.BInterpol('Base CDI'!$H$4:$H$28,'Base CDI'!$J$4:$J$29,S2418,"Cubic","Extrapolate=Linear","MultiX=Average","Skip=True","Sort=True")</f>
        <v>14.750880274617531</v>
      </c>
      <c r="U2418" s="43">
        <f ca="1">_xll.BInterpol('Base CDI'!$H$4:$H$28,'Base CDI'!$I$4:$I$29,S2418,"Cubic","Extrapolate=Linear","MultiX=Average","Skip=True","Sort=True")</f>
        <v>14.821181454725897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48125</v>
      </c>
      <c r="T2419" s="43">
        <f ca="1">_xll.BInterpol('Base CDI'!$H$4:$H$28,'Base CDI'!$J$4:$J$29,S2419,"Cubic","Extrapolate=Linear","MultiX=Average","Skip=True","Sort=True")</f>
        <v>14.750851446807383</v>
      </c>
      <c r="U2419" s="43">
        <f ca="1">_xll.BInterpol('Base CDI'!$H$4:$H$28,'Base CDI'!$I$4:$I$29,S2419,"Cubic","Extrapolate=Linear","MultiX=Average","Skip=True","Sort=True")</f>
        <v>14.821172076020529</v>
      </c>
    </row>
    <row r="2420" spans="16:21" x14ac:dyDescent="0.25">
      <c r="P2420" s="10">
        <v>38029</v>
      </c>
      <c r="Q2420">
        <v>10.36383</v>
      </c>
      <c r="S2420" s="42">
        <f t="shared" ca="1" si="42"/>
        <v>48126</v>
      </c>
      <c r="T2420" s="43">
        <f ca="1">_xll.BInterpol('Base CDI'!$H$4:$H$28,'Base CDI'!$J$4:$J$29,S2420,"Cubic","Extrapolate=Linear","MultiX=Average","Skip=True","Sort=True")</f>
        <v>14.750822572729126</v>
      </c>
      <c r="U2420" s="43">
        <f ca="1">_xll.BInterpol('Base CDI'!$H$4:$H$28,'Base CDI'!$I$4:$I$29,S2420,"Cubic","Extrapolate=Linear","MultiX=Average","Skip=True","Sort=True")</f>
        <v>14.821162610480007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48127</v>
      </c>
      <c r="T2421" s="43">
        <f ca="1">_xll.BInterpol('Base CDI'!$H$4:$H$28,'Base CDI'!$J$4:$J$29,S2421,"Cubic","Extrapolate=Linear","MultiX=Average","Skip=True","Sort=True")</f>
        <v>14.750793652393128</v>
      </c>
      <c r="U2421" s="43">
        <f ca="1">_xll.BInterpol('Base CDI'!$H$4:$H$28,'Base CDI'!$I$4:$I$29,S2421,"Cubic","Extrapolate=Linear","MultiX=Average","Skip=True","Sort=True")</f>
        <v>14.821153058242729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48128</v>
      </c>
      <c r="T2422" s="43">
        <f ca="1">_xll.BInterpol('Base CDI'!$H$4:$H$28,'Base CDI'!$J$4:$J$29,S2422,"Cubic","Extrapolate=Linear","MultiX=Average","Skip=True","Sort=True")</f>
        <v>14.750764685809763</v>
      </c>
      <c r="U2422" s="43">
        <f ca="1">_xll.BInterpol('Base CDI'!$H$4:$H$28,'Base CDI'!$I$4:$I$29,S2422,"Cubic","Extrapolate=Linear","MultiX=Average","Skip=True","Sort=True")</f>
        <v>14.821143419447093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48129</v>
      </c>
      <c r="T2423" s="43">
        <f ca="1">_xll.BInterpol('Base CDI'!$H$4:$H$28,'Base CDI'!$J$4:$J$29,S2423,"Cubic","Extrapolate=Linear","MultiX=Average","Skip=True","Sort=True")</f>
        <v>14.750735672989398</v>
      </c>
      <c r="U2423" s="43">
        <f ca="1">_xll.BInterpol('Base CDI'!$H$4:$H$28,'Base CDI'!$I$4:$I$29,S2423,"Cubic","Extrapolate=Linear","MultiX=Average","Skip=True","Sort=True")</f>
        <v>14.821133694231502</v>
      </c>
    </row>
    <row r="2424" spans="16:21" x14ac:dyDescent="0.25">
      <c r="P2424" s="10">
        <v>38035</v>
      </c>
      <c r="Q2424">
        <v>10.3886</v>
      </c>
      <c r="S2424" s="42">
        <f t="shared" ca="1" si="42"/>
        <v>48130</v>
      </c>
      <c r="T2424" s="43">
        <f ca="1">_xll.BInterpol('Base CDI'!$H$4:$H$28,'Base CDI'!$J$4:$J$29,S2424,"Cubic","Extrapolate=Linear","MultiX=Average","Skip=True","Sort=True")</f>
        <v>14.750706613942404</v>
      </c>
      <c r="U2424" s="43">
        <f ca="1">_xll.BInterpol('Base CDI'!$H$4:$H$28,'Base CDI'!$I$4:$I$29,S2424,"Cubic","Extrapolate=Linear","MultiX=Average","Skip=True","Sort=True")</f>
        <v>14.821123882734351</v>
      </c>
    </row>
    <row r="2425" spans="16:21" x14ac:dyDescent="0.25">
      <c r="P2425" s="10">
        <v>38036</v>
      </c>
      <c r="Q2425">
        <v>10.39481</v>
      </c>
      <c r="S2425" s="42">
        <f t="shared" ca="1" si="42"/>
        <v>48131</v>
      </c>
      <c r="T2425" s="43">
        <f ca="1">_xll.BInterpol('Base CDI'!$H$4:$H$28,'Base CDI'!$J$4:$J$29,S2425,"Cubic","Extrapolate=Linear","MultiX=Average","Skip=True","Sort=True")</f>
        <v>14.750677508679152</v>
      </c>
      <c r="U2425" s="43">
        <f ca="1">_xll.BInterpol('Base CDI'!$H$4:$H$28,'Base CDI'!$I$4:$I$29,S2425,"Cubic","Extrapolate=Linear","MultiX=Average","Skip=True","Sort=True")</f>
        <v>14.821113985094042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48132</v>
      </c>
      <c r="T2426" s="43">
        <f ca="1">_xll.BInterpol('Base CDI'!$H$4:$H$28,'Base CDI'!$J$4:$J$29,S2426,"Cubic","Extrapolate=Linear","MultiX=Average","Skip=True","Sort=True")</f>
        <v>14.750648357210011</v>
      </c>
      <c r="U2426" s="43">
        <f ca="1">_xll.BInterpol('Base CDI'!$H$4:$H$28,'Base CDI'!$I$4:$I$29,S2426,"Cubic","Extrapolate=Linear","MultiX=Average","Skip=True","Sort=True")</f>
        <v>14.821104001448974</v>
      </c>
    </row>
    <row r="2427" spans="16:21" x14ac:dyDescent="0.25">
      <c r="P2427" s="10">
        <v>38042</v>
      </c>
      <c r="Q2427">
        <v>10.40723</v>
      </c>
      <c r="S2427" s="42">
        <f t="shared" ca="1" si="42"/>
        <v>48133</v>
      </c>
      <c r="T2427" s="43">
        <f ca="1">_xll.BInterpol('Base CDI'!$H$4:$H$28,'Base CDI'!$J$4:$J$29,S2427,"Cubic","Extrapolate=Linear","MultiX=Average","Skip=True","Sort=True")</f>
        <v>14.75061915954535</v>
      </c>
      <c r="U2427" s="43">
        <f ca="1">_xll.BInterpol('Base CDI'!$H$4:$H$28,'Base CDI'!$I$4:$I$29,S2427,"Cubic","Extrapolate=Linear","MultiX=Average","Skip=True","Sort=True")</f>
        <v>14.821093931937545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48134</v>
      </c>
      <c r="T2428" s="43">
        <f ca="1">_xll.BInterpol('Base CDI'!$H$4:$H$28,'Base CDI'!$J$4:$J$29,S2428,"Cubic","Extrapolate=Linear","MultiX=Average","Skip=True","Sort=True")</f>
        <v>14.750589915695542</v>
      </c>
      <c r="U2428" s="43">
        <f ca="1">_xll.BInterpol('Base CDI'!$H$4:$H$28,'Base CDI'!$I$4:$I$29,S2428,"Cubic","Extrapolate=Linear","MultiX=Average","Skip=True","Sort=True")</f>
        <v>14.821083776698154</v>
      </c>
    </row>
    <row r="2429" spans="16:21" x14ac:dyDescent="0.25">
      <c r="P2429" s="10">
        <v>38044</v>
      </c>
      <c r="Q2429">
        <v>10.41967</v>
      </c>
      <c r="S2429" s="42">
        <f t="shared" ca="1" si="42"/>
        <v>48135</v>
      </c>
      <c r="T2429" s="43">
        <f ca="1">_xll.BInterpol('Base CDI'!$H$4:$H$28,'Base CDI'!$J$4:$J$29,S2429,"Cubic","Extrapolate=Linear","MultiX=Average","Skip=True","Sort=True")</f>
        <v>14.750560625670953</v>
      </c>
      <c r="U2429" s="43">
        <f ca="1">_xll.BInterpol('Base CDI'!$H$4:$H$28,'Base CDI'!$I$4:$I$29,S2429,"Cubic","Extrapolate=Linear","MultiX=Average","Skip=True","Sort=True")</f>
        <v>14.821073535869203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48136</v>
      </c>
      <c r="T2430" s="43">
        <f ca="1">_xll.BInterpol('Base CDI'!$H$4:$H$28,'Base CDI'!$J$4:$J$29,S2430,"Cubic","Extrapolate=Linear","MultiX=Average","Skip=True","Sort=True")</f>
        <v>14.750531289481957</v>
      </c>
      <c r="U2430" s="43">
        <f ca="1">_xll.BInterpol('Base CDI'!$H$4:$H$28,'Base CDI'!$I$4:$I$29,S2430,"Cubic","Extrapolate=Linear","MultiX=Average","Skip=True","Sort=True")</f>
        <v>14.821063209589088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48137</v>
      </c>
      <c r="T2431" s="43">
        <f ca="1">_xll.BInterpol('Base CDI'!$H$4:$H$28,'Base CDI'!$J$4:$J$29,S2431,"Cubic","Extrapolate=Linear","MultiX=Average","Skip=True","Sort=True")</f>
        <v>14.750501907138922</v>
      </c>
      <c r="U2431" s="43">
        <f ca="1">_xll.BInterpol('Base CDI'!$H$4:$H$28,'Base CDI'!$I$4:$I$29,S2431,"Cubic","Extrapolate=Linear","MultiX=Average","Skip=True","Sort=True")</f>
        <v>14.821052797996209</v>
      </c>
    </row>
    <row r="2432" spans="16:21" x14ac:dyDescent="0.25">
      <c r="P2432" s="10">
        <v>38049</v>
      </c>
      <c r="Q2432">
        <v>10.43834</v>
      </c>
      <c r="S2432" s="42">
        <f t="shared" ca="1" si="42"/>
        <v>48138</v>
      </c>
      <c r="T2432" s="43">
        <f ca="1">_xll.BInterpol('Base CDI'!$H$4:$H$28,'Base CDI'!$J$4:$J$29,S2432,"Cubic","Extrapolate=Linear","MultiX=Average","Skip=True","Sort=True")</f>
        <v>14.750472478652219</v>
      </c>
      <c r="U2432" s="43">
        <f ca="1">_xll.BInterpol('Base CDI'!$H$4:$H$28,'Base CDI'!$I$4:$I$29,S2432,"Cubic","Extrapolate=Linear","MultiX=Average","Skip=True","Sort=True")</f>
        <v>14.821042301228966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48139</v>
      </c>
      <c r="T2433" s="43">
        <f ca="1">_xll.BInterpol('Base CDI'!$H$4:$H$28,'Base CDI'!$J$4:$J$29,S2433,"Cubic","Extrapolate=Linear","MultiX=Average","Skip=True","Sort=True")</f>
        <v>14.750443004032217</v>
      </c>
      <c r="U2433" s="43">
        <f ca="1">_xll.BInterpol('Base CDI'!$H$4:$H$28,'Base CDI'!$I$4:$I$29,S2433,"Cubic","Extrapolate=Linear","MultiX=Average","Skip=True","Sort=True")</f>
        <v>14.821031719425758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48140</v>
      </c>
      <c r="T2434" s="43">
        <f ca="1">_xll.BInterpol('Base CDI'!$H$4:$H$28,'Base CDI'!$J$4:$J$29,S2434,"Cubic","Extrapolate=Linear","MultiX=Average","Skip=True","Sort=True")</f>
        <v>14.750413483289286</v>
      </c>
      <c r="U2434" s="43">
        <f ca="1">_xll.BInterpol('Base CDI'!$H$4:$H$28,'Base CDI'!$I$4:$I$29,S2434,"Cubic","Extrapolate=Linear","MultiX=Average","Skip=True","Sort=True")</f>
        <v>14.821021052724983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48141</v>
      </c>
      <c r="T2435" s="43">
        <f ca="1">_xll.BInterpol('Base CDI'!$H$4:$H$28,'Base CDI'!$J$4:$J$29,S2435,"Cubic","Extrapolate=Linear","MultiX=Average","Skip=True","Sort=True")</f>
        <v>14.750383916433798</v>
      </c>
      <c r="U2435" s="43">
        <f ca="1">_xll.BInterpol('Base CDI'!$H$4:$H$28,'Base CDI'!$I$4:$I$29,S2435,"Cubic","Extrapolate=Linear","MultiX=Average","Skip=True","Sort=True")</f>
        <v>14.821010301265042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48142</v>
      </c>
      <c r="T2436" s="43">
        <f ca="1">_xll.BInterpol('Base CDI'!$H$4:$H$28,'Base CDI'!$J$4:$J$29,S2436,"Cubic","Extrapolate=Linear","MultiX=Average","Skip=True","Sort=True")</f>
        <v>14.750354303476119</v>
      </c>
      <c r="U2436" s="43">
        <f ca="1">_xll.BInterpol('Base CDI'!$H$4:$H$28,'Base CDI'!$I$4:$I$29,S2436,"Cubic","Extrapolate=Linear","MultiX=Average","Skip=True","Sort=True")</f>
        <v>14.820999465184334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48143</v>
      </c>
      <c r="T2437" s="43">
        <f ca="1">_xll.BInterpol('Base CDI'!$H$4:$H$28,'Base CDI'!$J$4:$J$29,S2437,"Cubic","Extrapolate=Linear","MultiX=Average","Skip=True","Sort=True")</f>
        <v>14.750324644426623</v>
      </c>
      <c r="U2437" s="43">
        <f ca="1">_xll.BInterpol('Base CDI'!$H$4:$H$28,'Base CDI'!$I$4:$I$29,S2437,"Cubic","Extrapolate=Linear","MultiX=Average","Skip=True","Sort=True")</f>
        <v>14.820988544621258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48144</v>
      </c>
      <c r="T2438" s="43">
        <f ca="1">_xll.BInterpol('Base CDI'!$H$4:$H$28,'Base CDI'!$J$4:$J$29,S2438,"Cubic","Extrapolate=Linear","MultiX=Average","Skip=True","Sort=True")</f>
        <v>14.750294939295678</v>
      </c>
      <c r="U2438" s="43">
        <f ca="1">_xll.BInterpol('Base CDI'!$H$4:$H$28,'Base CDI'!$I$4:$I$29,S2438,"Cubic","Extrapolate=Linear","MultiX=Average","Skip=True","Sort=True")</f>
        <v>14.820977539714212</v>
      </c>
    </row>
    <row r="2439" spans="16:21" x14ac:dyDescent="0.25">
      <c r="P2439" s="10">
        <v>38058</v>
      </c>
      <c r="Q2439">
        <v>10.48202</v>
      </c>
      <c r="S2439" s="42">
        <f t="shared" ca="1" si="42"/>
        <v>48145</v>
      </c>
      <c r="T2439" s="43">
        <f ca="1">_xll.BInterpol('Base CDI'!$H$4:$H$28,'Base CDI'!$J$4:$J$29,S2439,"Cubic","Extrapolate=Linear","MultiX=Average","Skip=True","Sort=True")</f>
        <v>14.750265188093655</v>
      </c>
      <c r="U2439" s="43">
        <f ca="1">_xll.BInterpol('Base CDI'!$H$4:$H$28,'Base CDI'!$I$4:$I$29,S2439,"Cubic","Extrapolate=Linear","MultiX=Average","Skip=True","Sort=True")</f>
        <v>14.820966450601597</v>
      </c>
    </row>
    <row r="2440" spans="16:21" x14ac:dyDescent="0.25">
      <c r="P2440" s="10">
        <v>38061</v>
      </c>
      <c r="Q2440">
        <v>10.48827</v>
      </c>
      <c r="S2440" s="42">
        <f t="shared" ca="1" si="42"/>
        <v>48146</v>
      </c>
      <c r="T2440" s="43">
        <f ca="1">_xll.BInterpol('Base CDI'!$H$4:$H$28,'Base CDI'!$J$4:$J$29,S2440,"Cubic","Extrapolate=Linear","MultiX=Average","Skip=True","Sort=True")</f>
        <v>14.750235390830925</v>
      </c>
      <c r="U2440" s="43">
        <f ca="1">_xll.BInterpol('Base CDI'!$H$4:$H$28,'Base CDI'!$I$4:$I$29,S2440,"Cubic","Extrapolate=Linear","MultiX=Average","Skip=True","Sort=True")</f>
        <v>14.820955277421811</v>
      </c>
    </row>
    <row r="2441" spans="16:21" x14ac:dyDescent="0.25">
      <c r="P2441" s="10">
        <v>38062</v>
      </c>
      <c r="Q2441">
        <v>10.49452</v>
      </c>
      <c r="S2441" s="42">
        <f t="shared" ca="1" si="42"/>
        <v>48147</v>
      </c>
      <c r="T2441" s="43">
        <f ca="1">_xll.BInterpol('Base CDI'!$H$4:$H$28,'Base CDI'!$J$4:$J$29,S2441,"Cubic","Extrapolate=Linear","MultiX=Average","Skip=True","Sort=True")</f>
        <v>14.750205547517854</v>
      </c>
      <c r="U2441" s="43">
        <f ca="1">_xll.BInterpol('Base CDI'!$H$4:$H$28,'Base CDI'!$I$4:$I$29,S2441,"Cubic","Extrapolate=Linear","MultiX=Average","Skip=True","Sort=True")</f>
        <v>14.820944020313254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48148</v>
      </c>
      <c r="T2442" s="43">
        <f ca="1">_xll.BInterpol('Base CDI'!$H$4:$H$28,'Base CDI'!$J$4:$J$29,S2442,"Cubic","Extrapolate=Linear","MultiX=Average","Skip=True","Sort=True")</f>
        <v>14.750175658164817</v>
      </c>
      <c r="U2442" s="43">
        <f ca="1">_xll.BInterpol('Base CDI'!$H$4:$H$28,'Base CDI'!$I$4:$I$29,S2442,"Cubic","Extrapolate=Linear","MultiX=Average","Skip=True","Sort=True")</f>
        <v>14.820932679414325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48149</v>
      </c>
      <c r="T2443" s="43">
        <f ca="1">_xll.BInterpol('Base CDI'!$H$4:$H$28,'Base CDI'!$J$4:$J$29,S2443,"Cubic","Extrapolate=Linear","MultiX=Average","Skip=True","Sort=True")</f>
        <v>14.750145722782181</v>
      </c>
      <c r="U2443" s="43">
        <f ca="1">_xll.BInterpol('Base CDI'!$H$4:$H$28,'Base CDI'!$I$4:$I$29,S2443,"Cubic","Extrapolate=Linear","MultiX=Average","Skip=True","Sort=True")</f>
        <v>14.820921254863423</v>
      </c>
    </row>
    <row r="2444" spans="16:21" x14ac:dyDescent="0.25">
      <c r="P2444" s="10">
        <v>38065</v>
      </c>
      <c r="Q2444">
        <v>10.51322</v>
      </c>
      <c r="S2444" s="42">
        <f t="shared" ca="1" si="43"/>
        <v>48150</v>
      </c>
      <c r="T2444" s="43">
        <f ca="1">_xll.BInterpol('Base CDI'!$H$4:$H$28,'Base CDI'!$J$4:$J$29,S2444,"Cubic","Extrapolate=Linear","MultiX=Average","Skip=True","Sort=True")</f>
        <v>14.750115741380316</v>
      </c>
      <c r="U2444" s="43">
        <f ca="1">_xll.BInterpol('Base CDI'!$H$4:$H$28,'Base CDI'!$I$4:$I$29,S2444,"Cubic","Extrapolate=Linear","MultiX=Average","Skip=True","Sort=True")</f>
        <v>14.820909746798947</v>
      </c>
    </row>
    <row r="2445" spans="16:21" x14ac:dyDescent="0.25">
      <c r="P2445" s="10">
        <v>38068</v>
      </c>
      <c r="Q2445">
        <v>10.51942</v>
      </c>
      <c r="S2445" s="42">
        <f t="shared" ca="1" si="43"/>
        <v>48151</v>
      </c>
      <c r="T2445" s="43">
        <f ca="1">_xll.BInterpol('Base CDI'!$H$4:$H$28,'Base CDI'!$J$4:$J$29,S2445,"Cubic","Extrapolate=Linear","MultiX=Average","Skip=True","Sort=True")</f>
        <v>14.750085713969595</v>
      </c>
      <c r="U2445" s="43">
        <f ca="1">_xll.BInterpol('Base CDI'!$H$4:$H$28,'Base CDI'!$I$4:$I$29,S2445,"Cubic","Extrapolate=Linear","MultiX=Average","Skip=True","Sort=True")</f>
        <v>14.820898155359295</v>
      </c>
    </row>
    <row r="2446" spans="16:21" x14ac:dyDescent="0.25">
      <c r="P2446" s="10">
        <v>38069</v>
      </c>
      <c r="Q2446">
        <v>10.52563</v>
      </c>
      <c r="S2446" s="42">
        <f t="shared" ca="1" si="43"/>
        <v>48152</v>
      </c>
      <c r="T2446" s="43">
        <f ca="1">_xll.BInterpol('Base CDI'!$H$4:$H$28,'Base CDI'!$J$4:$J$29,S2446,"Cubic","Extrapolate=Linear","MultiX=Average","Skip=True","Sort=True")</f>
        <v>14.750055640560385</v>
      </c>
      <c r="U2446" s="43">
        <f ca="1">_xll.BInterpol('Base CDI'!$H$4:$H$28,'Base CDI'!$I$4:$I$29,S2446,"Cubic","Extrapolate=Linear","MultiX=Average","Skip=True","Sort=True")</f>
        <v>14.820886480682869</v>
      </c>
    </row>
    <row r="2447" spans="16:21" x14ac:dyDescent="0.25">
      <c r="P2447" s="10">
        <v>38070</v>
      </c>
      <c r="Q2447">
        <v>10.53186</v>
      </c>
      <c r="S2447" s="42">
        <f t="shared" ca="1" si="43"/>
        <v>48153</v>
      </c>
      <c r="T2447" s="43">
        <f ca="1">_xll.BInterpol('Base CDI'!$H$4:$H$28,'Base CDI'!$J$4:$J$29,S2447,"Cubic","Extrapolate=Linear","MultiX=Average","Skip=True","Sort=True")</f>
        <v>14.750025521163057</v>
      </c>
      <c r="U2447" s="43">
        <f ca="1">_xll.BInterpol('Base CDI'!$H$4:$H$28,'Base CDI'!$I$4:$I$29,S2447,"Cubic","Extrapolate=Linear","MultiX=Average","Skip=True","Sort=True")</f>
        <v>14.820874722908068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48154</v>
      </c>
      <c r="T2448" s="43">
        <f ca="1">_xll.BInterpol('Base CDI'!$H$4:$H$28,'Base CDI'!$J$4:$J$29,S2448,"Cubic","Extrapolate=Linear","MultiX=Average","Skip=True","Sort=True")</f>
        <v>14.749995355787979</v>
      </c>
      <c r="U2448" s="43">
        <f ca="1">_xll.BInterpol('Base CDI'!$H$4:$H$28,'Base CDI'!$I$4:$I$29,S2448,"Cubic","Extrapolate=Linear","MultiX=Average","Skip=True","Sort=True")</f>
        <v>14.820862882173289</v>
      </c>
    </row>
    <row r="2449" spans="16:21" x14ac:dyDescent="0.25">
      <c r="P2449" s="10">
        <v>38072</v>
      </c>
      <c r="Q2449">
        <v>10.5443</v>
      </c>
      <c r="S2449" s="42">
        <f t="shared" ca="1" si="43"/>
        <v>48155</v>
      </c>
      <c r="T2449" s="43">
        <f ca="1">_xll.BInterpol('Base CDI'!$H$4:$H$28,'Base CDI'!$J$4:$J$29,S2449,"Cubic","Extrapolate=Linear","MultiX=Average","Skip=True","Sort=True")</f>
        <v>14.749965144445525</v>
      </c>
      <c r="U2449" s="43">
        <f ca="1">_xll.BInterpol('Base CDI'!$H$4:$H$28,'Base CDI'!$I$4:$I$29,S2449,"Cubic","Extrapolate=Linear","MultiX=Average","Skip=True","Sort=True")</f>
        <v>14.820850958616932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48156</v>
      </c>
      <c r="T2450" s="43">
        <f ca="1">_xll.BInterpol('Base CDI'!$H$4:$H$28,'Base CDI'!$J$4:$J$29,S2450,"Cubic","Extrapolate=Linear","MultiX=Average","Skip=True","Sort=True")</f>
        <v>14.749934887146063</v>
      </c>
      <c r="U2450" s="43">
        <f ca="1">_xll.BInterpol('Base CDI'!$H$4:$H$28,'Base CDI'!$I$4:$I$29,S2450,"Cubic","Extrapolate=Linear","MultiX=Average","Skip=True","Sort=True")</f>
        <v>14.820838952377398</v>
      </c>
    </row>
    <row r="2451" spans="16:21" x14ac:dyDescent="0.25">
      <c r="P2451" s="10">
        <v>38076</v>
      </c>
      <c r="Q2451">
        <v>10.55674</v>
      </c>
      <c r="S2451" s="42">
        <f t="shared" ca="1" si="43"/>
        <v>48157</v>
      </c>
      <c r="T2451" s="43">
        <f ca="1">_xll.BInterpol('Base CDI'!$H$4:$H$28,'Base CDI'!$J$4:$J$29,S2451,"Cubic","Extrapolate=Linear","MultiX=Average","Skip=True","Sort=True")</f>
        <v>14.749904583899962</v>
      </c>
      <c r="U2451" s="43">
        <f ca="1">_xll.BInterpol('Base CDI'!$H$4:$H$28,'Base CDI'!$I$4:$I$29,S2451,"Cubic","Extrapolate=Linear","MultiX=Average","Skip=True","Sort=True")</f>
        <v>14.820826863593084</v>
      </c>
    </row>
    <row r="2452" spans="16:21" x14ac:dyDescent="0.25">
      <c r="P2452" s="10">
        <v>38077</v>
      </c>
      <c r="Q2452">
        <v>10.56296</v>
      </c>
      <c r="S2452" s="42">
        <f t="shared" ca="1" si="43"/>
        <v>48158</v>
      </c>
      <c r="T2452" s="43">
        <f ca="1">_xll.BInterpol('Base CDI'!$H$4:$H$28,'Base CDI'!$J$4:$J$29,S2452,"Cubic","Extrapolate=Linear","MultiX=Average","Skip=True","Sort=True")</f>
        <v>14.749874234717595</v>
      </c>
      <c r="U2452" s="43">
        <f ca="1">_xll.BInterpol('Base CDI'!$H$4:$H$28,'Base CDI'!$I$4:$I$29,S2452,"Cubic","Extrapolate=Linear","MultiX=Average","Skip=True","Sort=True")</f>
        <v>14.82081469240239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48159</v>
      </c>
      <c r="T2453" s="43">
        <f ca="1">_xll.BInterpol('Base CDI'!$H$4:$H$28,'Base CDI'!$J$4:$J$29,S2453,"Cubic","Extrapolate=Linear","MultiX=Average","Skip=True","Sort=True")</f>
        <v>14.749843839609328</v>
      </c>
      <c r="U2453" s="43">
        <f ca="1">_xll.BInterpol('Base CDI'!$H$4:$H$28,'Base CDI'!$I$4:$I$29,S2453,"Cubic","Extrapolate=Linear","MultiX=Average","Skip=True","Sort=True")</f>
        <v>14.820802438943716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48160</v>
      </c>
      <c r="T2454" s="43">
        <f ca="1">_xll.BInterpol('Base CDI'!$H$4:$H$28,'Base CDI'!$J$4:$J$29,S2454,"Cubic","Extrapolate=Linear","MultiX=Average","Skip=True","Sort=True")</f>
        <v>14.749813398585536</v>
      </c>
      <c r="U2454" s="43">
        <f ca="1">_xll.BInterpol('Base CDI'!$H$4:$H$28,'Base CDI'!$I$4:$I$29,S2454,"Cubic","Extrapolate=Linear","MultiX=Average","Skip=True","Sort=True")</f>
        <v>14.820790103355458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48161</v>
      </c>
      <c r="T2455" s="43">
        <f ca="1">_xll.BInterpol('Base CDI'!$H$4:$H$28,'Base CDI'!$J$4:$J$29,S2455,"Cubic","Extrapolate=Linear","MultiX=Average","Skip=True","Sort=True")</f>
        <v>14.749782911656585</v>
      </c>
      <c r="U2455" s="43">
        <f ca="1">_xll.BInterpol('Base CDI'!$H$4:$H$28,'Base CDI'!$I$4:$I$29,S2455,"Cubic","Extrapolate=Linear","MultiX=Average","Skip=True","Sort=True")</f>
        <v>14.820777685776021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48162</v>
      </c>
      <c r="T2456" s="43">
        <f ca="1">_xll.BInterpol('Base CDI'!$H$4:$H$28,'Base CDI'!$J$4:$J$29,S2456,"Cubic","Extrapolate=Linear","MultiX=Average","Skip=True","Sort=True")</f>
        <v>14.749752378832845</v>
      </c>
      <c r="U2456" s="43">
        <f ca="1">_xll.BInterpol('Base CDI'!$H$4:$H$28,'Base CDI'!$I$4:$I$29,S2456,"Cubic","Extrapolate=Linear","MultiX=Average","Skip=True","Sort=True")</f>
        <v>14.820765186343799</v>
      </c>
    </row>
    <row r="2457" spans="16:21" x14ac:dyDescent="0.25">
      <c r="P2457" s="10">
        <v>38084</v>
      </c>
      <c r="Q2457">
        <v>10.59416</v>
      </c>
      <c r="S2457" s="42">
        <f t="shared" ca="1" si="43"/>
        <v>48163</v>
      </c>
      <c r="T2457" s="43">
        <f ca="1">_xll.BInterpol('Base CDI'!$H$4:$H$28,'Base CDI'!$J$4:$J$29,S2457,"Cubic","Extrapolate=Linear","MultiX=Average","Skip=True","Sort=True")</f>
        <v>14.749721800124687</v>
      </c>
      <c r="U2457" s="43">
        <f ca="1">_xll.BInterpol('Base CDI'!$H$4:$H$28,'Base CDI'!$I$4:$I$29,S2457,"Cubic","Extrapolate=Linear","MultiX=Average","Skip=True","Sort=True")</f>
        <v>14.820752605197193</v>
      </c>
    </row>
    <row r="2458" spans="16:21" x14ac:dyDescent="0.25">
      <c r="P2458" s="10">
        <v>38085</v>
      </c>
      <c r="Q2458">
        <v>10.6004</v>
      </c>
      <c r="S2458" s="42">
        <f t="shared" ca="1" si="43"/>
        <v>48164</v>
      </c>
      <c r="T2458" s="43">
        <f ca="1">_xll.BInterpol('Base CDI'!$H$4:$H$28,'Base CDI'!$J$4:$J$29,S2458,"Cubic","Extrapolate=Linear","MultiX=Average","Skip=True","Sort=True")</f>
        <v>14.749691175542484</v>
      </c>
      <c r="U2458" s="43">
        <f ca="1">_xll.BInterpol('Base CDI'!$H$4:$H$28,'Base CDI'!$I$4:$I$29,S2458,"Cubic","Extrapolate=Linear","MultiX=Average","Skip=True","Sort=True")</f>
        <v>14.820739942474603</v>
      </c>
    </row>
    <row r="2459" spans="16:21" x14ac:dyDescent="0.25">
      <c r="P2459" s="10">
        <v>38089</v>
      </c>
      <c r="Q2459">
        <v>10.60665</v>
      </c>
      <c r="S2459" s="42">
        <f t="shared" ca="1" si="43"/>
        <v>48165</v>
      </c>
      <c r="T2459" s="43">
        <f ca="1">_xll.BInterpol('Base CDI'!$H$4:$H$28,'Base CDI'!$J$4:$J$29,S2459,"Cubic","Extrapolate=Linear","MultiX=Average","Skip=True","Sort=True")</f>
        <v>14.749660505096601</v>
      </c>
      <c r="U2459" s="43">
        <f ca="1">_xll.BInterpol('Base CDI'!$H$4:$H$28,'Base CDI'!$I$4:$I$29,S2459,"Cubic","Extrapolate=Linear","MultiX=Average","Skip=True","Sort=True")</f>
        <v>14.820727198314426</v>
      </c>
    </row>
    <row r="2460" spans="16:21" x14ac:dyDescent="0.25">
      <c r="P2460" s="10">
        <v>38090</v>
      </c>
      <c r="Q2460">
        <v>10.6129</v>
      </c>
      <c r="S2460" s="42">
        <f t="shared" ca="1" si="43"/>
        <v>48166</v>
      </c>
      <c r="T2460" s="43">
        <f ca="1">_xll.BInterpol('Base CDI'!$H$4:$H$28,'Base CDI'!$J$4:$J$29,S2460,"Cubic","Extrapolate=Linear","MultiX=Average","Skip=True","Sort=True")</f>
        <v>14.749629788797412</v>
      </c>
      <c r="U2460" s="43">
        <f ca="1">_xll.BInterpol('Base CDI'!$H$4:$H$28,'Base CDI'!$I$4:$I$29,S2460,"Cubic","Extrapolate=Linear","MultiX=Average","Skip=True","Sort=True")</f>
        <v>14.820714372855065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48167</v>
      </c>
      <c r="T2461" s="43">
        <f ca="1">_xll.BInterpol('Base CDI'!$H$4:$H$28,'Base CDI'!$J$4:$J$29,S2461,"Cubic","Extrapolate=Linear","MultiX=Average","Skip=True","Sort=True")</f>
        <v>14.749599026655286</v>
      </c>
      <c r="U2461" s="43">
        <f ca="1">_xll.BInterpol('Base CDI'!$H$4:$H$28,'Base CDI'!$I$4:$I$29,S2461,"Cubic","Extrapolate=Linear","MultiX=Average","Skip=True","Sort=True")</f>
        <v>14.820701466234915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48168</v>
      </c>
      <c r="T2462" s="43">
        <f ca="1">_xll.BInterpol('Base CDI'!$H$4:$H$28,'Base CDI'!$J$4:$J$29,S2462,"Cubic","Extrapolate=Linear","MultiX=Average","Skip=True","Sort=True")</f>
        <v>14.74956821868059</v>
      </c>
      <c r="U2462" s="43">
        <f ca="1">_xll.BInterpol('Base CDI'!$H$4:$H$28,'Base CDI'!$I$4:$I$29,S2462,"Cubic","Extrapolate=Linear","MultiX=Average","Skip=True","Sort=True")</f>
        <v>14.820688478592379</v>
      </c>
    </row>
    <row r="2463" spans="16:21" x14ac:dyDescent="0.25">
      <c r="P2463" s="10">
        <v>38093</v>
      </c>
      <c r="Q2463">
        <v>10.63156</v>
      </c>
      <c r="S2463" s="42">
        <f t="shared" ca="1" si="43"/>
        <v>48169</v>
      </c>
      <c r="T2463" s="43">
        <f ca="1">_xll.BInterpol('Base CDI'!$H$4:$H$28,'Base CDI'!$J$4:$J$29,S2463,"Cubic","Extrapolate=Linear","MultiX=Average","Skip=True","Sort=True")</f>
        <v>14.749537364883698</v>
      </c>
      <c r="U2463" s="43">
        <f ca="1">_xll.BInterpol('Base CDI'!$H$4:$H$28,'Base CDI'!$I$4:$I$29,S2463,"Cubic","Extrapolate=Linear","MultiX=Average","Skip=True","Sort=True")</f>
        <v>14.820675410065855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48170</v>
      </c>
      <c r="T2464" s="43">
        <f ca="1">_xll.BInterpol('Base CDI'!$H$4:$H$28,'Base CDI'!$J$4:$J$29,S2464,"Cubic","Extrapolate=Linear","MultiX=Average","Skip=True","Sort=True")</f>
        <v>14.74950646527498</v>
      </c>
      <c r="U2464" s="43">
        <f ca="1">_xll.BInterpol('Base CDI'!$H$4:$H$28,'Base CDI'!$I$4:$I$29,S2464,"Cubic","Extrapolate=Linear","MultiX=Average","Skip=True","Sort=True")</f>
        <v>14.820662260793739</v>
      </c>
    </row>
    <row r="2465" spans="16:21" x14ac:dyDescent="0.25">
      <c r="P2465" s="10">
        <v>38097</v>
      </c>
      <c r="Q2465">
        <v>10.6439</v>
      </c>
      <c r="S2465" s="42">
        <f t="shared" ca="1" si="43"/>
        <v>48171</v>
      </c>
      <c r="T2465" s="43">
        <f ca="1">_xll.BInterpol('Base CDI'!$H$4:$H$28,'Base CDI'!$J$4:$J$29,S2465,"Cubic","Extrapolate=Linear","MultiX=Average","Skip=True","Sort=True")</f>
        <v>14.749475519864802</v>
      </c>
      <c r="U2465" s="43">
        <f ca="1">_xll.BInterpol('Base CDI'!$H$4:$H$28,'Base CDI'!$I$4:$I$29,S2465,"Cubic","Extrapolate=Linear","MultiX=Average","Skip=True","Sort=True")</f>
        <v>14.820649030914435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48172</v>
      </c>
      <c r="T2466" s="43">
        <f ca="1">_xll.BInterpol('Base CDI'!$H$4:$H$28,'Base CDI'!$J$4:$J$29,S2466,"Cubic","Extrapolate=Linear","MultiX=Average","Skip=True","Sort=True")</f>
        <v>14.749444528663538</v>
      </c>
      <c r="U2466" s="43">
        <f ca="1">_xll.BInterpol('Base CDI'!$H$4:$H$28,'Base CDI'!$I$4:$I$29,S2466,"Cubic","Extrapolate=Linear","MultiX=Average","Skip=True","Sort=True")</f>
        <v>14.820635720566338</v>
      </c>
    </row>
    <row r="2467" spans="16:21" x14ac:dyDescent="0.25">
      <c r="P2467" s="10">
        <v>38100</v>
      </c>
      <c r="Q2467">
        <v>10.65624</v>
      </c>
      <c r="S2467" s="42">
        <f t="shared" ca="1" si="43"/>
        <v>48173</v>
      </c>
      <c r="T2467" s="43">
        <f ca="1">_xll.BInterpol('Base CDI'!$H$4:$H$28,'Base CDI'!$J$4:$J$29,S2467,"Cubic","Extrapolate=Linear","MultiX=Average","Skip=True","Sort=True")</f>
        <v>14.749413491681556</v>
      </c>
      <c r="U2467" s="43">
        <f ca="1">_xll.BInterpol('Base CDI'!$H$4:$H$28,'Base CDI'!$I$4:$I$29,S2467,"Cubic","Extrapolate=Linear","MultiX=Average","Skip=True","Sort=True")</f>
        <v>14.820622329887852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48174</v>
      </c>
      <c r="T2468" s="43">
        <f ca="1">_xll.BInterpol('Base CDI'!$H$4:$H$28,'Base CDI'!$J$4:$J$29,S2468,"Cubic","Extrapolate=Linear","MultiX=Average","Skip=True","Sort=True")</f>
        <v>14.749382408929229</v>
      </c>
      <c r="U2468" s="43">
        <f ca="1">_xll.BInterpol('Base CDI'!$H$4:$H$28,'Base CDI'!$I$4:$I$29,S2468,"Cubic","Extrapolate=Linear","MultiX=Average","Skip=True","Sort=True")</f>
        <v>14.820608859017373</v>
      </c>
    </row>
    <row r="2469" spans="16:21" x14ac:dyDescent="0.25">
      <c r="P2469" s="10">
        <v>38104</v>
      </c>
      <c r="Q2469">
        <v>10.66859</v>
      </c>
      <c r="S2469" s="42">
        <f t="shared" ca="1" si="43"/>
        <v>48175</v>
      </c>
      <c r="T2469" s="43">
        <f ca="1">_xll.BInterpol('Base CDI'!$H$4:$H$28,'Base CDI'!$J$4:$J$29,S2469,"Cubic","Extrapolate=Linear","MultiX=Average","Skip=True","Sort=True")</f>
        <v>14.749351280416922</v>
      </c>
      <c r="U2469" s="43">
        <f ca="1">_xll.BInterpol('Base CDI'!$H$4:$H$28,'Base CDI'!$I$4:$I$29,S2469,"Cubic","Extrapolate=Linear","MultiX=Average","Skip=True","Sort=True")</f>
        <v>14.820595308093299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48176</v>
      </c>
      <c r="T2470" s="43">
        <f ca="1">_xll.BInterpol('Base CDI'!$H$4:$H$28,'Base CDI'!$J$4:$J$29,S2470,"Cubic","Extrapolate=Linear","MultiX=Average","Skip=True","Sort=True")</f>
        <v>14.749320106155009</v>
      </c>
      <c r="U2470" s="43">
        <f ca="1">_xll.BInterpol('Base CDI'!$H$4:$H$28,'Base CDI'!$I$4:$I$29,S2470,"Cubic","Extrapolate=Linear","MultiX=Average","Skip=True","Sort=True")</f>
        <v>14.820581677254033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48177</v>
      </c>
      <c r="T2471" s="43">
        <f ca="1">_xll.BInterpol('Base CDI'!$H$4:$H$28,'Base CDI'!$J$4:$J$29,S2471,"Cubic","Extrapolate=Linear","MultiX=Average","Skip=True","Sort=True")</f>
        <v>14.74928888615386</v>
      </c>
      <c r="U2471" s="43">
        <f ca="1">_xll.BInterpol('Base CDI'!$H$4:$H$28,'Base CDI'!$I$4:$I$29,S2471,"Cubic","Extrapolate=Linear","MultiX=Average","Skip=True","Sort=True")</f>
        <v>14.82056796663797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48178</v>
      </c>
      <c r="T2472" s="43">
        <f ca="1">_xll.BInterpol('Base CDI'!$H$4:$H$28,'Base CDI'!$J$4:$J$29,S2472,"Cubic","Extrapolate=Linear","MultiX=Average","Skip=True","Sort=True")</f>
        <v>14.749257620423842</v>
      </c>
      <c r="U2472" s="43">
        <f ca="1">_xll.BInterpol('Base CDI'!$H$4:$H$28,'Base CDI'!$I$4:$I$29,S2472,"Cubic","Extrapolate=Linear","MultiX=Average","Skip=True","Sort=True")</f>
        <v>14.820554176383514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48179</v>
      </c>
      <c r="T2473" s="43">
        <f ca="1">_xll.BInterpol('Base CDI'!$H$4:$H$28,'Base CDI'!$J$4:$J$29,S2473,"Cubic","Extrapolate=Linear","MultiX=Average","Skip=True","Sort=True")</f>
        <v>14.749226308975327</v>
      </c>
      <c r="U2473" s="43">
        <f ca="1">_xll.BInterpol('Base CDI'!$H$4:$H$28,'Base CDI'!$I$4:$I$29,S2473,"Cubic","Extrapolate=Linear","MultiX=Average","Skip=True","Sort=True")</f>
        <v>14.820540306629059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48180</v>
      </c>
      <c r="T2474" s="43">
        <f ca="1">_xll.BInterpol('Base CDI'!$H$4:$H$28,'Base CDI'!$J$4:$J$29,S2474,"Cubic","Extrapolate=Linear","MultiX=Average","Skip=True","Sort=True")</f>
        <v>14.749194951818687</v>
      </c>
      <c r="U2474" s="43">
        <f ca="1">_xll.BInterpol('Base CDI'!$H$4:$H$28,'Base CDI'!$I$4:$I$29,S2474,"Cubic","Extrapolate=Linear","MultiX=Average","Skip=True","Sort=True")</f>
        <v>14.820526357513009</v>
      </c>
    </row>
    <row r="2475" spans="16:21" x14ac:dyDescent="0.25">
      <c r="P2475" s="10">
        <v>38112</v>
      </c>
      <c r="Q2475">
        <v>10.70574</v>
      </c>
      <c r="S2475" s="42">
        <f t="shared" ca="1" si="43"/>
        <v>48181</v>
      </c>
      <c r="T2475" s="43">
        <f ca="1">_xll.BInterpol('Base CDI'!$H$4:$H$28,'Base CDI'!$J$4:$J$29,S2475,"Cubic","Extrapolate=Linear","MultiX=Average","Skip=True","Sort=True")</f>
        <v>14.749163548964288</v>
      </c>
      <c r="U2475" s="43">
        <f ca="1">_xll.BInterpol('Base CDI'!$H$4:$H$28,'Base CDI'!$I$4:$I$29,S2475,"Cubic","Extrapolate=Linear","MultiX=Average","Skip=True","Sort=True")</f>
        <v>14.820512329173759</v>
      </c>
    </row>
    <row r="2476" spans="16:21" x14ac:dyDescent="0.25">
      <c r="P2476" s="10">
        <v>38113</v>
      </c>
      <c r="Q2476">
        <v>10.71194</v>
      </c>
      <c r="S2476" s="42">
        <f t="shared" ca="1" si="43"/>
        <v>48182</v>
      </c>
      <c r="T2476" s="43">
        <f ca="1">_xll.BInterpol('Base CDI'!$H$4:$H$28,'Base CDI'!$J$4:$J$29,S2476,"Cubic","Extrapolate=Linear","MultiX=Average","Skip=True","Sort=True")</f>
        <v>14.749132100422504</v>
      </c>
      <c r="U2476" s="43">
        <f ca="1">_xll.BInterpol('Base CDI'!$H$4:$H$28,'Base CDI'!$I$4:$I$29,S2476,"Cubic","Extrapolate=Linear","MultiX=Average","Skip=True","Sort=True")</f>
        <v>14.820498221749713</v>
      </c>
    </row>
    <row r="2477" spans="16:21" x14ac:dyDescent="0.25">
      <c r="P2477" s="10">
        <v>38114</v>
      </c>
      <c r="Q2477">
        <v>10.71815</v>
      </c>
      <c r="S2477" s="42">
        <f t="shared" ca="1" si="43"/>
        <v>48183</v>
      </c>
      <c r="T2477" s="43">
        <f ca="1">_xll.BInterpol('Base CDI'!$H$4:$H$28,'Base CDI'!$J$4:$J$29,S2477,"Cubic","Extrapolate=Linear","MultiX=Average","Skip=True","Sort=True")</f>
        <v>14.749100606203701</v>
      </c>
      <c r="U2477" s="43">
        <f ca="1">_xll.BInterpol('Base CDI'!$H$4:$H$28,'Base CDI'!$I$4:$I$29,S2477,"Cubic","Extrapolate=Linear","MultiX=Average","Skip=True","Sort=True")</f>
        <v>14.820484035379264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48184</v>
      </c>
      <c r="T2478" s="43">
        <f ca="1">_xll.BInterpol('Base CDI'!$H$4:$H$28,'Base CDI'!$J$4:$J$29,S2478,"Cubic","Extrapolate=Linear","MultiX=Average","Skip=True","Sort=True")</f>
        <v>14.749069066318253</v>
      </c>
      <c r="U2478" s="43">
        <f ca="1">_xll.BInterpol('Base CDI'!$H$4:$H$28,'Base CDI'!$I$4:$I$29,S2478,"Cubic","Extrapolate=Linear","MultiX=Average","Skip=True","Sort=True")</f>
        <v>14.820469770200818</v>
      </c>
    </row>
    <row r="2479" spans="16:21" x14ac:dyDescent="0.25">
      <c r="P2479" s="10">
        <v>38118</v>
      </c>
      <c r="Q2479">
        <v>10.73057</v>
      </c>
      <c r="S2479" s="42">
        <f t="shared" ca="1" si="43"/>
        <v>48185</v>
      </c>
      <c r="T2479" s="43">
        <f ca="1">_xll.BInterpol('Base CDI'!$H$4:$H$28,'Base CDI'!$J$4:$J$29,S2479,"Cubic","Extrapolate=Linear","MultiX=Average","Skip=True","Sort=True")</f>
        <v>14.749037480776526</v>
      </c>
      <c r="U2479" s="43">
        <f ca="1">_xll.BInterpol('Base CDI'!$H$4:$H$28,'Base CDI'!$I$4:$I$29,S2479,"Cubic","Extrapolate=Linear","MultiX=Average","Skip=True","Sort=True")</f>
        <v>14.820455426352769</v>
      </c>
    </row>
    <row r="2480" spans="16:21" x14ac:dyDescent="0.25">
      <c r="P2480" s="10">
        <v>38119</v>
      </c>
      <c r="Q2480">
        <v>10.73678</v>
      </c>
      <c r="S2480" s="42">
        <f t="shared" ca="1" si="43"/>
        <v>48186</v>
      </c>
      <c r="T2480" s="43">
        <f ca="1">_xll.BInterpol('Base CDI'!$H$4:$H$28,'Base CDI'!$J$4:$J$29,S2480,"Cubic","Extrapolate=Linear","MultiX=Average","Skip=True","Sort=True")</f>
        <v>14.749005849588894</v>
      </c>
      <c r="U2480" s="43">
        <f ca="1">_xll.BInterpol('Base CDI'!$H$4:$H$28,'Base CDI'!$I$4:$I$29,S2480,"Cubic","Extrapolate=Linear","MultiX=Average","Skip=True","Sort=True")</f>
        <v>14.820441003973519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48187</v>
      </c>
      <c r="T2481" s="43">
        <f ca="1">_xll.BInterpol('Base CDI'!$H$4:$H$28,'Base CDI'!$J$4:$J$29,S2481,"Cubic","Extrapolate=Linear","MultiX=Average","Skip=True","Sort=True")</f>
        <v>14.748974172765724</v>
      </c>
      <c r="U2481" s="43">
        <f ca="1">_xll.BInterpol('Base CDI'!$H$4:$H$28,'Base CDI'!$I$4:$I$29,S2481,"Cubic","Extrapolate=Linear","MultiX=Average","Skip=True","Sort=True")</f>
        <v>14.820426503201466</v>
      </c>
    </row>
    <row r="2482" spans="16:21" x14ac:dyDescent="0.25">
      <c r="P2482" s="10">
        <v>38121</v>
      </c>
      <c r="Q2482">
        <v>10.74921</v>
      </c>
      <c r="S2482" s="42">
        <f t="shared" ca="1" si="43"/>
        <v>48188</v>
      </c>
      <c r="T2482" s="43">
        <f ca="1">_xll.BInterpol('Base CDI'!$H$4:$H$28,'Base CDI'!$J$4:$J$29,S2482,"Cubic","Extrapolate=Linear","MultiX=Average","Skip=True","Sort=True")</f>
        <v>14.748942450317388</v>
      </c>
      <c r="U2482" s="43">
        <f ca="1">_xll.BInterpol('Base CDI'!$H$4:$H$28,'Base CDI'!$I$4:$I$29,S2482,"Cubic","Extrapolate=Linear","MultiX=Average","Skip=True","Sort=True")</f>
        <v>14.820411924175009</v>
      </c>
    </row>
    <row r="2483" spans="16:21" x14ac:dyDescent="0.25">
      <c r="P2483" s="10">
        <v>38124</v>
      </c>
      <c r="Q2483">
        <v>10.75544</v>
      </c>
      <c r="S2483" s="42">
        <f t="shared" ca="1" si="43"/>
        <v>48189</v>
      </c>
      <c r="T2483" s="43">
        <f ca="1">_xll.BInterpol('Base CDI'!$H$4:$H$28,'Base CDI'!$J$4:$J$29,S2483,"Cubic","Extrapolate=Linear","MultiX=Average","Skip=True","Sort=True")</f>
        <v>14.748910682254255</v>
      </c>
      <c r="U2483" s="43">
        <f ca="1">_xll.BInterpol('Base CDI'!$H$4:$H$28,'Base CDI'!$I$4:$I$29,S2483,"Cubic","Extrapolate=Linear","MultiX=Average","Skip=True","Sort=True")</f>
        <v>14.820397267032549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48190</v>
      </c>
      <c r="T2484" s="43">
        <f ca="1">_xll.BInterpol('Base CDI'!$H$4:$H$28,'Base CDI'!$J$4:$J$29,S2484,"Cubic","Extrapolate=Linear","MultiX=Average","Skip=True","Sort=True")</f>
        <v>14.748878868586695</v>
      </c>
      <c r="U2484" s="43">
        <f ca="1">_xll.BInterpol('Base CDI'!$H$4:$H$28,'Base CDI'!$I$4:$I$29,S2484,"Cubic","Extrapolate=Linear","MultiX=Average","Skip=True","Sort=True")</f>
        <v>14.820382531912484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48191</v>
      </c>
      <c r="T2485" s="43">
        <f ca="1">_xll.BInterpol('Base CDI'!$H$4:$H$28,'Base CDI'!$J$4:$J$29,S2485,"Cubic","Extrapolate=Linear","MultiX=Average","Skip=True","Sort=True")</f>
        <v>14.748847009325079</v>
      </c>
      <c r="U2485" s="43">
        <f ca="1">_xll.BInterpol('Base CDI'!$H$4:$H$28,'Base CDI'!$I$4:$I$29,S2485,"Cubic","Extrapolate=Linear","MultiX=Average","Skip=True","Sort=True")</f>
        <v>14.820367718953213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48192</v>
      </c>
      <c r="T2486" s="43">
        <f ca="1">_xll.BInterpol('Base CDI'!$H$4:$H$28,'Base CDI'!$J$4:$J$29,S2486,"Cubic","Extrapolate=Linear","MultiX=Average","Skip=True","Sort=True")</f>
        <v>14.748815104479776</v>
      </c>
      <c r="U2486" s="43">
        <f ca="1">_xll.BInterpol('Base CDI'!$H$4:$H$28,'Base CDI'!$I$4:$I$29,S2486,"Cubic","Extrapolate=Linear","MultiX=Average","Skip=True","Sort=True")</f>
        <v>14.820352828293135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48193</v>
      </c>
      <c r="T2487" s="43">
        <f ca="1">_xll.BInterpol('Base CDI'!$H$4:$H$28,'Base CDI'!$J$4:$J$29,S2487,"Cubic","Extrapolate=Linear","MultiX=Average","Skip=True","Sort=True")</f>
        <v>14.748783154061158</v>
      </c>
      <c r="U2487" s="43">
        <f ca="1">_xll.BInterpol('Base CDI'!$H$4:$H$28,'Base CDI'!$I$4:$I$29,S2487,"Cubic","Extrapolate=Linear","MultiX=Average","Skip=True","Sort=True")</f>
        <v>14.82033786007065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48194</v>
      </c>
      <c r="T2488" s="43">
        <f ca="1">_xll.BInterpol('Base CDI'!$H$4:$H$28,'Base CDI'!$J$4:$J$29,S2488,"Cubic","Extrapolate=Linear","MultiX=Average","Skip=True","Sort=True")</f>
        <v>14.748751158079592</v>
      </c>
      <c r="U2488" s="43">
        <f ca="1">_xll.BInterpol('Base CDI'!$H$4:$H$28,'Base CDI'!$I$4:$I$29,S2488,"Cubic","Extrapolate=Linear","MultiX=Average","Skip=True","Sort=True")</f>
        <v>14.820322814424156</v>
      </c>
    </row>
    <row r="2489" spans="16:21" x14ac:dyDescent="0.25">
      <c r="P2489" s="10">
        <v>38132</v>
      </c>
      <c r="Q2489">
        <v>10.79288</v>
      </c>
      <c r="S2489" s="42">
        <f t="shared" ca="1" si="43"/>
        <v>48195</v>
      </c>
      <c r="T2489" s="43">
        <f ca="1">_xll.BInterpol('Base CDI'!$H$4:$H$28,'Base CDI'!$J$4:$J$29,S2489,"Cubic","Extrapolate=Linear","MultiX=Average","Skip=True","Sort=True")</f>
        <v>14.74871911654545</v>
      </c>
      <c r="U2489" s="43">
        <f ca="1">_xll.BInterpol('Base CDI'!$H$4:$H$28,'Base CDI'!$I$4:$I$29,S2489,"Cubic","Extrapolate=Linear","MultiX=Average","Skip=True","Sort=True")</f>
        <v>14.820307691492054</v>
      </c>
    </row>
    <row r="2490" spans="16:21" x14ac:dyDescent="0.25">
      <c r="P2490" s="10">
        <v>38133</v>
      </c>
      <c r="Q2490">
        <v>10.79914</v>
      </c>
      <c r="S2490" s="42">
        <f t="shared" ca="1" si="43"/>
        <v>48196</v>
      </c>
      <c r="T2490" s="43">
        <f ca="1">_xll.BInterpol('Base CDI'!$H$4:$H$28,'Base CDI'!$J$4:$J$29,S2490,"Cubic","Extrapolate=Linear","MultiX=Average","Skip=True","Sort=True")</f>
        <v>14.748687029469101</v>
      </c>
      <c r="U2490" s="43">
        <f ca="1">_xll.BInterpol('Base CDI'!$H$4:$H$28,'Base CDI'!$I$4:$I$29,S2490,"Cubic","Extrapolate=Linear","MultiX=Average","Skip=True","Sort=True")</f>
        <v>14.820292491412744</v>
      </c>
    </row>
    <row r="2491" spans="16:21" x14ac:dyDescent="0.25">
      <c r="P2491" s="10">
        <v>38134</v>
      </c>
      <c r="Q2491">
        <v>10.80542</v>
      </c>
      <c r="S2491" s="42">
        <f t="shared" ca="1" si="43"/>
        <v>48197</v>
      </c>
      <c r="T2491" s="43">
        <f ca="1">_xll.BInterpol('Base CDI'!$H$4:$H$28,'Base CDI'!$J$4:$J$29,S2491,"Cubic","Extrapolate=Linear","MultiX=Average","Skip=True","Sort=True")</f>
        <v>14.748654896860916</v>
      </c>
      <c r="U2491" s="43">
        <f ca="1">_xll.BInterpol('Base CDI'!$H$4:$H$28,'Base CDI'!$I$4:$I$29,S2491,"Cubic","Extrapolate=Linear","MultiX=Average","Skip=True","Sort=True")</f>
        <v>14.820277214324621</v>
      </c>
    </row>
    <row r="2492" spans="16:21" x14ac:dyDescent="0.25">
      <c r="P2492" s="10">
        <v>38135</v>
      </c>
      <c r="Q2492">
        <v>10.81171</v>
      </c>
      <c r="S2492" s="42">
        <f t="shared" ca="1" si="43"/>
        <v>48198</v>
      </c>
      <c r="T2492" s="43">
        <f ca="1">_xll.BInterpol('Base CDI'!$H$4:$H$28,'Base CDI'!$J$4:$J$29,S2492,"Cubic","Extrapolate=Linear","MultiX=Average","Skip=True","Sort=True")</f>
        <v>14.748622718731266</v>
      </c>
      <c r="U2492" s="43">
        <f ca="1">_xll.BInterpol('Base CDI'!$H$4:$H$28,'Base CDI'!$I$4:$I$29,S2492,"Cubic","Extrapolate=Linear","MultiX=Average","Skip=True","Sort=True")</f>
        <v>14.820261860366088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48199</v>
      </c>
      <c r="T2493" s="43">
        <f ca="1">_xll.BInterpol('Base CDI'!$H$4:$H$28,'Base CDI'!$J$4:$J$29,S2493,"Cubic","Extrapolate=Linear","MultiX=Average","Skip=True","Sort=True")</f>
        <v>14.748590495090518</v>
      </c>
      <c r="U2493" s="43">
        <f ca="1">_xll.BInterpol('Base CDI'!$H$4:$H$28,'Base CDI'!$I$4:$I$29,S2493,"Cubic","Extrapolate=Linear","MultiX=Average","Skip=True","Sort=True")</f>
        <v>14.820246429675542</v>
      </c>
    </row>
    <row r="2494" spans="16:21" x14ac:dyDescent="0.25">
      <c r="P2494" s="10">
        <v>38139</v>
      </c>
      <c r="Q2494">
        <v>10.82432</v>
      </c>
      <c r="S2494" s="42">
        <f t="shared" ca="1" si="43"/>
        <v>48200</v>
      </c>
      <c r="T2494" s="43">
        <f ca="1">_xll.BInterpol('Base CDI'!$H$4:$H$28,'Base CDI'!$J$4:$J$29,S2494,"Cubic","Extrapolate=Linear","MultiX=Average","Skip=True","Sort=True")</f>
        <v>14.748558225949044</v>
      </c>
      <c r="U2494" s="43">
        <f ca="1">_xll.BInterpol('Base CDI'!$H$4:$H$28,'Base CDI'!$I$4:$I$29,S2494,"Cubic","Extrapolate=Linear","MultiX=Average","Skip=True","Sort=True")</f>
        <v>14.820230922391385</v>
      </c>
    </row>
    <row r="2495" spans="16:21" x14ac:dyDescent="0.25">
      <c r="P2495" s="10">
        <v>38140</v>
      </c>
      <c r="Q2495">
        <v>10.8306</v>
      </c>
      <c r="S2495" s="42">
        <f t="shared" ca="1" si="43"/>
        <v>48201</v>
      </c>
      <c r="T2495" s="43">
        <f ca="1">_xll.BInterpol('Base CDI'!$H$4:$H$28,'Base CDI'!$J$4:$J$29,S2495,"Cubic","Extrapolate=Linear","MultiX=Average","Skip=True","Sort=True")</f>
        <v>14.748525911317214</v>
      </c>
      <c r="U2495" s="43">
        <f ca="1">_xll.BInterpol('Base CDI'!$H$4:$H$28,'Base CDI'!$I$4:$I$29,S2495,"Cubic","Extrapolate=Linear","MultiX=Average","Skip=True","Sort=True")</f>
        <v>14.820215338652012</v>
      </c>
    </row>
    <row r="2496" spans="16:21" x14ac:dyDescent="0.25">
      <c r="P2496" s="10">
        <v>38141</v>
      </c>
      <c r="Q2496">
        <v>10.83689</v>
      </c>
      <c r="S2496" s="42">
        <f t="shared" ca="1" si="43"/>
        <v>48202</v>
      </c>
      <c r="T2496" s="43">
        <f ca="1">_xll.BInterpol('Base CDI'!$H$4:$H$28,'Base CDI'!$J$4:$J$29,S2496,"Cubic","Extrapolate=Linear","MultiX=Average","Skip=True","Sort=True")</f>
        <v>14.748493551205398</v>
      </c>
      <c r="U2496" s="43">
        <f ca="1">_xll.BInterpol('Base CDI'!$H$4:$H$28,'Base CDI'!$I$4:$I$29,S2496,"Cubic","Extrapolate=Linear","MultiX=Average","Skip=True","Sort=True")</f>
        <v>14.820199678595827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48203</v>
      </c>
      <c r="T2497" s="43">
        <f ca="1">_xll.BInterpol('Base CDI'!$H$4:$H$28,'Base CDI'!$J$4:$J$29,S2497,"Cubic","Extrapolate=Linear","MultiX=Average","Skip=True","Sort=True")</f>
        <v>14.748461145623965</v>
      </c>
      <c r="U2497" s="43">
        <f ca="1">_xll.BInterpol('Base CDI'!$H$4:$H$28,'Base CDI'!$I$4:$I$29,S2497,"Cubic","Extrapolate=Linear","MultiX=Average","Skip=True","Sort=True")</f>
        <v>14.820183942361226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48204</v>
      </c>
      <c r="T2498" s="43">
        <f ca="1">_xll.BInterpol('Base CDI'!$H$4:$H$28,'Base CDI'!$J$4:$J$29,S2498,"Cubic","Extrapolate=Linear","MultiX=Average","Skip=True","Sort=True")</f>
        <v>14.748428694583287</v>
      </c>
      <c r="U2498" s="43">
        <f ca="1">_xll.BInterpol('Base CDI'!$H$4:$H$28,'Base CDI'!$I$4:$I$29,S2498,"Cubic","Extrapolate=Linear","MultiX=Average","Skip=True","Sort=True")</f>
        <v>14.820168130086609</v>
      </c>
    </row>
    <row r="2499" spans="16:21" x14ac:dyDescent="0.25">
      <c r="P2499" s="10">
        <v>38146</v>
      </c>
      <c r="Q2499">
        <v>10.85575</v>
      </c>
      <c r="S2499" s="42">
        <f t="shared" ca="1" si="43"/>
        <v>48205</v>
      </c>
      <c r="T2499" s="43">
        <f ca="1">_xll.BInterpol('Base CDI'!$H$4:$H$28,'Base CDI'!$J$4:$J$29,S2499,"Cubic","Extrapolate=Linear","MultiX=Average","Skip=True","Sort=True")</f>
        <v>14.748396198093733</v>
      </c>
      <c r="U2499" s="43">
        <f ca="1">_xll.BInterpol('Base CDI'!$H$4:$H$28,'Base CDI'!$I$4:$I$29,S2499,"Cubic","Extrapolate=Linear","MultiX=Average","Skip=True","Sort=True")</f>
        <v>14.820152241910375</v>
      </c>
    </row>
    <row r="2500" spans="16:21" x14ac:dyDescent="0.25">
      <c r="P2500" s="10">
        <v>38147</v>
      </c>
      <c r="Q2500">
        <v>10.86204</v>
      </c>
      <c r="S2500" s="42">
        <f t="shared" ca="1" si="43"/>
        <v>48206</v>
      </c>
      <c r="T2500" s="43">
        <f ca="1">_xll.BInterpol('Base CDI'!$H$4:$H$28,'Base CDI'!$J$4:$J$29,S2500,"Cubic","Extrapolate=Linear","MultiX=Average","Skip=True","Sort=True")</f>
        <v>14.748363656165672</v>
      </c>
      <c r="U2500" s="43">
        <f ca="1">_xll.BInterpol('Base CDI'!$H$4:$H$28,'Base CDI'!$I$4:$I$29,S2500,"Cubic","Extrapolate=Linear","MultiX=Average","Skip=True","Sort=True")</f>
        <v>14.820136277970924</v>
      </c>
    </row>
    <row r="2501" spans="16:21" x14ac:dyDescent="0.25">
      <c r="P2501" s="10">
        <v>38149</v>
      </c>
      <c r="Q2501">
        <v>10.86833</v>
      </c>
      <c r="S2501" s="42">
        <f t="shared" ca="1" si="43"/>
        <v>48207</v>
      </c>
      <c r="T2501" s="43">
        <f ca="1">_xll.BInterpol('Base CDI'!$H$4:$H$28,'Base CDI'!$J$4:$J$29,S2501,"Cubic","Extrapolate=Linear","MultiX=Average","Skip=True","Sort=True")</f>
        <v>14.748331068809476</v>
      </c>
      <c r="U2501" s="43">
        <f ca="1">_xll.BInterpol('Base CDI'!$H$4:$H$28,'Base CDI'!$I$4:$I$29,S2501,"Cubic","Extrapolate=Linear","MultiX=Average","Skip=True","Sort=True")</f>
        <v>14.820120238406655</v>
      </c>
    </row>
    <row r="2502" spans="16:21" x14ac:dyDescent="0.25">
      <c r="P2502" s="10">
        <v>38152</v>
      </c>
      <c r="Q2502">
        <v>10.87462</v>
      </c>
      <c r="S2502" s="42">
        <f t="shared" ca="1" si="43"/>
        <v>48208</v>
      </c>
      <c r="T2502" s="43">
        <f ca="1">_xll.BInterpol('Base CDI'!$H$4:$H$28,'Base CDI'!$J$4:$J$29,S2502,"Cubic","Extrapolate=Linear","MultiX=Average","Skip=True","Sort=True")</f>
        <v>14.748298436035514</v>
      </c>
      <c r="U2502" s="43">
        <f ca="1">_xll.BInterpol('Base CDI'!$H$4:$H$28,'Base CDI'!$I$4:$I$29,S2502,"Cubic","Extrapolate=Linear","MultiX=Average","Skip=True","Sort=True")</f>
        <v>14.820104123355966</v>
      </c>
    </row>
    <row r="2503" spans="16:21" x14ac:dyDescent="0.25">
      <c r="P2503" s="10">
        <v>38153</v>
      </c>
      <c r="Q2503">
        <v>10.88091</v>
      </c>
      <c r="S2503" s="42">
        <f t="shared" ca="1" si="43"/>
        <v>48209</v>
      </c>
      <c r="T2503" s="43">
        <f ca="1">_xll.BInterpol('Base CDI'!$H$4:$H$28,'Base CDI'!$J$4:$J$29,S2503,"Cubic","Extrapolate=Linear","MultiX=Average","Skip=True","Sort=True")</f>
        <v>14.748265757854155</v>
      </c>
      <c r="U2503" s="43">
        <f ca="1">_xll.BInterpol('Base CDI'!$H$4:$H$28,'Base CDI'!$I$4:$I$29,S2503,"Cubic","Extrapolate=Linear","MultiX=Average","Skip=True","Sort=True")</f>
        <v>14.820087932957259</v>
      </c>
    </row>
    <row r="2504" spans="16:21" x14ac:dyDescent="0.25">
      <c r="P2504" s="10">
        <v>38154</v>
      </c>
      <c r="Q2504">
        <v>10.88721</v>
      </c>
      <c r="S2504" s="42">
        <f t="shared" ca="1" si="43"/>
        <v>48210</v>
      </c>
      <c r="T2504" s="43">
        <f ca="1">_xll.BInterpol('Base CDI'!$H$4:$H$28,'Base CDI'!$J$4:$J$29,S2504,"Cubic","Extrapolate=Linear","MultiX=Average","Skip=True","Sort=True")</f>
        <v>14.748233034275771</v>
      </c>
      <c r="U2504" s="43">
        <f ca="1">_xll.BInterpol('Base CDI'!$H$4:$H$28,'Base CDI'!$I$4:$I$29,S2504,"Cubic","Extrapolate=Linear","MultiX=Average","Skip=True","Sort=True")</f>
        <v>14.82007166734893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48211</v>
      </c>
      <c r="T2505" s="43">
        <f ca="1">_xll.BInterpol('Base CDI'!$H$4:$H$28,'Base CDI'!$J$4:$J$29,S2505,"Cubic","Extrapolate=Linear","MultiX=Average","Skip=True","Sort=True")</f>
        <v>14.74820026531073</v>
      </c>
      <c r="U2505" s="43">
        <f ca="1">_xll.BInterpol('Base CDI'!$H$4:$H$28,'Base CDI'!$I$4:$I$29,S2505,"Cubic","Extrapolate=Linear","MultiX=Average","Skip=True","Sort=True")</f>
        <v>14.82005532666938</v>
      </c>
    </row>
    <row r="2506" spans="16:21" x14ac:dyDescent="0.25">
      <c r="P2506" s="10">
        <v>38156</v>
      </c>
      <c r="Q2506">
        <v>10.89983</v>
      </c>
      <c r="S2506" s="42">
        <f t="shared" ca="1" si="43"/>
        <v>48212</v>
      </c>
      <c r="T2506" s="43">
        <f ca="1">_xll.BInterpol('Base CDI'!$H$4:$H$28,'Base CDI'!$J$4:$J$29,S2506,"Cubic","Extrapolate=Linear","MultiX=Average","Skip=True","Sort=True")</f>
        <v>14.748167450969405</v>
      </c>
      <c r="U2506" s="43">
        <f ca="1">_xll.BInterpol('Base CDI'!$H$4:$H$28,'Base CDI'!$I$4:$I$29,S2506,"Cubic","Extrapolate=Linear","MultiX=Average","Skip=True","Sort=True")</f>
        <v>14.820038911057008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48213</v>
      </c>
      <c r="T2507" s="43">
        <f ca="1">_xll.BInterpol('Base CDI'!$H$4:$H$28,'Base CDI'!$J$4:$J$29,S2507,"Cubic","Extrapolate=Linear","MultiX=Average","Skip=True","Sort=True")</f>
        <v>14.748134591262163</v>
      </c>
      <c r="U2507" s="43">
        <f ca="1">_xll.BInterpol('Base CDI'!$H$4:$H$28,'Base CDI'!$I$4:$I$29,S2507,"Cubic","Extrapolate=Linear","MultiX=Average","Skip=True","Sort=True")</f>
        <v>14.820022420650211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48214</v>
      </c>
      <c r="T2508" s="43">
        <f ca="1">_xll.BInterpol('Base CDI'!$H$4:$H$28,'Base CDI'!$J$4:$J$29,S2508,"Cubic","Extrapolate=Linear","MultiX=Average","Skip=True","Sort=True")</f>
        <v>14.748101686199375</v>
      </c>
      <c r="U2508" s="43">
        <f ca="1">_xll.BInterpol('Base CDI'!$H$4:$H$28,'Base CDI'!$I$4:$I$29,S2508,"Cubic","Extrapolate=Linear","MultiX=Average","Skip=True","Sort=True")</f>
        <v>14.820005855587393</v>
      </c>
    </row>
    <row r="2509" spans="16:21" x14ac:dyDescent="0.25">
      <c r="P2509" s="10">
        <v>38161</v>
      </c>
      <c r="Q2509">
        <v>10.91878</v>
      </c>
      <c r="S2509" s="42">
        <f t="shared" ca="1" si="44"/>
        <v>48215</v>
      </c>
      <c r="T2509" s="43">
        <f ca="1">_xll.BInterpol('Base CDI'!$H$4:$H$28,'Base CDI'!$J$4:$J$29,S2509,"Cubic","Extrapolate=Linear","MultiX=Average","Skip=True","Sort=True")</f>
        <v>14.748068735791412</v>
      </c>
      <c r="U2509" s="43">
        <f ca="1">_xll.BInterpol('Base CDI'!$H$4:$H$28,'Base CDI'!$I$4:$I$29,S2509,"Cubic","Extrapolate=Linear","MultiX=Average","Skip=True","Sort=True")</f>
        <v>14.819989216006951</v>
      </c>
    </row>
    <row r="2510" spans="16:21" x14ac:dyDescent="0.25">
      <c r="P2510" s="10">
        <v>38162</v>
      </c>
      <c r="Q2510">
        <v>10.9251</v>
      </c>
      <c r="S2510" s="42">
        <f t="shared" ca="1" si="44"/>
        <v>48216</v>
      </c>
      <c r="T2510" s="43">
        <f ca="1">_xll.BInterpol('Base CDI'!$H$4:$H$28,'Base CDI'!$J$4:$J$29,S2510,"Cubic","Extrapolate=Linear","MultiX=Average","Skip=True","Sort=True")</f>
        <v>14.748035740048643</v>
      </c>
      <c r="U2510" s="43">
        <f ca="1">_xll.BInterpol('Base CDI'!$H$4:$H$28,'Base CDI'!$I$4:$I$29,S2510,"Cubic","Extrapolate=Linear","MultiX=Average","Skip=True","Sort=True")</f>
        <v>14.819972502047282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48217</v>
      </c>
      <c r="T2511" s="43">
        <f ca="1">_xll.BInterpol('Base CDI'!$H$4:$H$28,'Base CDI'!$J$4:$J$29,S2511,"Cubic","Extrapolate=Linear","MultiX=Average","Skip=True","Sort=True")</f>
        <v>14.748002698981439</v>
      </c>
      <c r="U2511" s="43">
        <f ca="1">_xll.BInterpol('Base CDI'!$H$4:$H$28,'Base CDI'!$I$4:$I$29,S2511,"Cubic","Extrapolate=Linear","MultiX=Average","Skip=True","Sort=True")</f>
        <v>14.819955713846786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48218</v>
      </c>
      <c r="T2512" s="43">
        <f ca="1">_xll.BInterpol('Base CDI'!$H$4:$H$28,'Base CDI'!$J$4:$J$29,S2512,"Cubic","Extrapolate=Linear","MultiX=Average","Skip=True","Sort=True")</f>
        <v>14.747969612600169</v>
      </c>
      <c r="U2512" s="43">
        <f ca="1">_xll.BInterpol('Base CDI'!$H$4:$H$28,'Base CDI'!$I$4:$I$29,S2512,"Cubic","Extrapolate=Linear","MultiX=Average","Skip=True","Sort=True")</f>
        <v>14.819938851543865</v>
      </c>
    </row>
    <row r="2513" spans="16:21" x14ac:dyDescent="0.25">
      <c r="P2513" s="10">
        <v>38167</v>
      </c>
      <c r="Q2513">
        <v>10.94408</v>
      </c>
      <c r="S2513" s="42">
        <f t="shared" ca="1" si="44"/>
        <v>48219</v>
      </c>
      <c r="T2513" s="43">
        <f ca="1">_xll.BInterpol('Base CDI'!$H$4:$H$28,'Base CDI'!$J$4:$J$29,S2513,"Cubic","Extrapolate=Linear","MultiX=Average","Skip=True","Sort=True")</f>
        <v>14.747936480915204</v>
      </c>
      <c r="U2513" s="43">
        <f ca="1">_xll.BInterpol('Base CDI'!$H$4:$H$28,'Base CDI'!$I$4:$I$29,S2513,"Cubic","Extrapolate=Linear","MultiX=Average","Skip=True","Sort=True")</f>
        <v>14.819921915276916</v>
      </c>
    </row>
    <row r="2514" spans="16:21" x14ac:dyDescent="0.25">
      <c r="P2514" s="10">
        <v>38168</v>
      </c>
      <c r="Q2514">
        <v>10.95041</v>
      </c>
      <c r="S2514" s="42">
        <f t="shared" ca="1" si="44"/>
        <v>48220</v>
      </c>
      <c r="T2514" s="43">
        <f ca="1">_xll.BInterpol('Base CDI'!$H$4:$H$28,'Base CDI'!$J$4:$J$29,S2514,"Cubic","Extrapolate=Linear","MultiX=Average","Skip=True","Sort=True")</f>
        <v>14.747903303936912</v>
      </c>
      <c r="U2514" s="43">
        <f ca="1">_xll.BInterpol('Base CDI'!$H$4:$H$28,'Base CDI'!$I$4:$I$29,S2514,"Cubic","Extrapolate=Linear","MultiX=Average","Skip=True","Sort=True")</f>
        <v>14.819904905184337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48221</v>
      </c>
      <c r="T2515" s="43">
        <f ca="1">_xll.BInterpol('Base CDI'!$H$4:$H$28,'Base CDI'!$J$4:$J$29,S2515,"Cubic","Extrapolate=Linear","MultiX=Average","Skip=True","Sort=True")</f>
        <v>14.747870081675666</v>
      </c>
      <c r="U2515" s="43">
        <f ca="1">_xll.BInterpol('Base CDI'!$H$4:$H$28,'Base CDI'!$I$4:$I$29,S2515,"Cubic","Extrapolate=Linear","MultiX=Average","Skip=True","Sort=True")</f>
        <v>14.819887821404532</v>
      </c>
    </row>
    <row r="2516" spans="16:21" x14ac:dyDescent="0.25">
      <c r="P2516" s="10">
        <v>38170</v>
      </c>
      <c r="Q2516">
        <v>10.96311</v>
      </c>
      <c r="S2516" s="42">
        <f t="shared" ca="1" si="44"/>
        <v>48222</v>
      </c>
      <c r="T2516" s="43">
        <f ca="1">_xll.BInterpol('Base CDI'!$H$4:$H$28,'Base CDI'!$J$4:$J$29,S2516,"Cubic","Extrapolate=Linear","MultiX=Average","Skip=True","Sort=True")</f>
        <v>14.747836814141834</v>
      </c>
      <c r="U2516" s="43">
        <f ca="1">_xll.BInterpol('Base CDI'!$H$4:$H$28,'Base CDI'!$I$4:$I$29,S2516,"Cubic","Extrapolate=Linear","MultiX=Average","Skip=True","Sort=True")</f>
        <v>14.819870664075895</v>
      </c>
    </row>
    <row r="2517" spans="16:21" x14ac:dyDescent="0.25">
      <c r="P2517" s="10">
        <v>38173</v>
      </c>
      <c r="Q2517">
        <v>10.96945</v>
      </c>
      <c r="S2517" s="42">
        <f t="shared" ca="1" si="44"/>
        <v>48223</v>
      </c>
      <c r="T2517" s="43">
        <f ca="1">_xll.BInterpol('Base CDI'!$H$4:$H$28,'Base CDI'!$J$4:$J$29,S2517,"Cubic","Extrapolate=Linear","MultiX=Average","Skip=True","Sort=True")</f>
        <v>14.747803501345787</v>
      </c>
      <c r="U2517" s="43">
        <f ca="1">_xll.BInterpol('Base CDI'!$H$4:$H$28,'Base CDI'!$I$4:$I$29,S2517,"Cubic","Extrapolate=Linear","MultiX=Average","Skip=True","Sort=True")</f>
        <v>14.819853433336828</v>
      </c>
    </row>
    <row r="2518" spans="16:21" x14ac:dyDescent="0.25">
      <c r="P2518" s="10">
        <v>38174</v>
      </c>
      <c r="Q2518">
        <v>10.9758</v>
      </c>
      <c r="S2518" s="42">
        <f t="shared" ca="1" si="44"/>
        <v>48224</v>
      </c>
      <c r="T2518" s="43">
        <f ca="1">_xll.BInterpol('Base CDI'!$H$4:$H$28,'Base CDI'!$J$4:$J$29,S2518,"Cubic","Extrapolate=Linear","MultiX=Average","Skip=True","Sort=True")</f>
        <v>14.747770143297894</v>
      </c>
      <c r="U2518" s="43">
        <f ca="1">_xll.BInterpol('Base CDI'!$H$4:$H$28,'Base CDI'!$I$4:$I$29,S2518,"Cubic","Extrapolate=Linear","MultiX=Average","Skip=True","Sort=True")</f>
        <v>14.819836129325729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48225</v>
      </c>
      <c r="T2519" s="43">
        <f ca="1">_xll.BInterpol('Base CDI'!$H$4:$H$28,'Base CDI'!$J$4:$J$29,S2519,"Cubic","Extrapolate=Linear","MultiX=Average","Skip=True","Sort=True")</f>
        <v>14.747736740008525</v>
      </c>
      <c r="U2519" s="43">
        <f ca="1">_xll.BInterpol('Base CDI'!$H$4:$H$28,'Base CDI'!$I$4:$I$29,S2519,"Cubic","Extrapolate=Linear","MultiX=Average","Skip=True","Sort=True")</f>
        <v>14.819818752180998</v>
      </c>
    </row>
    <row r="2520" spans="16:21" x14ac:dyDescent="0.25">
      <c r="P2520" s="10">
        <v>38176</v>
      </c>
      <c r="Q2520">
        <v>10.9885</v>
      </c>
      <c r="S2520" s="42">
        <f t="shared" ca="1" si="44"/>
        <v>48226</v>
      </c>
      <c r="T2520" s="43">
        <f ca="1">_xll.BInterpol('Base CDI'!$H$4:$H$28,'Base CDI'!$J$4:$J$29,S2520,"Cubic","Extrapolate=Linear","MultiX=Average","Skip=True","Sort=True")</f>
        <v>14.747703291488053</v>
      </c>
      <c r="U2520" s="43">
        <f ca="1">_xll.BInterpol('Base CDI'!$H$4:$H$28,'Base CDI'!$I$4:$I$29,S2520,"Cubic","Extrapolate=Linear","MultiX=Average","Skip=True","Sort=True")</f>
        <v>14.819801302041034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48227</v>
      </c>
      <c r="T2521" s="43">
        <f ca="1">_xll.BInterpol('Base CDI'!$H$4:$H$28,'Base CDI'!$J$4:$J$29,S2521,"Cubic","Extrapolate=Linear","MultiX=Average","Skip=True","Sort=True")</f>
        <v>14.747669797746845</v>
      </c>
      <c r="U2521" s="43">
        <f ca="1">_xll.BInterpol('Base CDI'!$H$4:$H$28,'Base CDI'!$I$4:$I$29,S2521,"Cubic","Extrapolate=Linear","MultiX=Average","Skip=True","Sort=True")</f>
        <v>14.819783779044235</v>
      </c>
    </row>
    <row r="2522" spans="16:21" x14ac:dyDescent="0.25">
      <c r="P2522" s="10">
        <v>38180</v>
      </c>
      <c r="Q2522">
        <v>11.00127</v>
      </c>
      <c r="S2522" s="42">
        <f t="shared" ca="1" si="44"/>
        <v>48228</v>
      </c>
      <c r="T2522" s="43">
        <f ca="1">_xll.BInterpol('Base CDI'!$H$4:$H$28,'Base CDI'!$J$4:$J$29,S2522,"Cubic","Extrapolate=Linear","MultiX=Average","Skip=True","Sort=True")</f>
        <v>14.747636258795271</v>
      </c>
      <c r="U2522" s="43">
        <f ca="1">_xll.BInterpol('Base CDI'!$H$4:$H$28,'Base CDI'!$I$4:$I$29,S2522,"Cubic","Extrapolate=Linear","MultiX=Average","Skip=True","Sort=True")</f>
        <v>14.819766183329001</v>
      </c>
    </row>
    <row r="2523" spans="16:21" x14ac:dyDescent="0.25">
      <c r="P2523" s="10">
        <v>38181</v>
      </c>
      <c r="Q2523">
        <v>11.00764</v>
      </c>
      <c r="S2523" s="42">
        <f t="shared" ca="1" si="44"/>
        <v>48229</v>
      </c>
      <c r="T2523" s="43">
        <f ca="1">_xll.BInterpol('Base CDI'!$H$4:$H$28,'Base CDI'!$J$4:$J$29,S2523,"Cubic","Extrapolate=Linear","MultiX=Average","Skip=True","Sort=True")</f>
        <v>14.747602674643701</v>
      </c>
      <c r="U2523" s="43">
        <f ca="1">_xll.BInterpol('Base CDI'!$H$4:$H$28,'Base CDI'!$I$4:$I$29,S2523,"Cubic","Extrapolate=Linear","MultiX=Average","Skip=True","Sort=True")</f>
        <v>14.819748515033734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48230</v>
      </c>
      <c r="T2524" s="43">
        <f ca="1">_xll.BInterpol('Base CDI'!$H$4:$H$28,'Base CDI'!$J$4:$J$29,S2524,"Cubic","Extrapolate=Linear","MultiX=Average","Skip=True","Sort=True")</f>
        <v>14.747569045302509</v>
      </c>
      <c r="U2524" s="43">
        <f ca="1">_xll.BInterpol('Base CDI'!$H$4:$H$28,'Base CDI'!$I$4:$I$29,S2524,"Cubic","Extrapolate=Linear","MultiX=Average","Skip=True","Sort=True")</f>
        <v>14.819730774296829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48231</v>
      </c>
      <c r="T2525" s="43">
        <f ca="1">_xll.BInterpol('Base CDI'!$H$4:$H$28,'Base CDI'!$J$4:$J$29,S2525,"Cubic","Extrapolate=Linear","MultiX=Average","Skip=True","Sort=True")</f>
        <v>14.747535370782058</v>
      </c>
      <c r="U2525" s="43">
        <f ca="1">_xll.BInterpol('Base CDI'!$H$4:$H$28,'Base CDI'!$I$4:$I$29,S2525,"Cubic","Extrapolate=Linear","MultiX=Average","Skip=True","Sort=True")</f>
        <v>14.819712961256688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48232</v>
      </c>
      <c r="T2526" s="43">
        <f ca="1">_xll.BInterpol('Base CDI'!$H$4:$H$28,'Base CDI'!$J$4:$J$29,S2526,"Cubic","Extrapolate=Linear","MultiX=Average","Skip=True","Sort=True")</f>
        <v>14.747501651092724</v>
      </c>
      <c r="U2526" s="43">
        <f ca="1">_xll.BInterpol('Base CDI'!$H$4:$H$28,'Base CDI'!$I$4:$I$29,S2526,"Cubic","Extrapolate=Linear","MultiX=Average","Skip=True","Sort=True")</f>
        <v>14.819695076051708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48233</v>
      </c>
      <c r="T2527" s="43">
        <f ca="1">_xll.BInterpol('Base CDI'!$H$4:$H$28,'Base CDI'!$J$4:$J$29,S2527,"Cubic","Extrapolate=Linear","MultiX=Average","Skip=True","Sort=True")</f>
        <v>14.747467886244875</v>
      </c>
      <c r="U2527" s="43">
        <f ca="1">_xll.BInterpol('Base CDI'!$H$4:$H$28,'Base CDI'!$I$4:$I$29,S2527,"Cubic","Extrapolate=Linear","MultiX=Average","Skip=True","Sort=True")</f>
        <v>14.819677118820291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48234</v>
      </c>
      <c r="T2528" s="43">
        <f ca="1">_xll.BInterpol('Base CDI'!$H$4:$H$28,'Base CDI'!$J$4:$J$29,S2528,"Cubic","Extrapolate=Linear","MultiX=Average","Skip=True","Sort=True")</f>
        <v>14.747434076248881</v>
      </c>
      <c r="U2528" s="43">
        <f ca="1">_xll.BInterpol('Base CDI'!$H$4:$H$28,'Base CDI'!$I$4:$I$29,S2528,"Cubic","Extrapolate=Linear","MultiX=Average","Skip=True","Sort=True")</f>
        <v>14.819659089700835</v>
      </c>
    </row>
    <row r="2529" spans="16:21" x14ac:dyDescent="0.25">
      <c r="P2529" s="10">
        <v>38189</v>
      </c>
      <c r="Q2529">
        <v>11.04593</v>
      </c>
      <c r="S2529" s="42">
        <f t="shared" ca="1" si="44"/>
        <v>48235</v>
      </c>
      <c r="T2529" s="43">
        <f ca="1">_xll.BInterpol('Base CDI'!$H$4:$H$28,'Base CDI'!$J$4:$J$29,S2529,"Cubic","Extrapolate=Linear","MultiX=Average","Skip=True","Sort=True")</f>
        <v>14.747400221115113</v>
      </c>
      <c r="U2529" s="43">
        <f ca="1">_xll.BInterpol('Base CDI'!$H$4:$H$28,'Base CDI'!$I$4:$I$29,S2529,"Cubic","Extrapolate=Linear","MultiX=Average","Skip=True","Sort=True")</f>
        <v>14.819640988831736</v>
      </c>
    </row>
    <row r="2530" spans="16:21" x14ac:dyDescent="0.25">
      <c r="P2530" s="10">
        <v>38190</v>
      </c>
      <c r="Q2530">
        <v>11.05233</v>
      </c>
      <c r="S2530" s="42">
        <f t="shared" ca="1" si="44"/>
        <v>48236</v>
      </c>
      <c r="T2530" s="43">
        <f ca="1">_xll.BInterpol('Base CDI'!$H$4:$H$28,'Base CDI'!$J$4:$J$29,S2530,"Cubic","Extrapolate=Linear","MultiX=Average","Skip=True","Sort=True")</f>
        <v>14.747366320853939</v>
      </c>
      <c r="U2530" s="43">
        <f ca="1">_xll.BInterpol('Base CDI'!$H$4:$H$28,'Base CDI'!$I$4:$I$29,S2530,"Cubic","Extrapolate=Linear","MultiX=Average","Skip=True","Sort=True")</f>
        <v>14.8196228163514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48237</v>
      </c>
      <c r="T2531" s="43">
        <f ca="1">_xll.BInterpol('Base CDI'!$H$4:$H$28,'Base CDI'!$J$4:$J$29,S2531,"Cubic","Extrapolate=Linear","MultiX=Average","Skip=True","Sort=True")</f>
        <v>14.747332375475731</v>
      </c>
      <c r="U2531" s="43">
        <f ca="1">_xll.BInterpol('Base CDI'!$H$4:$H$28,'Base CDI'!$I$4:$I$29,S2531,"Cubic","Extrapolate=Linear","MultiX=Average","Skip=True","Sort=True")</f>
        <v>14.819604572398219</v>
      </c>
    </row>
    <row r="2532" spans="16:21" x14ac:dyDescent="0.25">
      <c r="P2532" s="10">
        <v>38194</v>
      </c>
      <c r="Q2532">
        <v>11.06512</v>
      </c>
      <c r="S2532" s="42">
        <f t="shared" ca="1" si="44"/>
        <v>48238</v>
      </c>
      <c r="T2532" s="43">
        <f ca="1">_xll.BInterpol('Base CDI'!$H$4:$H$28,'Base CDI'!$J$4:$J$29,S2532,"Cubic","Extrapolate=Linear","MultiX=Average","Skip=True","Sort=True")</f>
        <v>14.747298384990856</v>
      </c>
      <c r="U2532" s="43">
        <f ca="1">_xll.BInterpol('Base CDI'!$H$4:$H$28,'Base CDI'!$I$4:$I$29,S2532,"Cubic","Extrapolate=Linear","MultiX=Average","Skip=True","Sort=True")</f>
        <v>14.819586257110597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48239</v>
      </c>
      <c r="T2533" s="43">
        <f ca="1">_xll.BInterpol('Base CDI'!$H$4:$H$28,'Base CDI'!$J$4:$J$29,S2533,"Cubic","Extrapolate=Linear","MultiX=Average","Skip=True","Sort=True")</f>
        <v>14.747264349409688</v>
      </c>
      <c r="U2533" s="43">
        <f ca="1">_xll.BInterpol('Base CDI'!$H$4:$H$28,'Base CDI'!$I$4:$I$29,S2533,"Cubic","Extrapolate=Linear","MultiX=Average","Skip=True","Sort=True")</f>
        <v>14.819567870626932</v>
      </c>
    </row>
    <row r="2534" spans="16:21" x14ac:dyDescent="0.25">
      <c r="P2534" s="10">
        <v>38196</v>
      </c>
      <c r="Q2534">
        <v>11.07794</v>
      </c>
      <c r="S2534" s="42">
        <f t="shared" ca="1" si="44"/>
        <v>48240</v>
      </c>
      <c r="T2534" s="43">
        <f ca="1">_xll.BInterpol('Base CDI'!$H$4:$H$28,'Base CDI'!$J$4:$J$29,S2534,"Cubic","Extrapolate=Linear","MultiX=Average","Skip=True","Sort=True")</f>
        <v>14.747230268742594</v>
      </c>
      <c r="U2534" s="43">
        <f ca="1">_xll.BInterpol('Base CDI'!$H$4:$H$28,'Base CDI'!$I$4:$I$29,S2534,"Cubic","Extrapolate=Linear","MultiX=Average","Skip=True","Sort=True")</f>
        <v>14.819549413085623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48241</v>
      </c>
      <c r="T2535" s="43">
        <f ca="1">_xll.BInterpol('Base CDI'!$H$4:$H$28,'Base CDI'!$J$4:$J$29,S2535,"Cubic","Extrapolate=Linear","MultiX=Average","Skip=True","Sort=True")</f>
        <v>14.747196142999947</v>
      </c>
      <c r="U2535" s="43">
        <f ca="1">_xll.BInterpol('Base CDI'!$H$4:$H$28,'Base CDI'!$I$4:$I$29,S2535,"Cubic","Extrapolate=Linear","MultiX=Average","Skip=True","Sort=True")</f>
        <v>14.819530884625069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48242</v>
      </c>
      <c r="T2536" s="43">
        <f ca="1">_xll.BInterpol('Base CDI'!$H$4:$H$28,'Base CDI'!$J$4:$J$29,S2536,"Cubic","Extrapolate=Linear","MultiX=Average","Skip=True","Sort=True")</f>
        <v>14.747161972192115</v>
      </c>
      <c r="U2536" s="43">
        <f ca="1">_xll.BInterpol('Base CDI'!$H$4:$H$28,'Base CDI'!$I$4:$I$29,S2536,"Cubic","Extrapolate=Linear","MultiX=Average","Skip=True","Sort=True")</f>
        <v>14.819512285383668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48243</v>
      </c>
      <c r="T2537" s="43">
        <f ca="1">_xll.BInterpol('Base CDI'!$H$4:$H$28,'Base CDI'!$J$4:$J$29,S2537,"Cubic","Extrapolate=Linear","MultiX=Average","Skip=True","Sort=True")</f>
        <v>14.747127756329467</v>
      </c>
      <c r="U2537" s="43">
        <f ca="1">_xll.BInterpol('Base CDI'!$H$4:$H$28,'Base CDI'!$I$4:$I$29,S2537,"Cubic","Extrapolate=Linear","MultiX=Average","Skip=True","Sort=True")</f>
        <v>14.819493615499821</v>
      </c>
    </row>
    <row r="2538" spans="16:21" x14ac:dyDescent="0.25">
      <c r="P2538" s="10">
        <v>38202</v>
      </c>
      <c r="Q2538">
        <v>11.10365</v>
      </c>
      <c r="S2538" s="42">
        <f t="shared" ca="1" si="44"/>
        <v>48244</v>
      </c>
      <c r="T2538" s="43">
        <f ca="1">_xll.BInterpol('Base CDI'!$H$4:$H$28,'Base CDI'!$J$4:$J$29,S2538,"Cubic","Extrapolate=Linear","MultiX=Average","Skip=True","Sort=True")</f>
        <v>14.747093495422376</v>
      </c>
      <c r="U2538" s="43">
        <f ca="1">_xll.BInterpol('Base CDI'!$H$4:$H$28,'Base CDI'!$I$4:$I$29,S2538,"Cubic","Extrapolate=Linear","MultiX=Average","Skip=True","Sort=True")</f>
        <v>14.819474875111929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48245</v>
      </c>
      <c r="T2539" s="43">
        <f ca="1">_xll.BInterpol('Base CDI'!$H$4:$H$28,'Base CDI'!$J$4:$J$29,S2539,"Cubic","Extrapolate=Linear","MultiX=Average","Skip=True","Sort=True")</f>
        <v>14.74705918948121</v>
      </c>
      <c r="U2539" s="43">
        <f ca="1">_xll.BInterpol('Base CDI'!$H$4:$H$28,'Base CDI'!$I$4:$I$29,S2539,"Cubic","Extrapolate=Linear","MultiX=Average","Skip=True","Sort=True")</f>
        <v>14.819456064358388</v>
      </c>
    </row>
    <row r="2540" spans="16:21" x14ac:dyDescent="0.25">
      <c r="P2540" s="10">
        <v>38204</v>
      </c>
      <c r="Q2540">
        <v>11.11655</v>
      </c>
      <c r="S2540" s="42">
        <f t="shared" ca="1" si="44"/>
        <v>48246</v>
      </c>
      <c r="T2540" s="43">
        <f ca="1">_xll.BInterpol('Base CDI'!$H$4:$H$28,'Base CDI'!$J$4:$J$29,S2540,"Cubic","Extrapolate=Linear","MultiX=Average","Skip=True","Sort=True")</f>
        <v>14.747024838516339</v>
      </c>
      <c r="U2540" s="43">
        <f ca="1">_xll.BInterpol('Base CDI'!$H$4:$H$28,'Base CDI'!$I$4:$I$29,S2540,"Cubic","Extrapolate=Linear","MultiX=Average","Skip=True","Sort=True")</f>
        <v>14.819437183377598</v>
      </c>
    </row>
    <row r="2541" spans="16:21" x14ac:dyDescent="0.25">
      <c r="P2541" s="10">
        <v>38205</v>
      </c>
      <c r="Q2541">
        <v>11.12302</v>
      </c>
      <c r="S2541" s="42">
        <f t="shared" ca="1" si="44"/>
        <v>48247</v>
      </c>
      <c r="T2541" s="43">
        <f ca="1">_xll.BInterpol('Base CDI'!$H$4:$H$28,'Base CDI'!$J$4:$J$29,S2541,"Cubic","Extrapolate=Linear","MultiX=Average","Skip=True","Sort=True")</f>
        <v>14.746990442538134</v>
      </c>
      <c r="U2541" s="43">
        <f ca="1">_xll.BInterpol('Base CDI'!$H$4:$H$28,'Base CDI'!$I$4:$I$29,S2541,"Cubic","Extrapolate=Linear","MultiX=Average","Skip=True","Sort=True")</f>
        <v>14.819418232307958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48248</v>
      </c>
      <c r="T2542" s="43">
        <f ca="1">_xll.BInterpol('Base CDI'!$H$4:$H$28,'Base CDI'!$J$4:$J$29,S2542,"Cubic","Extrapolate=Linear","MultiX=Average","Skip=True","Sort=True")</f>
        <v>14.746956001556965</v>
      </c>
      <c r="U2542" s="43">
        <f ca="1">_xll.BInterpol('Base CDI'!$H$4:$H$28,'Base CDI'!$I$4:$I$29,S2542,"Cubic","Extrapolate=Linear","MultiX=Average","Skip=True","Sort=True")</f>
        <v>14.819399211287868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48249</v>
      </c>
      <c r="T2543" s="43">
        <f ca="1">_xll.BInterpol('Base CDI'!$H$4:$H$28,'Base CDI'!$J$4:$J$29,S2543,"Cubic","Extrapolate=Linear","MultiX=Average","Skip=True","Sort=True")</f>
        <v>14.746921515583201</v>
      </c>
      <c r="U2543" s="43">
        <f ca="1">_xll.BInterpol('Base CDI'!$H$4:$H$28,'Base CDI'!$I$4:$I$29,S2543,"Cubic","Extrapolate=Linear","MultiX=Average","Skip=True","Sort=True")</f>
        <v>14.819380120455728</v>
      </c>
    </row>
    <row r="2544" spans="16:21" x14ac:dyDescent="0.25">
      <c r="P2544" s="10">
        <v>38210</v>
      </c>
      <c r="Q2544">
        <v>11.14242</v>
      </c>
      <c r="S2544" s="42">
        <f t="shared" ca="1" si="44"/>
        <v>48250</v>
      </c>
      <c r="T2544" s="43">
        <f ca="1">_xll.BInterpol('Base CDI'!$H$4:$H$28,'Base CDI'!$J$4:$J$29,S2544,"Cubic","Extrapolate=Linear","MultiX=Average","Skip=True","Sort=True")</f>
        <v>14.746886984627212</v>
      </c>
      <c r="U2544" s="43">
        <f ca="1">_xll.BInterpol('Base CDI'!$H$4:$H$28,'Base CDI'!$I$4:$I$29,S2544,"Cubic","Extrapolate=Linear","MultiX=Average","Skip=True","Sort=True")</f>
        <v>14.819360959949934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48251</v>
      </c>
      <c r="T2545" s="43">
        <f ca="1">_xll.BInterpol('Base CDI'!$H$4:$H$28,'Base CDI'!$J$4:$J$29,S2545,"Cubic","Extrapolate=Linear","MultiX=Average","Skip=True","Sort=True")</f>
        <v>14.74685240869937</v>
      </c>
      <c r="U2545" s="43">
        <f ca="1">_xll.BInterpol('Base CDI'!$H$4:$H$28,'Base CDI'!$I$4:$I$29,S2545,"Cubic","Extrapolate=Linear","MultiX=Average","Skip=True","Sort=True")</f>
        <v>14.81934172990889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48252</v>
      </c>
      <c r="T2546" s="43">
        <f ca="1">_xll.BInterpol('Base CDI'!$H$4:$H$28,'Base CDI'!$J$4:$J$29,S2546,"Cubic","Extrapolate=Linear","MultiX=Average","Skip=True","Sort=True")</f>
        <v>14.746817787810043</v>
      </c>
      <c r="U2546" s="43">
        <f ca="1">_xll.BInterpol('Base CDI'!$H$4:$H$28,'Base CDI'!$I$4:$I$29,S2546,"Cubic","Extrapolate=Linear","MultiX=Average","Skip=True","Sort=True")</f>
        <v>14.819322430470992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48253</v>
      </c>
      <c r="T2547" s="43">
        <f ca="1">_xll.BInterpol('Base CDI'!$H$4:$H$28,'Base CDI'!$J$4:$J$29,S2547,"Cubic","Extrapolate=Linear","MultiX=Average","Skip=True","Sort=True")</f>
        <v>14.746783121969601</v>
      </c>
      <c r="U2547" s="43">
        <f ca="1">_xll.BInterpol('Base CDI'!$H$4:$H$28,'Base CDI'!$I$4:$I$29,S2547,"Cubic","Extrapolate=Linear","MultiX=Average","Skip=True","Sort=True")</f>
        <v>14.819303061774638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48254</v>
      </c>
      <c r="T2548" s="43">
        <f ca="1">_xll.BInterpol('Base CDI'!$H$4:$H$28,'Base CDI'!$J$4:$J$29,S2548,"Cubic","Extrapolate=Linear","MultiX=Average","Skip=True","Sort=True")</f>
        <v>14.746748411188415</v>
      </c>
      <c r="U2548" s="43">
        <f ca="1">_xll.BInterpol('Base CDI'!$H$4:$H$28,'Base CDI'!$I$4:$I$29,S2548,"Cubic","Extrapolate=Linear","MultiX=Average","Skip=True","Sort=True")</f>
        <v>14.819283623958231</v>
      </c>
    </row>
    <row r="2549" spans="16:21" x14ac:dyDescent="0.25">
      <c r="P2549" s="10">
        <v>38217</v>
      </c>
      <c r="Q2549">
        <v>11.17482</v>
      </c>
      <c r="S2549" s="42">
        <f t="shared" ca="1" si="44"/>
        <v>48255</v>
      </c>
      <c r="T2549" s="43">
        <f ca="1">_xll.BInterpol('Base CDI'!$H$4:$H$28,'Base CDI'!$J$4:$J$29,S2549,"Cubic","Extrapolate=Linear","MultiX=Average","Skip=True","Sort=True")</f>
        <v>14.746713655476857</v>
      </c>
      <c r="U2549" s="43">
        <f ca="1">_xll.BInterpol('Base CDI'!$H$4:$H$28,'Base CDI'!$I$4:$I$29,S2549,"Cubic","Extrapolate=Linear","MultiX=Average","Skip=True","Sort=True")</f>
        <v>14.819264117160168</v>
      </c>
    </row>
    <row r="2550" spans="16:21" x14ac:dyDescent="0.25">
      <c r="P2550" s="10">
        <v>38218</v>
      </c>
      <c r="Q2550">
        <v>11.1813</v>
      </c>
      <c r="S2550" s="42">
        <f t="shared" ca="1" si="44"/>
        <v>48256</v>
      </c>
      <c r="T2550" s="43">
        <f ca="1">_xll.BInterpol('Base CDI'!$H$4:$H$28,'Base CDI'!$J$4:$J$29,S2550,"Cubic","Extrapolate=Linear","MultiX=Average","Skip=True","Sort=True")</f>
        <v>14.746678854845293</v>
      </c>
      <c r="U2550" s="43">
        <f ca="1">_xll.BInterpol('Base CDI'!$H$4:$H$28,'Base CDI'!$I$4:$I$29,S2550,"Cubic","Extrapolate=Linear","MultiX=Average","Skip=True","Sort=True")</f>
        <v>14.819244541518847</v>
      </c>
    </row>
    <row r="2551" spans="16:21" x14ac:dyDescent="0.25">
      <c r="P2551" s="10">
        <v>38219</v>
      </c>
      <c r="Q2551">
        <v>11.18779</v>
      </c>
      <c r="S2551" s="42">
        <f t="shared" ca="1" si="44"/>
        <v>48257</v>
      </c>
      <c r="T2551" s="43">
        <f ca="1">_xll.BInterpol('Base CDI'!$H$4:$H$28,'Base CDI'!$J$4:$J$29,S2551,"Cubic","Extrapolate=Linear","MultiX=Average","Skip=True","Sort=True")</f>
        <v>14.746644009304095</v>
      </c>
      <c r="U2551" s="43">
        <f ca="1">_xll.BInterpol('Base CDI'!$H$4:$H$28,'Base CDI'!$I$4:$I$29,S2551,"Cubic","Extrapolate=Linear","MultiX=Average","Skip=True","Sort=True")</f>
        <v>14.819224897172671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48258</v>
      </c>
      <c r="T2552" s="43">
        <f ca="1">_xll.BInterpol('Base CDI'!$H$4:$H$28,'Base CDI'!$J$4:$J$29,S2552,"Cubic","Extrapolate=Linear","MultiX=Average","Skip=True","Sort=True")</f>
        <v>14.746609118863633</v>
      </c>
      <c r="U2552" s="43">
        <f ca="1">_xll.BInterpol('Base CDI'!$H$4:$H$28,'Base CDI'!$I$4:$I$29,S2552,"Cubic","Extrapolate=Linear","MultiX=Average","Skip=True","Sort=True")</f>
        <v>14.819205184260035</v>
      </c>
    </row>
    <row r="2553" spans="16:21" x14ac:dyDescent="0.25">
      <c r="P2553" s="10">
        <v>38223</v>
      </c>
      <c r="Q2553">
        <v>11.20079</v>
      </c>
      <c r="S2553" s="42">
        <f t="shared" ca="1" si="44"/>
        <v>48259</v>
      </c>
      <c r="T2553" s="43">
        <f ca="1">_xll.BInterpol('Base CDI'!$H$4:$H$28,'Base CDI'!$J$4:$J$29,S2553,"Cubic","Extrapolate=Linear","MultiX=Average","Skip=True","Sort=True")</f>
        <v>14.746574183534277</v>
      </c>
      <c r="U2553" s="43">
        <f ca="1">_xll.BInterpol('Base CDI'!$H$4:$H$28,'Base CDI'!$I$4:$I$29,S2553,"Cubic","Extrapolate=Linear","MultiX=Average","Skip=True","Sort=True")</f>
        <v>14.819185402919341</v>
      </c>
    </row>
    <row r="2554" spans="16:21" x14ac:dyDescent="0.25">
      <c r="P2554" s="10">
        <v>38224</v>
      </c>
      <c r="Q2554">
        <v>11.2073</v>
      </c>
      <c r="S2554" s="42">
        <f t="shared" ca="1" si="44"/>
        <v>48260</v>
      </c>
      <c r="T2554" s="43">
        <f ca="1">_xll.BInterpol('Base CDI'!$H$4:$H$28,'Base CDI'!$J$4:$J$29,S2554,"Cubic","Extrapolate=Linear","MultiX=Average","Skip=True","Sort=True")</f>
        <v>14.746539203326398</v>
      </c>
      <c r="U2554" s="43">
        <f ca="1">_xll.BInterpol('Base CDI'!$H$4:$H$28,'Base CDI'!$I$4:$I$29,S2554,"Cubic","Extrapolate=Linear","MultiX=Average","Skip=True","Sort=True")</f>
        <v>14.819165553288988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48261</v>
      </c>
      <c r="T2555" s="43">
        <f ca="1">_xll.BInterpol('Base CDI'!$H$4:$H$28,'Base CDI'!$J$4:$J$29,S2555,"Cubic","Extrapolate=Linear","MultiX=Average","Skip=True","Sort=True")</f>
        <v>14.746504178250364</v>
      </c>
      <c r="U2555" s="43">
        <f ca="1">_xll.BInterpol('Base CDI'!$H$4:$H$28,'Base CDI'!$I$4:$I$29,S2555,"Cubic","Extrapolate=Linear","MultiX=Average","Skip=True","Sort=True")</f>
        <v>14.819145635507374</v>
      </c>
    </row>
    <row r="2556" spans="16:21" x14ac:dyDescent="0.25">
      <c r="P2556" s="10">
        <v>38226</v>
      </c>
      <c r="Q2556">
        <v>11.22031</v>
      </c>
      <c r="S2556" s="42">
        <f t="shared" ca="1" si="44"/>
        <v>48262</v>
      </c>
      <c r="T2556" s="43">
        <f ca="1">_xll.BInterpol('Base CDI'!$H$4:$H$28,'Base CDI'!$J$4:$J$29,S2556,"Cubic","Extrapolate=Linear","MultiX=Average","Skip=True","Sort=True")</f>
        <v>14.746469108316546</v>
      </c>
      <c r="U2556" s="43">
        <f ca="1">_xll.BInterpol('Base CDI'!$H$4:$H$28,'Base CDI'!$I$4:$I$29,S2556,"Cubic","Extrapolate=Linear","MultiX=Average","Skip=True","Sort=True")</f>
        <v>14.819125649712898</v>
      </c>
    </row>
    <row r="2557" spans="16:21" x14ac:dyDescent="0.25">
      <c r="P2557" s="10">
        <v>38229</v>
      </c>
      <c r="Q2557">
        <v>11.22683</v>
      </c>
      <c r="S2557" s="42">
        <f t="shared" ca="1" si="44"/>
        <v>48263</v>
      </c>
      <c r="T2557" s="43">
        <f ca="1">_xll.BInterpol('Base CDI'!$H$4:$H$28,'Base CDI'!$J$4:$J$29,S2557,"Cubic","Extrapolate=Linear","MultiX=Average","Skip=True","Sort=True")</f>
        <v>14.746433993535314</v>
      </c>
      <c r="U2557" s="43">
        <f ca="1">_xll.BInterpol('Base CDI'!$H$4:$H$28,'Base CDI'!$I$4:$I$29,S2557,"Cubic","Extrapolate=Linear","MultiX=Average","Skip=True","Sort=True")</f>
        <v>14.819105596043959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48264</v>
      </c>
      <c r="T2558" s="43">
        <f ca="1">_xll.BInterpol('Base CDI'!$H$4:$H$28,'Base CDI'!$J$4:$J$29,S2558,"Cubic","Extrapolate=Linear","MultiX=Average","Skip=True","Sort=True")</f>
        <v>14.746398833917038</v>
      </c>
      <c r="U2558" s="43">
        <f ca="1">_xll.BInterpol('Base CDI'!$H$4:$H$28,'Base CDI'!$I$4:$I$29,S2558,"Cubic","Extrapolate=Linear","MultiX=Average","Skip=True","Sort=True")</f>
        <v>14.81908547463896</v>
      </c>
    </row>
    <row r="2559" spans="16:21" x14ac:dyDescent="0.25">
      <c r="P2559" s="10">
        <v>38231</v>
      </c>
      <c r="Q2559">
        <v>11.23992</v>
      </c>
      <c r="S2559" s="42">
        <f t="shared" ca="1" si="44"/>
        <v>48265</v>
      </c>
      <c r="T2559" s="43">
        <f ca="1">_xll.BInterpol('Base CDI'!$H$4:$H$28,'Base CDI'!$J$4:$J$29,S2559,"Cubic","Extrapolate=Linear","MultiX=Average","Skip=True","Sort=True")</f>
        <v>14.746363629472089</v>
      </c>
      <c r="U2559" s="43">
        <f ca="1">_xll.BInterpol('Base CDI'!$H$4:$H$28,'Base CDI'!$I$4:$I$29,S2559,"Cubic","Extrapolate=Linear","MultiX=Average","Skip=True","Sort=True")</f>
        <v>14.819065285636297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48266</v>
      </c>
      <c r="T2560" s="43">
        <f ca="1">_xll.BInterpol('Base CDI'!$H$4:$H$28,'Base CDI'!$J$4:$J$29,S2560,"Cubic","Extrapolate=Linear","MultiX=Average","Skip=True","Sort=True")</f>
        <v>14.746328380210835</v>
      </c>
      <c r="U2560" s="43">
        <f ca="1">_xll.BInterpol('Base CDI'!$H$4:$H$28,'Base CDI'!$I$4:$I$29,S2560,"Cubic","Extrapolate=Linear","MultiX=Average","Skip=True","Sort=True")</f>
        <v>14.819045029174369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48267</v>
      </c>
      <c r="T2561" s="43">
        <f ca="1">_xll.BInterpol('Base CDI'!$H$4:$H$28,'Base CDI'!$J$4:$J$29,S2561,"Cubic","Extrapolate=Linear","MultiX=Average","Skip=True","Sort=True")</f>
        <v>14.74629308614365</v>
      </c>
      <c r="U2561" s="43">
        <f ca="1">_xll.BInterpol('Base CDI'!$H$4:$H$28,'Base CDI'!$I$4:$I$29,S2561,"Cubic","Extrapolate=Linear","MultiX=Average","Skip=True","Sort=True")</f>
        <v>14.819024705391575</v>
      </c>
    </row>
    <row r="2562" spans="16:21" x14ac:dyDescent="0.25">
      <c r="P2562" s="10">
        <v>38236</v>
      </c>
      <c r="Q2562">
        <v>11.25956</v>
      </c>
      <c r="S2562" s="42">
        <f t="shared" ca="1" si="44"/>
        <v>48268</v>
      </c>
      <c r="T2562" s="43">
        <f ca="1">_xll.BInterpol('Base CDI'!$H$4:$H$28,'Base CDI'!$J$4:$J$29,S2562,"Cubic","Extrapolate=Linear","MultiX=Average","Skip=True","Sort=True")</f>
        <v>14.746257747280898</v>
      </c>
      <c r="U2562" s="43">
        <f ca="1">_xll.BInterpol('Base CDI'!$H$4:$H$28,'Base CDI'!$I$4:$I$29,S2562,"Cubic","Extrapolate=Linear","MultiX=Average","Skip=True","Sort=True")</f>
        <v>14.819004314426316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48269</v>
      </c>
      <c r="T2563" s="43">
        <f ca="1">_xll.BInterpol('Base CDI'!$H$4:$H$28,'Base CDI'!$J$4:$J$29,S2563,"Cubic","Extrapolate=Linear","MultiX=Average","Skip=True","Sort=True")</f>
        <v>14.746222363632954</v>
      </c>
      <c r="U2563" s="43">
        <f ca="1">_xll.BInterpol('Base CDI'!$H$4:$H$28,'Base CDI'!$I$4:$I$29,S2563,"Cubic","Extrapolate=Linear","MultiX=Average","Skip=True","Sort=True")</f>
        <v>14.81898385641699</v>
      </c>
    </row>
    <row r="2564" spans="16:21" x14ac:dyDescent="0.25">
      <c r="P2564" s="10">
        <v>38239</v>
      </c>
      <c r="Q2564">
        <v>11.27267</v>
      </c>
      <c r="S2564" s="42">
        <f t="shared" ca="1" si="44"/>
        <v>48270</v>
      </c>
      <c r="T2564" s="43">
        <f ca="1">_xll.BInterpol('Base CDI'!$H$4:$H$28,'Base CDI'!$J$4:$J$29,S2564,"Cubic","Extrapolate=Linear","MultiX=Average","Skip=True","Sort=True")</f>
        <v>14.746186935210188</v>
      </c>
      <c r="U2564" s="43">
        <f ca="1">_xll.BInterpol('Base CDI'!$H$4:$H$28,'Base CDI'!$I$4:$I$29,S2564,"Cubic","Extrapolate=Linear","MultiX=Average","Skip=True","Sort=True")</f>
        <v>14.818963331501998</v>
      </c>
    </row>
    <row r="2565" spans="16:21" x14ac:dyDescent="0.25">
      <c r="P2565" s="10">
        <v>38240</v>
      </c>
      <c r="Q2565">
        <v>11.27923</v>
      </c>
      <c r="S2565" s="42">
        <f t="shared" ca="1" si="44"/>
        <v>48271</v>
      </c>
      <c r="T2565" s="43">
        <f ca="1">_xll.BInterpol('Base CDI'!$H$4:$H$28,'Base CDI'!$J$4:$J$29,S2565,"Cubic","Extrapolate=Linear","MultiX=Average","Skip=True","Sort=True")</f>
        <v>14.746151462022967</v>
      </c>
      <c r="U2565" s="43">
        <f ca="1">_xll.BInterpol('Base CDI'!$H$4:$H$28,'Base CDI'!$I$4:$I$29,S2565,"Cubic","Extrapolate=Linear","MultiX=Average","Skip=True","Sort=True")</f>
        <v>14.818942739819736</v>
      </c>
    </row>
    <row r="2566" spans="16:21" x14ac:dyDescent="0.25">
      <c r="P2566" s="10">
        <v>38243</v>
      </c>
      <c r="Q2566">
        <v>11.2858</v>
      </c>
      <c r="S2566" s="42">
        <f t="shared" ca="1" si="44"/>
        <v>48272</v>
      </c>
      <c r="T2566" s="43">
        <f ca="1">_xll.BInterpol('Base CDI'!$H$4:$H$28,'Base CDI'!$J$4:$J$29,S2566,"Cubic","Extrapolate=Linear","MultiX=Average","Skip=True","Sort=True")</f>
        <v>14.746115944081662</v>
      </c>
      <c r="U2566" s="43">
        <f ca="1">_xll.BInterpol('Base CDI'!$H$4:$H$28,'Base CDI'!$I$4:$I$29,S2566,"Cubic","Extrapolate=Linear","MultiX=Average","Skip=True","Sort=True")</f>
        <v>14.818922081508607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48273</v>
      </c>
      <c r="T2567" s="43">
        <f ca="1">_xll.BInterpol('Base CDI'!$H$4:$H$28,'Base CDI'!$J$4:$J$29,S2567,"Cubic","Extrapolate=Linear","MultiX=Average","Skip=True","Sort=True")</f>
        <v>14.746080381396643</v>
      </c>
      <c r="U2567" s="43">
        <f ca="1">_xll.BInterpol('Base CDI'!$H$4:$H$28,'Base CDI'!$I$4:$I$29,S2567,"Cubic","Extrapolate=Linear","MultiX=Average","Skip=True","Sort=True")</f>
        <v>14.818901356707006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48274</v>
      </c>
      <c r="T2568" s="43">
        <f ca="1">_xll.BInterpol('Base CDI'!$H$4:$H$28,'Base CDI'!$J$4:$J$29,S2568,"Cubic","Extrapolate=Linear","MultiX=Average","Skip=True","Sort=True")</f>
        <v>14.746044773978282</v>
      </c>
      <c r="U2568" s="43">
        <f ca="1">_xll.BInterpol('Base CDI'!$H$4:$H$28,'Base CDI'!$I$4:$I$29,S2568,"Cubic","Extrapolate=Linear","MultiX=Average","Skip=True","Sort=True")</f>
        <v>14.818880565553336</v>
      </c>
    </row>
    <row r="2569" spans="16:21" x14ac:dyDescent="0.25">
      <c r="P2569" s="10">
        <v>38246</v>
      </c>
      <c r="Q2569">
        <v>11.30561</v>
      </c>
      <c r="S2569" s="42">
        <f t="shared" ca="1" si="44"/>
        <v>48275</v>
      </c>
      <c r="T2569" s="43">
        <f ca="1">_xll.BInterpol('Base CDI'!$H$4:$H$28,'Base CDI'!$J$4:$J$29,S2569,"Cubic","Extrapolate=Linear","MultiX=Average","Skip=True","Sort=True")</f>
        <v>14.746009121836947</v>
      </c>
      <c r="U2569" s="43">
        <f ca="1">_xll.BInterpol('Base CDI'!$H$4:$H$28,'Base CDI'!$I$4:$I$29,S2569,"Cubic","Extrapolate=Linear","MultiX=Average","Skip=True","Sort=True")</f>
        <v>14.818859708185993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48276</v>
      </c>
      <c r="T2570" s="43">
        <f ca="1">_xll.BInterpol('Base CDI'!$H$4:$H$28,'Base CDI'!$J$4:$J$29,S2570,"Cubic","Extrapolate=Linear","MultiX=Average","Skip=True","Sort=True")</f>
        <v>14.745973424983008</v>
      </c>
      <c r="U2570" s="43">
        <f ca="1">_xll.BInterpol('Base CDI'!$H$4:$H$28,'Base CDI'!$I$4:$I$29,S2570,"Cubic","Extrapolate=Linear","MultiX=Average","Skip=True","Sort=True")</f>
        <v>14.818838784743379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48277</v>
      </c>
      <c r="T2571" s="43">
        <f ca="1">_xll.BInterpol('Base CDI'!$H$4:$H$28,'Base CDI'!$J$4:$J$29,S2571,"Cubic","Extrapolate=Linear","MultiX=Average","Skip=True","Sort=True")</f>
        <v>14.745937683426837</v>
      </c>
      <c r="U2571" s="43">
        <f ca="1">_xll.BInterpol('Base CDI'!$H$4:$H$28,'Base CDI'!$I$4:$I$29,S2571,"Cubic","Extrapolate=Linear","MultiX=Average","Skip=True","Sort=True")</f>
        <v>14.818817795363891</v>
      </c>
    </row>
    <row r="2572" spans="16:21" x14ac:dyDescent="0.25">
      <c r="P2572" s="10">
        <v>38251</v>
      </c>
      <c r="Q2572">
        <v>11.32579</v>
      </c>
      <c r="S2572" s="42">
        <f t="shared" ca="1" si="45"/>
        <v>48278</v>
      </c>
      <c r="T2572" s="43">
        <f ca="1">_xll.BInterpol('Base CDI'!$H$4:$H$28,'Base CDI'!$J$4:$J$29,S2572,"Cubic","Extrapolate=Linear","MultiX=Average","Skip=True","Sort=True")</f>
        <v>14.745901897178802</v>
      </c>
      <c r="U2572" s="43">
        <f ca="1">_xll.BInterpol('Base CDI'!$H$4:$H$28,'Base CDI'!$I$4:$I$29,S2572,"Cubic","Extrapolate=Linear","MultiX=Average","Skip=True","Sort=True")</f>
        <v>14.818796740185931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48279</v>
      </c>
      <c r="T2573" s="43">
        <f ca="1">_xll.BInterpol('Base CDI'!$H$4:$H$28,'Base CDI'!$J$4:$J$29,S2573,"Cubic","Extrapolate=Linear","MultiX=Average","Skip=True","Sort=True")</f>
        <v>14.745866066249274</v>
      </c>
      <c r="U2573" s="43">
        <f ca="1">_xll.BInterpol('Base CDI'!$H$4:$H$28,'Base CDI'!$I$4:$I$29,S2573,"Cubic","Extrapolate=Linear","MultiX=Average","Skip=True","Sort=True")</f>
        <v>14.818775619347896</v>
      </c>
    </row>
    <row r="2574" spans="16:21" x14ac:dyDescent="0.25">
      <c r="P2574" s="10">
        <v>38253</v>
      </c>
      <c r="Q2574">
        <v>11.33925</v>
      </c>
      <c r="S2574" s="42">
        <f t="shared" ca="1" si="45"/>
        <v>48280</v>
      </c>
      <c r="T2574" s="43">
        <f ca="1">_xll.BInterpol('Base CDI'!$H$4:$H$28,'Base CDI'!$J$4:$J$29,S2574,"Cubic","Extrapolate=Linear","MultiX=Average","Skip=True","Sort=True")</f>
        <v>14.745830190648622</v>
      </c>
      <c r="U2574" s="43">
        <f ca="1">_xll.BInterpol('Base CDI'!$H$4:$H$28,'Base CDI'!$I$4:$I$29,S2574,"Cubic","Extrapolate=Linear","MultiX=Average","Skip=True","Sort=True")</f>
        <v>14.818754432988186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48281</v>
      </c>
      <c r="T2575" s="43">
        <f ca="1">_xll.BInterpol('Base CDI'!$H$4:$H$28,'Base CDI'!$J$4:$J$29,S2575,"Cubic","Extrapolate=Linear","MultiX=Average","Skip=True","Sort=True")</f>
        <v>14.745794270387217</v>
      </c>
      <c r="U2575" s="43">
        <f ca="1">_xll.BInterpol('Base CDI'!$H$4:$H$28,'Base CDI'!$I$4:$I$29,S2575,"Cubic","Extrapolate=Linear","MultiX=Average","Skip=True","Sort=True")</f>
        <v>14.818733181245198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48282</v>
      </c>
      <c r="T2576" s="43">
        <f ca="1">_xll.BInterpol('Base CDI'!$H$4:$H$28,'Base CDI'!$J$4:$J$29,S2576,"Cubic","Extrapolate=Linear","MultiX=Average","Skip=True","Sort=True")</f>
        <v>14.74575830547543</v>
      </c>
      <c r="U2576" s="43">
        <f ca="1">_xll.BInterpol('Base CDI'!$H$4:$H$28,'Base CDI'!$I$4:$I$29,S2576,"Cubic","Extrapolate=Linear","MultiX=Average","Skip=True","Sort=True")</f>
        <v>14.818711864257336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48283</v>
      </c>
      <c r="T2577" s="43">
        <f ca="1">_xll.BInterpol('Base CDI'!$H$4:$H$28,'Base CDI'!$J$4:$J$29,S2577,"Cubic","Extrapolate=Linear","MultiX=Average","Skip=True","Sort=True")</f>
        <v>14.745722295923628</v>
      </c>
      <c r="U2577" s="43">
        <f ca="1">_xll.BInterpol('Base CDI'!$H$4:$H$28,'Base CDI'!$I$4:$I$29,S2577,"Cubic","Extrapolate=Linear","MultiX=Average","Skip=True","Sort=True")</f>
        <v>14.818690482162994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48284</v>
      </c>
      <c r="T2578" s="43">
        <f ca="1">_xll.BInterpol('Base CDI'!$H$4:$H$28,'Base CDI'!$J$4:$J$29,S2578,"Cubic","Extrapolate=Linear","MultiX=Average","Skip=True","Sort=True")</f>
        <v>14.745686241742185</v>
      </c>
      <c r="U2578" s="43">
        <f ca="1">_xll.BInterpol('Base CDI'!$H$4:$H$28,'Base CDI'!$I$4:$I$29,S2578,"Cubic","Extrapolate=Linear","MultiX=Average","Skip=True","Sort=True")</f>
        <v>14.818669035100575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48285</v>
      </c>
      <c r="T2579" s="43">
        <f ca="1">_xll.BInterpol('Base CDI'!$H$4:$H$28,'Base CDI'!$J$4:$J$29,S2579,"Cubic","Extrapolate=Linear","MultiX=Average","Skip=True","Sort=True")</f>
        <v>14.745650142941468</v>
      </c>
      <c r="U2579" s="43">
        <f ca="1">_xll.BInterpol('Base CDI'!$H$4:$H$28,'Base CDI'!$I$4:$I$29,S2579,"Cubic","Extrapolate=Linear","MultiX=Average","Skip=True","Sort=True")</f>
        <v>14.818647523208476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48286</v>
      </c>
      <c r="T2580" s="43">
        <f ca="1">_xll.BInterpol('Base CDI'!$H$4:$H$28,'Base CDI'!$J$4:$J$29,S2580,"Cubic","Extrapolate=Linear","MultiX=Average","Skip=True","Sort=True")</f>
        <v>14.745613999531848</v>
      </c>
      <c r="U2580" s="43">
        <f ca="1">_xll.BInterpol('Base CDI'!$H$4:$H$28,'Base CDI'!$I$4:$I$29,S2580,"Cubic","Extrapolate=Linear","MultiX=Average","Skip=True","Sort=True")</f>
        <v>14.818625946625097</v>
      </c>
    </row>
    <row r="2581" spans="16:21" x14ac:dyDescent="0.25">
      <c r="P2581" s="10">
        <v>38264</v>
      </c>
      <c r="Q2581">
        <v>11.38654</v>
      </c>
      <c r="S2581" s="42">
        <f t="shared" ca="1" si="45"/>
        <v>48287</v>
      </c>
      <c r="T2581" s="43">
        <f ca="1">_xll.BInterpol('Base CDI'!$H$4:$H$28,'Base CDI'!$J$4:$J$29,S2581,"Cubic","Extrapolate=Linear","MultiX=Average","Skip=True","Sort=True")</f>
        <v>14.745577811523695</v>
      </c>
      <c r="U2581" s="43">
        <f ca="1">_xll.BInterpol('Base CDI'!$H$4:$H$28,'Base CDI'!$I$4:$I$29,S2581,"Cubic","Extrapolate=Linear","MultiX=Average","Skip=True","Sort=True")</f>
        <v>14.818604305488838</v>
      </c>
    </row>
    <row r="2582" spans="16:21" x14ac:dyDescent="0.25">
      <c r="P2582" s="10">
        <v>38265</v>
      </c>
      <c r="Q2582">
        <v>11.39331</v>
      </c>
      <c r="S2582" s="42">
        <f t="shared" ca="1" si="45"/>
        <v>48288</v>
      </c>
      <c r="T2582" s="43">
        <f ca="1">_xll.BInterpol('Base CDI'!$H$4:$H$28,'Base CDI'!$J$4:$J$29,S2582,"Cubic","Extrapolate=Linear","MultiX=Average","Skip=True","Sort=True")</f>
        <v>14.745541578927378</v>
      </c>
      <c r="U2582" s="43">
        <f ca="1">_xll.BInterpol('Base CDI'!$H$4:$H$28,'Base CDI'!$I$4:$I$29,S2582,"Cubic","Extrapolate=Linear","MultiX=Average","Skip=True","Sort=True")</f>
        <v>14.818582599938098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48289</v>
      </c>
      <c r="T2583" s="43">
        <f ca="1">_xll.BInterpol('Base CDI'!$H$4:$H$28,'Base CDI'!$J$4:$J$29,S2583,"Cubic","Extrapolate=Linear","MultiX=Average","Skip=True","Sort=True")</f>
        <v>14.745505301753269</v>
      </c>
      <c r="U2583" s="43">
        <f ca="1">_xll.BInterpol('Base CDI'!$H$4:$H$28,'Base CDI'!$I$4:$I$29,S2583,"Cubic","Extrapolate=Linear","MultiX=Average","Skip=True","Sort=True")</f>
        <v>14.818560830111275</v>
      </c>
    </row>
    <row r="2584" spans="16:21" x14ac:dyDescent="0.25">
      <c r="P2584" s="10">
        <v>38267</v>
      </c>
      <c r="Q2584">
        <v>11.40685</v>
      </c>
      <c r="S2584" s="42">
        <f t="shared" ca="1" si="45"/>
        <v>48290</v>
      </c>
      <c r="T2584" s="43">
        <f ca="1">_xll.BInterpol('Base CDI'!$H$4:$H$28,'Base CDI'!$J$4:$J$29,S2584,"Cubic","Extrapolate=Linear","MultiX=Average","Skip=True","Sort=True")</f>
        <v>14.745468980011738</v>
      </c>
      <c r="U2584" s="43">
        <f ca="1">_xll.BInterpol('Base CDI'!$H$4:$H$28,'Base CDI'!$I$4:$I$29,S2584,"Cubic","Extrapolate=Linear","MultiX=Average","Skip=True","Sort=True")</f>
        <v>14.818538996146769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48291</v>
      </c>
      <c r="T2585" s="43">
        <f ca="1">_xll.BInterpol('Base CDI'!$H$4:$H$28,'Base CDI'!$J$4:$J$29,S2585,"Cubic","Extrapolate=Linear","MultiX=Average","Skip=True","Sort=True")</f>
        <v>14.745432613713154</v>
      </c>
      <c r="U2585" s="43">
        <f ca="1">_xll.BInterpol('Base CDI'!$H$4:$H$28,'Base CDI'!$I$4:$I$29,S2585,"Cubic","Extrapolate=Linear","MultiX=Average","Skip=True","Sort=True")</f>
        <v>14.81851709818298</v>
      </c>
    </row>
    <row r="2586" spans="16:21" x14ac:dyDescent="0.25">
      <c r="P2586" s="10">
        <v>38271</v>
      </c>
      <c r="Q2586">
        <v>11.42041</v>
      </c>
      <c r="S2586" s="42">
        <f t="shared" ca="1" si="45"/>
        <v>48292</v>
      </c>
      <c r="T2586" s="43">
        <f ca="1">_xll.BInterpol('Base CDI'!$H$4:$H$28,'Base CDI'!$J$4:$J$29,S2586,"Cubic","Extrapolate=Linear","MultiX=Average","Skip=True","Sort=True")</f>
        <v>14.745396202867887</v>
      </c>
      <c r="U2586" s="43">
        <f ca="1">_xll.BInterpol('Base CDI'!$H$4:$H$28,'Base CDI'!$I$4:$I$29,S2586,"Cubic","Extrapolate=Linear","MultiX=Average","Skip=True","Sort=True")</f>
        <v>14.818495136358305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48293</v>
      </c>
      <c r="T2587" s="43">
        <f ca="1">_xll.BInterpol('Base CDI'!$H$4:$H$28,'Base CDI'!$J$4:$J$29,S2587,"Cubic","Extrapolate=Linear","MultiX=Average","Skip=True","Sort=True")</f>
        <v>14.745359747486306</v>
      </c>
      <c r="U2587" s="43">
        <f ca="1">_xll.BInterpol('Base CDI'!$H$4:$H$28,'Base CDI'!$I$4:$I$29,S2587,"Cubic","Extrapolate=Linear","MultiX=Average","Skip=True","Sort=True")</f>
        <v>14.818473110811144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48294</v>
      </c>
      <c r="T2588" s="43">
        <f ca="1">_xll.BInterpol('Base CDI'!$H$4:$H$28,'Base CDI'!$J$4:$J$29,S2588,"Cubic","Extrapolate=Linear","MultiX=Average","Skip=True","Sort=True")</f>
        <v>14.745323247578783</v>
      </c>
      <c r="U2588" s="43">
        <f ca="1">_xll.BInterpol('Base CDI'!$H$4:$H$28,'Base CDI'!$I$4:$I$29,S2588,"Cubic","Extrapolate=Linear","MultiX=Average","Skip=True","Sort=True")</f>
        <v>14.818451021679898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48295</v>
      </c>
      <c r="T2589" s="43">
        <f ca="1">_xll.BInterpol('Base CDI'!$H$4:$H$28,'Base CDI'!$J$4:$J$29,S2589,"Cubic","Extrapolate=Linear","MultiX=Average","Skip=True","Sort=True")</f>
        <v>14.745286703155688</v>
      </c>
      <c r="U2589" s="43">
        <f ca="1">_xll.BInterpol('Base CDI'!$H$4:$H$28,'Base CDI'!$I$4:$I$29,S2589,"Cubic","Extrapolate=Linear","MultiX=Average","Skip=True","Sort=True")</f>
        <v>14.818428869102966</v>
      </c>
    </row>
    <row r="2590" spans="16:21" x14ac:dyDescent="0.25">
      <c r="P2590" s="10">
        <v>38278</v>
      </c>
      <c r="Q2590">
        <v>11.4476</v>
      </c>
      <c r="S2590" s="42">
        <f t="shared" ca="1" si="45"/>
        <v>48296</v>
      </c>
      <c r="T2590" s="43">
        <f ca="1">_xll.BInterpol('Base CDI'!$H$4:$H$28,'Base CDI'!$J$4:$J$29,S2590,"Cubic","Extrapolate=Linear","MultiX=Average","Skip=True","Sort=True")</f>
        <v>14.745250114227391</v>
      </c>
      <c r="U2590" s="43">
        <f ca="1">_xll.BInterpol('Base CDI'!$H$4:$H$28,'Base CDI'!$I$4:$I$29,S2590,"Cubic","Extrapolate=Linear","MultiX=Average","Skip=True","Sort=True")</f>
        <v>14.818406653218744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48297</v>
      </c>
      <c r="T2591" s="43">
        <f ca="1">_xll.BInterpol('Base CDI'!$H$4:$H$28,'Base CDI'!$J$4:$J$29,S2591,"Cubic","Extrapolate=Linear","MultiX=Average","Skip=True","Sort=True")</f>
        <v>14.74521348080426</v>
      </c>
      <c r="U2591" s="43">
        <f ca="1">_xll.BInterpol('Base CDI'!$H$4:$H$28,'Base CDI'!$I$4:$I$29,S2591,"Cubic","Extrapolate=Linear","MultiX=Average","Skip=True","Sort=True")</f>
        <v>14.818384374165635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48298</v>
      </c>
      <c r="T2592" s="43">
        <f ca="1">_xll.BInterpol('Base CDI'!$H$4:$H$28,'Base CDI'!$J$4:$J$29,S2592,"Cubic","Extrapolate=Linear","MultiX=Average","Skip=True","Sort=True")</f>
        <v>14.745176802896667</v>
      </c>
      <c r="U2592" s="43">
        <f ca="1">_xll.BInterpol('Base CDI'!$H$4:$H$28,'Base CDI'!$I$4:$I$29,S2592,"Cubic","Extrapolate=Linear","MultiX=Average","Skip=True","Sort=True")</f>
        <v>14.818362032082037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48299</v>
      </c>
      <c r="T2593" s="43">
        <f ca="1">_xll.BInterpol('Base CDI'!$H$4:$H$28,'Base CDI'!$J$4:$J$29,S2593,"Cubic","Extrapolate=Linear","MultiX=Average","Skip=True","Sort=True")</f>
        <v>14.745140080514982</v>
      </c>
      <c r="U2593" s="43">
        <f ca="1">_xll.BInterpol('Base CDI'!$H$4:$H$28,'Base CDI'!$I$4:$I$29,S2593,"Cubic","Extrapolate=Linear","MultiX=Average","Skip=True","Sort=True")</f>
        <v>14.818339627106347</v>
      </c>
    </row>
    <row r="2594" spans="16:21" x14ac:dyDescent="0.25">
      <c r="P2594" s="10">
        <v>38282</v>
      </c>
      <c r="Q2594">
        <v>11.47503</v>
      </c>
      <c r="S2594" s="42">
        <f t="shared" ca="1" si="45"/>
        <v>48300</v>
      </c>
      <c r="T2594" s="43">
        <f ca="1">_xll.BInterpol('Base CDI'!$H$4:$H$28,'Base CDI'!$J$4:$J$29,S2594,"Cubic","Extrapolate=Linear","MultiX=Average","Skip=True","Sort=True")</f>
        <v>14.745103313669574</v>
      </c>
      <c r="U2594" s="43">
        <f ca="1">_xll.BInterpol('Base CDI'!$H$4:$H$28,'Base CDI'!$I$4:$I$29,S2594,"Cubic","Extrapolate=Linear","MultiX=Average","Skip=True","Sort=True")</f>
        <v>14.818317159376969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48301</v>
      </c>
      <c r="T2595" s="43">
        <f ca="1">_xll.BInterpol('Base CDI'!$H$4:$H$28,'Base CDI'!$J$4:$J$29,S2595,"Cubic","Extrapolate=Linear","MultiX=Average","Skip=True","Sort=True")</f>
        <v>14.745066502370815</v>
      </c>
      <c r="U2595" s="43">
        <f ca="1">_xll.BInterpol('Base CDI'!$H$4:$H$28,'Base CDI'!$I$4:$I$29,S2595,"Cubic","Extrapolate=Linear","MultiX=Average","Skip=True","Sort=True")</f>
        <v>14.818294629032296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48302</v>
      </c>
      <c r="T2596" s="43">
        <f ca="1">_xll.BInterpol('Base CDI'!$H$4:$H$28,'Base CDI'!$J$4:$J$29,S2596,"Cubic","Extrapolate=Linear","MultiX=Average","Skip=True","Sort=True")</f>
        <v>14.745029646629071</v>
      </c>
      <c r="U2596" s="43">
        <f ca="1">_xll.BInterpol('Base CDI'!$H$4:$H$28,'Base CDI'!$I$4:$I$29,S2596,"Cubic","Extrapolate=Linear","MultiX=Average","Skip=True","Sort=True")</f>
        <v>14.818272036210733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48303</v>
      </c>
      <c r="T2597" s="43">
        <f ca="1">_xll.BInterpol('Base CDI'!$H$4:$H$28,'Base CDI'!$J$4:$J$29,S2597,"Cubic","Extrapolate=Linear","MultiX=Average","Skip=True","Sort=True")</f>
        <v>14.744992746454717</v>
      </c>
      <c r="U2597" s="43">
        <f ca="1">_xll.BInterpol('Base CDI'!$H$4:$H$28,'Base CDI'!$I$4:$I$29,S2597,"Cubic","Extrapolate=Linear","MultiX=Average","Skip=True","Sort=True")</f>
        <v>14.818249381050675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48304</v>
      </c>
      <c r="T2598" s="43">
        <f ca="1">_xll.BInterpol('Base CDI'!$H$4:$H$28,'Base CDI'!$J$4:$J$29,S2598,"Cubic","Extrapolate=Linear","MultiX=Average","Skip=True","Sort=True")</f>
        <v>14.744955801858119</v>
      </c>
      <c r="U2598" s="43">
        <f ca="1">_xll.BInterpol('Base CDI'!$H$4:$H$28,'Base CDI'!$I$4:$I$29,S2598,"Cubic","Extrapolate=Linear","MultiX=Average","Skip=True","Sort=True")</f>
        <v>14.818226663690526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48305</v>
      </c>
      <c r="T2599" s="43">
        <f ca="1">_xll.BInterpol('Base CDI'!$H$4:$H$28,'Base CDI'!$J$4:$J$29,S2599,"Cubic","Extrapolate=Linear","MultiX=Average","Skip=True","Sort=True")</f>
        <v>14.744918812849649</v>
      </c>
      <c r="U2599" s="43">
        <f ca="1">_xll.BInterpol('Base CDI'!$H$4:$H$28,'Base CDI'!$I$4:$I$29,S2599,"Cubic","Extrapolate=Linear","MultiX=Average","Skip=True","Sort=True")</f>
        <v>14.81820388426868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48306</v>
      </c>
      <c r="T2600" s="43">
        <f ca="1">_xll.BInterpol('Base CDI'!$H$4:$H$28,'Base CDI'!$J$4:$J$29,S2600,"Cubic","Extrapolate=Linear","MultiX=Average","Skip=True","Sort=True")</f>
        <v>14.744881779439677</v>
      </c>
      <c r="U2600" s="43">
        <f ca="1">_xll.BInterpol('Base CDI'!$H$4:$H$28,'Base CDI'!$I$4:$I$29,S2600,"Cubic","Extrapolate=Linear","MultiX=Average","Skip=True","Sort=True")</f>
        <v>14.818181042923538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48307</v>
      </c>
      <c r="T2601" s="43">
        <f ca="1">_xll.BInterpol('Base CDI'!$H$4:$H$28,'Base CDI'!$J$4:$J$29,S2601,"Cubic","Extrapolate=Linear","MultiX=Average","Skip=True","Sort=True")</f>
        <v>14.744844701638574</v>
      </c>
      <c r="U2601" s="43">
        <f ca="1">_xll.BInterpol('Base CDI'!$H$4:$H$28,'Base CDI'!$I$4:$I$29,S2601,"Cubic","Extrapolate=Linear","MultiX=Average","Skip=True","Sort=True")</f>
        <v>14.8181581397935</v>
      </c>
    </row>
    <row r="2602" spans="16:21" x14ac:dyDescent="0.25">
      <c r="P2602" s="10">
        <v>38295</v>
      </c>
      <c r="Q2602">
        <v>11.53135</v>
      </c>
      <c r="S2602" s="42">
        <f t="shared" ca="1" si="45"/>
        <v>48308</v>
      </c>
      <c r="T2602" s="43">
        <f ca="1">_xll.BInterpol('Base CDI'!$H$4:$H$28,'Base CDI'!$J$4:$J$29,S2602,"Cubic","Extrapolate=Linear","MultiX=Average","Skip=True","Sort=True")</f>
        <v>14.744807579456706</v>
      </c>
      <c r="U2602" s="43">
        <f ca="1">_xll.BInterpol('Base CDI'!$H$4:$H$28,'Base CDI'!$I$4:$I$29,S2602,"Cubic","Extrapolate=Linear","MultiX=Average","Skip=True","Sort=True")</f>
        <v>14.818135175016966</v>
      </c>
    </row>
    <row r="2603" spans="16:21" x14ac:dyDescent="0.25">
      <c r="P2603" s="10">
        <v>38296</v>
      </c>
      <c r="Q2603">
        <v>11.53842</v>
      </c>
      <c r="S2603" s="42">
        <f t="shared" ca="1" si="45"/>
        <v>48309</v>
      </c>
      <c r="T2603" s="43">
        <f ca="1">_xll.BInterpol('Base CDI'!$H$4:$H$28,'Base CDI'!$J$4:$J$29,S2603,"Cubic","Extrapolate=Linear","MultiX=Average","Skip=True","Sort=True")</f>
        <v>14.744770412904449</v>
      </c>
      <c r="U2603" s="43">
        <f ca="1">_xll.BInterpol('Base CDI'!$H$4:$H$28,'Base CDI'!$I$4:$I$29,S2603,"Cubic","Extrapolate=Linear","MultiX=Average","Skip=True","Sort=True")</f>
        <v>14.818112148732332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48310</v>
      </c>
      <c r="T2604" s="43">
        <f ca="1">_xll.BInterpol('Base CDI'!$H$4:$H$28,'Base CDI'!$J$4:$J$29,S2604,"Cubic","Extrapolate=Linear","MultiX=Average","Skip=True","Sort=True")</f>
        <v>14.744733201992169</v>
      </c>
      <c r="U2604" s="43">
        <f ca="1">_xll.BInterpol('Base CDI'!$H$4:$H$28,'Base CDI'!$I$4:$I$29,S2604,"Cubic","Extrapolate=Linear","MultiX=Average","Skip=True","Sort=True")</f>
        <v>14.818089061078002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48311</v>
      </c>
      <c r="T2605" s="43">
        <f ca="1">_xll.BInterpol('Base CDI'!$H$4:$H$28,'Base CDI'!$J$4:$J$29,S2605,"Cubic","Extrapolate=Linear","MultiX=Average","Skip=True","Sort=True")</f>
        <v>14.744695946730236</v>
      </c>
      <c r="U2605" s="43">
        <f ca="1">_xll.BInterpol('Base CDI'!$H$4:$H$28,'Base CDI'!$I$4:$I$29,S2605,"Cubic","Extrapolate=Linear","MultiX=Average","Skip=True","Sort=True")</f>
        <v>14.81806591219237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48312</v>
      </c>
      <c r="T2606" s="43">
        <f ca="1">_xll.BInterpol('Base CDI'!$H$4:$H$28,'Base CDI'!$J$4:$J$29,S2606,"Cubic","Extrapolate=Linear","MultiX=Average","Skip=True","Sort=True")</f>
        <v>14.744658647129022</v>
      </c>
      <c r="U2606" s="43">
        <f ca="1">_xll.BInterpol('Base CDI'!$H$4:$H$28,'Base CDI'!$I$4:$I$29,S2606,"Cubic","Extrapolate=Linear","MultiX=Average","Skip=True","Sort=True")</f>
        <v>14.818042702213839</v>
      </c>
    </row>
    <row r="2607" spans="16:21" x14ac:dyDescent="0.25">
      <c r="P2607" s="10">
        <v>38302</v>
      </c>
      <c r="Q2607">
        <v>11.56676</v>
      </c>
      <c r="S2607" s="42">
        <f t="shared" ca="1" si="45"/>
        <v>48313</v>
      </c>
      <c r="T2607" s="43">
        <f ca="1">_xll.BInterpol('Base CDI'!$H$4:$H$28,'Base CDI'!$J$4:$J$29,S2607,"Cubic","Extrapolate=Linear","MultiX=Average","Skip=True","Sort=True")</f>
        <v>14.744621303198896</v>
      </c>
      <c r="U2607" s="43">
        <f ca="1">_xll.BInterpol('Base CDI'!$H$4:$H$28,'Base CDI'!$I$4:$I$29,S2607,"Cubic","Extrapolate=Linear","MultiX=Average","Skip=True","Sort=True")</f>
        <v>14.818019431280806</v>
      </c>
    </row>
    <row r="2608" spans="16:21" x14ac:dyDescent="0.25">
      <c r="P2608" s="10">
        <v>38303</v>
      </c>
      <c r="Q2608">
        <v>11.57385</v>
      </c>
      <c r="S2608" s="42">
        <f t="shared" ca="1" si="45"/>
        <v>48314</v>
      </c>
      <c r="T2608" s="43">
        <f ca="1">_xll.BInterpol('Base CDI'!$H$4:$H$28,'Base CDI'!$J$4:$J$29,S2608,"Cubic","Extrapolate=Linear","MultiX=Average","Skip=True","Sort=True")</f>
        <v>14.744583914950226</v>
      </c>
      <c r="U2608" s="43">
        <f ca="1">_xll.BInterpol('Base CDI'!$H$4:$H$28,'Base CDI'!$I$4:$I$29,S2608,"Cubic","Extrapolate=Linear","MultiX=Average","Skip=True","Sort=True")</f>
        <v>14.817996099531673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48315</v>
      </c>
      <c r="T2609" s="43">
        <f ca="1">_xll.BInterpol('Base CDI'!$H$4:$H$28,'Base CDI'!$J$4:$J$29,S2609,"Cubic","Extrapolate=Linear","MultiX=Average","Skip=True","Sort=True")</f>
        <v>14.744546482393387</v>
      </c>
      <c r="U2609" s="43">
        <f ca="1">_xll.BInterpol('Base CDI'!$H$4:$H$28,'Base CDI'!$I$4:$I$29,S2609,"Cubic","Extrapolate=Linear","MultiX=Average","Skip=True","Sort=True")</f>
        <v>14.817972707104836</v>
      </c>
    </row>
    <row r="2610" spans="16:21" x14ac:dyDescent="0.25">
      <c r="P2610" s="10">
        <v>38308</v>
      </c>
      <c r="Q2610">
        <v>11.58807</v>
      </c>
      <c r="S2610" s="42">
        <f t="shared" ca="1" si="45"/>
        <v>48316</v>
      </c>
      <c r="T2610" s="43">
        <f ca="1">_xll.BInterpol('Base CDI'!$H$4:$H$28,'Base CDI'!$J$4:$J$29,S2610,"Cubic","Extrapolate=Linear","MultiX=Average","Skip=True","Sort=True")</f>
        <v>14.744509005538744</v>
      </c>
      <c r="U2610" s="43">
        <f ca="1">_xll.BInterpol('Base CDI'!$H$4:$H$28,'Base CDI'!$I$4:$I$29,S2610,"Cubic","Extrapolate=Linear","MultiX=Average","Skip=True","Sort=True")</f>
        <v>14.817949254138696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48317</v>
      </c>
      <c r="T2611" s="43">
        <f ca="1">_xll.BInterpol('Base CDI'!$H$4:$H$28,'Base CDI'!$J$4:$J$29,S2611,"Cubic","Extrapolate=Linear","MultiX=Average","Skip=True","Sort=True")</f>
        <v>14.744471484396671</v>
      </c>
      <c r="U2611" s="43">
        <f ca="1">_xll.BInterpol('Base CDI'!$H$4:$H$28,'Base CDI'!$I$4:$I$29,S2611,"Cubic","Extrapolate=Linear","MultiX=Average","Skip=True","Sort=True")</f>
        <v>14.817925740771653</v>
      </c>
    </row>
    <row r="2612" spans="16:21" x14ac:dyDescent="0.25">
      <c r="P2612" s="10">
        <v>38310</v>
      </c>
      <c r="Q2612">
        <v>11.60249</v>
      </c>
      <c r="S2612" s="42">
        <f t="shared" ca="1" si="45"/>
        <v>48318</v>
      </c>
      <c r="T2612" s="43">
        <f ca="1">_xll.BInterpol('Base CDI'!$H$4:$H$28,'Base CDI'!$J$4:$J$29,S2612,"Cubic","Extrapolate=Linear","MultiX=Average","Skip=True","Sort=True")</f>
        <v>14.744433918977535</v>
      </c>
      <c r="U2612" s="43">
        <f ca="1">_xll.BInterpol('Base CDI'!$H$4:$H$28,'Base CDI'!$I$4:$I$29,S2612,"Cubic","Extrapolate=Linear","MultiX=Average","Skip=True","Sort=True")</f>
        <v>14.817902167142103</v>
      </c>
    </row>
    <row r="2613" spans="16:21" x14ac:dyDescent="0.25">
      <c r="P2613" s="10">
        <v>38313</v>
      </c>
      <c r="Q2613">
        <v>11.6098</v>
      </c>
      <c r="S2613" s="42">
        <f t="shared" ca="1" si="45"/>
        <v>48319</v>
      </c>
      <c r="T2613" s="43">
        <f ca="1">_xll.BInterpol('Base CDI'!$H$4:$H$28,'Base CDI'!$J$4:$J$29,S2613,"Cubic","Extrapolate=Linear","MultiX=Average","Skip=True","Sort=True")</f>
        <v>14.744396309291707</v>
      </c>
      <c r="U2613" s="43">
        <f ca="1">_xll.BInterpol('Base CDI'!$H$4:$H$28,'Base CDI'!$I$4:$I$29,S2613,"Cubic","Extrapolate=Linear","MultiX=Average","Skip=True","Sort=True")</f>
        <v>14.817878533388448</v>
      </c>
    </row>
    <row r="2614" spans="16:21" x14ac:dyDescent="0.25">
      <c r="P2614" s="10">
        <v>38314</v>
      </c>
      <c r="Q2614">
        <v>11.61712</v>
      </c>
      <c r="S2614" s="42">
        <f t="shared" ca="1" si="45"/>
        <v>48320</v>
      </c>
      <c r="T2614" s="43">
        <f ca="1">_xll.BInterpol('Base CDI'!$H$4:$H$28,'Base CDI'!$J$4:$J$29,S2614,"Cubic","Extrapolate=Linear","MultiX=Average","Skip=True","Sort=True")</f>
        <v>14.744358655349558</v>
      </c>
      <c r="U2614" s="43">
        <f ca="1">_xll.BInterpol('Base CDI'!$H$4:$H$28,'Base CDI'!$I$4:$I$29,S2614,"Cubic","Extrapolate=Linear","MultiX=Average","Skip=True","Sort=True")</f>
        <v>14.817854839649087</v>
      </c>
    </row>
    <row r="2615" spans="16:21" x14ac:dyDescent="0.25">
      <c r="P2615" s="10">
        <v>38315</v>
      </c>
      <c r="Q2615">
        <v>11.62444</v>
      </c>
      <c r="S2615" s="42">
        <f t="shared" ca="1" si="45"/>
        <v>48321</v>
      </c>
      <c r="T2615" s="43">
        <f ca="1">_xll.BInterpol('Base CDI'!$H$4:$H$28,'Base CDI'!$J$4:$J$29,S2615,"Cubic","Extrapolate=Linear","MultiX=Average","Skip=True","Sort=True")</f>
        <v>14.744320957161458</v>
      </c>
      <c r="U2615" s="43">
        <f ca="1">_xll.BInterpol('Base CDI'!$H$4:$H$28,'Base CDI'!$I$4:$I$29,S2615,"Cubic","Extrapolate=Linear","MultiX=Average","Skip=True","Sort=True")</f>
        <v>14.817831086062419</v>
      </c>
    </row>
    <row r="2616" spans="16:21" x14ac:dyDescent="0.25">
      <c r="P2616" s="10">
        <v>38316</v>
      </c>
      <c r="Q2616">
        <v>11.63176</v>
      </c>
      <c r="S2616" s="42">
        <f t="shared" ca="1" si="45"/>
        <v>48322</v>
      </c>
      <c r="T2616" s="43">
        <f ca="1">_xll.BInterpol('Base CDI'!$H$4:$H$28,'Base CDI'!$J$4:$J$29,S2616,"Cubic","Extrapolate=Linear","MultiX=Average","Skip=True","Sort=True")</f>
        <v>14.744283214737775</v>
      </c>
      <c r="U2616" s="43">
        <f ca="1">_xll.BInterpol('Base CDI'!$H$4:$H$28,'Base CDI'!$I$4:$I$29,S2616,"Cubic","Extrapolate=Linear","MultiX=Average","Skip=True","Sort=True")</f>
        <v>14.817807272766842</v>
      </c>
    </row>
    <row r="2617" spans="16:21" x14ac:dyDescent="0.25">
      <c r="P2617" s="10">
        <v>38317</v>
      </c>
      <c r="Q2617">
        <v>11.63907</v>
      </c>
      <c r="S2617" s="42">
        <f t="shared" ca="1" si="45"/>
        <v>48323</v>
      </c>
      <c r="T2617" s="43">
        <f ca="1">_xll.BInterpol('Base CDI'!$H$4:$H$28,'Base CDI'!$J$4:$J$29,S2617,"Cubic","Extrapolate=Linear","MultiX=Average","Skip=True","Sort=True")</f>
        <v>14.744245428088881</v>
      </c>
      <c r="U2617" s="43">
        <f ca="1">_xll.BInterpol('Base CDI'!$H$4:$H$28,'Base CDI'!$I$4:$I$29,S2617,"Cubic","Extrapolate=Linear","MultiX=Average","Skip=True","Sort=True")</f>
        <v>14.817783399900756</v>
      </c>
    </row>
    <row r="2618" spans="16:21" x14ac:dyDescent="0.25">
      <c r="P2618" s="10">
        <v>38320</v>
      </c>
      <c r="Q2618">
        <v>11.64639</v>
      </c>
      <c r="S2618" s="42">
        <f t="shared" ca="1" si="45"/>
        <v>48324</v>
      </c>
      <c r="T2618" s="43">
        <f ca="1">_xll.BInterpol('Base CDI'!$H$4:$H$28,'Base CDI'!$J$4:$J$29,S2618,"Cubic","Extrapolate=Linear","MultiX=Average","Skip=True","Sort=True")</f>
        <v>14.744207597225145</v>
      </c>
      <c r="U2618" s="43">
        <f ca="1">_xll.BInterpol('Base CDI'!$H$4:$H$28,'Base CDI'!$I$4:$I$29,S2618,"Cubic","Extrapolate=Linear","MultiX=Average","Skip=True","Sort=True")</f>
        <v>14.817759467602562</v>
      </c>
    </row>
    <row r="2619" spans="16:21" x14ac:dyDescent="0.25">
      <c r="P2619" s="10">
        <v>38321</v>
      </c>
      <c r="Q2619">
        <v>11.65372</v>
      </c>
      <c r="S2619" s="42">
        <f t="shared" ca="1" si="45"/>
        <v>48325</v>
      </c>
      <c r="T2619" s="43">
        <f ca="1">_xll.BInterpol('Base CDI'!$H$4:$H$28,'Base CDI'!$J$4:$J$29,S2619,"Cubic","Extrapolate=Linear","MultiX=Average","Skip=True","Sort=True")</f>
        <v>14.744169722156938</v>
      </c>
      <c r="U2619" s="43">
        <f ca="1">_xll.BInterpol('Base CDI'!$H$4:$H$28,'Base CDI'!$I$4:$I$29,S2619,"Cubic","Extrapolate=Linear","MultiX=Average","Skip=True","Sort=True")</f>
        <v>14.817735476010656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48326</v>
      </c>
      <c r="T2620" s="43">
        <f ca="1">_xll.BInterpol('Base CDI'!$H$4:$H$28,'Base CDI'!$J$4:$J$29,S2620,"Cubic","Extrapolate=Linear","MultiX=Average","Skip=True","Sort=True")</f>
        <v>14.74413180289463</v>
      </c>
      <c r="U2620" s="43">
        <f ca="1">_xll.BInterpol('Base CDI'!$H$4:$H$28,'Base CDI'!$I$4:$I$29,S2620,"Cubic","Extrapolate=Linear","MultiX=Average","Skip=True","Sort=True")</f>
        <v>14.81771142526344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48327</v>
      </c>
      <c r="T2621" s="43">
        <f ca="1">_xll.BInterpol('Base CDI'!$H$4:$H$28,'Base CDI'!$J$4:$J$29,S2621,"Cubic","Extrapolate=Linear","MultiX=Average","Skip=True","Sort=True")</f>
        <v>14.74409383944859</v>
      </c>
      <c r="U2621" s="43">
        <f ca="1">_xll.BInterpol('Base CDI'!$H$4:$H$28,'Base CDI'!$I$4:$I$29,S2621,"Cubic","Extrapolate=Linear","MultiX=Average","Skip=True","Sort=True")</f>
        <v>14.817687315499311</v>
      </c>
    </row>
    <row r="2622" spans="16:21" x14ac:dyDescent="0.25">
      <c r="P2622" s="10">
        <v>38324</v>
      </c>
      <c r="Q2622">
        <v>11.67577</v>
      </c>
      <c r="S2622" s="42">
        <f t="shared" ca="1" si="45"/>
        <v>48328</v>
      </c>
      <c r="T2622" s="43">
        <f ca="1">_xll.BInterpol('Base CDI'!$H$4:$H$28,'Base CDI'!$J$4:$J$29,S2622,"Cubic","Extrapolate=Linear","MultiX=Average","Skip=True","Sort=True")</f>
        <v>14.744055831829188</v>
      </c>
      <c r="U2622" s="43">
        <f ca="1">_xll.BInterpol('Base CDI'!$H$4:$H$28,'Base CDI'!$I$4:$I$29,S2622,"Cubic","Extrapolate=Linear","MultiX=Average","Skip=True","Sort=True")</f>
        <v>14.817663146856669</v>
      </c>
    </row>
    <row r="2623" spans="16:21" x14ac:dyDescent="0.25">
      <c r="P2623" s="10">
        <v>38327</v>
      </c>
      <c r="Q2623">
        <v>11.68313</v>
      </c>
      <c r="S2623" s="42">
        <f t="shared" ca="1" si="45"/>
        <v>48329</v>
      </c>
      <c r="T2623" s="43">
        <f ca="1">_xll.BInterpol('Base CDI'!$H$4:$H$28,'Base CDI'!$J$4:$J$29,S2623,"Cubic","Extrapolate=Linear","MultiX=Average","Skip=True","Sort=True")</f>
        <v>14.744017780046796</v>
      </c>
      <c r="U2623" s="43">
        <f ca="1">_xll.BInterpol('Base CDI'!$H$4:$H$28,'Base CDI'!$I$4:$I$29,S2623,"Cubic","Extrapolate=Linear","MultiX=Average","Skip=True","Sort=True")</f>
        <v>14.817638919473914</v>
      </c>
    </row>
    <row r="2624" spans="16:21" x14ac:dyDescent="0.25">
      <c r="P2624" s="10">
        <v>38328</v>
      </c>
      <c r="Q2624">
        <v>11.69049</v>
      </c>
      <c r="S2624" s="42">
        <f t="shared" ca="1" si="45"/>
        <v>48330</v>
      </c>
      <c r="T2624" s="43">
        <f ca="1">_xll.BInterpol('Base CDI'!$H$4:$H$28,'Base CDI'!$J$4:$J$29,S2624,"Cubic","Extrapolate=Linear","MultiX=Average","Skip=True","Sort=True")</f>
        <v>14.743979684111782</v>
      </c>
      <c r="U2624" s="43">
        <f ca="1">_xll.BInterpol('Base CDI'!$H$4:$H$28,'Base CDI'!$I$4:$I$29,S2624,"Cubic","Extrapolate=Linear","MultiX=Average","Skip=True","Sort=True")</f>
        <v>14.817614633489445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48331</v>
      </c>
      <c r="T2625" s="43">
        <f ca="1">_xll.BInterpol('Base CDI'!$H$4:$H$28,'Base CDI'!$J$4:$J$29,S2625,"Cubic","Extrapolate=Linear","MultiX=Average","Skip=True","Sort=True")</f>
        <v>14.743941544034517</v>
      </c>
      <c r="U2625" s="43">
        <f ca="1">_xll.BInterpol('Base CDI'!$H$4:$H$28,'Base CDI'!$I$4:$I$29,S2625,"Cubic","Extrapolate=Linear","MultiX=Average","Skip=True","Sort=True")</f>
        <v>14.817590289041661</v>
      </c>
    </row>
    <row r="2626" spans="16:21" x14ac:dyDescent="0.25">
      <c r="P2626" s="10">
        <v>38330</v>
      </c>
      <c r="Q2626">
        <v>11.7052</v>
      </c>
      <c r="S2626" s="42">
        <f t="shared" ca="1" si="45"/>
        <v>48332</v>
      </c>
      <c r="T2626" s="43">
        <f ca="1">_xll.BInterpol('Base CDI'!$H$4:$H$28,'Base CDI'!$J$4:$J$29,S2626,"Cubic","Extrapolate=Linear","MultiX=Average","Skip=True","Sort=True")</f>
        <v>14.743903359825371</v>
      </c>
      <c r="U2626" s="43">
        <f ca="1">_xll.BInterpol('Base CDI'!$H$4:$H$28,'Base CDI'!$I$4:$I$29,S2626,"Cubic","Extrapolate=Linear","MultiX=Average","Skip=True","Sort=True")</f>
        <v>14.817565886268961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48333</v>
      </c>
      <c r="T2627" s="43">
        <f ca="1">_xll.BInterpol('Base CDI'!$H$4:$H$28,'Base CDI'!$J$4:$J$29,S2627,"Cubic","Extrapolate=Linear","MultiX=Average","Skip=True","Sort=True")</f>
        <v>14.743865131494713</v>
      </c>
      <c r="U2627" s="43">
        <f ca="1">_xll.BInterpol('Base CDI'!$H$4:$H$28,'Base CDI'!$I$4:$I$29,S2627,"Cubic","Extrapolate=Linear","MultiX=Average","Skip=True","Sort=True")</f>
        <v>14.817541425309743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48334</v>
      </c>
      <c r="T2628" s="43">
        <f ca="1">_xll.BInterpol('Base CDI'!$H$4:$H$28,'Base CDI'!$J$4:$J$29,S2628,"Cubic","Extrapolate=Linear","MultiX=Average","Skip=True","Sort=True")</f>
        <v>14.743826859052914</v>
      </c>
      <c r="U2628" s="43">
        <f ca="1">_xll.BInterpol('Base CDI'!$H$4:$H$28,'Base CDI'!$I$4:$I$29,S2628,"Cubic","Extrapolate=Linear","MultiX=Average","Skip=True","Sort=True")</f>
        <v>14.81751690630241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48335</v>
      </c>
      <c r="T2629" s="43">
        <f ca="1">_xll.BInterpol('Base CDI'!$H$4:$H$28,'Base CDI'!$J$4:$J$29,S2629,"Cubic","Extrapolate=Linear","MultiX=Average","Skip=True","Sort=True")</f>
        <v>14.743788542510345</v>
      </c>
      <c r="U2629" s="43">
        <f ca="1">_xll.BInterpol('Base CDI'!$H$4:$H$28,'Base CDI'!$I$4:$I$29,S2629,"Cubic","Extrapolate=Linear","MultiX=Average","Skip=True","Sort=True")</f>
        <v>14.817492329385358</v>
      </c>
    </row>
    <row r="2630" spans="16:21" x14ac:dyDescent="0.25">
      <c r="P2630" s="10">
        <v>38336</v>
      </c>
      <c r="Q2630">
        <v>11.73471</v>
      </c>
      <c r="S2630" s="42">
        <f t="shared" ca="1" si="45"/>
        <v>48336</v>
      </c>
      <c r="T2630" s="43">
        <f ca="1">_xll.BInterpol('Base CDI'!$H$4:$H$28,'Base CDI'!$J$4:$J$29,S2630,"Cubic","Extrapolate=Linear","MultiX=Average","Skip=True","Sort=True")</f>
        <v>14.743750181877372</v>
      </c>
      <c r="U2630" s="43">
        <f ca="1">_xll.BInterpol('Base CDI'!$H$4:$H$28,'Base CDI'!$I$4:$I$29,S2630,"Cubic","Extrapolate=Linear","MultiX=Average","Skip=True","Sort=True")</f>
        <v>14.817467694696985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48337</v>
      </c>
      <c r="T2631" s="43">
        <f ca="1">_xll.BInterpol('Base CDI'!$H$4:$H$28,'Base CDI'!$J$4:$J$29,S2631,"Cubic","Extrapolate=Linear","MultiX=Average","Skip=True","Sort=True")</f>
        <v>14.743711777164371</v>
      </c>
      <c r="U2631" s="43">
        <f ca="1">_xll.BInterpol('Base CDI'!$H$4:$H$28,'Base CDI'!$I$4:$I$29,S2631,"Cubic","Extrapolate=Linear","MultiX=Average","Skip=True","Sort=True")</f>
        <v>14.817443002375695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48338</v>
      </c>
      <c r="T2632" s="43">
        <f ca="1">_xll.BInterpol('Base CDI'!$H$4:$H$28,'Base CDI'!$J$4:$J$29,S2632,"Cubic","Extrapolate=Linear","MultiX=Average","Skip=True","Sort=True")</f>
        <v>14.743673328381707</v>
      </c>
      <c r="U2632" s="43">
        <f ca="1">_xll.BInterpol('Base CDI'!$H$4:$H$28,'Base CDI'!$I$4:$I$29,S2632,"Cubic","Extrapolate=Linear","MultiX=Average","Skip=True","Sort=True")</f>
        <v>14.817418252559882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48339</v>
      </c>
      <c r="T2633" s="43">
        <f ca="1">_xll.BInterpol('Base CDI'!$H$4:$H$28,'Base CDI'!$J$4:$J$29,S2633,"Cubic","Extrapolate=Linear","MultiX=Average","Skip=True","Sort=True")</f>
        <v>14.743634835539753</v>
      </c>
      <c r="U2633" s="43">
        <f ca="1">_xll.BInterpol('Base CDI'!$H$4:$H$28,'Base CDI'!$I$4:$I$29,S2633,"Cubic","Extrapolate=Linear","MultiX=Average","Skip=True","Sort=True")</f>
        <v>14.81739344538795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48340</v>
      </c>
      <c r="T2634" s="43">
        <f ca="1">_xll.BInterpol('Base CDI'!$H$4:$H$28,'Base CDI'!$J$4:$J$29,S2634,"Cubic","Extrapolate=Linear","MultiX=Average","Skip=True","Sort=True")</f>
        <v>14.743596298648878</v>
      </c>
      <c r="U2634" s="43">
        <f ca="1">_xll.BInterpol('Base CDI'!$H$4:$H$28,'Base CDI'!$I$4:$I$29,S2634,"Cubic","Extrapolate=Linear","MultiX=Average","Skip=True","Sort=True")</f>
        <v>14.817368580998295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48341</v>
      </c>
      <c r="T2635" s="43">
        <f ca="1">_xll.BInterpol('Base CDI'!$H$4:$H$28,'Base CDI'!$J$4:$J$29,S2635,"Cubic","Extrapolate=Linear","MultiX=Average","Skip=True","Sort=True")</f>
        <v>14.743557717719453</v>
      </c>
      <c r="U2635" s="43">
        <f ca="1">_xll.BInterpol('Base CDI'!$H$4:$H$28,'Base CDI'!$I$4:$I$29,S2635,"Cubic","Extrapolate=Linear","MultiX=Average","Skip=True","Sort=True")</f>
        <v>14.817343659529316</v>
      </c>
    </row>
    <row r="2636" spans="16:21" x14ac:dyDescent="0.25">
      <c r="P2636" s="10">
        <v>38344</v>
      </c>
      <c r="Q2636">
        <v>11.78012</v>
      </c>
      <c r="S2636" s="42">
        <f t="shared" ca="1" si="46"/>
        <v>48342</v>
      </c>
      <c r="T2636" s="43">
        <f ca="1">_xll.BInterpol('Base CDI'!$H$4:$H$28,'Base CDI'!$J$4:$J$29,S2636,"Cubic","Extrapolate=Linear","MultiX=Average","Skip=True","Sort=True")</f>
        <v>14.743519092761845</v>
      </c>
      <c r="U2636" s="43">
        <f ca="1">_xll.BInterpol('Base CDI'!$H$4:$H$28,'Base CDI'!$I$4:$I$29,S2636,"Cubic","Extrapolate=Linear","MultiX=Average","Skip=True","Sort=True")</f>
        <v>14.817318681119414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48343</v>
      </c>
      <c r="T2637" s="43">
        <f ca="1">_xll.BInterpol('Base CDI'!$H$4:$H$28,'Base CDI'!$J$4:$J$29,S2637,"Cubic","Extrapolate=Linear","MultiX=Average","Skip=True","Sort=True")</f>
        <v>14.743480423786428</v>
      </c>
      <c r="U2637" s="43">
        <f ca="1">_xll.BInterpol('Base CDI'!$H$4:$H$28,'Base CDI'!$I$4:$I$29,S2637,"Cubic","Extrapolate=Linear","MultiX=Average","Skip=True","Sort=True")</f>
        <v>14.817293645906988</v>
      </c>
    </row>
    <row r="2638" spans="16:21" x14ac:dyDescent="0.25">
      <c r="P2638" s="10">
        <v>38348</v>
      </c>
      <c r="Q2638">
        <v>11.79538</v>
      </c>
      <c r="S2638" s="42">
        <f t="shared" ca="1" si="46"/>
        <v>48344</v>
      </c>
      <c r="T2638" s="43">
        <f ca="1">_xll.BInterpol('Base CDI'!$H$4:$H$28,'Base CDI'!$J$4:$J$29,S2638,"Cubic","Extrapolate=Linear","MultiX=Average","Skip=True","Sort=True")</f>
        <v>14.74344171080357</v>
      </c>
      <c r="U2638" s="43">
        <f ca="1">_xll.BInterpol('Base CDI'!$H$4:$H$28,'Base CDI'!$I$4:$I$29,S2638,"Cubic","Extrapolate=Linear","MultiX=Average","Skip=True","Sort=True")</f>
        <v>14.817268554030436</v>
      </c>
    </row>
    <row r="2639" spans="16:21" x14ac:dyDescent="0.25">
      <c r="P2639" s="10">
        <v>38349</v>
      </c>
      <c r="Q2639">
        <v>11.80301</v>
      </c>
      <c r="S2639" s="42">
        <f t="shared" ca="1" si="46"/>
        <v>48345</v>
      </c>
      <c r="T2639" s="43">
        <f ca="1">_xll.BInterpol('Base CDI'!$H$4:$H$28,'Base CDI'!$J$4:$J$29,S2639,"Cubic","Extrapolate=Linear","MultiX=Average","Skip=True","Sort=True")</f>
        <v>14.74340295382364</v>
      </c>
      <c r="U2639" s="43">
        <f ca="1">_xll.BInterpol('Base CDI'!$H$4:$H$28,'Base CDI'!$I$4:$I$29,S2639,"Cubic","Extrapolate=Linear","MultiX=Average","Skip=True","Sort=True")</f>
        <v>14.817243405628158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48346</v>
      </c>
      <c r="T2640" s="43">
        <f ca="1">_xll.BInterpol('Base CDI'!$H$4:$H$28,'Base CDI'!$J$4:$J$29,S2640,"Cubic","Extrapolate=Linear","MultiX=Average","Skip=True","Sort=True")</f>
        <v>14.74336415285701</v>
      </c>
      <c r="U2640" s="43">
        <f ca="1">_xll.BInterpol('Base CDI'!$H$4:$H$28,'Base CDI'!$I$4:$I$29,S2640,"Cubic","Extrapolate=Linear","MultiX=Average","Skip=True","Sort=True")</f>
        <v>14.817218200838555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48347</v>
      </c>
      <c r="T2641" s="43">
        <f ca="1">_xll.BInterpol('Base CDI'!$H$4:$H$28,'Base CDI'!$J$4:$J$29,S2641,"Cubic","Extrapolate=Linear","MultiX=Average","Skip=True","Sort=True")</f>
        <v>14.74332530791405</v>
      </c>
      <c r="U2641" s="43">
        <f ca="1">_xll.BInterpol('Base CDI'!$H$4:$H$28,'Base CDI'!$I$4:$I$29,S2641,"Cubic","Extrapolate=Linear","MultiX=Average","Skip=True","Sort=True")</f>
        <v>14.817192939800023</v>
      </c>
    </row>
    <row r="2642" spans="16:21" x14ac:dyDescent="0.25">
      <c r="P2642" s="10">
        <v>38352</v>
      </c>
      <c r="Q2642">
        <v>11.82596</v>
      </c>
      <c r="S2642" s="42">
        <f t="shared" ca="1" si="46"/>
        <v>48348</v>
      </c>
      <c r="T2642" s="43">
        <f ca="1">_xll.BInterpol('Base CDI'!$H$4:$H$28,'Base CDI'!$J$4:$J$29,S2642,"Cubic","Extrapolate=Linear","MultiX=Average","Skip=True","Sort=True")</f>
        <v>14.743286419005129</v>
      </c>
      <c r="U2642" s="43">
        <f ca="1">_xll.BInterpol('Base CDI'!$H$4:$H$28,'Base CDI'!$I$4:$I$29,S2642,"Cubic","Extrapolate=Linear","MultiX=Average","Skip=True","Sort=True")</f>
        <v>14.817167622650961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48349</v>
      </c>
      <c r="T2643" s="43">
        <f ca="1">_xll.BInterpol('Base CDI'!$H$4:$H$28,'Base CDI'!$J$4:$J$29,S2643,"Cubic","Extrapolate=Linear","MultiX=Average","Skip=True","Sort=True")</f>
        <v>14.743247486140616</v>
      </c>
      <c r="U2643" s="43">
        <f ca="1">_xll.BInterpol('Base CDI'!$H$4:$H$28,'Base CDI'!$I$4:$I$29,S2643,"Cubic","Extrapolate=Linear","MultiX=Average","Skip=True","Sort=True")</f>
        <v>14.817142249529773</v>
      </c>
    </row>
    <row r="2644" spans="16:21" x14ac:dyDescent="0.25">
      <c r="P2644" s="10">
        <v>38356</v>
      </c>
      <c r="Q2644">
        <v>11.84131</v>
      </c>
      <c r="S2644" s="42">
        <f t="shared" ca="1" si="46"/>
        <v>48350</v>
      </c>
      <c r="T2644" s="43">
        <f ca="1">_xll.BInterpol('Base CDI'!$H$4:$H$28,'Base CDI'!$J$4:$J$29,S2644,"Cubic","Extrapolate=Linear","MultiX=Average","Skip=True","Sort=True")</f>
        <v>14.743208509330884</v>
      </c>
      <c r="U2644" s="43">
        <f ca="1">_xll.BInterpol('Base CDI'!$H$4:$H$28,'Base CDI'!$I$4:$I$29,S2644,"Cubic","Extrapolate=Linear","MultiX=Average","Skip=True","Sort=True")</f>
        <v>14.817116820574853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48351</v>
      </c>
      <c r="T2645" s="43">
        <f ca="1">_xll.BInterpol('Base CDI'!$H$4:$H$28,'Base CDI'!$J$4:$J$29,S2645,"Cubic","Extrapolate=Linear","MultiX=Average","Skip=True","Sort=True")</f>
        <v>14.743169488586302</v>
      </c>
      <c r="U2645" s="43">
        <f ca="1">_xll.BInterpol('Base CDI'!$H$4:$H$28,'Base CDI'!$I$4:$I$29,S2645,"Cubic","Extrapolate=Linear","MultiX=Average","Skip=True","Sort=True")</f>
        <v>14.817091335924603</v>
      </c>
    </row>
    <row r="2646" spans="16:21" x14ac:dyDescent="0.25">
      <c r="P2646" s="10">
        <v>38358</v>
      </c>
      <c r="Q2646">
        <v>11.85665</v>
      </c>
      <c r="S2646" s="42">
        <f t="shared" ca="1" si="46"/>
        <v>48352</v>
      </c>
      <c r="T2646" s="43">
        <f ca="1">_xll.BInterpol('Base CDI'!$H$4:$H$28,'Base CDI'!$J$4:$J$29,S2646,"Cubic","Extrapolate=Linear","MultiX=Average","Skip=True","Sort=True")</f>
        <v>14.743130423917238</v>
      </c>
      <c r="U2646" s="43">
        <f ca="1">_xll.BInterpol('Base CDI'!$H$4:$H$28,'Base CDI'!$I$4:$I$29,S2646,"Cubic","Extrapolate=Linear","MultiX=Average","Skip=True","Sort=True")</f>
        <v>14.817065795717422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48353</v>
      </c>
      <c r="T2647" s="43">
        <f ca="1">_xll.BInterpol('Base CDI'!$H$4:$H$28,'Base CDI'!$J$4:$J$29,S2647,"Cubic","Extrapolate=Linear","MultiX=Average","Skip=True","Sort=True")</f>
        <v>14.743091315334064</v>
      </c>
      <c r="U2647" s="43">
        <f ca="1">_xll.BInterpol('Base CDI'!$H$4:$H$28,'Base CDI'!$I$4:$I$29,S2647,"Cubic","Extrapolate=Linear","MultiX=Average","Skip=True","Sort=True")</f>
        <v>14.817040200091707</v>
      </c>
    </row>
    <row r="2648" spans="16:21" x14ac:dyDescent="0.25">
      <c r="P2648" s="10">
        <v>38362</v>
      </c>
      <c r="Q2648">
        <v>11.87201</v>
      </c>
      <c r="S2648" s="42">
        <f t="shared" ca="1" si="46"/>
        <v>48354</v>
      </c>
      <c r="T2648" s="43">
        <f ca="1">_xll.BInterpol('Base CDI'!$H$4:$H$28,'Base CDI'!$J$4:$J$29,S2648,"Cubic","Extrapolate=Linear","MultiX=Average","Skip=True","Sort=True")</f>
        <v>14.74305216284715</v>
      </c>
      <c r="U2648" s="43">
        <f ca="1">_xll.BInterpol('Base CDI'!$H$4:$H$28,'Base CDI'!$I$4:$I$29,S2648,"Cubic","Extrapolate=Linear","MultiX=Average","Skip=True","Sort=True")</f>
        <v>14.81701454918586</v>
      </c>
    </row>
    <row r="2649" spans="16:21" x14ac:dyDescent="0.25">
      <c r="P2649" s="10">
        <v>38363</v>
      </c>
      <c r="Q2649">
        <v>11.8797</v>
      </c>
      <c r="S2649" s="42">
        <f t="shared" ca="1" si="46"/>
        <v>48355</v>
      </c>
      <c r="T2649" s="43">
        <f ca="1">_xll.BInterpol('Base CDI'!$H$4:$H$28,'Base CDI'!$J$4:$J$29,S2649,"Cubic","Extrapolate=Linear","MultiX=Average","Skip=True","Sort=True")</f>
        <v>14.743012966466866</v>
      </c>
      <c r="U2649" s="43">
        <f ca="1">_xll.BInterpol('Base CDI'!$H$4:$H$28,'Base CDI'!$I$4:$I$29,S2649,"Cubic","Extrapolate=Linear","MultiX=Average","Skip=True","Sort=True")</f>
        <v>14.816988843138279</v>
      </c>
    </row>
    <row r="2650" spans="16:21" x14ac:dyDescent="0.25">
      <c r="P2650" s="10">
        <v>38364</v>
      </c>
      <c r="Q2650">
        <v>11.88738</v>
      </c>
      <c r="S2650" s="42">
        <f t="shared" ca="1" si="46"/>
        <v>48356</v>
      </c>
      <c r="T2650" s="43">
        <f ca="1">_xll.BInterpol('Base CDI'!$H$4:$H$28,'Base CDI'!$J$4:$J$29,S2650,"Cubic","Extrapolate=Linear","MultiX=Average","Skip=True","Sort=True")</f>
        <v>14.74297372620358</v>
      </c>
      <c r="U2650" s="43">
        <f ca="1">_xll.BInterpol('Base CDI'!$H$4:$H$28,'Base CDI'!$I$4:$I$29,S2650,"Cubic","Extrapolate=Linear","MultiX=Average","Skip=True","Sort=True")</f>
        <v>14.816963082087364</v>
      </c>
    </row>
    <row r="2651" spans="16:21" x14ac:dyDescent="0.25">
      <c r="P2651" s="10">
        <v>38365</v>
      </c>
      <c r="Q2651">
        <v>11.89508</v>
      </c>
      <c r="S2651" s="42">
        <f t="shared" ca="1" si="46"/>
        <v>48357</v>
      </c>
      <c r="T2651" s="43">
        <f ca="1">_xll.BInterpol('Base CDI'!$H$4:$H$28,'Base CDI'!$J$4:$J$29,S2651,"Cubic","Extrapolate=Linear","MultiX=Average","Skip=True","Sort=True")</f>
        <v>14.742934442067666</v>
      </c>
      <c r="U2651" s="43">
        <f ca="1">_xll.BInterpol('Base CDI'!$H$4:$H$28,'Base CDI'!$I$4:$I$29,S2651,"Cubic","Extrapolate=Linear","MultiX=Average","Skip=True","Sort=True")</f>
        <v>14.816937266171514</v>
      </c>
    </row>
    <row r="2652" spans="16:21" x14ac:dyDescent="0.25">
      <c r="P2652" s="10">
        <v>38366</v>
      </c>
      <c r="Q2652">
        <v>11.90277</v>
      </c>
      <c r="S2652" s="42">
        <f t="shared" ca="1" si="46"/>
        <v>48358</v>
      </c>
      <c r="T2652" s="43">
        <f ca="1">_xll.BInterpol('Base CDI'!$H$4:$H$28,'Base CDI'!$J$4:$J$29,S2652,"Cubic","Extrapolate=Linear","MultiX=Average","Skip=True","Sort=True")</f>
        <v>14.742895114069491</v>
      </c>
      <c r="U2652" s="43">
        <f ca="1">_xll.BInterpol('Base CDI'!$H$4:$H$28,'Base CDI'!$I$4:$I$29,S2652,"Cubic","Extrapolate=Linear","MultiX=Average","Skip=True","Sort=True")</f>
        <v>14.816911395529127</v>
      </c>
    </row>
    <row r="2653" spans="16:21" x14ac:dyDescent="0.25">
      <c r="P2653" s="10">
        <v>38369</v>
      </c>
      <c r="Q2653">
        <v>11.91048</v>
      </c>
      <c r="S2653" s="42">
        <f t="shared" ca="1" si="46"/>
        <v>48359</v>
      </c>
      <c r="T2653" s="43">
        <f ca="1">_xll.BInterpol('Base CDI'!$H$4:$H$28,'Base CDI'!$J$4:$J$29,S2653,"Cubic","Extrapolate=Linear","MultiX=Average","Skip=True","Sort=True")</f>
        <v>14.742855742219424</v>
      </c>
      <c r="U2653" s="43">
        <f ca="1">_xll.BInterpol('Base CDI'!$H$4:$H$28,'Base CDI'!$I$4:$I$29,S2653,"Cubic","Extrapolate=Linear","MultiX=Average","Skip=True","Sort=True")</f>
        <v>14.816885470298603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48360</v>
      </c>
      <c r="T2654" s="43">
        <f ca="1">_xll.BInterpol('Base CDI'!$H$4:$H$28,'Base CDI'!$J$4:$J$29,S2654,"Cubic","Extrapolate=Linear","MultiX=Average","Skip=True","Sort=True")</f>
        <v>14.742816326527839</v>
      </c>
      <c r="U2654" s="43">
        <f ca="1">_xll.BInterpol('Base CDI'!$H$4:$H$28,'Base CDI'!$I$4:$I$29,S2654,"Cubic","Extrapolate=Linear","MultiX=Average","Skip=True","Sort=True")</f>
        <v>14.816859490618342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48361</v>
      </c>
      <c r="T2655" s="43">
        <f ca="1">_xll.BInterpol('Base CDI'!$H$4:$H$28,'Base CDI'!$J$4:$J$29,S2655,"Cubic","Extrapolate=Linear","MultiX=Average","Skip=True","Sort=True")</f>
        <v>14.742776867005102</v>
      </c>
      <c r="U2655" s="43">
        <f ca="1">_xll.BInterpol('Base CDI'!$H$4:$H$28,'Base CDI'!$I$4:$I$29,S2655,"Cubic","Extrapolate=Linear","MultiX=Average","Skip=True","Sort=True")</f>
        <v>14.816833456626741</v>
      </c>
    </row>
    <row r="2656" spans="16:21" x14ac:dyDescent="0.25">
      <c r="P2656" s="10">
        <v>38372</v>
      </c>
      <c r="Q2656">
        <v>11.93365</v>
      </c>
      <c r="S2656" s="42">
        <f t="shared" ca="1" si="46"/>
        <v>48362</v>
      </c>
      <c r="T2656" s="43">
        <f ca="1">_xll.BInterpol('Base CDI'!$H$4:$H$28,'Base CDI'!$J$4:$J$29,S2656,"Cubic","Extrapolate=Linear","MultiX=Average","Skip=True","Sort=True")</f>
        <v>14.742737363661586</v>
      </c>
      <c r="U2656" s="43">
        <f ca="1">_xll.BInterpol('Base CDI'!$H$4:$H$28,'Base CDI'!$I$4:$I$29,S2656,"Cubic","Extrapolate=Linear","MultiX=Average","Skip=True","Sort=True")</f>
        <v>14.816807368462202</v>
      </c>
    </row>
    <row r="2657" spans="16:21" x14ac:dyDescent="0.25">
      <c r="P2657" s="10">
        <v>38373</v>
      </c>
      <c r="Q2657">
        <v>11.94158</v>
      </c>
      <c r="S2657" s="42">
        <f t="shared" ca="1" si="46"/>
        <v>48363</v>
      </c>
      <c r="T2657" s="43">
        <f ca="1">_xll.BInterpol('Base CDI'!$H$4:$H$28,'Base CDI'!$J$4:$J$29,S2657,"Cubic","Extrapolate=Linear","MultiX=Average","Skip=True","Sort=True")</f>
        <v>14.742697816507659</v>
      </c>
      <c r="U2657" s="43">
        <f ca="1">_xll.BInterpol('Base CDI'!$H$4:$H$28,'Base CDI'!$I$4:$I$29,S2657,"Cubic","Extrapolate=Linear","MultiX=Average","Skip=True","Sort=True")</f>
        <v>14.816781226263121</v>
      </c>
    </row>
    <row r="2658" spans="16:21" x14ac:dyDescent="0.25">
      <c r="P2658" s="10">
        <v>38376</v>
      </c>
      <c r="Q2658">
        <v>11.94952</v>
      </c>
      <c r="S2658" s="42">
        <f t="shared" ca="1" si="46"/>
        <v>48364</v>
      </c>
      <c r="T2658" s="43">
        <f ca="1">_xll.BInterpol('Base CDI'!$H$4:$H$28,'Base CDI'!$J$4:$J$29,S2658,"Cubic","Extrapolate=Linear","MultiX=Average","Skip=True","Sort=True")</f>
        <v>14.742658225553694</v>
      </c>
      <c r="U2658" s="43">
        <f ca="1">_xll.BInterpol('Base CDI'!$H$4:$H$28,'Base CDI'!$I$4:$I$29,S2658,"Cubic","Extrapolate=Linear","MultiX=Average","Skip=True","Sort=True")</f>
        <v>14.816755030167901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48365</v>
      </c>
      <c r="T2659" s="43">
        <f ca="1">_xll.BInterpol('Base CDI'!$H$4:$H$28,'Base CDI'!$J$4:$J$29,S2659,"Cubic","Extrapolate=Linear","MultiX=Average","Skip=True","Sort=True")</f>
        <v>14.742618590810057</v>
      </c>
      <c r="U2659" s="43">
        <f ca="1">_xll.BInterpol('Base CDI'!$H$4:$H$28,'Base CDI'!$I$4:$I$29,S2659,"Cubic","Extrapolate=Linear","MultiX=Average","Skip=True","Sort=True")</f>
        <v>14.816728780314939</v>
      </c>
    </row>
    <row r="2660" spans="16:21" x14ac:dyDescent="0.25">
      <c r="P2660" s="10">
        <v>38378</v>
      </c>
      <c r="Q2660">
        <v>11.96542</v>
      </c>
      <c r="S2660" s="42">
        <f t="shared" ca="1" si="46"/>
        <v>48366</v>
      </c>
      <c r="T2660" s="43">
        <f ca="1">_xll.BInterpol('Base CDI'!$H$4:$H$28,'Base CDI'!$J$4:$J$29,S2660,"Cubic","Extrapolate=Linear","MultiX=Average","Skip=True","Sort=True")</f>
        <v>14.742578912287122</v>
      </c>
      <c r="U2660" s="43">
        <f ca="1">_xll.BInterpol('Base CDI'!$H$4:$H$28,'Base CDI'!$I$4:$I$29,S2660,"Cubic","Extrapolate=Linear","MultiX=Average","Skip=True","Sort=True")</f>
        <v>14.816702476842634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48367</v>
      </c>
      <c r="T2661" s="43">
        <f ca="1">_xll.BInterpol('Base CDI'!$H$4:$H$28,'Base CDI'!$J$4:$J$29,S2661,"Cubic","Extrapolate=Linear","MultiX=Average","Skip=True","Sort=True")</f>
        <v>14.742539189995256</v>
      </c>
      <c r="U2661" s="43">
        <f ca="1">_xll.BInterpol('Base CDI'!$H$4:$H$28,'Base CDI'!$I$4:$I$29,S2661,"Cubic","Extrapolate=Linear","MultiX=Average","Skip=True","Sort=True")</f>
        <v>14.816676119889387</v>
      </c>
    </row>
    <row r="2662" spans="16:21" x14ac:dyDescent="0.25">
      <c r="P2662" s="10">
        <v>38380</v>
      </c>
      <c r="Q2662">
        <v>11.98133</v>
      </c>
      <c r="S2662" s="42">
        <f t="shared" ca="1" si="46"/>
        <v>48368</v>
      </c>
      <c r="T2662" s="43">
        <f ca="1">_xll.BInterpol('Base CDI'!$H$4:$H$28,'Base CDI'!$J$4:$J$29,S2662,"Cubic","Extrapolate=Linear","MultiX=Average","Skip=True","Sort=True")</f>
        <v>14.74249942394483</v>
      </c>
      <c r="U2662" s="43">
        <f ca="1">_xll.BInterpol('Base CDI'!$H$4:$H$28,'Base CDI'!$I$4:$I$29,S2662,"Cubic","Extrapolate=Linear","MultiX=Average","Skip=True","Sort=True")</f>
        <v>14.816649709593595</v>
      </c>
    </row>
    <row r="2663" spans="16:21" x14ac:dyDescent="0.25">
      <c r="P2663" s="10">
        <v>38383</v>
      </c>
      <c r="Q2663">
        <v>11.98929</v>
      </c>
      <c r="S2663" s="42">
        <f t="shared" ca="1" si="46"/>
        <v>48369</v>
      </c>
      <c r="T2663" s="43">
        <f ca="1">_xll.BInterpol('Base CDI'!$H$4:$H$28,'Base CDI'!$J$4:$J$29,S2663,"Cubic","Extrapolate=Linear","MultiX=Average","Skip=True","Sort=True")</f>
        <v>14.742459614146213</v>
      </c>
      <c r="U2663" s="43">
        <f ca="1">_xll.BInterpol('Base CDI'!$H$4:$H$28,'Base CDI'!$I$4:$I$29,S2663,"Cubic","Extrapolate=Linear","MultiX=Average","Skip=True","Sort=True")</f>
        <v>14.816623246093659</v>
      </c>
    </row>
    <row r="2664" spans="16:21" x14ac:dyDescent="0.25">
      <c r="P2664" s="10">
        <v>38384</v>
      </c>
      <c r="Q2664">
        <v>11.99727</v>
      </c>
      <c r="S2664" s="42">
        <f t="shared" ca="1" si="46"/>
        <v>48370</v>
      </c>
      <c r="T2664" s="43">
        <f ca="1">_xll.BInterpol('Base CDI'!$H$4:$H$28,'Base CDI'!$J$4:$J$29,S2664,"Cubic","Extrapolate=Linear","MultiX=Average","Skip=True","Sort=True")</f>
        <v>14.742419760609778</v>
      </c>
      <c r="U2664" s="43">
        <f ca="1">_xll.BInterpol('Base CDI'!$H$4:$H$28,'Base CDI'!$I$4:$I$29,S2664,"Cubic","Extrapolate=Linear","MultiX=Average","Skip=True","Sort=True")</f>
        <v>14.816596729527976</v>
      </c>
    </row>
    <row r="2665" spans="16:21" x14ac:dyDescent="0.25">
      <c r="P2665" s="10">
        <v>38385</v>
      </c>
      <c r="Q2665">
        <v>12.00525</v>
      </c>
      <c r="S2665" s="42">
        <f t="shared" ca="1" si="46"/>
        <v>48371</v>
      </c>
      <c r="T2665" s="43">
        <f ca="1">_xll.BInterpol('Base CDI'!$H$4:$H$28,'Base CDI'!$J$4:$J$29,S2665,"Cubic","Extrapolate=Linear","MultiX=Average","Skip=True","Sort=True")</f>
        <v>14.742379863345892</v>
      </c>
      <c r="U2665" s="43">
        <f ca="1">_xll.BInterpol('Base CDI'!$H$4:$H$28,'Base CDI'!$I$4:$I$29,S2665,"Cubic","Extrapolate=Linear","MultiX=Average","Skip=True","Sort=True")</f>
        <v>14.816570160034948</v>
      </c>
    </row>
    <row r="2666" spans="16:21" x14ac:dyDescent="0.25">
      <c r="P2666" s="10">
        <v>38386</v>
      </c>
      <c r="Q2666">
        <v>12.01324</v>
      </c>
      <c r="S2666" s="42">
        <f t="shared" ca="1" si="46"/>
        <v>48372</v>
      </c>
      <c r="T2666" s="43">
        <f ca="1">_xll.BInterpol('Base CDI'!$H$4:$H$28,'Base CDI'!$J$4:$J$29,S2666,"Cubic","Extrapolate=Linear","MultiX=Average","Skip=True","Sort=True")</f>
        <v>14.742339922364929</v>
      </c>
      <c r="U2666" s="43">
        <f ca="1">_xll.BInterpol('Base CDI'!$H$4:$H$28,'Base CDI'!$I$4:$I$29,S2666,"Cubic","Extrapolate=Linear","MultiX=Average","Skip=True","Sort=True")</f>
        <v>14.816543537752972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48373</v>
      </c>
      <c r="T2667" s="43">
        <f ca="1">_xll.BInterpol('Base CDI'!$H$4:$H$28,'Base CDI'!$J$4:$J$29,S2667,"Cubic","Extrapolate=Linear","MultiX=Average","Skip=True","Sort=True")</f>
        <v>14.742299937677254</v>
      </c>
      <c r="U2667" s="43">
        <f ca="1">_xll.BInterpol('Base CDI'!$H$4:$H$28,'Base CDI'!$I$4:$I$29,S2667,"Cubic","Extrapolate=Linear","MultiX=Average","Skip=True","Sort=True")</f>
        <v>14.81651686282045</v>
      </c>
    </row>
    <row r="2668" spans="16:21" x14ac:dyDescent="0.25">
      <c r="P2668" s="10">
        <v>38392</v>
      </c>
      <c r="Q2668">
        <v>12.02924</v>
      </c>
      <c r="S2668" s="42">
        <f t="shared" ca="1" si="46"/>
        <v>48374</v>
      </c>
      <c r="T2668" s="43">
        <f ca="1">_xll.BInterpol('Base CDI'!$H$4:$H$28,'Base CDI'!$J$4:$J$29,S2668,"Cubic","Extrapolate=Linear","MultiX=Average","Skip=True","Sort=True")</f>
        <v>14.742259909293239</v>
      </c>
      <c r="U2668" s="43">
        <f ca="1">_xll.BInterpol('Base CDI'!$H$4:$H$28,'Base CDI'!$I$4:$I$29,S2668,"Cubic","Extrapolate=Linear","MultiX=Average","Skip=True","Sort=True")</f>
        <v>14.816490135375776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48375</v>
      </c>
      <c r="T2669" s="43">
        <f ca="1">_xll.BInterpol('Base CDI'!$H$4:$H$28,'Base CDI'!$J$4:$J$29,S2669,"Cubic","Extrapolate=Linear","MultiX=Average","Skip=True","Sort=True")</f>
        <v>14.742219837223255</v>
      </c>
      <c r="U2669" s="43">
        <f ca="1">_xll.BInterpol('Base CDI'!$H$4:$H$28,'Base CDI'!$I$4:$I$29,S2669,"Cubic","Extrapolate=Linear","MultiX=Average","Skip=True","Sort=True")</f>
        <v>14.816463355557355</v>
      </c>
    </row>
    <row r="2670" spans="16:21" x14ac:dyDescent="0.25">
      <c r="P2670" s="10">
        <v>38394</v>
      </c>
      <c r="Q2670">
        <v>12.04524</v>
      </c>
      <c r="S2670" s="42">
        <f t="shared" ca="1" si="46"/>
        <v>48376</v>
      </c>
      <c r="T2670" s="43">
        <f ca="1">_xll.BInterpol('Base CDI'!$H$4:$H$28,'Base CDI'!$J$4:$J$29,S2670,"Cubic","Extrapolate=Linear","MultiX=Average","Skip=True","Sort=True")</f>
        <v>14.742179721477672</v>
      </c>
      <c r="U2670" s="43">
        <f ca="1">_xll.BInterpol('Base CDI'!$H$4:$H$28,'Base CDI'!$I$4:$I$29,S2670,"Cubic","Extrapolate=Linear","MultiX=Average","Skip=True","Sort=True")</f>
        <v>14.816436523503583</v>
      </c>
    </row>
    <row r="2671" spans="16:21" x14ac:dyDescent="0.25">
      <c r="P2671" s="10">
        <v>38397</v>
      </c>
      <c r="Q2671">
        <v>12.05325</v>
      </c>
      <c r="S2671" s="42">
        <f t="shared" ca="1" si="46"/>
        <v>48377</v>
      </c>
      <c r="T2671" s="43">
        <f ca="1">_xll.BInterpol('Base CDI'!$H$4:$H$28,'Base CDI'!$J$4:$J$29,S2671,"Cubic","Extrapolate=Linear","MultiX=Average","Skip=True","Sort=True")</f>
        <v>14.742139562066859</v>
      </c>
      <c r="U2671" s="43">
        <f ca="1">_xll.BInterpol('Base CDI'!$H$4:$H$28,'Base CDI'!$I$4:$I$29,S2671,"Cubic","Extrapolate=Linear","MultiX=Average","Skip=True","Sort=True")</f>
        <v>14.816409639352861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48378</v>
      </c>
      <c r="T2672" s="43">
        <f ca="1">_xll.BInterpol('Base CDI'!$H$4:$H$28,'Base CDI'!$J$4:$J$29,S2672,"Cubic","Extrapolate=Linear","MultiX=Average","Skip=True","Sort=True")</f>
        <v>14.742099359001186</v>
      </c>
      <c r="U2672" s="43">
        <f ca="1">_xll.BInterpol('Base CDI'!$H$4:$H$28,'Base CDI'!$I$4:$I$29,S2672,"Cubic","Extrapolate=Linear","MultiX=Average","Skip=True","Sort=True")</f>
        <v>14.816382703243587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48379</v>
      </c>
      <c r="T2673" s="43">
        <f ca="1">_xll.BInterpol('Base CDI'!$H$4:$H$28,'Base CDI'!$J$4:$J$29,S2673,"Cubic","Extrapolate=Linear","MultiX=Average","Skip=True","Sort=True")</f>
        <v>14.742059112291024</v>
      </c>
      <c r="U2673" s="43">
        <f ca="1">_xll.BInterpol('Base CDI'!$H$4:$H$28,'Base CDI'!$I$4:$I$29,S2673,"Cubic","Extrapolate=Linear","MultiX=Average","Skip=True","Sort=True")</f>
        <v>14.81635571531416</v>
      </c>
    </row>
    <row r="2674" spans="16:21" x14ac:dyDescent="0.25">
      <c r="P2674" s="10">
        <v>38400</v>
      </c>
      <c r="Q2674">
        <v>12.07728</v>
      </c>
      <c r="S2674" s="42">
        <f t="shared" ca="1" si="46"/>
        <v>48380</v>
      </c>
      <c r="T2674" s="43">
        <f ca="1">_xll.BInterpol('Base CDI'!$H$4:$H$28,'Base CDI'!$J$4:$J$29,S2674,"Cubic","Extrapolate=Linear","MultiX=Average","Skip=True","Sort=True")</f>
        <v>14.742018821946743</v>
      </c>
      <c r="U2674" s="43">
        <f ca="1">_xll.BInterpol('Base CDI'!$H$4:$H$28,'Base CDI'!$I$4:$I$29,S2674,"Cubic","Extrapolate=Linear","MultiX=Average","Skip=True","Sort=True")</f>
        <v>14.816328675702978</v>
      </c>
    </row>
    <row r="2675" spans="16:21" x14ac:dyDescent="0.25">
      <c r="P2675" s="10">
        <v>38401</v>
      </c>
      <c r="Q2675">
        <v>12.0855</v>
      </c>
      <c r="S2675" s="42">
        <f t="shared" ca="1" si="46"/>
        <v>48381</v>
      </c>
      <c r="T2675" s="43">
        <f ca="1">_xll.BInterpol('Base CDI'!$H$4:$H$28,'Base CDI'!$J$4:$J$29,S2675,"Cubic","Extrapolate=Linear","MultiX=Average","Skip=True","Sort=True")</f>
        <v>14.741978487978711</v>
      </c>
      <c r="U2675" s="43">
        <f ca="1">_xll.BInterpol('Base CDI'!$H$4:$H$28,'Base CDI'!$I$4:$I$29,S2675,"Cubic","Extrapolate=Linear","MultiX=Average","Skip=True","Sort=True")</f>
        <v>14.816301584548444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48382</v>
      </c>
      <c r="T2676" s="43">
        <f ca="1">_xll.BInterpol('Base CDI'!$H$4:$H$28,'Base CDI'!$J$4:$J$29,S2676,"Cubic","Extrapolate=Linear","MultiX=Average","Skip=True","Sort=True")</f>
        <v>14.741938110397301</v>
      </c>
      <c r="U2676" s="43">
        <f ca="1">_xll.BInterpol('Base CDI'!$H$4:$H$28,'Base CDI'!$I$4:$I$29,S2676,"Cubic","Extrapolate=Linear","MultiX=Average","Skip=True","Sort=True")</f>
        <v>14.816274441988954</v>
      </c>
    </row>
    <row r="2677" spans="16:21" x14ac:dyDescent="0.25">
      <c r="P2677" s="10">
        <v>38405</v>
      </c>
      <c r="Q2677">
        <v>12.10195</v>
      </c>
      <c r="S2677" s="42">
        <f t="shared" ca="1" si="46"/>
        <v>48383</v>
      </c>
      <c r="T2677" s="43">
        <f ca="1">_xll.BInterpol('Base CDI'!$H$4:$H$28,'Base CDI'!$J$4:$J$29,S2677,"Cubic","Extrapolate=Linear","MultiX=Average","Skip=True","Sort=True")</f>
        <v>14.741897689212882</v>
      </c>
      <c r="U2677" s="43">
        <f ca="1">_xll.BInterpol('Base CDI'!$H$4:$H$28,'Base CDI'!$I$4:$I$29,S2677,"Cubic","Extrapolate=Linear","MultiX=Average","Skip=True","Sort=True")</f>
        <v>14.81624724816291</v>
      </c>
    </row>
    <row r="2678" spans="16:21" x14ac:dyDescent="0.25">
      <c r="P2678" s="10">
        <v>38406</v>
      </c>
      <c r="Q2678">
        <v>12.11018</v>
      </c>
      <c r="S2678" s="42">
        <f t="shared" ca="1" si="46"/>
        <v>48384</v>
      </c>
      <c r="T2678" s="43">
        <f ca="1">_xll.BInterpol('Base CDI'!$H$4:$H$28,'Base CDI'!$J$4:$J$29,S2678,"Cubic","Extrapolate=Linear","MultiX=Average","Skip=True","Sort=True")</f>
        <v>14.741857224435824</v>
      </c>
      <c r="U2678" s="43">
        <f ca="1">_xll.BInterpol('Base CDI'!$H$4:$H$28,'Base CDI'!$I$4:$I$29,S2678,"Cubic","Extrapolate=Linear","MultiX=Average","Skip=True","Sort=True")</f>
        <v>14.816220003208707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48385</v>
      </c>
      <c r="T2679" s="43">
        <f ca="1">_xll.BInterpol('Base CDI'!$H$4:$H$28,'Base CDI'!$J$4:$J$29,S2679,"Cubic","Extrapolate=Linear","MultiX=Average","Skip=True","Sort=True")</f>
        <v>14.741816716076496</v>
      </c>
      <c r="U2679" s="43">
        <f ca="1">_xll.BInterpol('Base CDI'!$H$4:$H$28,'Base CDI'!$I$4:$I$29,S2679,"Cubic","Extrapolate=Linear","MultiX=Average","Skip=True","Sort=True")</f>
        <v>14.816192707264749</v>
      </c>
    </row>
    <row r="2680" spans="16:21" x14ac:dyDescent="0.25">
      <c r="P2680" s="10">
        <v>38408</v>
      </c>
      <c r="Q2680">
        <v>12.12665</v>
      </c>
      <c r="S2680" s="42">
        <f t="shared" ca="1" si="46"/>
        <v>48386</v>
      </c>
      <c r="T2680" s="43">
        <f ca="1">_xll.BInterpol('Base CDI'!$H$4:$H$28,'Base CDI'!$J$4:$J$29,S2680,"Cubic","Extrapolate=Linear","MultiX=Average","Skip=True","Sort=True")</f>
        <v>14.741776164145268</v>
      </c>
      <c r="U2680" s="43">
        <f ca="1">_xll.BInterpol('Base CDI'!$H$4:$H$28,'Base CDI'!$I$4:$I$29,S2680,"Cubic","Extrapolate=Linear","MultiX=Average","Skip=True","Sort=True")</f>
        <v>14.816165360469432</v>
      </c>
    </row>
    <row r="2681" spans="16:21" x14ac:dyDescent="0.25">
      <c r="P2681" s="10">
        <v>38411</v>
      </c>
      <c r="Q2681">
        <v>12.1349</v>
      </c>
      <c r="S2681" s="42">
        <f t="shared" ca="1" si="46"/>
        <v>48387</v>
      </c>
      <c r="T2681" s="43">
        <f ca="1">_xll.BInterpol('Base CDI'!$H$4:$H$28,'Base CDI'!$J$4:$J$29,S2681,"Cubic","Extrapolate=Linear","MultiX=Average","Skip=True","Sort=True")</f>
        <v>14.741735568652512</v>
      </c>
      <c r="U2681" s="43">
        <f ca="1">_xll.BInterpol('Base CDI'!$H$4:$H$28,'Base CDI'!$I$4:$I$29,S2681,"Cubic","Extrapolate=Linear","MultiX=Average","Skip=True","Sort=True")</f>
        <v>14.816137962961156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48388</v>
      </c>
      <c r="T2682" s="43">
        <f ca="1">_xll.BInterpol('Base CDI'!$H$4:$H$28,'Base CDI'!$J$4:$J$29,S2682,"Cubic","Extrapolate=Linear","MultiX=Average","Skip=True","Sort=True")</f>
        <v>14.741694929608597</v>
      </c>
      <c r="U2682" s="43">
        <f ca="1">_xll.BInterpol('Base CDI'!$H$4:$H$28,'Base CDI'!$I$4:$I$29,S2682,"Cubic","Extrapolate=Linear","MultiX=Average","Skip=True","Sort=True")</f>
        <v>14.81611051487832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48389</v>
      </c>
      <c r="T2683" s="43">
        <f ca="1">_xll.BInterpol('Base CDI'!$H$4:$H$28,'Base CDI'!$J$4:$J$29,S2683,"Cubic","Extrapolate=Linear","MultiX=Average","Skip=True","Sort=True")</f>
        <v>14.741654247023892</v>
      </c>
      <c r="U2683" s="43">
        <f ca="1">_xll.BInterpol('Base CDI'!$H$4:$H$28,'Base CDI'!$I$4:$I$29,S2683,"Cubic","Extrapolate=Linear","MultiX=Average","Skip=True","Sort=True")</f>
        <v>14.816083016359324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48390</v>
      </c>
      <c r="T2684" s="43">
        <f ca="1">_xll.BInterpol('Base CDI'!$H$4:$H$28,'Base CDI'!$J$4:$J$29,S2684,"Cubic","Extrapolate=Linear","MultiX=Average","Skip=True","Sort=True")</f>
        <v>14.74161352090877</v>
      </c>
      <c r="U2684" s="43">
        <f ca="1">_xll.BInterpol('Base CDI'!$H$4:$H$28,'Base CDI'!$I$4:$I$29,S2684,"Cubic","Extrapolate=Linear","MultiX=Average","Skip=True","Sort=True")</f>
        <v>14.816055467542567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48391</v>
      </c>
      <c r="T2685" s="43">
        <f ca="1">_xll.BInterpol('Base CDI'!$H$4:$H$28,'Base CDI'!$J$4:$J$29,S2685,"Cubic","Extrapolate=Linear","MultiX=Average","Skip=True","Sort=True")</f>
        <v>14.741572751273596</v>
      </c>
      <c r="U2685" s="43">
        <f ca="1">_xll.BInterpol('Base CDI'!$H$4:$H$28,'Base CDI'!$I$4:$I$29,S2685,"Cubic","Extrapolate=Linear","MultiX=Average","Skip=True","Sort=True")</f>
        <v>14.816027868566447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48392</v>
      </c>
      <c r="T2686" s="43">
        <f ca="1">_xll.BInterpol('Base CDI'!$H$4:$H$28,'Base CDI'!$J$4:$J$29,S2686,"Cubic","Extrapolate=Linear","MultiX=Average","Skip=True","Sort=True")</f>
        <v>14.741531938128745</v>
      </c>
      <c r="U2686" s="43">
        <f ca="1">_xll.BInterpol('Base CDI'!$H$4:$H$28,'Base CDI'!$I$4:$I$29,S2686,"Cubic","Extrapolate=Linear","MultiX=Average","Skip=True","Sort=True")</f>
        <v>14.816000219569366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48393</v>
      </c>
      <c r="T2687" s="43">
        <f ca="1">_xll.BInterpol('Base CDI'!$H$4:$H$28,'Base CDI'!$J$4:$J$29,S2687,"Cubic","Extrapolate=Linear","MultiX=Average","Skip=True","Sort=True")</f>
        <v>14.741491081484584</v>
      </c>
      <c r="U2687" s="43">
        <f ca="1">_xll.BInterpol('Base CDI'!$H$4:$H$28,'Base CDI'!$I$4:$I$29,S2687,"Cubic","Extrapolate=Linear","MultiX=Average","Skip=True","Sort=True")</f>
        <v>14.815972520689721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48394</v>
      </c>
      <c r="T2688" s="43">
        <f ca="1">_xll.BInterpol('Base CDI'!$H$4:$H$28,'Base CDI'!$J$4:$J$29,S2688,"Cubic","Extrapolate=Linear","MultiX=Average","Skip=True","Sort=True")</f>
        <v>14.741450181351485</v>
      </c>
      <c r="U2688" s="43">
        <f ca="1">_xll.BInterpol('Base CDI'!$H$4:$H$28,'Base CDI'!$I$4:$I$29,S2688,"Cubic","Extrapolate=Linear","MultiX=Average","Skip=True","Sort=True")</f>
        <v>14.815944772065912</v>
      </c>
    </row>
    <row r="2689" spans="16:21" x14ac:dyDescent="0.25">
      <c r="P2689" s="10">
        <v>38421</v>
      </c>
      <c r="Q2689">
        <v>12.20096</v>
      </c>
      <c r="S2689" s="42">
        <f t="shared" ca="1" si="46"/>
        <v>48395</v>
      </c>
      <c r="T2689" s="43">
        <f ca="1">_xll.BInterpol('Base CDI'!$H$4:$H$28,'Base CDI'!$J$4:$J$29,S2689,"Cubic","Extrapolate=Linear","MultiX=Average","Skip=True","Sort=True")</f>
        <v>14.741409237739818</v>
      </c>
      <c r="U2689" s="43">
        <f ca="1">_xll.BInterpol('Base CDI'!$H$4:$H$28,'Base CDI'!$I$4:$I$29,S2689,"Cubic","Extrapolate=Linear","MultiX=Average","Skip=True","Sort=True")</f>
        <v>14.815916973836336</v>
      </c>
    </row>
    <row r="2690" spans="16:21" x14ac:dyDescent="0.25">
      <c r="P2690" s="10">
        <v>38422</v>
      </c>
      <c r="Q2690">
        <v>12.20923</v>
      </c>
      <c r="S2690" s="42">
        <f t="shared" ca="1" si="46"/>
        <v>48396</v>
      </c>
      <c r="T2690" s="43">
        <f ca="1">_xll.BInterpol('Base CDI'!$H$4:$H$28,'Base CDI'!$J$4:$J$29,S2690,"Cubic","Extrapolate=Linear","MultiX=Average","Skip=True","Sort=True")</f>
        <v>14.741368250659951</v>
      </c>
      <c r="U2690" s="43">
        <f ca="1">_xll.BInterpol('Base CDI'!$H$4:$H$28,'Base CDI'!$I$4:$I$29,S2690,"Cubic","Extrapolate=Linear","MultiX=Average","Skip=True","Sort=True")</f>
        <v>14.815889126139396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48397</v>
      </c>
      <c r="T2691" s="43">
        <f ca="1">_xll.BInterpol('Base CDI'!$H$4:$H$28,'Base CDI'!$J$4:$J$29,S2691,"Cubic","Extrapolate=Linear","MultiX=Average","Skip=True","Sort=True")</f>
        <v>14.741327220122255</v>
      </c>
      <c r="U2691" s="43">
        <f ca="1">_xll.BInterpol('Base CDI'!$H$4:$H$28,'Base CDI'!$I$4:$I$29,S2691,"Cubic","Extrapolate=Linear","MultiX=Average","Skip=True","Sort=True")</f>
        <v>14.815861229113489</v>
      </c>
    </row>
    <row r="2692" spans="16:21" x14ac:dyDescent="0.25">
      <c r="P2692" s="10">
        <v>38426</v>
      </c>
      <c r="Q2692">
        <v>12.22579</v>
      </c>
      <c r="S2692" s="42">
        <f t="shared" ca="1" si="46"/>
        <v>48398</v>
      </c>
      <c r="T2692" s="43">
        <f ca="1">_xll.BInterpol('Base CDI'!$H$4:$H$28,'Base CDI'!$J$4:$J$29,S2692,"Cubic","Extrapolate=Linear","MultiX=Average","Skip=True","Sort=True")</f>
        <v>14.741286146137101</v>
      </c>
      <c r="U2692" s="43">
        <f ca="1">_xll.BInterpol('Base CDI'!$H$4:$H$28,'Base CDI'!$I$4:$I$29,S2692,"Cubic","Extrapolate=Linear","MultiX=Average","Skip=True","Sort=True")</f>
        <v>14.815833282897014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48399</v>
      </c>
      <c r="T2693" s="43">
        <f ca="1">_xll.BInterpol('Base CDI'!$H$4:$H$28,'Base CDI'!$J$4:$J$29,S2693,"Cubic","Extrapolate=Linear","MultiX=Average","Skip=True","Sort=True")</f>
        <v>14.741245028714857</v>
      </c>
      <c r="U2693" s="43">
        <f ca="1">_xll.BInterpol('Base CDI'!$H$4:$H$28,'Base CDI'!$I$4:$I$29,S2693,"Cubic","Extrapolate=Linear","MultiX=Average","Skip=True","Sort=True")</f>
        <v>14.815805287628372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48400</v>
      </c>
      <c r="T2694" s="43">
        <f ca="1">_xll.BInterpol('Base CDI'!$H$4:$H$28,'Base CDI'!$J$4:$J$29,S2694,"Cubic","Extrapolate=Linear","MultiX=Average","Skip=True","Sort=True")</f>
        <v>14.741203867865895</v>
      </c>
      <c r="U2694" s="43">
        <f ca="1">_xll.BInterpol('Base CDI'!$H$4:$H$28,'Base CDI'!$I$4:$I$29,S2694,"Cubic","Extrapolate=Linear","MultiX=Average","Skip=True","Sort=True")</f>
        <v>14.815777243445959</v>
      </c>
    </row>
    <row r="2695" spans="16:21" x14ac:dyDescent="0.25">
      <c r="P2695" s="10">
        <v>38429</v>
      </c>
      <c r="Q2695">
        <v>12.25089</v>
      </c>
      <c r="S2695" s="42">
        <f t="shared" ca="1" si="46"/>
        <v>48401</v>
      </c>
      <c r="T2695" s="43">
        <f ca="1">_xll.BInterpol('Base CDI'!$H$4:$H$28,'Base CDI'!$J$4:$J$29,S2695,"Cubic","Extrapolate=Linear","MultiX=Average","Skip=True","Sort=True")</f>
        <v>14.741162663600585</v>
      </c>
      <c r="U2695" s="43">
        <f ca="1">_xll.BInterpol('Base CDI'!$H$4:$H$28,'Base CDI'!$I$4:$I$29,S2695,"Cubic","Extrapolate=Linear","MultiX=Average","Skip=True","Sort=True")</f>
        <v>14.815749150488179</v>
      </c>
    </row>
    <row r="2696" spans="16:21" x14ac:dyDescent="0.25">
      <c r="P2696" s="10">
        <v>38432</v>
      </c>
      <c r="Q2696">
        <v>12.25942</v>
      </c>
      <c r="S2696" s="42">
        <f t="shared" ca="1" si="46"/>
        <v>48402</v>
      </c>
      <c r="T2696" s="43">
        <f ca="1">_xll.BInterpol('Base CDI'!$H$4:$H$28,'Base CDI'!$J$4:$J$29,S2696,"Cubic","Extrapolate=Linear","MultiX=Average","Skip=True","Sort=True")</f>
        <v>14.741121415929296</v>
      </c>
      <c r="U2696" s="43">
        <f ca="1">_xll.BInterpol('Base CDI'!$H$4:$H$28,'Base CDI'!$I$4:$I$29,S2696,"Cubic","Extrapolate=Linear","MultiX=Average","Skip=True","Sort=True")</f>
        <v>14.815721008893426</v>
      </c>
    </row>
    <row r="2697" spans="16:21" x14ac:dyDescent="0.25">
      <c r="P2697" s="10">
        <v>38433</v>
      </c>
      <c r="Q2697">
        <v>12.26796</v>
      </c>
      <c r="S2697" s="42">
        <f t="shared" ca="1" si="46"/>
        <v>48403</v>
      </c>
      <c r="T2697" s="43">
        <f ca="1">_xll.BInterpol('Base CDI'!$H$4:$H$28,'Base CDI'!$J$4:$J$29,S2697,"Cubic","Extrapolate=Linear","MultiX=Average","Skip=True","Sort=True")</f>
        <v>14.741080124862398</v>
      </c>
      <c r="U2697" s="43">
        <f ca="1">_xll.BInterpol('Base CDI'!$H$4:$H$28,'Base CDI'!$I$4:$I$29,S2697,"Cubic","Extrapolate=Linear","MultiX=Average","Skip=True","Sort=True")</f>
        <v>14.815692818800102</v>
      </c>
    </row>
    <row r="2698" spans="16:21" x14ac:dyDescent="0.25">
      <c r="P2698" s="10">
        <v>38434</v>
      </c>
      <c r="Q2698">
        <v>12.27651</v>
      </c>
      <c r="S2698" s="42">
        <f t="shared" ca="1" si="46"/>
        <v>48404</v>
      </c>
      <c r="T2698" s="43">
        <f ca="1">_xll.BInterpol('Base CDI'!$H$4:$H$28,'Base CDI'!$J$4:$J$29,S2698,"Cubic","Extrapolate=Linear","MultiX=Average","Skip=True","Sort=True")</f>
        <v>14.741038790410263</v>
      </c>
      <c r="U2698" s="43">
        <f ca="1">_xll.BInterpol('Base CDI'!$H$4:$H$28,'Base CDI'!$I$4:$I$29,S2698,"Cubic","Extrapolate=Linear","MultiX=Average","Skip=True","Sort=True")</f>
        <v>14.815664580346606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48405</v>
      </c>
      <c r="T2699" s="43">
        <f ca="1">_xll.BInterpol('Base CDI'!$H$4:$H$28,'Base CDI'!$J$4:$J$29,S2699,"Cubic","Extrapolate=Linear","MultiX=Average","Skip=True","Sort=True")</f>
        <v>14.740997412583258</v>
      </c>
      <c r="U2699" s="43">
        <f ca="1">_xll.BInterpol('Base CDI'!$H$4:$H$28,'Base CDI'!$I$4:$I$29,S2699,"Cubic","Extrapolate=Linear","MultiX=Average","Skip=True","Sort=True")</f>
        <v>14.815636293671339</v>
      </c>
    </row>
    <row r="2700" spans="16:21" x14ac:dyDescent="0.25">
      <c r="P2700" s="10">
        <v>38439</v>
      </c>
      <c r="Q2700">
        <v>12.29364</v>
      </c>
      <c r="S2700" s="42">
        <f t="shared" ca="1" si="47"/>
        <v>48406</v>
      </c>
      <c r="T2700" s="43">
        <f ca="1">_xll.BInterpol('Base CDI'!$H$4:$H$28,'Base CDI'!$J$4:$J$29,S2700,"Cubic","Extrapolate=Linear","MultiX=Average","Skip=True","Sort=True")</f>
        <v>14.740955991391756</v>
      </c>
      <c r="U2700" s="43">
        <f ca="1">_xll.BInterpol('Base CDI'!$H$4:$H$28,'Base CDI'!$I$4:$I$29,S2700,"Cubic","Extrapolate=Linear","MultiX=Average","Skip=True","Sort=True")</f>
        <v>14.815607958912697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48407</v>
      </c>
      <c r="T2701" s="43">
        <f ca="1">_xll.BInterpol('Base CDI'!$H$4:$H$28,'Base CDI'!$J$4:$J$29,S2701,"Cubic","Extrapolate=Linear","MultiX=Average","Skip=True","Sort=True")</f>
        <v>14.740914526846124</v>
      </c>
      <c r="U2701" s="43">
        <f ca="1">_xll.BInterpol('Base CDI'!$H$4:$H$28,'Base CDI'!$I$4:$I$29,S2701,"Cubic","Extrapolate=Linear","MultiX=Average","Skip=True","Sort=True")</f>
        <v>14.81557957620908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48408</v>
      </c>
      <c r="T2702" s="43">
        <f ca="1">_xll.BInterpol('Base CDI'!$H$4:$H$28,'Base CDI'!$J$4:$J$29,S2702,"Cubic","Extrapolate=Linear","MultiX=Average","Skip=True","Sort=True")</f>
        <v>14.740873018956734</v>
      </c>
      <c r="U2702" s="43">
        <f ca="1">_xll.BInterpol('Base CDI'!$H$4:$H$28,'Base CDI'!$I$4:$I$29,S2702,"Cubic","Extrapolate=Linear","MultiX=Average","Skip=True","Sort=True")</f>
        <v>14.815551145698889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48409</v>
      </c>
      <c r="T2703" s="43">
        <f ca="1">_xll.BInterpol('Base CDI'!$H$4:$H$28,'Base CDI'!$J$4:$J$29,S2703,"Cubic","Extrapolate=Linear","MultiX=Average","Skip=True","Sort=True")</f>
        <v>14.740831467733956</v>
      </c>
      <c r="U2703" s="43">
        <f ca="1">_xll.BInterpol('Base CDI'!$H$4:$H$28,'Base CDI'!$I$4:$I$29,S2703,"Cubic","Extrapolate=Linear","MultiX=Average","Skip=True","Sort=True")</f>
        <v>14.81552266752052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48410</v>
      </c>
      <c r="T2704" s="43">
        <f ca="1">_xll.BInterpol('Base CDI'!$H$4:$H$28,'Base CDI'!$J$4:$J$29,S2704,"Cubic","Extrapolate=Linear","MultiX=Average","Skip=True","Sort=True")</f>
        <v>14.740789873188159</v>
      </c>
      <c r="U2704" s="43">
        <f ca="1">_xll.BInterpol('Base CDI'!$H$4:$H$28,'Base CDI'!$I$4:$I$29,S2704,"Cubic","Extrapolate=Linear","MultiX=Average","Skip=True","Sort=True")</f>
        <v>14.815494141812376</v>
      </c>
    </row>
    <row r="2705" spans="16:21" x14ac:dyDescent="0.25">
      <c r="P2705" s="10">
        <v>38446</v>
      </c>
      <c r="Q2705">
        <v>12.33656</v>
      </c>
      <c r="S2705" s="42">
        <f t="shared" ca="1" si="47"/>
        <v>48411</v>
      </c>
      <c r="T2705" s="43">
        <f ca="1">_xll.BInterpol('Base CDI'!$H$4:$H$28,'Base CDI'!$J$4:$J$29,S2705,"Cubic","Extrapolate=Linear","MultiX=Average","Skip=True","Sort=True")</f>
        <v>14.740748235329717</v>
      </c>
      <c r="U2705" s="43">
        <f ca="1">_xll.BInterpol('Base CDI'!$H$4:$H$28,'Base CDI'!$I$4:$I$29,S2705,"Cubic","Extrapolate=Linear","MultiX=Average","Skip=True","Sort=True")</f>
        <v>14.815465568712854</v>
      </c>
    </row>
    <row r="2706" spans="16:21" x14ac:dyDescent="0.25">
      <c r="P2706" s="10">
        <v>38447</v>
      </c>
      <c r="Q2706">
        <v>12.34516</v>
      </c>
      <c r="S2706" s="42">
        <f t="shared" ca="1" si="47"/>
        <v>48412</v>
      </c>
      <c r="T2706" s="43">
        <f ca="1">_xll.BInterpol('Base CDI'!$H$4:$H$28,'Base CDI'!$J$4:$J$29,S2706,"Cubic","Extrapolate=Linear","MultiX=Average","Skip=True","Sort=True")</f>
        <v>14.740706554168993</v>
      </c>
      <c r="U2706" s="43">
        <f ca="1">_xll.BInterpol('Base CDI'!$H$4:$H$28,'Base CDI'!$I$4:$I$29,S2706,"Cubic","Extrapolate=Linear","MultiX=Average","Skip=True","Sort=True")</f>
        <v>14.815436948360354</v>
      </c>
    </row>
    <row r="2707" spans="16:21" x14ac:dyDescent="0.25">
      <c r="P2707" s="10">
        <v>38448</v>
      </c>
      <c r="Q2707">
        <v>12.35378</v>
      </c>
      <c r="S2707" s="42">
        <f t="shared" ca="1" si="47"/>
        <v>48413</v>
      </c>
      <c r="T2707" s="43">
        <f ca="1">_xll.BInterpol('Base CDI'!$H$4:$H$28,'Base CDI'!$J$4:$J$29,S2707,"Cubic","Extrapolate=Linear","MultiX=Average","Skip=True","Sort=True")</f>
        <v>14.740664829716362</v>
      </c>
      <c r="U2707" s="43">
        <f ca="1">_xll.BInterpol('Base CDI'!$H$4:$H$28,'Base CDI'!$I$4:$I$29,S2707,"Cubic","Extrapolate=Linear","MultiX=Average","Skip=True","Sort=True")</f>
        <v>14.815408280893273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48414</v>
      </c>
      <c r="T2708" s="43">
        <f ca="1">_xll.BInterpol('Base CDI'!$H$4:$H$28,'Base CDI'!$J$4:$J$29,S2708,"Cubic","Extrapolate=Linear","MultiX=Average","Skip=True","Sort=True")</f>
        <v>14.740623061982193</v>
      </c>
      <c r="U2708" s="43">
        <f ca="1">_xll.BInterpol('Base CDI'!$H$4:$H$28,'Base CDI'!$I$4:$I$29,S2708,"Cubic","Extrapolate=Linear","MultiX=Average","Skip=True","Sort=True")</f>
        <v>14.815379566450014</v>
      </c>
    </row>
    <row r="2709" spans="16:21" x14ac:dyDescent="0.25">
      <c r="P2709" s="10">
        <v>38450</v>
      </c>
      <c r="Q2709">
        <v>12.37102</v>
      </c>
      <c r="S2709" s="42">
        <f t="shared" ca="1" si="47"/>
        <v>48415</v>
      </c>
      <c r="T2709" s="43">
        <f ca="1">_xll.BInterpol('Base CDI'!$H$4:$H$28,'Base CDI'!$J$4:$J$29,S2709,"Cubic","Extrapolate=Linear","MultiX=Average","Skip=True","Sort=True")</f>
        <v>14.740581250976856</v>
      </c>
      <c r="U2709" s="43">
        <f ca="1">_xll.BInterpol('Base CDI'!$H$4:$H$28,'Base CDI'!$I$4:$I$29,S2709,"Cubic","Extrapolate=Linear","MultiX=Average","Skip=True","Sort=True")</f>
        <v>14.815350805168974</v>
      </c>
    </row>
    <row r="2710" spans="16:21" x14ac:dyDescent="0.25">
      <c r="P2710" s="10">
        <v>38453</v>
      </c>
      <c r="Q2710">
        <v>12.37965</v>
      </c>
      <c r="S2710" s="42">
        <f t="shared" ca="1" si="47"/>
        <v>48416</v>
      </c>
      <c r="T2710" s="43">
        <f ca="1">_xll.BInterpol('Base CDI'!$H$4:$H$28,'Base CDI'!$J$4:$J$29,S2710,"Cubic","Extrapolate=Linear","MultiX=Average","Skip=True","Sort=True")</f>
        <v>14.740539396710721</v>
      </c>
      <c r="U2710" s="43">
        <f ca="1">_xll.BInterpol('Base CDI'!$H$4:$H$28,'Base CDI'!$I$4:$I$29,S2710,"Cubic","Extrapolate=Linear","MultiX=Average","Skip=True","Sort=True")</f>
        <v>14.815321997188551</v>
      </c>
    </row>
    <row r="2711" spans="16:21" x14ac:dyDescent="0.25">
      <c r="P2711" s="10">
        <v>38454</v>
      </c>
      <c r="Q2711">
        <v>12.38828</v>
      </c>
      <c r="S2711" s="42">
        <f t="shared" ca="1" si="47"/>
        <v>48417</v>
      </c>
      <c r="T2711" s="43">
        <f ca="1">_xll.BInterpol('Base CDI'!$H$4:$H$28,'Base CDI'!$J$4:$J$29,S2711,"Cubic","Extrapolate=Linear","MultiX=Average","Skip=True","Sort=True")</f>
        <v>14.740497499194158</v>
      </c>
      <c r="U2711" s="43">
        <f ca="1">_xll.BInterpol('Base CDI'!$H$4:$H$28,'Base CDI'!$I$4:$I$29,S2711,"Cubic","Extrapolate=Linear","MultiX=Average","Skip=True","Sort=True")</f>
        <v>14.815293142647148</v>
      </c>
    </row>
    <row r="2712" spans="16:21" x14ac:dyDescent="0.25">
      <c r="P2712" s="10">
        <v>38455</v>
      </c>
      <c r="Q2712">
        <v>12.3969</v>
      </c>
      <c r="S2712" s="42">
        <f t="shared" ca="1" si="47"/>
        <v>48418</v>
      </c>
      <c r="T2712" s="43">
        <f ca="1">_xll.BInterpol('Base CDI'!$H$4:$H$28,'Base CDI'!$J$4:$J$29,S2712,"Cubic","Extrapolate=Linear","MultiX=Average","Skip=True","Sort=True")</f>
        <v>14.740455558437537</v>
      </c>
      <c r="U2712" s="43">
        <f ca="1">_xll.BInterpol('Base CDI'!$H$4:$H$28,'Base CDI'!$I$4:$I$29,S2712,"Cubic","Extrapolate=Linear","MultiX=Average","Skip=True","Sort=True")</f>
        <v>14.815264241683161</v>
      </c>
    </row>
    <row r="2713" spans="16:21" x14ac:dyDescent="0.25">
      <c r="P2713" s="10">
        <v>38456</v>
      </c>
      <c r="Q2713">
        <v>12.40554</v>
      </c>
      <c r="S2713" s="42">
        <f t="shared" ca="1" si="47"/>
        <v>48419</v>
      </c>
      <c r="T2713" s="43">
        <f ca="1">_xll.BInterpol('Base CDI'!$H$4:$H$28,'Base CDI'!$J$4:$J$29,S2713,"Cubic","Extrapolate=Linear","MultiX=Average","Skip=True","Sort=True")</f>
        <v>14.740413574451228</v>
      </c>
      <c r="U2713" s="43">
        <f ca="1">_xll.BInterpol('Base CDI'!$H$4:$H$28,'Base CDI'!$I$4:$I$29,S2713,"Cubic","Extrapolate=Linear","MultiX=Average","Skip=True","Sort=True")</f>
        <v>14.81523529443499</v>
      </c>
    </row>
    <row r="2714" spans="16:21" x14ac:dyDescent="0.25">
      <c r="P2714" s="10">
        <v>38457</v>
      </c>
      <c r="Q2714">
        <v>12.41419</v>
      </c>
      <c r="S2714" s="42">
        <f t="shared" ca="1" si="47"/>
        <v>48420</v>
      </c>
      <c r="T2714" s="43">
        <f ca="1">_xll.BInterpol('Base CDI'!$H$4:$H$28,'Base CDI'!$J$4:$J$29,S2714,"Cubic","Extrapolate=Linear","MultiX=Average","Skip=True","Sort=True")</f>
        <v>14.740371547245601</v>
      </c>
      <c r="U2714" s="43">
        <f ca="1">_xll.BInterpol('Base CDI'!$H$4:$H$28,'Base CDI'!$I$4:$I$29,S2714,"Cubic","Extrapolate=Linear","MultiX=Average","Skip=True","Sort=True")</f>
        <v>14.815206301041034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48421</v>
      </c>
      <c r="T2715" s="43">
        <f ca="1">_xll.BInterpol('Base CDI'!$H$4:$H$28,'Base CDI'!$J$4:$J$29,S2715,"Cubic","Extrapolate=Linear","MultiX=Average","Skip=True","Sort=True")</f>
        <v>14.740329476831027</v>
      </c>
      <c r="U2715" s="43">
        <f ca="1">_xll.BInterpol('Base CDI'!$H$4:$H$28,'Base CDI'!$I$4:$I$29,S2715,"Cubic","Extrapolate=Linear","MultiX=Average","Skip=True","Sort=True")</f>
        <v>14.815177261639693</v>
      </c>
    </row>
    <row r="2716" spans="16:21" x14ac:dyDescent="0.25">
      <c r="P2716" s="10">
        <v>38461</v>
      </c>
      <c r="Q2716">
        <v>12.43149</v>
      </c>
      <c r="S2716" s="42">
        <f t="shared" ca="1" si="47"/>
        <v>48422</v>
      </c>
      <c r="T2716" s="43">
        <f ca="1">_xll.BInterpol('Base CDI'!$H$4:$H$28,'Base CDI'!$J$4:$J$29,S2716,"Cubic","Extrapolate=Linear","MultiX=Average","Skip=True","Sort=True")</f>
        <v>14.740287363217874</v>
      </c>
      <c r="U2716" s="43">
        <f ca="1">_xll.BInterpol('Base CDI'!$H$4:$H$28,'Base CDI'!$I$4:$I$29,S2716,"Cubic","Extrapolate=Linear","MultiX=Average","Skip=True","Sort=True")</f>
        <v>14.815148176369366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48423</v>
      </c>
      <c r="T2717" s="43">
        <f ca="1">_xll.BInterpol('Base CDI'!$H$4:$H$28,'Base CDI'!$J$4:$J$29,S2717,"Cubic","Extrapolate=Linear","MultiX=Average","Skip=True","Sort=True")</f>
        <v>14.740245206416514</v>
      </c>
      <c r="U2717" s="43">
        <f ca="1">_xll.BInterpol('Base CDI'!$H$4:$H$28,'Base CDI'!$I$4:$I$29,S2717,"Cubic","Extrapolate=Linear","MultiX=Average","Skip=True","Sort=True")</f>
        <v>14.815119045368453</v>
      </c>
    </row>
    <row r="2718" spans="16:21" x14ac:dyDescent="0.25">
      <c r="P2718" s="10">
        <v>38464</v>
      </c>
      <c r="Q2718">
        <v>12.44882</v>
      </c>
      <c r="S2718" s="42">
        <f t="shared" ca="1" si="47"/>
        <v>48424</v>
      </c>
      <c r="T2718" s="43">
        <f ca="1">_xll.BInterpol('Base CDI'!$H$4:$H$28,'Base CDI'!$J$4:$J$29,S2718,"Cubic","Extrapolate=Linear","MultiX=Average","Skip=True","Sort=True")</f>
        <v>14.740203006437316</v>
      </c>
      <c r="U2718" s="43">
        <f ca="1">_xll.BInterpol('Base CDI'!$H$4:$H$28,'Base CDI'!$I$4:$I$29,S2718,"Cubic","Extrapolate=Linear","MultiX=Average","Skip=True","Sort=True")</f>
        <v>14.815089868775351</v>
      </c>
    </row>
    <row r="2719" spans="16:21" x14ac:dyDescent="0.25">
      <c r="P2719" s="10">
        <v>38467</v>
      </c>
      <c r="Q2719">
        <v>12.45757</v>
      </c>
      <c r="S2719" s="42">
        <f t="shared" ca="1" si="47"/>
        <v>48425</v>
      </c>
      <c r="T2719" s="43">
        <f ca="1">_xll.BInterpol('Base CDI'!$H$4:$H$28,'Base CDI'!$J$4:$J$29,S2719,"Cubic","Extrapolate=Linear","MultiX=Average","Skip=True","Sort=True")</f>
        <v>14.74016076329065</v>
      </c>
      <c r="U2719" s="43">
        <f ca="1">_xll.BInterpol('Base CDI'!$H$4:$H$28,'Base CDI'!$I$4:$I$29,S2719,"Cubic","Extrapolate=Linear","MultiX=Average","Skip=True","Sort=True")</f>
        <v>14.815060646728462</v>
      </c>
    </row>
    <row r="2720" spans="16:21" x14ac:dyDescent="0.25">
      <c r="P2720" s="10">
        <v>38468</v>
      </c>
      <c r="Q2720">
        <v>12.46635</v>
      </c>
      <c r="S2720" s="42">
        <f t="shared" ca="1" si="47"/>
        <v>48426</v>
      </c>
      <c r="T2720" s="43">
        <f ca="1">_xll.BInterpol('Base CDI'!$H$4:$H$28,'Base CDI'!$J$4:$J$29,S2720,"Cubic","Extrapolate=Linear","MultiX=Average","Skip=True","Sort=True")</f>
        <v>14.740118476986886</v>
      </c>
      <c r="U2720" s="43">
        <f ca="1">_xll.BInterpol('Base CDI'!$H$4:$H$28,'Base CDI'!$I$4:$I$29,S2720,"Cubic","Extrapolate=Linear","MultiX=Average","Skip=True","Sort=True")</f>
        <v>14.815031379366182</v>
      </c>
    </row>
    <row r="2721" spans="16:21" x14ac:dyDescent="0.25">
      <c r="P2721" s="10">
        <v>38469</v>
      </c>
      <c r="Q2721">
        <v>12.47513</v>
      </c>
      <c r="S2721" s="42">
        <f t="shared" ca="1" si="47"/>
        <v>48427</v>
      </c>
      <c r="T2721" s="43">
        <f ca="1">_xll.BInterpol('Base CDI'!$H$4:$H$28,'Base CDI'!$J$4:$J$29,S2721,"Cubic","Extrapolate=Linear","MultiX=Average","Skip=True","Sort=True")</f>
        <v>14.740076147536396</v>
      </c>
      <c r="U2721" s="43">
        <f ca="1">_xll.BInterpol('Base CDI'!$H$4:$H$28,'Base CDI'!$I$4:$I$29,S2721,"Cubic","Extrapolate=Linear","MultiX=Average","Skip=True","Sort=True")</f>
        <v>14.815002066826912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48428</v>
      </c>
      <c r="T2722" s="43">
        <f ca="1">_xll.BInterpol('Base CDI'!$H$4:$H$28,'Base CDI'!$J$4:$J$29,S2722,"Cubic","Extrapolate=Linear","MultiX=Average","Skip=True","Sort=True")</f>
        <v>14.740033774949547</v>
      </c>
      <c r="U2722" s="43">
        <f ca="1">_xll.BInterpol('Base CDI'!$H$4:$H$28,'Base CDI'!$I$4:$I$29,S2722,"Cubic","Extrapolate=Linear","MultiX=Average","Skip=True","Sort=True")</f>
        <v>14.814972709249052</v>
      </c>
    </row>
    <row r="2723" spans="16:21" x14ac:dyDescent="0.25">
      <c r="P2723" s="10">
        <v>38471</v>
      </c>
      <c r="Q2723">
        <v>12.49272</v>
      </c>
      <c r="S2723" s="42">
        <f t="shared" ca="1" si="47"/>
        <v>48429</v>
      </c>
      <c r="T2723" s="43">
        <f ca="1">_xll.BInterpol('Base CDI'!$H$4:$H$28,'Base CDI'!$J$4:$J$29,S2723,"Cubic","Extrapolate=Linear","MultiX=Average","Skip=True","Sort=True")</f>
        <v>14.73999135923671</v>
      </c>
      <c r="U2723" s="43">
        <f ca="1">_xll.BInterpol('Base CDI'!$H$4:$H$28,'Base CDI'!$I$4:$I$29,S2723,"Cubic","Extrapolate=Linear","MultiX=Average","Skip=True","Sort=True")</f>
        <v>14.814943306770999</v>
      </c>
    </row>
    <row r="2724" spans="16:21" x14ac:dyDescent="0.25">
      <c r="P2724" s="10">
        <v>38474</v>
      </c>
      <c r="Q2724">
        <v>12.50154</v>
      </c>
      <c r="S2724" s="42">
        <f t="shared" ca="1" si="47"/>
        <v>48430</v>
      </c>
      <c r="T2724" s="43">
        <f ca="1">_xll.BInterpol('Base CDI'!$H$4:$H$28,'Base CDI'!$J$4:$J$29,S2724,"Cubic","Extrapolate=Linear","MultiX=Average","Skip=True","Sort=True")</f>
        <v>14.739948900408256</v>
      </c>
      <c r="U2724" s="43">
        <f ca="1">_xll.BInterpol('Base CDI'!$H$4:$H$28,'Base CDI'!$I$4:$I$29,S2724,"Cubic","Extrapolate=Linear","MultiX=Average","Skip=True","Sort=True")</f>
        <v>14.814913859531154</v>
      </c>
    </row>
    <row r="2725" spans="16:21" x14ac:dyDescent="0.25">
      <c r="P2725" s="10">
        <v>38475</v>
      </c>
      <c r="Q2725">
        <v>12.51037</v>
      </c>
      <c r="S2725" s="42">
        <f t="shared" ca="1" si="47"/>
        <v>48431</v>
      </c>
      <c r="T2725" s="43">
        <f ca="1">_xll.BInterpol('Base CDI'!$H$4:$H$28,'Base CDI'!$J$4:$J$29,S2725,"Cubic","Extrapolate=Linear","MultiX=Average","Skip=True","Sort=True")</f>
        <v>14.739906398474556</v>
      </c>
      <c r="U2725" s="43">
        <f ca="1">_xll.BInterpol('Base CDI'!$H$4:$H$28,'Base CDI'!$I$4:$I$29,S2725,"Cubic","Extrapolate=Linear","MultiX=Average","Skip=True","Sort=True")</f>
        <v>14.814884367667917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48432</v>
      </c>
      <c r="T2726" s="43">
        <f ca="1">_xll.BInterpol('Base CDI'!$H$4:$H$28,'Base CDI'!$J$4:$J$29,S2726,"Cubic","Extrapolate=Linear","MultiX=Average","Skip=True","Sort=True")</f>
        <v>14.739863853445977</v>
      </c>
      <c r="U2726" s="43">
        <f ca="1">_xll.BInterpol('Base CDI'!$H$4:$H$28,'Base CDI'!$I$4:$I$29,S2726,"Cubic","Extrapolate=Linear","MultiX=Average","Skip=True","Sort=True")</f>
        <v>14.814854831319686</v>
      </c>
    </row>
    <row r="2727" spans="16:21" x14ac:dyDescent="0.25">
      <c r="P2727" s="10">
        <v>38477</v>
      </c>
      <c r="Q2727">
        <v>12.52806</v>
      </c>
      <c r="S2727" s="42">
        <f t="shared" ca="1" si="47"/>
        <v>48433</v>
      </c>
      <c r="T2727" s="43">
        <f ca="1">_xll.BInterpol('Base CDI'!$H$4:$H$28,'Base CDI'!$J$4:$J$29,S2727,"Cubic","Extrapolate=Linear","MultiX=Average","Skip=True","Sort=True")</f>
        <v>14.739821265332891</v>
      </c>
      <c r="U2727" s="43">
        <f ca="1">_xll.BInterpol('Base CDI'!$H$4:$H$28,'Base CDI'!$I$4:$I$29,S2727,"Cubic","Extrapolate=Linear","MultiX=Average","Skip=True","Sort=True")</f>
        <v>14.814825250624859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48434</v>
      </c>
      <c r="T2728" s="43">
        <f ca="1">_xll.BInterpol('Base CDI'!$H$4:$H$28,'Base CDI'!$J$4:$J$29,S2728,"Cubic","Extrapolate=Linear","MultiX=Average","Skip=True","Sort=True")</f>
        <v>14.739778634145667</v>
      </c>
      <c r="U2728" s="43">
        <f ca="1">_xll.BInterpol('Base CDI'!$H$4:$H$28,'Base CDI'!$I$4:$I$29,S2728,"Cubic","Extrapolate=Linear","MultiX=Average","Skip=True","Sort=True")</f>
        <v>14.814795625721837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48435</v>
      </c>
      <c r="T2729" s="43">
        <f ca="1">_xll.BInterpol('Base CDI'!$H$4:$H$28,'Base CDI'!$J$4:$J$29,S2729,"Cubic","Extrapolate=Linear","MultiX=Average","Skip=True","Sort=True")</f>
        <v>14.739735959894677</v>
      </c>
      <c r="U2729" s="43">
        <f ca="1">_xll.BInterpol('Base CDI'!$H$4:$H$28,'Base CDI'!$I$4:$I$29,S2729,"Cubic","Extrapolate=Linear","MultiX=Average","Skip=True","Sort=True")</f>
        <v>14.814765956749019</v>
      </c>
    </row>
    <row r="2730" spans="16:21" x14ac:dyDescent="0.25">
      <c r="P2730" s="10">
        <v>38482</v>
      </c>
      <c r="Q2730">
        <v>12.55463</v>
      </c>
      <c r="S2730" s="42">
        <f t="shared" ca="1" si="47"/>
        <v>48436</v>
      </c>
      <c r="T2730" s="43">
        <f ca="1">_xll.BInterpol('Base CDI'!$H$4:$H$28,'Base CDI'!$J$4:$J$29,S2730,"Cubic","Extrapolate=Linear","MultiX=Average","Skip=True","Sort=True")</f>
        <v>14.739693242590288</v>
      </c>
      <c r="U2730" s="43">
        <f ca="1">_xll.BInterpol('Base CDI'!$H$4:$H$28,'Base CDI'!$I$4:$I$29,S2730,"Cubic","Extrapolate=Linear","MultiX=Average","Skip=True","Sort=True")</f>
        <v>14.814736243844804</v>
      </c>
    </row>
    <row r="2731" spans="16:21" x14ac:dyDescent="0.25">
      <c r="P2731" s="10">
        <v>38483</v>
      </c>
      <c r="Q2731">
        <v>12.56349</v>
      </c>
      <c r="S2731" s="42">
        <f t="shared" ca="1" si="47"/>
        <v>48437</v>
      </c>
      <c r="T2731" s="43">
        <f ca="1">_xll.BInterpol('Base CDI'!$H$4:$H$28,'Base CDI'!$J$4:$J$29,S2731,"Cubic","Extrapolate=Linear","MultiX=Average","Skip=True","Sort=True")</f>
        <v>14.739650482242872</v>
      </c>
      <c r="U2731" s="43">
        <f ca="1">_xll.BInterpol('Base CDI'!$H$4:$H$28,'Base CDI'!$I$4:$I$29,S2731,"Cubic","Extrapolate=Linear","MultiX=Average","Skip=True","Sort=True")</f>
        <v>14.814706487147591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48438</v>
      </c>
      <c r="T2732" s="43">
        <f ca="1">_xll.BInterpol('Base CDI'!$H$4:$H$28,'Base CDI'!$J$4:$J$29,S2732,"Cubic","Extrapolate=Linear","MultiX=Average","Skip=True","Sort=True")</f>
        <v>14.7396076788628</v>
      </c>
      <c r="U2732" s="43">
        <f ca="1">_xll.BInterpol('Base CDI'!$H$4:$H$28,'Base CDI'!$I$4:$I$29,S2732,"Cubic","Extrapolate=Linear","MultiX=Average","Skip=True","Sort=True")</f>
        <v>14.814676686795778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48439</v>
      </c>
      <c r="T2733" s="43">
        <f ca="1">_xll.BInterpol('Base CDI'!$H$4:$H$28,'Base CDI'!$J$4:$J$29,S2733,"Cubic","Extrapolate=Linear","MultiX=Average","Skip=True","Sort=True")</f>
        <v>14.739564832460442</v>
      </c>
      <c r="U2733" s="43">
        <f ca="1">_xll.BInterpol('Base CDI'!$H$4:$H$28,'Base CDI'!$I$4:$I$29,S2733,"Cubic","Extrapolate=Linear","MultiX=Average","Skip=True","Sort=True")</f>
        <v>14.814646842927768</v>
      </c>
    </row>
    <row r="2734" spans="16:21" x14ac:dyDescent="0.25">
      <c r="P2734" s="10">
        <v>38488</v>
      </c>
      <c r="Q2734">
        <v>12.59013</v>
      </c>
      <c r="S2734" s="42">
        <f t="shared" ca="1" si="47"/>
        <v>48440</v>
      </c>
      <c r="T2734" s="43">
        <f ca="1">_xll.BInterpol('Base CDI'!$H$4:$H$28,'Base CDI'!$J$4:$J$29,S2734,"Cubic","Extrapolate=Linear","MultiX=Average","Skip=True","Sort=True")</f>
        <v>14.739521943046164</v>
      </c>
      <c r="U2734" s="43">
        <f ca="1">_xll.BInterpol('Base CDI'!$H$4:$H$28,'Base CDI'!$I$4:$I$29,S2734,"Cubic","Extrapolate=Linear","MultiX=Average","Skip=True","Sort=True")</f>
        <v>14.814616955681956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48441</v>
      </c>
      <c r="T2735" s="43">
        <f ca="1">_xll.BInterpol('Base CDI'!$H$4:$H$28,'Base CDI'!$J$4:$J$29,S2735,"Cubic","Extrapolate=Linear","MultiX=Average","Skip=True","Sort=True")</f>
        <v>14.73947901063034</v>
      </c>
      <c r="U2735" s="43">
        <f ca="1">_xll.BInterpol('Base CDI'!$H$4:$H$28,'Base CDI'!$I$4:$I$29,S2735,"Cubic","Extrapolate=Linear","MultiX=Average","Skip=True","Sort=True")</f>
        <v>14.814587025196744</v>
      </c>
    </row>
    <row r="2736" spans="16:21" x14ac:dyDescent="0.25">
      <c r="P2736" s="10">
        <v>38490</v>
      </c>
      <c r="Q2736">
        <v>12.60792</v>
      </c>
      <c r="S2736" s="42">
        <f t="shared" ca="1" si="47"/>
        <v>48442</v>
      </c>
      <c r="T2736" s="43">
        <f ca="1">_xll.BInterpol('Base CDI'!$H$4:$H$28,'Base CDI'!$J$4:$J$29,S2736,"Cubic","Extrapolate=Linear","MultiX=Average","Skip=True","Sort=True")</f>
        <v>14.739436035223338</v>
      </c>
      <c r="U2736" s="43">
        <f ca="1">_xll.BInterpol('Base CDI'!$H$4:$H$28,'Base CDI'!$I$4:$I$29,S2736,"Cubic","Extrapolate=Linear","MultiX=Average","Skip=True","Sort=True")</f>
        <v>14.81455705161053</v>
      </c>
    </row>
    <row r="2737" spans="16:21" x14ac:dyDescent="0.25">
      <c r="P2737" s="10">
        <v>38491</v>
      </c>
      <c r="Q2737">
        <v>12.61683</v>
      </c>
      <c r="S2737" s="42">
        <f t="shared" ca="1" si="47"/>
        <v>48443</v>
      </c>
      <c r="T2737" s="43">
        <f ca="1">_xll.BInterpol('Base CDI'!$H$4:$H$28,'Base CDI'!$J$4:$J$29,S2737,"Cubic","Extrapolate=Linear","MultiX=Average","Skip=True","Sort=True")</f>
        <v>14.739393016835532</v>
      </c>
      <c r="U2737" s="43">
        <f ca="1">_xll.BInterpol('Base CDI'!$H$4:$H$28,'Base CDI'!$I$4:$I$29,S2737,"Cubic","Extrapolate=Linear","MultiX=Average","Skip=True","Sort=True")</f>
        <v>14.814527035061712</v>
      </c>
    </row>
    <row r="2738" spans="16:21" x14ac:dyDescent="0.25">
      <c r="P2738" s="10">
        <v>38492</v>
      </c>
      <c r="Q2738">
        <v>12.62584</v>
      </c>
      <c r="S2738" s="42">
        <f t="shared" ca="1" si="47"/>
        <v>48444</v>
      </c>
      <c r="T2738" s="43">
        <f ca="1">_xll.BInterpol('Base CDI'!$H$4:$H$28,'Base CDI'!$J$4:$J$29,S2738,"Cubic","Extrapolate=Linear","MultiX=Average","Skip=True","Sort=True")</f>
        <v>14.739349955477286</v>
      </c>
      <c r="U2738" s="43">
        <f ca="1">_xll.BInterpol('Base CDI'!$H$4:$H$28,'Base CDI'!$I$4:$I$29,S2738,"Cubic","Extrapolate=Linear","MultiX=Average","Skip=True","Sort=True")</f>
        <v>14.814496975688693</v>
      </c>
    </row>
    <row r="2739" spans="16:21" x14ac:dyDescent="0.25">
      <c r="P2739" s="10">
        <v>38495</v>
      </c>
      <c r="Q2739">
        <v>12.63485</v>
      </c>
      <c r="S2739" s="42">
        <f t="shared" ca="1" si="47"/>
        <v>48445</v>
      </c>
      <c r="T2739" s="43">
        <f ca="1">_xll.BInterpol('Base CDI'!$H$4:$H$28,'Base CDI'!$J$4:$J$29,S2739,"Cubic","Extrapolate=Linear","MultiX=Average","Skip=True","Sort=True")</f>
        <v>14.739306851158974</v>
      </c>
      <c r="U2739" s="43">
        <f ca="1">_xll.BInterpol('Base CDI'!$H$4:$H$28,'Base CDI'!$I$4:$I$29,S2739,"Cubic","Extrapolate=Linear","MultiX=Average","Skip=True","Sort=True")</f>
        <v>14.814466873629868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48446</v>
      </c>
      <c r="T2740" s="43">
        <f ca="1">_xll.BInterpol('Base CDI'!$H$4:$H$28,'Base CDI'!$J$4:$J$29,S2740,"Cubic","Extrapolate=Linear","MultiX=Average","Skip=True","Sort=True")</f>
        <v>14.739263703890966</v>
      </c>
      <c r="U2740" s="43">
        <f ca="1">_xll.BInterpol('Base CDI'!$H$4:$H$28,'Base CDI'!$I$4:$I$29,S2740,"Cubic","Extrapolate=Linear","MultiX=Average","Skip=True","Sort=True")</f>
        <v>14.814436729023639</v>
      </c>
    </row>
    <row r="2741" spans="16:21" x14ac:dyDescent="0.25">
      <c r="P2741" s="10">
        <v>38497</v>
      </c>
      <c r="Q2741">
        <v>12.65291</v>
      </c>
      <c r="S2741" s="42">
        <f t="shared" ca="1" si="47"/>
        <v>48447</v>
      </c>
      <c r="T2741" s="43">
        <f ca="1">_xll.BInterpol('Base CDI'!$H$4:$H$28,'Base CDI'!$J$4:$J$29,S2741,"Cubic","Extrapolate=Linear","MultiX=Average","Skip=True","Sort=True")</f>
        <v>14.73922051368363</v>
      </c>
      <c r="U2741" s="43">
        <f ca="1">_xll.BInterpol('Base CDI'!$H$4:$H$28,'Base CDI'!$I$4:$I$29,S2741,"Cubic","Extrapolate=Linear","MultiX=Average","Skip=True","Sort=True")</f>
        <v>14.814406542008403</v>
      </c>
    </row>
    <row r="2742" spans="16:21" x14ac:dyDescent="0.25">
      <c r="P2742" s="10">
        <v>38499</v>
      </c>
      <c r="Q2742">
        <v>12.66194</v>
      </c>
      <c r="S2742" s="42">
        <f t="shared" ca="1" si="47"/>
        <v>48448</v>
      </c>
      <c r="T2742" s="43">
        <f ca="1">_xll.BInterpol('Base CDI'!$H$4:$H$28,'Base CDI'!$J$4:$J$29,S2742,"Cubic","Extrapolate=Linear","MultiX=Average","Skip=True","Sort=True")</f>
        <v>14.739177280547338</v>
      </c>
      <c r="U2742" s="43">
        <f ca="1">_xll.BInterpol('Base CDI'!$H$4:$H$28,'Base CDI'!$I$4:$I$29,S2742,"Cubic","Extrapolate=Linear","MultiX=Average","Skip=True","Sort=True")</f>
        <v>14.814376312722562</v>
      </c>
    </row>
    <row r="2743" spans="16:21" x14ac:dyDescent="0.25">
      <c r="P2743" s="10">
        <v>38502</v>
      </c>
      <c r="Q2743">
        <v>12.67098</v>
      </c>
      <c r="S2743" s="42">
        <f t="shared" ca="1" si="47"/>
        <v>48449</v>
      </c>
      <c r="T2743" s="43">
        <f ca="1">_xll.BInterpol('Base CDI'!$H$4:$H$28,'Base CDI'!$J$4:$J$29,S2743,"Cubic","Extrapolate=Linear","MultiX=Average","Skip=True","Sort=True")</f>
        <v>14.739134004492458</v>
      </c>
      <c r="U2743" s="43">
        <f ca="1">_xll.BInterpol('Base CDI'!$H$4:$H$28,'Base CDI'!$I$4:$I$29,S2743,"Cubic","Extrapolate=Linear","MultiX=Average","Skip=True","Sort=True")</f>
        <v>14.814346041304512</v>
      </c>
    </row>
    <row r="2744" spans="16:21" x14ac:dyDescent="0.25">
      <c r="P2744" s="10">
        <v>38503</v>
      </c>
      <c r="Q2744">
        <v>12.68004</v>
      </c>
      <c r="S2744" s="42">
        <f t="shared" ca="1" si="47"/>
        <v>48450</v>
      </c>
      <c r="T2744" s="43">
        <f ca="1">_xll.BInterpol('Base CDI'!$H$4:$H$28,'Base CDI'!$J$4:$J$29,S2744,"Cubic","Extrapolate=Linear","MultiX=Average","Skip=True","Sort=True")</f>
        <v>14.739090685529362</v>
      </c>
      <c r="U2744" s="43">
        <f ca="1">_xll.BInterpol('Base CDI'!$H$4:$H$28,'Base CDI'!$I$4:$I$29,S2744,"Cubic","Extrapolate=Linear","MultiX=Average","Skip=True","Sort=True")</f>
        <v>14.814315727892657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48451</v>
      </c>
      <c r="T2745" s="43">
        <f ca="1">_xll.BInterpol('Base CDI'!$H$4:$H$28,'Base CDI'!$J$4:$J$29,S2745,"Cubic","Extrapolate=Linear","MultiX=Average","Skip=True","Sort=True")</f>
        <v>14.739047323668419</v>
      </c>
      <c r="U2745" s="43">
        <f ca="1">_xll.BInterpol('Base CDI'!$H$4:$H$28,'Base CDI'!$I$4:$I$29,S2745,"Cubic","Extrapolate=Linear","MultiX=Average","Skip=True","Sort=True")</f>
        <v>14.81428537262539</v>
      </c>
    </row>
    <row r="2746" spans="16:21" x14ac:dyDescent="0.25">
      <c r="P2746" s="10">
        <v>38505</v>
      </c>
      <c r="Q2746">
        <v>12.6982</v>
      </c>
      <c r="S2746" s="42">
        <f t="shared" ca="1" si="47"/>
        <v>48452</v>
      </c>
      <c r="T2746" s="43">
        <f ca="1">_xll.BInterpol('Base CDI'!$H$4:$H$28,'Base CDI'!$J$4:$J$29,S2746,"Cubic","Extrapolate=Linear","MultiX=Average","Skip=True","Sort=True")</f>
        <v>14.73900391892</v>
      </c>
      <c r="U2746" s="43">
        <f ca="1">_xll.BInterpol('Base CDI'!$H$4:$H$28,'Base CDI'!$I$4:$I$29,S2746,"Cubic","Extrapolate=Linear","MultiX=Average","Skip=True","Sort=True")</f>
        <v>14.814254975641116</v>
      </c>
    </row>
    <row r="2747" spans="16:21" x14ac:dyDescent="0.25">
      <c r="P2747" s="10">
        <v>38506</v>
      </c>
      <c r="Q2747">
        <v>12.70729</v>
      </c>
      <c r="S2747" s="42">
        <f t="shared" ca="1" si="47"/>
        <v>48453</v>
      </c>
      <c r="T2747" s="43">
        <f ca="1">_xll.BInterpol('Base CDI'!$H$4:$H$28,'Base CDI'!$J$4:$J$29,S2747,"Cubic","Extrapolate=Linear","MultiX=Average","Skip=True","Sort=True")</f>
        <v>14.738960471294474</v>
      </c>
      <c r="U2747" s="43">
        <f ca="1">_xll.BInterpol('Base CDI'!$H$4:$H$28,'Base CDI'!$I$4:$I$29,S2747,"Cubic","Extrapolate=Linear","MultiX=Average","Skip=True","Sort=True")</f>
        <v>14.81422453707823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48454</v>
      </c>
      <c r="T2748" s="43">
        <f ca="1">_xll.BInterpol('Base CDI'!$H$4:$H$28,'Base CDI'!$J$4:$J$29,S2748,"Cubic","Extrapolate=Linear","MultiX=Average","Skip=True","Sort=True")</f>
        <v>14.738916980802211</v>
      </c>
      <c r="U2748" s="43">
        <f ca="1">_xll.BInterpol('Base CDI'!$H$4:$H$28,'Base CDI'!$I$4:$I$29,S2748,"Cubic","Extrapolate=Linear","MultiX=Average","Skip=True","Sort=True")</f>
        <v>14.814194057075133</v>
      </c>
    </row>
    <row r="2749" spans="16:21" x14ac:dyDescent="0.25">
      <c r="P2749" s="10">
        <v>38510</v>
      </c>
      <c r="Q2749">
        <v>12.72547</v>
      </c>
      <c r="S2749" s="42">
        <f t="shared" ca="1" si="47"/>
        <v>48455</v>
      </c>
      <c r="T2749" s="43">
        <f ca="1">_xll.BInterpol('Base CDI'!$H$4:$H$28,'Base CDI'!$J$4:$J$29,S2749,"Cubic","Extrapolate=Linear","MultiX=Average","Skip=True","Sort=True")</f>
        <v>14.738873447453582</v>
      </c>
      <c r="U2749" s="43">
        <f ca="1">_xll.BInterpol('Base CDI'!$H$4:$H$28,'Base CDI'!$I$4:$I$29,S2749,"Cubic","Extrapolate=Linear","MultiX=Average","Skip=True","Sort=True")</f>
        <v>14.814163535770225</v>
      </c>
    </row>
    <row r="2750" spans="16:21" x14ac:dyDescent="0.25">
      <c r="P2750" s="10">
        <v>38511</v>
      </c>
      <c r="Q2750">
        <v>12.73456</v>
      </c>
      <c r="S2750" s="42">
        <f t="shared" ca="1" si="47"/>
        <v>48456</v>
      </c>
      <c r="T2750" s="43">
        <f ca="1">_xll.BInterpol('Base CDI'!$H$4:$H$28,'Base CDI'!$J$4:$J$29,S2750,"Cubic","Extrapolate=Linear","MultiX=Average","Skip=True","Sort=True")</f>
        <v>14.738829871258956</v>
      </c>
      <c r="U2750" s="43">
        <f ca="1">_xll.BInterpol('Base CDI'!$H$4:$H$28,'Base CDI'!$I$4:$I$29,S2750,"Cubic","Extrapolate=Linear","MultiX=Average","Skip=True","Sort=True")</f>
        <v>14.814132973301904</v>
      </c>
    </row>
    <row r="2751" spans="16:21" x14ac:dyDescent="0.25">
      <c r="P2751" s="10">
        <v>38512</v>
      </c>
      <c r="Q2751">
        <v>12.74366</v>
      </c>
      <c r="S2751" s="42">
        <f t="shared" ca="1" si="47"/>
        <v>48457</v>
      </c>
      <c r="T2751" s="43">
        <f ca="1">_xll.BInterpol('Base CDI'!$H$4:$H$28,'Base CDI'!$J$4:$J$29,S2751,"Cubic","Extrapolate=Linear","MultiX=Average","Skip=True","Sort=True")</f>
        <v>14.738786252228703</v>
      </c>
      <c r="U2751" s="43">
        <f ca="1">_xll.BInterpol('Base CDI'!$H$4:$H$28,'Base CDI'!$I$4:$I$29,S2751,"Cubic","Extrapolate=Linear","MultiX=Average","Skip=True","Sort=True")</f>
        <v>14.814102369808568</v>
      </c>
    </row>
    <row r="2752" spans="16:21" x14ac:dyDescent="0.25">
      <c r="P2752" s="10">
        <v>38513</v>
      </c>
      <c r="Q2752">
        <v>12.75276</v>
      </c>
      <c r="S2752" s="42">
        <f t="shared" ca="1" si="47"/>
        <v>48458</v>
      </c>
      <c r="T2752" s="43">
        <f ca="1">_xll.BInterpol('Base CDI'!$H$4:$H$28,'Base CDI'!$J$4:$J$29,S2752,"Cubic","Extrapolate=Linear","MultiX=Average","Skip=True","Sort=True")</f>
        <v>14.738742590373194</v>
      </c>
      <c r="U2752" s="43">
        <f ca="1">_xll.BInterpol('Base CDI'!$H$4:$H$28,'Base CDI'!$I$4:$I$29,S2752,"Cubic","Extrapolate=Linear","MultiX=Average","Skip=True","Sort=True")</f>
        <v>14.814071725428619</v>
      </c>
    </row>
    <row r="2753" spans="16:21" x14ac:dyDescent="0.25">
      <c r="P2753" s="10">
        <v>38516</v>
      </c>
      <c r="Q2753">
        <v>12.76187</v>
      </c>
      <c r="S2753" s="42">
        <f t="shared" ca="1" si="47"/>
        <v>48459</v>
      </c>
      <c r="T2753" s="43">
        <f ca="1">_xll.BInterpol('Base CDI'!$H$4:$H$28,'Base CDI'!$J$4:$J$29,S2753,"Cubic","Extrapolate=Linear","MultiX=Average","Skip=True","Sort=True")</f>
        <v>14.738698885702799</v>
      </c>
      <c r="U2753" s="43">
        <f ca="1">_xll.BInterpol('Base CDI'!$H$4:$H$28,'Base CDI'!$I$4:$I$29,S2753,"Cubic","Extrapolate=Linear","MultiX=Average","Skip=True","Sort=True")</f>
        <v>14.814041040300456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48460</v>
      </c>
      <c r="T2754" s="43">
        <f ca="1">_xll.BInterpol('Base CDI'!$H$4:$H$28,'Base CDI'!$J$4:$J$29,S2754,"Cubic","Extrapolate=Linear","MultiX=Average","Skip=True","Sort=True")</f>
        <v>14.738655138227887</v>
      </c>
      <c r="U2754" s="43">
        <f ca="1">_xll.BInterpol('Base CDI'!$H$4:$H$28,'Base CDI'!$I$4:$I$29,S2754,"Cubic","Extrapolate=Linear","MultiX=Average","Skip=True","Sort=True")</f>
        <v>14.814010314562475</v>
      </c>
    </row>
    <row r="2755" spans="16:21" x14ac:dyDescent="0.25">
      <c r="P2755" s="10">
        <v>38518</v>
      </c>
      <c r="Q2755">
        <v>12.78012</v>
      </c>
      <c r="S2755" s="42">
        <f t="shared" ca="1" si="47"/>
        <v>48461</v>
      </c>
      <c r="T2755" s="43">
        <f ca="1">_xll.BInterpol('Base CDI'!$H$4:$H$28,'Base CDI'!$J$4:$J$29,S2755,"Cubic","Extrapolate=Linear","MultiX=Average","Skip=True","Sort=True")</f>
        <v>14.73861134795883</v>
      </c>
      <c r="U2755" s="43">
        <f ca="1">_xll.BInterpol('Base CDI'!$H$4:$H$28,'Base CDI'!$I$4:$I$29,S2755,"Cubic","Extrapolate=Linear","MultiX=Average","Skip=True","Sort=True")</f>
        <v>14.813979548353078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48462</v>
      </c>
      <c r="T2756" s="43">
        <f ca="1">_xll.BInterpol('Base CDI'!$H$4:$H$28,'Base CDI'!$J$4:$J$29,S2756,"Cubic","Extrapolate=Linear","MultiX=Average","Skip=True","Sort=True")</f>
        <v>14.738567514905997</v>
      </c>
      <c r="U2756" s="43">
        <f ca="1">_xll.BInterpol('Base CDI'!$H$4:$H$28,'Base CDI'!$I$4:$I$29,S2756,"Cubic","Extrapolate=Linear","MultiX=Average","Skip=True","Sort=True")</f>
        <v>14.813948741810664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48463</v>
      </c>
      <c r="T2757" s="43">
        <f ca="1">_xll.BInterpol('Base CDI'!$H$4:$H$28,'Base CDI'!$J$4:$J$29,S2757,"Cubic","Extrapolate=Linear","MultiX=Average","Skip=True","Sort=True")</f>
        <v>14.738523639079755</v>
      </c>
      <c r="U2757" s="43">
        <f ca="1">_xll.BInterpol('Base CDI'!$H$4:$H$28,'Base CDI'!$I$4:$I$29,S2757,"Cubic","Extrapolate=Linear","MultiX=Average","Skip=True","Sort=True")</f>
        <v>14.813917895073633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48464</v>
      </c>
      <c r="T2758" s="43">
        <f ca="1">_xll.BInterpol('Base CDI'!$H$4:$H$28,'Base CDI'!$J$4:$J$29,S2758,"Cubic","Extrapolate=Linear","MultiX=Average","Skip=True","Sort=True")</f>
        <v>14.73847972049048</v>
      </c>
      <c r="U2758" s="43">
        <f ca="1">_xll.BInterpol('Base CDI'!$H$4:$H$28,'Base CDI'!$I$4:$I$29,S2758,"Cubic","Extrapolate=Linear","MultiX=Average","Skip=True","Sort=True")</f>
        <v>14.81388700828038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48465</v>
      </c>
      <c r="T2759" s="43">
        <f ca="1">_xll.BInterpol('Base CDI'!$H$4:$H$28,'Base CDI'!$J$4:$J$29,S2759,"Cubic","Extrapolate=Linear","MultiX=Average","Skip=True","Sort=True")</f>
        <v>14.738435759148537</v>
      </c>
      <c r="U2759" s="43">
        <f ca="1">_xll.BInterpol('Base CDI'!$H$4:$H$28,'Base CDI'!$I$4:$I$29,S2759,"Cubic","Extrapolate=Linear","MultiX=Average","Skip=True","Sort=True")</f>
        <v>14.813856081569309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48466</v>
      </c>
      <c r="T2760" s="43">
        <f ca="1">_xll.BInterpol('Base CDI'!$H$4:$H$28,'Base CDI'!$J$4:$J$29,S2760,"Cubic","Extrapolate=Linear","MultiX=Average","Skip=True","Sort=True")</f>
        <v>14.738391755064297</v>
      </c>
      <c r="U2760" s="43">
        <f ca="1">_xll.BInterpol('Base CDI'!$H$4:$H$28,'Base CDI'!$I$4:$I$29,S2760,"Cubic","Extrapolate=Linear","MultiX=Average","Skip=True","Sort=True")</f>
        <v>14.813825115078819</v>
      </c>
    </row>
    <row r="2761" spans="16:21" x14ac:dyDescent="0.25">
      <c r="P2761" s="10">
        <v>38526</v>
      </c>
      <c r="Q2761">
        <v>12.83501</v>
      </c>
      <c r="S2761" s="42">
        <f t="shared" ca="1" si="47"/>
        <v>48467</v>
      </c>
      <c r="T2761" s="43">
        <f ca="1">_xll.BInterpol('Base CDI'!$H$4:$H$28,'Base CDI'!$J$4:$J$29,S2761,"Cubic","Extrapolate=Linear","MultiX=Average","Skip=True","Sort=True")</f>
        <v>14.738347708248131</v>
      </c>
      <c r="U2761" s="43">
        <f ca="1">_xll.BInterpol('Base CDI'!$H$4:$H$28,'Base CDI'!$I$4:$I$29,S2761,"Cubic","Extrapolate=Linear","MultiX=Average","Skip=True","Sort=True")</f>
        <v>14.813794108947306</v>
      </c>
    </row>
    <row r="2762" spans="16:21" x14ac:dyDescent="0.25">
      <c r="P2762" s="10">
        <v>38527</v>
      </c>
      <c r="Q2762">
        <v>12.84418</v>
      </c>
      <c r="S2762" s="42">
        <f t="shared" ca="1" si="47"/>
        <v>48468</v>
      </c>
      <c r="T2762" s="43">
        <f ca="1">_xll.BInterpol('Base CDI'!$H$4:$H$28,'Base CDI'!$J$4:$J$29,S2762,"Cubic","Extrapolate=Linear","MultiX=Average","Skip=True","Sort=True")</f>
        <v>14.738303618710411</v>
      </c>
      <c r="U2762" s="43">
        <f ca="1">_xll.BInterpol('Base CDI'!$H$4:$H$28,'Base CDI'!$I$4:$I$29,S2762,"Cubic","Extrapolate=Linear","MultiX=Average","Skip=True","Sort=True")</f>
        <v>14.813763063313171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48469</v>
      </c>
      <c r="T2763" s="43">
        <f ca="1">_xll.BInterpol('Base CDI'!$H$4:$H$28,'Base CDI'!$J$4:$J$29,S2763,"Cubic","Extrapolate=Linear","MultiX=Average","Skip=True","Sort=True")</f>
        <v>14.738259486461503</v>
      </c>
      <c r="U2763" s="43">
        <f ca="1">_xll.BInterpol('Base CDI'!$H$4:$H$28,'Base CDI'!$I$4:$I$29,S2763,"Cubic","Extrapolate=Linear","MultiX=Average","Skip=True","Sort=True")</f>
        <v>14.813731978314813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48470</v>
      </c>
      <c r="T2764" s="43">
        <f ca="1">_xll.BInterpol('Base CDI'!$H$4:$H$28,'Base CDI'!$J$4:$J$29,S2764,"Cubic","Extrapolate=Linear","MultiX=Average","Skip=True","Sort=True")</f>
        <v>14.73821531151178</v>
      </c>
      <c r="U2764" s="43">
        <f ca="1">_xll.BInterpol('Base CDI'!$H$4:$H$28,'Base CDI'!$I$4:$I$29,S2764,"Cubic","Extrapolate=Linear","MultiX=Average","Skip=True","Sort=True")</f>
        <v>14.813700854090632</v>
      </c>
    </row>
    <row r="2765" spans="16:21" x14ac:dyDescent="0.25">
      <c r="P2765" s="10">
        <v>38532</v>
      </c>
      <c r="Q2765">
        <v>12.87175</v>
      </c>
      <c r="S2765" s="42">
        <f t="shared" ca="1" si="48"/>
        <v>48471</v>
      </c>
      <c r="T2765" s="43">
        <f ca="1">_xll.BInterpol('Base CDI'!$H$4:$H$28,'Base CDI'!$J$4:$J$29,S2765,"Cubic","Extrapolate=Linear","MultiX=Average","Skip=True","Sort=True")</f>
        <v>14.738171093871612</v>
      </c>
      <c r="U2765" s="43">
        <f ca="1">_xll.BInterpol('Base CDI'!$H$4:$H$28,'Base CDI'!$I$4:$I$29,S2765,"Cubic","Extrapolate=Linear","MultiX=Average","Skip=True","Sort=True")</f>
        <v>14.813669690779026</v>
      </c>
    </row>
    <row r="2766" spans="16:21" x14ac:dyDescent="0.25">
      <c r="P2766" s="10">
        <v>38533</v>
      </c>
      <c r="Q2766">
        <v>12.88096</v>
      </c>
      <c r="S2766" s="42">
        <f t="shared" ca="1" si="48"/>
        <v>48472</v>
      </c>
      <c r="T2766" s="43">
        <f ca="1">_xll.BInterpol('Base CDI'!$H$4:$H$28,'Base CDI'!$J$4:$J$29,S2766,"Cubic","Extrapolate=Linear","MultiX=Average","Skip=True","Sort=True")</f>
        <v>14.738126833551366</v>
      </c>
      <c r="U2766" s="43">
        <f ca="1">_xll.BInterpol('Base CDI'!$H$4:$H$28,'Base CDI'!$I$4:$I$29,S2766,"Cubic","Extrapolate=Linear","MultiX=Average","Skip=True","Sort=True")</f>
        <v>14.813638488518395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48473</v>
      </c>
      <c r="T2767" s="43">
        <f ca="1">_xll.BInterpol('Base CDI'!$H$4:$H$28,'Base CDI'!$J$4:$J$29,S2767,"Cubic","Extrapolate=Linear","MultiX=Average","Skip=True","Sort=True")</f>
        <v>14.738082530561416</v>
      </c>
      <c r="U2767" s="43">
        <f ca="1">_xll.BInterpol('Base CDI'!$H$4:$H$28,'Base CDI'!$I$4:$I$29,S2767,"Cubic","Extrapolate=Linear","MultiX=Average","Skip=True","Sort=True")</f>
        <v>14.813607247447138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48474</v>
      </c>
      <c r="T2768" s="43">
        <f ca="1">_xll.BInterpol('Base CDI'!$H$4:$H$28,'Base CDI'!$J$4:$J$29,S2768,"Cubic","Extrapolate=Linear","MultiX=Average","Skip=True","Sort=True")</f>
        <v>14.73803818491213</v>
      </c>
      <c r="U2768" s="43">
        <f ca="1">_xll.BInterpol('Base CDI'!$H$4:$H$28,'Base CDI'!$I$4:$I$29,S2768,"Cubic","Extrapolate=Linear","MultiX=Average","Skip=True","Sort=True")</f>
        <v>14.813575967703652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48475</v>
      </c>
      <c r="T2769" s="43">
        <f ca="1">_xll.BInterpol('Base CDI'!$H$4:$H$28,'Base CDI'!$J$4:$J$29,S2769,"Cubic","Extrapolate=Linear","MultiX=Average","Skip=True","Sort=True")</f>
        <v>14.737993796613877</v>
      </c>
      <c r="U2769" s="43">
        <f ca="1">_xll.BInterpol('Base CDI'!$H$4:$H$28,'Base CDI'!$I$4:$I$29,S2769,"Cubic","Extrapolate=Linear","MultiX=Average","Skip=True","Sort=True")</f>
        <v>14.813544649426342</v>
      </c>
    </row>
    <row r="2770" spans="16:21" x14ac:dyDescent="0.25">
      <c r="P2770" s="10">
        <v>38539</v>
      </c>
      <c r="Q2770">
        <v>12.91783</v>
      </c>
      <c r="S2770" s="42">
        <f t="shared" ca="1" si="48"/>
        <v>48476</v>
      </c>
      <c r="T2770" s="43">
        <f ca="1">_xll.BInterpol('Base CDI'!$H$4:$H$28,'Base CDI'!$J$4:$J$29,S2770,"Cubic","Extrapolate=Linear","MultiX=Average","Skip=True","Sort=True")</f>
        <v>14.737949365677029</v>
      </c>
      <c r="U2770" s="43">
        <f ca="1">_xll.BInterpol('Base CDI'!$H$4:$H$28,'Base CDI'!$I$4:$I$29,S2770,"Cubic","Extrapolate=Linear","MultiX=Average","Skip=True","Sort=True")</f>
        <v>14.813513292753601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48477</v>
      </c>
      <c r="T2771" s="43">
        <f ca="1">_xll.BInterpol('Base CDI'!$H$4:$H$28,'Base CDI'!$J$4:$J$29,S2771,"Cubic","Extrapolate=Linear","MultiX=Average","Skip=True","Sort=True")</f>
        <v>14.737904892111954</v>
      </c>
      <c r="U2771" s="43">
        <f ca="1">_xll.BInterpol('Base CDI'!$H$4:$H$28,'Base CDI'!$I$4:$I$29,S2771,"Cubic","Extrapolate=Linear","MultiX=Average","Skip=True","Sort=True")</f>
        <v>14.813481897823833</v>
      </c>
    </row>
    <row r="2772" spans="16:21" x14ac:dyDescent="0.25">
      <c r="P2772" s="10">
        <v>38541</v>
      </c>
      <c r="Q2772">
        <v>12.93629</v>
      </c>
      <c r="S2772" s="42">
        <f t="shared" ca="1" si="48"/>
        <v>48478</v>
      </c>
      <c r="T2772" s="43">
        <f ca="1">_xll.BInterpol('Base CDI'!$H$4:$H$28,'Base CDI'!$J$4:$J$29,S2772,"Cubic","Extrapolate=Linear","MultiX=Average","Skip=True","Sort=True")</f>
        <v>14.737860375929024</v>
      </c>
      <c r="U2772" s="43">
        <f ca="1">_xll.BInterpol('Base CDI'!$H$4:$H$28,'Base CDI'!$I$4:$I$29,S2772,"Cubic","Extrapolate=Linear","MultiX=Average","Skip=True","Sort=True")</f>
        <v>14.813450464775434</v>
      </c>
    </row>
    <row r="2773" spans="16:21" x14ac:dyDescent="0.25">
      <c r="P2773" s="10">
        <v>38544</v>
      </c>
      <c r="Q2773">
        <v>12.94552</v>
      </c>
      <c r="S2773" s="42">
        <f t="shared" ca="1" si="48"/>
        <v>48479</v>
      </c>
      <c r="T2773" s="43">
        <f ca="1">_xll.BInterpol('Base CDI'!$H$4:$H$28,'Base CDI'!$J$4:$J$29,S2773,"Cubic","Extrapolate=Linear","MultiX=Average","Skip=True","Sort=True")</f>
        <v>14.737815817138609</v>
      </c>
      <c r="U2773" s="43">
        <f ca="1">_xll.BInterpol('Base CDI'!$H$4:$H$28,'Base CDI'!$I$4:$I$29,S2773,"Cubic","Extrapolate=Linear","MultiX=Average","Skip=True","Sort=True")</f>
        <v>14.813418993746804</v>
      </c>
    </row>
    <row r="2774" spans="16:21" x14ac:dyDescent="0.25">
      <c r="P2774" s="10">
        <v>38545</v>
      </c>
      <c r="Q2774">
        <v>12.95477</v>
      </c>
      <c r="S2774" s="42">
        <f t="shared" ca="1" si="48"/>
        <v>48480</v>
      </c>
      <c r="T2774" s="43">
        <f ca="1">_xll.BInterpol('Base CDI'!$H$4:$H$28,'Base CDI'!$J$4:$J$29,S2774,"Cubic","Extrapolate=Linear","MultiX=Average","Skip=True","Sort=True")</f>
        <v>14.737771215751078</v>
      </c>
      <c r="U2774" s="43">
        <f ca="1">_xll.BInterpol('Base CDI'!$H$4:$H$28,'Base CDI'!$I$4:$I$29,S2774,"Cubic","Extrapolate=Linear","MultiX=Average","Skip=True","Sort=True")</f>
        <v>14.813387484876344</v>
      </c>
    </row>
    <row r="2775" spans="16:21" x14ac:dyDescent="0.25">
      <c r="P2775" s="10">
        <v>38546</v>
      </c>
      <c r="Q2775">
        <v>12.96402</v>
      </c>
      <c r="S2775" s="42">
        <f t="shared" ca="1" si="48"/>
        <v>48481</v>
      </c>
      <c r="T2775" s="43">
        <f ca="1">_xll.BInterpol('Base CDI'!$H$4:$H$28,'Base CDI'!$J$4:$J$29,S2775,"Cubic","Extrapolate=Linear","MultiX=Average","Skip=True","Sort=True")</f>
        <v>14.7377265717768</v>
      </c>
      <c r="U2775" s="43">
        <f ca="1">_xll.BInterpol('Base CDI'!$H$4:$H$28,'Base CDI'!$I$4:$I$29,S2775,"Cubic","Extrapolate=Linear","MultiX=Average","Skip=True","Sort=True")</f>
        <v>14.81335593830245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48482</v>
      </c>
      <c r="T2776" s="43">
        <f ca="1">_xll.BInterpol('Base CDI'!$H$4:$H$28,'Base CDI'!$J$4:$J$29,S2776,"Cubic","Extrapolate=Linear","MultiX=Average","Skip=True","Sort=True")</f>
        <v>14.737681885226149</v>
      </c>
      <c r="U2776" s="43">
        <f ca="1">_xll.BInterpol('Base CDI'!$H$4:$H$28,'Base CDI'!$I$4:$I$29,S2776,"Cubic","Extrapolate=Linear","MultiX=Average","Skip=True","Sort=True")</f>
        <v>14.813324354163525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48483</v>
      </c>
      <c r="T2777" s="43">
        <f ca="1">_xll.BInterpol('Base CDI'!$H$4:$H$28,'Base CDI'!$J$4:$J$29,S2777,"Cubic","Extrapolate=Linear","MultiX=Average","Skip=True","Sort=True")</f>
        <v>14.737637156109491</v>
      </c>
      <c r="U2777" s="43">
        <f ca="1">_xll.BInterpol('Base CDI'!$H$4:$H$28,'Base CDI'!$I$4:$I$29,S2777,"Cubic","Extrapolate=Linear","MultiX=Average","Skip=True","Sort=True")</f>
        <v>14.813292732597965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48484</v>
      </c>
      <c r="T2778" s="43">
        <f ca="1">_xll.BInterpol('Base CDI'!$H$4:$H$28,'Base CDI'!$J$4:$J$29,S2778,"Cubic","Extrapolate=Linear","MultiX=Average","Skip=True","Sort=True")</f>
        <v>14.737592384437198</v>
      </c>
      <c r="U2778" s="43">
        <f ca="1">_xll.BInterpol('Base CDI'!$H$4:$H$28,'Base CDI'!$I$4:$I$29,S2778,"Cubic","Extrapolate=Linear","MultiX=Average","Skip=True","Sort=True")</f>
        <v>14.813261073744169</v>
      </c>
    </row>
    <row r="2779" spans="16:21" x14ac:dyDescent="0.25">
      <c r="P2779" s="10">
        <v>38552</v>
      </c>
      <c r="Q2779">
        <v>13.00108</v>
      </c>
      <c r="S2779" s="42">
        <f t="shared" ca="1" si="48"/>
        <v>48485</v>
      </c>
      <c r="T2779" s="43">
        <f ca="1">_xll.BInterpol('Base CDI'!$H$4:$H$28,'Base CDI'!$J$4:$J$29,S2779,"Cubic","Extrapolate=Linear","MultiX=Average","Skip=True","Sort=True")</f>
        <v>14.73754757021964</v>
      </c>
      <c r="U2779" s="43">
        <f ca="1">_xll.BInterpol('Base CDI'!$H$4:$H$28,'Base CDI'!$I$4:$I$29,S2779,"Cubic","Extrapolate=Linear","MultiX=Average","Skip=True","Sort=True")</f>
        <v>14.813229377740539</v>
      </c>
    </row>
    <row r="2780" spans="16:21" x14ac:dyDescent="0.25">
      <c r="P2780" s="10">
        <v>38553</v>
      </c>
      <c r="Q2780">
        <v>13.01036</v>
      </c>
      <c r="S2780" s="42">
        <f t="shared" ca="1" si="48"/>
        <v>48486</v>
      </c>
      <c r="T2780" s="43">
        <f ca="1">_xll.BInterpol('Base CDI'!$H$4:$H$28,'Base CDI'!$J$4:$J$29,S2780,"Cubic","Extrapolate=Linear","MultiX=Average","Skip=True","Sort=True")</f>
        <v>14.737502713467185</v>
      </c>
      <c r="U2780" s="43">
        <f ca="1">_xll.BInterpol('Base CDI'!$H$4:$H$28,'Base CDI'!$I$4:$I$29,S2780,"Cubic","Extrapolate=Linear","MultiX=Average","Skip=True","Sort=True")</f>
        <v>14.813197644725474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48487</v>
      </c>
      <c r="T2781" s="43">
        <f ca="1">_xll.BInterpol('Base CDI'!$H$4:$H$28,'Base CDI'!$J$4:$J$29,S2781,"Cubic","Extrapolate=Linear","MultiX=Average","Skip=True","Sort=True")</f>
        <v>14.737457814190206</v>
      </c>
      <c r="U2781" s="43">
        <f ca="1">_xll.BInterpol('Base CDI'!$H$4:$H$28,'Base CDI'!$I$4:$I$29,S2781,"Cubic","Extrapolate=Linear","MultiX=Average","Skip=True","Sort=True")</f>
        <v>14.81316587483737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48488</v>
      </c>
      <c r="T2782" s="43">
        <f ca="1">_xll.BInterpol('Base CDI'!$H$4:$H$28,'Base CDI'!$J$4:$J$29,S2782,"Cubic","Extrapolate=Linear","MultiX=Average","Skip=True","Sort=True")</f>
        <v>14.737412872399071</v>
      </c>
      <c r="U2782" s="43">
        <f ca="1">_xll.BInterpol('Base CDI'!$H$4:$H$28,'Base CDI'!$I$4:$I$29,S2782,"Cubic","Extrapolate=Linear","MultiX=Average","Skip=True","Sort=True")</f>
        <v>14.81313406821463</v>
      </c>
    </row>
    <row r="2783" spans="16:21" x14ac:dyDescent="0.25">
      <c r="P2783" s="10">
        <v>38558</v>
      </c>
      <c r="Q2783">
        <v>13.03823</v>
      </c>
      <c r="S2783" s="42">
        <f t="shared" ca="1" si="48"/>
        <v>48489</v>
      </c>
      <c r="T2783" s="43">
        <f ca="1">_xll.BInterpol('Base CDI'!$H$4:$H$28,'Base CDI'!$J$4:$J$29,S2783,"Cubic","Extrapolate=Linear","MultiX=Average","Skip=True","Sort=True")</f>
        <v>14.737367888104153</v>
      </c>
      <c r="U2783" s="43">
        <f ca="1">_xll.BInterpol('Base CDI'!$H$4:$H$28,'Base CDI'!$I$4:$I$29,S2783,"Cubic","Extrapolate=Linear","MultiX=Average","Skip=True","Sort=True")</f>
        <v>14.813102224995649</v>
      </c>
    </row>
    <row r="2784" spans="16:21" x14ac:dyDescent="0.25">
      <c r="P2784" s="10">
        <v>38559</v>
      </c>
      <c r="Q2784">
        <v>13.04753</v>
      </c>
      <c r="S2784" s="42">
        <f t="shared" ca="1" si="48"/>
        <v>48490</v>
      </c>
      <c r="T2784" s="43">
        <f ca="1">_xll.BInterpol('Base CDI'!$H$4:$H$28,'Base CDI'!$J$4:$J$29,S2784,"Cubic","Extrapolate=Linear","MultiX=Average","Skip=True","Sort=True")</f>
        <v>14.737322861315818</v>
      </c>
      <c r="U2784" s="43">
        <f ca="1">_xll.BInterpol('Base CDI'!$H$4:$H$28,'Base CDI'!$I$4:$I$29,S2784,"Cubic","Extrapolate=Linear","MultiX=Average","Skip=True","Sort=True")</f>
        <v>14.813070345318831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48491</v>
      </c>
      <c r="T2785" s="43">
        <f ca="1">_xll.BInterpol('Base CDI'!$H$4:$H$28,'Base CDI'!$J$4:$J$29,S2785,"Cubic","Extrapolate=Linear","MultiX=Average","Skip=True","Sort=True")</f>
        <v>14.737277792044438</v>
      </c>
      <c r="U2785" s="43">
        <f ca="1">_xll.BInterpol('Base CDI'!$H$4:$H$28,'Base CDI'!$I$4:$I$29,S2785,"Cubic","Extrapolate=Linear","MultiX=Average","Skip=True","Sort=True")</f>
        <v>14.813038429322573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48492</v>
      </c>
      <c r="T2786" s="43">
        <f ca="1">_xll.BInterpol('Base CDI'!$H$4:$H$28,'Base CDI'!$J$4:$J$29,S2786,"Cubic","Extrapolate=Linear","MultiX=Average","Skip=True","Sort=True")</f>
        <v>14.737232680300382</v>
      </c>
      <c r="U2786" s="43">
        <f ca="1">_xll.BInterpol('Base CDI'!$H$4:$H$28,'Base CDI'!$I$4:$I$29,S2786,"Cubic","Extrapolate=Linear","MultiX=Average","Skip=True","Sort=True")</f>
        <v>14.813006477145274</v>
      </c>
    </row>
    <row r="2787" spans="16:21" x14ac:dyDescent="0.25">
      <c r="P2787" s="10">
        <v>38562</v>
      </c>
      <c r="Q2787">
        <v>13.07546</v>
      </c>
      <c r="S2787" s="42">
        <f t="shared" ca="1" si="48"/>
        <v>48493</v>
      </c>
      <c r="T2787" s="43">
        <f ca="1">_xll.BInterpol('Base CDI'!$H$4:$H$28,'Base CDI'!$J$4:$J$29,S2787,"Cubic","Extrapolate=Linear","MultiX=Average","Skip=True","Sort=True")</f>
        <v>14.73718752609402</v>
      </c>
      <c r="U2787" s="43">
        <f ca="1">_xll.BInterpol('Base CDI'!$H$4:$H$28,'Base CDI'!$I$4:$I$29,S2787,"Cubic","Extrapolate=Linear","MultiX=Average","Skip=True","Sort=True")</f>
        <v>14.812974488925333</v>
      </c>
    </row>
    <row r="2788" spans="16:21" x14ac:dyDescent="0.25">
      <c r="P2788" s="10">
        <v>38565</v>
      </c>
      <c r="Q2788">
        <v>13.08478</v>
      </c>
      <c r="S2788" s="42">
        <f t="shared" ca="1" si="48"/>
        <v>48494</v>
      </c>
      <c r="T2788" s="43">
        <f ca="1">_xll.BInterpol('Base CDI'!$H$4:$H$28,'Base CDI'!$J$4:$J$29,S2788,"Cubic","Extrapolate=Linear","MultiX=Average","Skip=True","Sort=True")</f>
        <v>14.737142329435725</v>
      </c>
      <c r="U2788" s="43">
        <f ca="1">_xll.BInterpol('Base CDI'!$H$4:$H$28,'Base CDI'!$I$4:$I$29,S2788,"Cubic","Extrapolate=Linear","MultiX=Average","Skip=True","Sort=True")</f>
        <v>14.812942464801148</v>
      </c>
    </row>
    <row r="2789" spans="16:21" x14ac:dyDescent="0.25">
      <c r="P2789" s="10">
        <v>38566</v>
      </c>
      <c r="Q2789">
        <v>13.09412</v>
      </c>
      <c r="S2789" s="42">
        <f t="shared" ca="1" si="48"/>
        <v>48495</v>
      </c>
      <c r="T2789" s="43">
        <f ca="1">_xll.BInterpol('Base CDI'!$H$4:$H$28,'Base CDI'!$J$4:$J$29,S2789,"Cubic","Extrapolate=Linear","MultiX=Average","Skip=True","Sort=True")</f>
        <v>14.737097090335865</v>
      </c>
      <c r="U2789" s="43">
        <f ca="1">_xll.BInterpol('Base CDI'!$H$4:$H$28,'Base CDI'!$I$4:$I$29,S2789,"Cubic","Extrapolate=Linear","MultiX=Average","Skip=True","Sort=True")</f>
        <v>14.812910404911122</v>
      </c>
    </row>
    <row r="2790" spans="16:21" x14ac:dyDescent="0.25">
      <c r="P2790" s="10">
        <v>38567</v>
      </c>
      <c r="Q2790">
        <v>13.10347</v>
      </c>
      <c r="S2790" s="42">
        <f t="shared" ca="1" si="48"/>
        <v>48496</v>
      </c>
      <c r="T2790" s="43">
        <f ca="1">_xll.BInterpol('Base CDI'!$H$4:$H$28,'Base CDI'!$J$4:$J$29,S2790,"Cubic","Extrapolate=Linear","MultiX=Average","Skip=True","Sort=True")</f>
        <v>14.737051808804809</v>
      </c>
      <c r="U2790" s="43">
        <f ca="1">_xll.BInterpol('Base CDI'!$H$4:$H$28,'Base CDI'!$I$4:$I$29,S2790,"Cubic","Extrapolate=Linear","MultiX=Average","Skip=True","Sort=True")</f>
        <v>14.812878309393652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48497</v>
      </c>
      <c r="T2791" s="43">
        <f ca="1">_xll.BInterpol('Base CDI'!$H$4:$H$28,'Base CDI'!$J$4:$J$29,S2791,"Cubic","Extrapolate=Linear","MultiX=Average","Skip=True","Sort=True")</f>
        <v>14.737006484852929</v>
      </c>
      <c r="U2791" s="43">
        <f ca="1">_xll.BInterpol('Base CDI'!$H$4:$H$28,'Base CDI'!$I$4:$I$29,S2791,"Cubic","Extrapolate=Linear","MultiX=Average","Skip=True","Sort=True")</f>
        <v>14.812846178387137</v>
      </c>
    </row>
    <row r="2792" spans="16:21" x14ac:dyDescent="0.25">
      <c r="P2792" s="10">
        <v>38569</v>
      </c>
      <c r="Q2792">
        <v>13.12218</v>
      </c>
      <c r="S2792" s="42">
        <f t="shared" ca="1" si="48"/>
        <v>48498</v>
      </c>
      <c r="T2792" s="43">
        <f ca="1">_xll.BInterpol('Base CDI'!$H$4:$H$28,'Base CDI'!$J$4:$J$29,S2792,"Cubic","Extrapolate=Linear","MultiX=Average","Skip=True","Sort=True")</f>
        <v>14.736961118490592</v>
      </c>
      <c r="U2792" s="43">
        <f ca="1">_xll.BInterpol('Base CDI'!$H$4:$H$28,'Base CDI'!$I$4:$I$29,S2792,"Cubic","Extrapolate=Linear","MultiX=Average","Skip=True","Sort=True")</f>
        <v>14.812814012029975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48499</v>
      </c>
      <c r="T2793" s="43">
        <f ca="1">_xll.BInterpol('Base CDI'!$H$4:$H$28,'Base CDI'!$J$4:$J$29,S2793,"Cubic","Extrapolate=Linear","MultiX=Average","Skip=True","Sort=True")</f>
        <v>14.736915709728173</v>
      </c>
      <c r="U2793" s="43">
        <f ca="1">_xll.BInterpol('Base CDI'!$H$4:$H$28,'Base CDI'!$I$4:$I$29,S2793,"Cubic","Extrapolate=Linear","MultiX=Average","Skip=True","Sort=True")</f>
        <v>14.812781810460567</v>
      </c>
    </row>
    <row r="2794" spans="16:21" x14ac:dyDescent="0.25">
      <c r="P2794" s="10">
        <v>38573</v>
      </c>
      <c r="Q2794">
        <v>13.14091</v>
      </c>
      <c r="S2794" s="42">
        <f t="shared" ca="1" si="48"/>
        <v>48500</v>
      </c>
      <c r="T2794" s="43">
        <f ca="1">_xll.BInterpol('Base CDI'!$H$4:$H$28,'Base CDI'!$J$4:$J$29,S2794,"Cubic","Extrapolate=Linear","MultiX=Average","Skip=True","Sort=True")</f>
        <v>14.736870258576037</v>
      </c>
      <c r="U2794" s="43">
        <f ca="1">_xll.BInterpol('Base CDI'!$H$4:$H$28,'Base CDI'!$I$4:$I$29,S2794,"Cubic","Extrapolate=Linear","MultiX=Average","Skip=True","Sort=True")</f>
        <v>14.812749573817314</v>
      </c>
    </row>
    <row r="2795" spans="16:21" x14ac:dyDescent="0.25">
      <c r="P2795" s="10">
        <v>38574</v>
      </c>
      <c r="Q2795">
        <v>13.15028</v>
      </c>
      <c r="S2795" s="42">
        <f t="shared" ca="1" si="48"/>
        <v>48501</v>
      </c>
      <c r="T2795" s="43">
        <f ca="1">_xll.BInterpol('Base CDI'!$H$4:$H$28,'Base CDI'!$J$4:$J$29,S2795,"Cubic","Extrapolate=Linear","MultiX=Average","Skip=True","Sort=True")</f>
        <v>14.736824765044556</v>
      </c>
      <c r="U2795" s="43">
        <f ca="1">_xll.BInterpol('Base CDI'!$H$4:$H$28,'Base CDI'!$I$4:$I$29,S2795,"Cubic","Extrapolate=Linear","MultiX=Average","Skip=True","Sort=True")</f>
        <v>14.812717302238612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48502</v>
      </c>
      <c r="T2796" s="43">
        <f ca="1">_xll.BInterpol('Base CDI'!$H$4:$H$28,'Base CDI'!$J$4:$J$29,S2796,"Cubic","Extrapolate=Linear","MultiX=Average","Skip=True","Sort=True")</f>
        <v>14.736779229144101</v>
      </c>
      <c r="U2796" s="43">
        <f ca="1">_xll.BInterpol('Base CDI'!$H$4:$H$28,'Base CDI'!$I$4:$I$29,S2796,"Cubic","Extrapolate=Linear","MultiX=Average","Skip=True","Sort=True")</f>
        <v>14.81268499586286</v>
      </c>
    </row>
    <row r="2797" spans="16:21" x14ac:dyDescent="0.25">
      <c r="P2797" s="10">
        <v>38576</v>
      </c>
      <c r="Q2797">
        <v>13.16905</v>
      </c>
      <c r="S2797" s="42">
        <f t="shared" ca="1" si="48"/>
        <v>48503</v>
      </c>
      <c r="T2797" s="43">
        <f ca="1">_xll.BInterpol('Base CDI'!$H$4:$H$28,'Base CDI'!$J$4:$J$29,S2797,"Cubic","Extrapolate=Linear","MultiX=Average","Skip=True","Sort=True")</f>
        <v>14.736733650885043</v>
      </c>
      <c r="U2797" s="43">
        <f ca="1">_xll.BInterpol('Base CDI'!$H$4:$H$28,'Base CDI'!$I$4:$I$29,S2797,"Cubic","Extrapolate=Linear","MultiX=Average","Skip=True","Sort=True")</f>
        <v>14.81265265482846</v>
      </c>
    </row>
    <row r="2798" spans="16:21" x14ac:dyDescent="0.25">
      <c r="P2798" s="10">
        <v>38579</v>
      </c>
      <c r="Q2798">
        <v>13.17844</v>
      </c>
      <c r="S2798" s="42">
        <f t="shared" ca="1" si="48"/>
        <v>48504</v>
      </c>
      <c r="T2798" s="43">
        <f ca="1">_xll.BInterpol('Base CDI'!$H$4:$H$28,'Base CDI'!$J$4:$J$29,S2798,"Cubic","Extrapolate=Linear","MultiX=Average","Skip=True","Sort=True")</f>
        <v>14.736688030277747</v>
      </c>
      <c r="U2798" s="43">
        <f ca="1">_xll.BInterpol('Base CDI'!$H$4:$H$28,'Base CDI'!$I$4:$I$29,S2798,"Cubic","Extrapolate=Linear","MultiX=Average","Skip=True","Sort=True")</f>
        <v>14.81262027927381</v>
      </c>
    </row>
    <row r="2799" spans="16:21" x14ac:dyDescent="0.25">
      <c r="P2799" s="10">
        <v>38580</v>
      </c>
      <c r="Q2799">
        <v>13.18783</v>
      </c>
      <c r="S2799" s="42">
        <f t="shared" ca="1" si="48"/>
        <v>48505</v>
      </c>
      <c r="T2799" s="43">
        <f ca="1">_xll.BInterpol('Base CDI'!$H$4:$H$28,'Base CDI'!$J$4:$J$29,S2799,"Cubic","Extrapolate=Linear","MultiX=Average","Skip=True","Sort=True")</f>
        <v>14.736642367332589</v>
      </c>
      <c r="U2799" s="43">
        <f ca="1">_xll.BInterpol('Base CDI'!$H$4:$H$28,'Base CDI'!$I$4:$I$29,S2799,"Cubic","Extrapolate=Linear","MultiX=Average","Skip=True","Sort=True")</f>
        <v>14.812587869337309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48506</v>
      </c>
      <c r="T2800" s="43">
        <f ca="1">_xll.BInterpol('Base CDI'!$H$4:$H$28,'Base CDI'!$J$4:$J$29,S2800,"Cubic","Extrapolate=Linear","MultiX=Average","Skip=True","Sort=True")</f>
        <v>14.736596662059936</v>
      </c>
      <c r="U2800" s="43">
        <f ca="1">_xll.BInterpol('Base CDI'!$H$4:$H$28,'Base CDI'!$I$4:$I$29,S2800,"Cubic","Extrapolate=Linear","MultiX=Average","Skip=True","Sort=True")</f>
        <v>14.812555425157354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48507</v>
      </c>
      <c r="T2801" s="43">
        <f ca="1">_xll.BInterpol('Base CDI'!$H$4:$H$28,'Base CDI'!$J$4:$J$29,S2801,"Cubic","Extrapolate=Linear","MultiX=Average","Skip=True","Sort=True")</f>
        <v>14.736550914470158</v>
      </c>
      <c r="U2801" s="43">
        <f ca="1">_xll.BInterpol('Base CDI'!$H$4:$H$28,'Base CDI'!$I$4:$I$29,S2801,"Cubic","Extrapolate=Linear","MultiX=Average","Skip=True","Sort=True")</f>
        <v>14.812522946872349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48508</v>
      </c>
      <c r="T2802" s="43">
        <f ca="1">_xll.BInterpol('Base CDI'!$H$4:$H$28,'Base CDI'!$J$4:$J$29,S2802,"Cubic","Extrapolate=Linear","MultiX=Average","Skip=True","Sort=True")</f>
        <v>14.736505124573624</v>
      </c>
      <c r="U2802" s="43">
        <f ca="1">_xll.BInterpol('Base CDI'!$H$4:$H$28,'Base CDI'!$I$4:$I$29,S2802,"Cubic","Extrapolate=Linear","MultiX=Average","Skip=True","Sort=True")</f>
        <v>14.81249043462069</v>
      </c>
    </row>
    <row r="2803" spans="16:21" x14ac:dyDescent="0.25">
      <c r="P2803" s="10">
        <v>38586</v>
      </c>
      <c r="Q2803">
        <v>13.22542</v>
      </c>
      <c r="S2803" s="42">
        <f t="shared" ca="1" si="48"/>
        <v>48509</v>
      </c>
      <c r="T2803" s="43">
        <f ca="1">_xll.BInterpol('Base CDI'!$H$4:$H$28,'Base CDI'!$J$4:$J$29,S2803,"Cubic","Extrapolate=Linear","MultiX=Average","Skip=True","Sort=True")</f>
        <v>14.736459292380708</v>
      </c>
      <c r="U2803" s="43">
        <f ca="1">_xll.BInterpol('Base CDI'!$H$4:$H$28,'Base CDI'!$I$4:$I$29,S2803,"Cubic","Extrapolate=Linear","MultiX=Average","Skip=True","Sort=True")</f>
        <v>14.812457888540777</v>
      </c>
    </row>
    <row r="2804" spans="16:21" x14ac:dyDescent="0.25">
      <c r="P2804" s="10">
        <v>38587</v>
      </c>
      <c r="Q2804">
        <v>13.23485</v>
      </c>
      <c r="S2804" s="42">
        <f t="shared" ca="1" si="48"/>
        <v>48510</v>
      </c>
      <c r="T2804" s="43">
        <f ca="1">_xll.BInterpol('Base CDI'!$H$4:$H$28,'Base CDI'!$J$4:$J$29,S2804,"Cubic","Extrapolate=Linear","MultiX=Average","Skip=True","Sort=True")</f>
        <v>14.736413417901776</v>
      </c>
      <c r="U2804" s="43">
        <f ca="1">_xll.BInterpol('Base CDI'!$H$4:$H$28,'Base CDI'!$I$4:$I$29,S2804,"Cubic","Extrapolate=Linear","MultiX=Average","Skip=True","Sort=True")</f>
        <v>14.812425308771008</v>
      </c>
    </row>
    <row r="2805" spans="16:21" x14ac:dyDescent="0.25">
      <c r="P2805" s="10">
        <v>38588</v>
      </c>
      <c r="Q2805">
        <v>13.24428</v>
      </c>
      <c r="S2805" s="42">
        <f t="shared" ca="1" si="48"/>
        <v>48511</v>
      </c>
      <c r="T2805" s="43">
        <f ca="1">_xll.BInterpol('Base CDI'!$H$4:$H$28,'Base CDI'!$J$4:$J$29,S2805,"Cubic","Extrapolate=Linear","MultiX=Average","Skip=True","Sort=True")</f>
        <v>14.7363675011472</v>
      </c>
      <c r="U2805" s="43">
        <f ca="1">_xll.BInterpol('Base CDI'!$H$4:$H$28,'Base CDI'!$I$4:$I$29,S2805,"Cubic","Extrapolate=Linear","MultiX=Average","Skip=True","Sort=True")</f>
        <v>14.812392695449784</v>
      </c>
    </row>
    <row r="2806" spans="16:21" x14ac:dyDescent="0.25">
      <c r="P2806" s="10">
        <v>38589</v>
      </c>
      <c r="Q2806">
        <v>13.25372</v>
      </c>
      <c r="S2806" s="42">
        <f t="shared" ca="1" si="48"/>
        <v>48512</v>
      </c>
      <c r="T2806" s="43">
        <f ca="1">_xll.BInterpol('Base CDI'!$H$4:$H$28,'Base CDI'!$J$4:$J$29,S2806,"Cubic","Extrapolate=Linear","MultiX=Average","Skip=True","Sort=True")</f>
        <v>14.736321542127349</v>
      </c>
      <c r="U2806" s="43">
        <f ca="1">_xll.BInterpol('Base CDI'!$H$4:$H$28,'Base CDI'!$I$4:$I$29,S2806,"Cubic","Extrapolate=Linear","MultiX=Average","Skip=True","Sort=True")</f>
        <v>14.812360048715504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48513</v>
      </c>
      <c r="T2807" s="43">
        <f ca="1">_xll.BInterpol('Base CDI'!$H$4:$H$28,'Base CDI'!$J$4:$J$29,S2807,"Cubic","Extrapolate=Linear","MultiX=Average","Skip=True","Sort=True")</f>
        <v>14.736275540852594</v>
      </c>
      <c r="U2807" s="43">
        <f ca="1">_xll.BInterpol('Base CDI'!$H$4:$H$28,'Base CDI'!$I$4:$I$29,S2807,"Cubic","Extrapolate=Linear","MultiX=Average","Skip=True","Sort=True")</f>
        <v>14.812327368706567</v>
      </c>
    </row>
    <row r="2808" spans="16:21" x14ac:dyDescent="0.25">
      <c r="P2808" s="10">
        <v>38593</v>
      </c>
      <c r="Q2808">
        <v>13.27262</v>
      </c>
      <c r="S2808" s="42">
        <f t="shared" ca="1" si="48"/>
        <v>48514</v>
      </c>
      <c r="T2808" s="43">
        <f ca="1">_xll.BInterpol('Base CDI'!$H$4:$H$28,'Base CDI'!$J$4:$J$29,S2808,"Cubic","Extrapolate=Linear","MultiX=Average","Skip=True","Sort=True")</f>
        <v>14.736229497333305</v>
      </c>
      <c r="U2808" s="43">
        <f ca="1">_xll.BInterpol('Base CDI'!$H$4:$H$28,'Base CDI'!$I$4:$I$29,S2808,"Cubic","Extrapolate=Linear","MultiX=Average","Skip=True","Sort=True")</f>
        <v>14.812294655561372</v>
      </c>
    </row>
    <row r="2809" spans="16:21" x14ac:dyDescent="0.25">
      <c r="P2809" s="10">
        <v>38594</v>
      </c>
      <c r="Q2809">
        <v>13.28209</v>
      </c>
      <c r="S2809" s="42">
        <f t="shared" ca="1" si="48"/>
        <v>48515</v>
      </c>
      <c r="T2809" s="43">
        <f ca="1">_xll.BInterpol('Base CDI'!$H$4:$H$28,'Base CDI'!$J$4:$J$29,S2809,"Cubic","Extrapolate=Linear","MultiX=Average","Skip=True","Sort=True")</f>
        <v>14.736183411579852</v>
      </c>
      <c r="U2809" s="43">
        <f ca="1">_xll.BInterpol('Base CDI'!$H$4:$H$28,'Base CDI'!$I$4:$I$29,S2809,"Cubic","Extrapolate=Linear","MultiX=Average","Skip=True","Sort=True")</f>
        <v>14.812261909418318</v>
      </c>
    </row>
    <row r="2810" spans="16:21" x14ac:dyDescent="0.25">
      <c r="P2810" s="10">
        <v>38595</v>
      </c>
      <c r="Q2810">
        <v>13.29156</v>
      </c>
      <c r="S2810" s="42">
        <f t="shared" ca="1" si="48"/>
        <v>48516</v>
      </c>
      <c r="T2810" s="43">
        <f ca="1">_xll.BInterpol('Base CDI'!$H$4:$H$28,'Base CDI'!$J$4:$J$29,S2810,"Cubic","Extrapolate=Linear","MultiX=Average","Skip=True","Sort=True")</f>
        <v>14.736137283602604</v>
      </c>
      <c r="U2810" s="43">
        <f ca="1">_xll.BInterpol('Base CDI'!$H$4:$H$28,'Base CDI'!$I$4:$I$29,S2810,"Cubic","Extrapolate=Linear","MultiX=Average","Skip=True","Sort=True")</f>
        <v>14.812229130415803</v>
      </c>
    </row>
    <row r="2811" spans="16:21" x14ac:dyDescent="0.25">
      <c r="P2811" s="10">
        <v>38596</v>
      </c>
      <c r="Q2811">
        <v>13.30105</v>
      </c>
      <c r="S2811" s="42">
        <f t="shared" ca="1" si="48"/>
        <v>48517</v>
      </c>
      <c r="T2811" s="43">
        <f ca="1">_xll.BInterpol('Base CDI'!$H$4:$H$28,'Base CDI'!$J$4:$J$29,S2811,"Cubic","Extrapolate=Linear","MultiX=Average","Skip=True","Sort=True")</f>
        <v>14.736091113411931</v>
      </c>
      <c r="U2811" s="43">
        <f ca="1">_xll.BInterpol('Base CDI'!$H$4:$H$28,'Base CDI'!$I$4:$I$29,S2811,"Cubic","Extrapolate=Linear","MultiX=Average","Skip=True","Sort=True")</f>
        <v>14.812196318692228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48518</v>
      </c>
      <c r="T2812" s="43">
        <f ca="1">_xll.BInterpol('Base CDI'!$H$4:$H$28,'Base CDI'!$J$4:$J$29,S2812,"Cubic","Extrapolate=Linear","MultiX=Average","Skip=True","Sort=True")</f>
        <v>14.736044901018206</v>
      </c>
      <c r="U2812" s="43">
        <f ca="1">_xll.BInterpol('Base CDI'!$H$4:$H$28,'Base CDI'!$I$4:$I$29,S2812,"Cubic","Extrapolate=Linear","MultiX=Average","Skip=True","Sort=True")</f>
        <v>14.812163474385994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48519</v>
      </c>
      <c r="T2813" s="43">
        <f ca="1">_xll.BInterpol('Base CDI'!$H$4:$H$28,'Base CDI'!$J$4:$J$29,S2813,"Cubic","Extrapolate=Linear","MultiX=Average","Skip=True","Sort=True")</f>
        <v>14.735998646431796</v>
      </c>
      <c r="U2813" s="43">
        <f ca="1">_xll.BInterpol('Base CDI'!$H$4:$H$28,'Base CDI'!$I$4:$I$29,S2813,"Cubic","Extrapolate=Linear","MultiX=Average","Skip=True","Sort=True")</f>
        <v>14.812130597635496</v>
      </c>
    </row>
    <row r="2814" spans="16:21" x14ac:dyDescent="0.25">
      <c r="P2814" s="10">
        <v>38601</v>
      </c>
      <c r="Q2814">
        <v>13.32959</v>
      </c>
      <c r="S2814" s="42">
        <f t="shared" ca="1" si="48"/>
        <v>48520</v>
      </c>
      <c r="T2814" s="43">
        <f ca="1">_xll.BInterpol('Base CDI'!$H$4:$H$28,'Base CDI'!$J$4:$J$29,S2814,"Cubic","Extrapolate=Linear","MultiX=Average","Skip=True","Sort=True")</f>
        <v>14.735952349663071</v>
      </c>
      <c r="U2814" s="43">
        <f ca="1">_xll.BInterpol('Base CDI'!$H$4:$H$28,'Base CDI'!$I$4:$I$29,S2814,"Cubic","Extrapolate=Linear","MultiX=Average","Skip=True","Sort=True")</f>
        <v>14.812097688579136</v>
      </c>
    </row>
    <row r="2815" spans="16:21" x14ac:dyDescent="0.25">
      <c r="P2815" s="10">
        <v>38603</v>
      </c>
      <c r="Q2815">
        <v>13.3391</v>
      </c>
      <c r="S2815" s="42">
        <f t="shared" ca="1" si="48"/>
        <v>48521</v>
      </c>
      <c r="T2815" s="43">
        <f ca="1">_xll.BInterpol('Base CDI'!$H$4:$H$28,'Base CDI'!$J$4:$J$29,S2815,"Cubic","Extrapolate=Linear","MultiX=Average","Skip=True","Sort=True")</f>
        <v>14.735906010722402</v>
      </c>
      <c r="U2815" s="43">
        <f ca="1">_xll.BInterpol('Base CDI'!$H$4:$H$28,'Base CDI'!$I$4:$I$29,S2815,"Cubic","Extrapolate=Linear","MultiX=Average","Skip=True","Sort=True")</f>
        <v>14.812064747355313</v>
      </c>
    </row>
    <row r="2816" spans="16:21" x14ac:dyDescent="0.25">
      <c r="P2816" s="10">
        <v>38604</v>
      </c>
      <c r="Q2816">
        <v>13.34862</v>
      </c>
      <c r="S2816" s="42">
        <f t="shared" ca="1" si="48"/>
        <v>48522</v>
      </c>
      <c r="T2816" s="43">
        <f ca="1">_xll.BInterpol('Base CDI'!$H$4:$H$28,'Base CDI'!$J$4:$J$29,S2816,"Cubic","Extrapolate=Linear","MultiX=Average","Skip=True","Sort=True")</f>
        <v>14.73585962962016</v>
      </c>
      <c r="U2816" s="43">
        <f ca="1">_xll.BInterpol('Base CDI'!$H$4:$H$28,'Base CDI'!$I$4:$I$29,S2816,"Cubic","Extrapolate=Linear","MultiX=Average","Skip=True","Sort=True")</f>
        <v>14.812031774102424</v>
      </c>
    </row>
    <row r="2817" spans="16:21" x14ac:dyDescent="0.25">
      <c r="P2817" s="10">
        <v>38607</v>
      </c>
      <c r="Q2817">
        <v>13.35815</v>
      </c>
      <c r="S2817" s="42">
        <f t="shared" ca="1" si="48"/>
        <v>48523</v>
      </c>
      <c r="T2817" s="43">
        <f ca="1">_xll.BInterpol('Base CDI'!$H$4:$H$28,'Base CDI'!$J$4:$J$29,S2817,"Cubic","Extrapolate=Linear","MultiX=Average","Skip=True","Sort=True")</f>
        <v>14.735813206366712</v>
      </c>
      <c r="U2817" s="43">
        <f ca="1">_xll.BInterpol('Base CDI'!$H$4:$H$28,'Base CDI'!$I$4:$I$29,S2817,"Cubic","Extrapolate=Linear","MultiX=Average","Skip=True","Sort=True")</f>
        <v>14.811998768958871</v>
      </c>
    </row>
    <row r="2818" spans="16:21" x14ac:dyDescent="0.25">
      <c r="P2818" s="10">
        <v>38608</v>
      </c>
      <c r="Q2818">
        <v>13.36768</v>
      </c>
      <c r="S2818" s="42">
        <f t="shared" ca="1" si="48"/>
        <v>48524</v>
      </c>
      <c r="T2818" s="43">
        <f ca="1">_xll.BInterpol('Base CDI'!$H$4:$H$28,'Base CDI'!$J$4:$J$29,S2818,"Cubic","Extrapolate=Linear","MultiX=Average","Skip=True","Sort=True")</f>
        <v>14.735766740972434</v>
      </c>
      <c r="U2818" s="43">
        <f ca="1">_xll.BInterpol('Base CDI'!$H$4:$H$28,'Base CDI'!$I$4:$I$29,S2818,"Cubic","Extrapolate=Linear","MultiX=Average","Skip=True","Sort=True")</f>
        <v>14.811965732063053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48525</v>
      </c>
      <c r="T2819" s="43">
        <f ca="1">_xll.BInterpol('Base CDI'!$H$4:$H$28,'Base CDI'!$J$4:$J$29,S2819,"Cubic","Extrapolate=Linear","MultiX=Average","Skip=True","Sort=True")</f>
        <v>14.735720233447688</v>
      </c>
      <c r="U2819" s="43">
        <f ca="1">_xll.BInterpol('Base CDI'!$H$4:$H$28,'Base CDI'!$I$4:$I$29,S2819,"Cubic","Extrapolate=Linear","MultiX=Average","Skip=True","Sort=True")</f>
        <v>14.811932663553367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48526</v>
      </c>
      <c r="T2820" s="43">
        <f ca="1">_xll.BInterpol('Base CDI'!$H$4:$H$28,'Base CDI'!$J$4:$J$29,S2820,"Cubic","Extrapolate=Linear","MultiX=Average","Skip=True","Sort=True")</f>
        <v>14.735673683802851</v>
      </c>
      <c r="U2820" s="43">
        <f ca="1">_xll.BInterpol('Base CDI'!$H$4:$H$28,'Base CDI'!$I$4:$I$29,S2820,"Cubic","Extrapolate=Linear","MultiX=Average","Skip=True","Sort=True")</f>
        <v>14.811899563568215</v>
      </c>
    </row>
    <row r="2821" spans="16:21" x14ac:dyDescent="0.25">
      <c r="P2821" s="10">
        <v>38611</v>
      </c>
      <c r="Q2821">
        <v>13.39621</v>
      </c>
      <c r="S2821" s="42">
        <f t="shared" ca="1" si="48"/>
        <v>48527</v>
      </c>
      <c r="T2821" s="43">
        <f ca="1">_xll.BInterpol('Base CDI'!$H$4:$H$28,'Base CDI'!$J$4:$J$29,S2821,"Cubic","Extrapolate=Linear","MultiX=Average","Skip=True","Sort=True")</f>
        <v>14.735627092048288</v>
      </c>
      <c r="U2821" s="43">
        <f ca="1">_xll.BInterpol('Base CDI'!$H$4:$H$28,'Base CDI'!$I$4:$I$29,S2821,"Cubic","Extrapolate=Linear","MultiX=Average","Skip=True","Sort=True")</f>
        <v>14.811866432245994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48528</v>
      </c>
      <c r="T2822" s="43">
        <f ca="1">_xll.BInterpol('Base CDI'!$H$4:$H$28,'Base CDI'!$J$4:$J$29,S2822,"Cubic","Extrapolate=Linear","MultiX=Average","Skip=True","Sort=True")</f>
        <v>14.735580458194372</v>
      </c>
      <c r="U2822" s="43">
        <f ca="1">_xll.BInterpol('Base CDI'!$H$4:$H$28,'Base CDI'!$I$4:$I$29,S2822,"Cubic","Extrapolate=Linear","MultiX=Average","Skip=True","Sort=True")</f>
        <v>14.811833269725105</v>
      </c>
    </row>
    <row r="2823" spans="16:21" x14ac:dyDescent="0.25">
      <c r="P2823" s="10">
        <v>38615</v>
      </c>
      <c r="Q2823">
        <v>13.41513</v>
      </c>
      <c r="S2823" s="42">
        <f t="shared" ca="1" si="48"/>
        <v>48529</v>
      </c>
      <c r="T2823" s="43">
        <f ca="1">_xll.BInterpol('Base CDI'!$H$4:$H$28,'Base CDI'!$J$4:$J$29,S2823,"Cubic","Extrapolate=Linear","MultiX=Average","Skip=True","Sort=True")</f>
        <v>14.735533782251473</v>
      </c>
      <c r="U2823" s="43">
        <f ca="1">_xll.BInterpol('Base CDI'!$H$4:$H$28,'Base CDI'!$I$4:$I$29,S2823,"Cubic","Extrapolate=Linear","MultiX=Average","Skip=True","Sort=True")</f>
        <v>14.811800076143944</v>
      </c>
    </row>
    <row r="2824" spans="16:21" x14ac:dyDescent="0.25">
      <c r="P2824" s="10">
        <v>38616</v>
      </c>
      <c r="Q2824">
        <v>13.42459</v>
      </c>
      <c r="S2824" s="42">
        <f t="shared" ca="1" si="48"/>
        <v>48530</v>
      </c>
      <c r="T2824" s="43">
        <f ca="1">_xll.BInterpol('Base CDI'!$H$4:$H$28,'Base CDI'!$J$4:$J$29,S2824,"Cubic","Extrapolate=Linear","MultiX=Average","Skip=True","Sort=True")</f>
        <v>14.735487064229959</v>
      </c>
      <c r="U2824" s="43">
        <f ca="1">_xll.BInterpol('Base CDI'!$H$4:$H$28,'Base CDI'!$I$4:$I$29,S2824,"Cubic","Extrapolate=Linear","MultiX=Average","Skip=True","Sort=True")</f>
        <v>14.811766851640915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48531</v>
      </c>
      <c r="T2825" s="43">
        <f ca="1">_xll.BInterpol('Base CDI'!$H$4:$H$28,'Base CDI'!$J$4:$J$29,S2825,"Cubic","Extrapolate=Linear","MultiX=Average","Skip=True","Sort=True")</f>
        <v>14.735440304140203</v>
      </c>
      <c r="U2825" s="43">
        <f ca="1">_xll.BInterpol('Base CDI'!$H$4:$H$28,'Base CDI'!$I$4:$I$29,S2825,"Cubic","Extrapolate=Linear","MultiX=Average","Skip=True","Sort=True")</f>
        <v>14.811733596354413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48532</v>
      </c>
      <c r="T2826" s="43">
        <f ca="1">_xll.BInterpol('Base CDI'!$H$4:$H$28,'Base CDI'!$J$4:$J$29,S2826,"Cubic","Extrapolate=Linear","MultiX=Average","Skip=True","Sort=True")</f>
        <v>14.735393501992572</v>
      </c>
      <c r="U2826" s="43">
        <f ca="1">_xll.BInterpol('Base CDI'!$H$4:$H$28,'Base CDI'!$I$4:$I$29,S2826,"Cubic","Extrapolate=Linear","MultiX=Average","Skip=True","Sort=True")</f>
        <v>14.81170031042284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48533</v>
      </c>
      <c r="T2827" s="43">
        <f ca="1">_xll.BInterpol('Base CDI'!$H$4:$H$28,'Base CDI'!$J$4:$J$29,S2827,"Cubic","Extrapolate=Linear","MultiX=Average","Skip=True","Sort=True")</f>
        <v>14.735346657797438</v>
      </c>
      <c r="U2827" s="43">
        <f ca="1">_xll.BInterpol('Base CDI'!$H$4:$H$28,'Base CDI'!$I$4:$I$29,S2827,"Cubic","Extrapolate=Linear","MultiX=Average","Skip=True","Sort=True")</f>
        <v>14.811666993984593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48534</v>
      </c>
      <c r="T2828" s="43">
        <f ca="1">_xll.BInterpol('Base CDI'!$H$4:$H$28,'Base CDI'!$J$4:$J$29,S2828,"Cubic","Extrapolate=Linear","MultiX=Average","Skip=True","Sort=True")</f>
        <v>14.73529977156517</v>
      </c>
      <c r="U2828" s="43">
        <f ca="1">_xll.BInterpol('Base CDI'!$H$4:$H$28,'Base CDI'!$I$4:$I$29,S2828,"Cubic","Extrapolate=Linear","MultiX=Average","Skip=True","Sort=True")</f>
        <v>14.811633647178073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48535</v>
      </c>
      <c r="T2829" s="43">
        <f ca="1">_xll.BInterpol('Base CDI'!$H$4:$H$28,'Base CDI'!$J$4:$J$29,S2829,"Cubic","Extrapolate=Linear","MultiX=Average","Skip=True","Sort=True")</f>
        <v>14.735252843306139</v>
      </c>
      <c r="U2829" s="43">
        <f ca="1">_xll.BInterpol('Base CDI'!$H$4:$H$28,'Base CDI'!$I$4:$I$29,S2829,"Cubic","Extrapolate=Linear","MultiX=Average","Skip=True","Sort=True")</f>
        <v>14.811600270141678</v>
      </c>
    </row>
    <row r="2830" spans="16:21" x14ac:dyDescent="0.25">
      <c r="P2830" s="10">
        <v>38624</v>
      </c>
      <c r="Q2830">
        <v>13.48147</v>
      </c>
      <c r="S2830" s="42">
        <f t="shared" ca="1" si="49"/>
        <v>48536</v>
      </c>
      <c r="T2830" s="43">
        <f ca="1">_xll.BInterpol('Base CDI'!$H$4:$H$28,'Base CDI'!$J$4:$J$29,S2830,"Cubic","Extrapolate=Linear","MultiX=Average","Skip=True","Sort=True")</f>
        <v>14.735205873030715</v>
      </c>
      <c r="U2830" s="43">
        <f ca="1">_xll.BInterpol('Base CDI'!$H$4:$H$28,'Base CDI'!$I$4:$I$29,S2830,"Cubic","Extrapolate=Linear","MultiX=Average","Skip=True","Sort=True")</f>
        <v>14.811566863013809</v>
      </c>
    </row>
    <row r="2831" spans="16:21" x14ac:dyDescent="0.25">
      <c r="P2831" s="10">
        <v>38625</v>
      </c>
      <c r="Q2831">
        <v>13.49098</v>
      </c>
      <c r="S2831" s="42">
        <f t="shared" ca="1" si="49"/>
        <v>48537</v>
      </c>
      <c r="T2831" s="43">
        <f ca="1">_xll.BInterpol('Base CDI'!$H$4:$H$28,'Base CDI'!$J$4:$J$29,S2831,"Cubic","Extrapolate=Linear","MultiX=Average","Skip=True","Sort=True")</f>
        <v>14.735158860749266</v>
      </c>
      <c r="U2831" s="43">
        <f ca="1">_xll.BInterpol('Base CDI'!$H$4:$H$28,'Base CDI'!$I$4:$I$29,S2831,"Cubic","Extrapolate=Linear","MultiX=Average","Skip=True","Sort=True")</f>
        <v>14.811533425932863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48538</v>
      </c>
      <c r="T2832" s="43">
        <f ca="1">_xll.BInterpol('Base CDI'!$H$4:$H$28,'Base CDI'!$J$4:$J$29,S2832,"Cubic","Extrapolate=Linear","MultiX=Average","Skip=True","Sort=True")</f>
        <v>14.735111806472165</v>
      </c>
      <c r="U2832" s="43">
        <f ca="1">_xll.BInterpol('Base CDI'!$H$4:$H$28,'Base CDI'!$I$4:$I$29,S2832,"Cubic","Extrapolate=Linear","MultiX=Average","Skip=True","Sort=True")</f>
        <v>14.81149995903724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48539</v>
      </c>
      <c r="T2833" s="43">
        <f ca="1">_xll.BInterpol('Base CDI'!$H$4:$H$28,'Base CDI'!$J$4:$J$29,S2833,"Cubic","Extrapolate=Linear","MultiX=Average","Skip=True","Sort=True")</f>
        <v>14.73506471020978</v>
      </c>
      <c r="U2833" s="43">
        <f ca="1">_xll.BInterpol('Base CDI'!$H$4:$H$28,'Base CDI'!$I$4:$I$29,S2833,"Cubic","Extrapolate=Linear","MultiX=Average","Skip=True","Sort=True")</f>
        <v>14.811466462465342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48540</v>
      </c>
      <c r="T2834" s="43">
        <f ca="1">_xll.BInterpol('Base CDI'!$H$4:$H$28,'Base CDI'!$J$4:$J$29,S2834,"Cubic","Extrapolate=Linear","MultiX=Average","Skip=True","Sort=True")</f>
        <v>14.735017571972483</v>
      </c>
      <c r="U2834" s="43">
        <f ca="1">_xll.BInterpol('Base CDI'!$H$4:$H$28,'Base CDI'!$I$4:$I$29,S2834,"Cubic","Extrapolate=Linear","MultiX=Average","Skip=True","Sort=True")</f>
        <v>14.811432936355562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48541</v>
      </c>
      <c r="T2835" s="43">
        <f ca="1">_xll.BInterpol('Base CDI'!$H$4:$H$28,'Base CDI'!$J$4:$J$29,S2835,"Cubic","Extrapolate=Linear","MultiX=Average","Skip=True","Sort=True")</f>
        <v>14.73497039177064</v>
      </c>
      <c r="U2835" s="43">
        <f ca="1">_xll.BInterpol('Base CDI'!$H$4:$H$28,'Base CDI'!$I$4:$I$29,S2835,"Cubic","Extrapolate=Linear","MultiX=Average","Skip=True","Sort=True")</f>
        <v>14.811399380846305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48542</v>
      </c>
      <c r="T2836" s="43">
        <f ca="1">_xll.BInterpol('Base CDI'!$H$4:$H$28,'Base CDI'!$J$4:$J$29,S2836,"Cubic","Extrapolate=Linear","MultiX=Average","Skip=True","Sort=True")</f>
        <v>14.734923169614625</v>
      </c>
      <c r="U2836" s="43">
        <f ca="1">_xll.BInterpol('Base CDI'!$H$4:$H$28,'Base CDI'!$I$4:$I$29,S2836,"Cubic","Extrapolate=Linear","MultiX=Average","Skip=True","Sort=True")</f>
        <v>14.811365796075968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48543</v>
      </c>
      <c r="T2837" s="43">
        <f ca="1">_xll.BInterpol('Base CDI'!$H$4:$H$28,'Base CDI'!$J$4:$J$29,S2837,"Cubic","Extrapolate=Linear","MultiX=Average","Skip=True","Sort=True")</f>
        <v>14.734875905514807</v>
      </c>
      <c r="U2837" s="43">
        <f ca="1">_xll.BInterpol('Base CDI'!$H$4:$H$28,'Base CDI'!$I$4:$I$29,S2837,"Cubic","Extrapolate=Linear","MultiX=Average","Skip=True","Sort=True")</f>
        <v>14.81133218218295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48544</v>
      </c>
      <c r="T2838" s="43">
        <f ca="1">_xll.BInterpol('Base CDI'!$H$4:$H$28,'Base CDI'!$J$4:$J$29,S2838,"Cubic","Extrapolate=Linear","MultiX=Average","Skip=True","Sort=True")</f>
        <v>14.734828599481556</v>
      </c>
      <c r="U2838" s="43">
        <f ca="1">_xll.BInterpol('Base CDI'!$H$4:$H$28,'Base CDI'!$I$4:$I$29,S2838,"Cubic","Extrapolate=Linear","MultiX=Average","Skip=True","Sort=True")</f>
        <v>14.811298539305652</v>
      </c>
    </row>
    <row r="2839" spans="16:21" x14ac:dyDescent="0.25">
      <c r="P2839" s="10">
        <v>38638</v>
      </c>
      <c r="Q2839">
        <v>13.56725</v>
      </c>
      <c r="S2839" s="42">
        <f t="shared" ca="1" si="49"/>
        <v>48545</v>
      </c>
      <c r="T2839" s="43">
        <f ca="1">_xll.BInterpol('Base CDI'!$H$4:$H$28,'Base CDI'!$J$4:$J$29,S2839,"Cubic","Extrapolate=Linear","MultiX=Average","Skip=True","Sort=True")</f>
        <v>14.734781251525241</v>
      </c>
      <c r="U2839" s="43">
        <f ca="1">_xll.BInterpol('Base CDI'!$H$4:$H$28,'Base CDI'!$I$4:$I$29,S2839,"Cubic","Extrapolate=Linear","MultiX=Average","Skip=True","Sort=True")</f>
        <v>14.811264867582469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48546</v>
      </c>
      <c r="T2840" s="43">
        <f ca="1">_xll.BInterpol('Base CDI'!$H$4:$H$28,'Base CDI'!$J$4:$J$29,S2840,"Cubic","Extrapolate=Linear","MultiX=Average","Skip=True","Sort=True")</f>
        <v>14.734733861656235</v>
      </c>
      <c r="U2840" s="43">
        <f ca="1">_xll.BInterpol('Base CDI'!$H$4:$H$28,'Base CDI'!$I$4:$I$29,S2840,"Cubic","Extrapolate=Linear","MultiX=Average","Skip=True","Sort=True")</f>
        <v>14.811231167151805</v>
      </c>
    </row>
    <row r="2841" spans="16:21" x14ac:dyDescent="0.25">
      <c r="P2841" s="10">
        <v>38642</v>
      </c>
      <c r="Q2841">
        <v>13.58633</v>
      </c>
      <c r="S2841" s="42">
        <f t="shared" ca="1" si="49"/>
        <v>48547</v>
      </c>
      <c r="T2841" s="43">
        <f ca="1">_xll.BInterpol('Base CDI'!$H$4:$H$28,'Base CDI'!$J$4:$J$29,S2841,"Cubic","Extrapolate=Linear","MultiX=Average","Skip=True","Sort=True")</f>
        <v>14.734686429884905</v>
      </c>
      <c r="U2841" s="43">
        <f ca="1">_xll.BInterpol('Base CDI'!$H$4:$H$28,'Base CDI'!$I$4:$I$29,S2841,"Cubic","Extrapolate=Linear","MultiX=Average","Skip=True","Sort=True")</f>
        <v>14.811197438152057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48548</v>
      </c>
      <c r="T2842" s="43">
        <f ca="1">_xll.BInterpol('Base CDI'!$H$4:$H$28,'Base CDI'!$J$4:$J$29,S2842,"Cubic","Extrapolate=Linear","MultiX=Average","Skip=True","Sort=True")</f>
        <v>14.734638956221621</v>
      </c>
      <c r="U2842" s="43">
        <f ca="1">_xll.BInterpol('Base CDI'!$H$4:$H$28,'Base CDI'!$I$4:$I$29,S2842,"Cubic","Extrapolate=Linear","MultiX=Average","Skip=True","Sort=True")</f>
        <v>14.811163680721624</v>
      </c>
    </row>
    <row r="2843" spans="16:21" x14ac:dyDescent="0.25">
      <c r="P2843" s="10">
        <v>38644</v>
      </c>
      <c r="Q2843">
        <v>13.60543</v>
      </c>
      <c r="S2843" s="42">
        <f t="shared" ca="1" si="49"/>
        <v>48549</v>
      </c>
      <c r="T2843" s="43">
        <f ca="1">_xll.BInterpol('Base CDI'!$H$4:$H$28,'Base CDI'!$J$4:$J$29,S2843,"Cubic","Extrapolate=Linear","MultiX=Average","Skip=True","Sort=True")</f>
        <v>14.734591440676754</v>
      </c>
      <c r="U2843" s="43">
        <f ca="1">_xll.BInterpol('Base CDI'!$H$4:$H$28,'Base CDI'!$I$4:$I$29,S2843,"Cubic","Extrapolate=Linear","MultiX=Average","Skip=True","Sort=True")</f>
        <v>14.811129894998905</v>
      </c>
    </row>
    <row r="2844" spans="16:21" x14ac:dyDescent="0.25">
      <c r="P2844" s="10">
        <v>38645</v>
      </c>
      <c r="Q2844">
        <v>13.615</v>
      </c>
      <c r="S2844" s="42">
        <f t="shared" ca="1" si="49"/>
        <v>48550</v>
      </c>
      <c r="T2844" s="43">
        <f ca="1">_xll.BInterpol('Base CDI'!$H$4:$H$28,'Base CDI'!$J$4:$J$29,S2844,"Cubic","Extrapolate=Linear","MultiX=Average","Skip=True","Sort=True")</f>
        <v>14.734543883260674</v>
      </c>
      <c r="U2844" s="43">
        <f ca="1">_xll.BInterpol('Base CDI'!$H$4:$H$28,'Base CDI'!$I$4:$I$29,S2844,"Cubic","Extrapolate=Linear","MultiX=Average","Skip=True","Sort=True")</f>
        <v>14.811096081122301</v>
      </c>
    </row>
    <row r="2845" spans="16:21" x14ac:dyDescent="0.25">
      <c r="P2845" s="10">
        <v>38646</v>
      </c>
      <c r="Q2845">
        <v>13.62435</v>
      </c>
      <c r="S2845" s="42">
        <f t="shared" ca="1" si="49"/>
        <v>48551</v>
      </c>
      <c r="T2845" s="43">
        <f ca="1">_xll.BInterpol('Base CDI'!$H$4:$H$28,'Base CDI'!$J$4:$J$29,S2845,"Cubic","Extrapolate=Linear","MultiX=Average","Skip=True","Sort=True")</f>
        <v>14.734496283983752</v>
      </c>
      <c r="U2845" s="43">
        <f ca="1">_xll.BInterpol('Base CDI'!$H$4:$H$28,'Base CDI'!$I$4:$I$29,S2845,"Cubic","Extrapolate=Linear","MultiX=Average","Skip=True","Sort=True")</f>
        <v>14.811062239230209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48552</v>
      </c>
      <c r="T2846" s="43">
        <f ca="1">_xll.BInterpol('Base CDI'!$H$4:$H$28,'Base CDI'!$J$4:$J$29,S2846,"Cubic","Extrapolate=Linear","MultiX=Average","Skip=True","Sort=True")</f>
        <v>14.734448642856357</v>
      </c>
      <c r="U2846" s="43">
        <f ca="1">_xll.BInterpol('Base CDI'!$H$4:$H$28,'Base CDI'!$I$4:$I$29,S2846,"Cubic","Extrapolate=Linear","MultiX=Average","Skip=True","Sort=True")</f>
        <v>14.811028369461029</v>
      </c>
    </row>
    <row r="2847" spans="16:21" x14ac:dyDescent="0.25">
      <c r="P2847" s="10">
        <v>38650</v>
      </c>
      <c r="Q2847">
        <v>13.64307</v>
      </c>
      <c r="S2847" s="42">
        <f t="shared" ca="1" si="49"/>
        <v>48553</v>
      </c>
      <c r="T2847" s="43">
        <f ca="1">_xll.BInterpol('Base CDI'!$H$4:$H$28,'Base CDI'!$J$4:$J$29,S2847,"Cubic","Extrapolate=Linear","MultiX=Average","Skip=True","Sort=True")</f>
        <v>14.734400959888859</v>
      </c>
      <c r="U2847" s="43">
        <f ca="1">_xll.BInterpol('Base CDI'!$H$4:$H$28,'Base CDI'!$I$4:$I$29,S2847,"Cubic","Extrapolate=Linear","MultiX=Average","Skip=True","Sort=True")</f>
        <v>14.810994471953162</v>
      </c>
    </row>
    <row r="2848" spans="16:21" x14ac:dyDescent="0.25">
      <c r="P2848" s="10">
        <v>38651</v>
      </c>
      <c r="Q2848">
        <v>13.65244</v>
      </c>
      <c r="S2848" s="42">
        <f t="shared" ca="1" si="49"/>
        <v>48554</v>
      </c>
      <c r="T2848" s="43">
        <f ca="1">_xll.BInterpol('Base CDI'!$H$4:$H$28,'Base CDI'!$J$4:$J$29,S2848,"Cubic","Extrapolate=Linear","MultiX=Average","Skip=True","Sort=True")</f>
        <v>14.734353235091628</v>
      </c>
      <c r="U2848" s="43">
        <f ca="1">_xll.BInterpol('Base CDI'!$H$4:$H$28,'Base CDI'!$I$4:$I$29,S2848,"Cubic","Extrapolate=Linear","MultiX=Average","Skip=True","Sort=True")</f>
        <v>14.810960546845005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48555</v>
      </c>
      <c r="T2849" s="43">
        <f ca="1">_xll.BInterpol('Base CDI'!$H$4:$H$28,'Base CDI'!$J$4:$J$29,S2849,"Cubic","Extrapolate=Linear","MultiX=Average","Skip=True","Sort=True")</f>
        <v>14.734305468475034</v>
      </c>
      <c r="U2849" s="43">
        <f ca="1">_xll.BInterpol('Base CDI'!$H$4:$H$28,'Base CDI'!$I$4:$I$29,S2849,"Cubic","Extrapolate=Linear","MultiX=Average","Skip=True","Sort=True")</f>
        <v>14.810926594274958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48556</v>
      </c>
      <c r="T2850" s="43">
        <f ca="1">_xll.BInterpol('Base CDI'!$H$4:$H$28,'Base CDI'!$J$4:$J$29,S2850,"Cubic","Extrapolate=Linear","MultiX=Average","Skip=True","Sort=True")</f>
        <v>14.734257660049447</v>
      </c>
      <c r="U2850" s="43">
        <f ca="1">_xll.BInterpol('Base CDI'!$H$4:$H$28,'Base CDI'!$I$4:$I$29,S2850,"Cubic","Extrapolate=Linear","MultiX=Average","Skip=True","Sort=True")</f>
        <v>14.810892614381421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48557</v>
      </c>
      <c r="T2851" s="43">
        <f ca="1">_xll.BInterpol('Base CDI'!$H$4:$H$28,'Base CDI'!$J$4:$J$29,S2851,"Cubic","Extrapolate=Linear","MultiX=Average","Skip=True","Sort=True")</f>
        <v>14.73420980982524</v>
      </c>
      <c r="U2851" s="43">
        <f ca="1">_xll.BInterpol('Base CDI'!$H$4:$H$28,'Base CDI'!$I$4:$I$29,S2851,"Cubic","Extrapolate=Linear","MultiX=Average","Skip=True","Sort=True")</f>
        <v>14.810858607302791</v>
      </c>
    </row>
    <row r="2852" spans="16:21" x14ac:dyDescent="0.25">
      <c r="P2852" s="10">
        <v>38657</v>
      </c>
      <c r="Q2852">
        <v>13.68998</v>
      </c>
      <c r="S2852" s="42">
        <f t="shared" ca="1" si="49"/>
        <v>48558</v>
      </c>
      <c r="T2852" s="43">
        <f ca="1">_xll.BInterpol('Base CDI'!$H$4:$H$28,'Base CDI'!$J$4:$J$29,S2852,"Cubic","Extrapolate=Linear","MultiX=Average","Skip=True","Sort=True")</f>
        <v>14.734161917812777</v>
      </c>
      <c r="U2852" s="43">
        <f ca="1">_xll.BInterpol('Base CDI'!$H$4:$H$28,'Base CDI'!$I$4:$I$29,S2852,"Cubic","Extrapolate=Linear","MultiX=Average","Skip=True","Sort=True")</f>
        <v>14.81082457317747</v>
      </c>
    </row>
    <row r="2853" spans="16:21" x14ac:dyDescent="0.25">
      <c r="P2853" s="10">
        <v>38659</v>
      </c>
      <c r="Q2853">
        <v>13.69942</v>
      </c>
      <c r="S2853" s="42">
        <f t="shared" ca="1" si="49"/>
        <v>48559</v>
      </c>
      <c r="T2853" s="43">
        <f ca="1">_xll.BInterpol('Base CDI'!$H$4:$H$28,'Base CDI'!$J$4:$J$29,S2853,"Cubic","Extrapolate=Linear","MultiX=Average","Skip=True","Sort=True")</f>
        <v>14.734113984022432</v>
      </c>
      <c r="U2853" s="43">
        <f ca="1">_xll.BInterpol('Base CDI'!$H$4:$H$28,'Base CDI'!$I$4:$I$29,S2853,"Cubic","Extrapolate=Linear","MultiX=Average","Skip=True","Sort=True")</f>
        <v>14.810790512143855</v>
      </c>
    </row>
    <row r="2854" spans="16:21" x14ac:dyDescent="0.25">
      <c r="P2854" s="10">
        <v>38660</v>
      </c>
      <c r="Q2854">
        <v>13.70884</v>
      </c>
      <c r="S2854" s="42">
        <f t="shared" ca="1" si="49"/>
        <v>48560</v>
      </c>
      <c r="T2854" s="43">
        <f ca="1">_xll.BInterpol('Base CDI'!$H$4:$H$28,'Base CDI'!$J$4:$J$29,S2854,"Cubic","Extrapolate=Linear","MultiX=Average","Skip=True","Sort=True")</f>
        <v>14.734066008464575</v>
      </c>
      <c r="U2854" s="43">
        <f ca="1">_xll.BInterpol('Base CDI'!$H$4:$H$28,'Base CDI'!$I$4:$I$29,S2854,"Cubic","Extrapolate=Linear","MultiX=Average","Skip=True","Sort=True")</f>
        <v>14.810756424340346</v>
      </c>
    </row>
    <row r="2855" spans="16:21" x14ac:dyDescent="0.25">
      <c r="P2855" s="10">
        <v>38663</v>
      </c>
      <c r="Q2855">
        <v>13.71829</v>
      </c>
      <c r="S2855" s="42">
        <f t="shared" ca="1" si="49"/>
        <v>48561</v>
      </c>
      <c r="T2855" s="43">
        <f ca="1">_xll.BInterpol('Base CDI'!$H$4:$H$28,'Base CDI'!$J$4:$J$29,S2855,"Cubic","Extrapolate=Linear","MultiX=Average","Skip=True","Sort=True")</f>
        <v>14.734017991149576</v>
      </c>
      <c r="U2855" s="43">
        <f ca="1">_xll.BInterpol('Base CDI'!$H$4:$H$28,'Base CDI'!$I$4:$I$29,S2855,"Cubic","Extrapolate=Linear","MultiX=Average","Skip=True","Sort=True")</f>
        <v>14.810722309905342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48562</v>
      </c>
      <c r="T2856" s="43">
        <f ca="1">_xll.BInterpol('Base CDI'!$H$4:$H$28,'Base CDI'!$J$4:$J$29,S2856,"Cubic","Extrapolate=Linear","MultiX=Average","Skip=True","Sort=True")</f>
        <v>14.733969932087804</v>
      </c>
      <c r="U2856" s="43">
        <f ca="1">_xll.BInterpol('Base CDI'!$H$4:$H$28,'Base CDI'!$I$4:$I$29,S2856,"Cubic","Extrapolate=Linear","MultiX=Average","Skip=True","Sort=True")</f>
        <v>14.810688168977244</v>
      </c>
    </row>
    <row r="2857" spans="16:21" x14ac:dyDescent="0.25">
      <c r="P2857" s="10">
        <v>38665</v>
      </c>
      <c r="Q2857">
        <v>13.73719</v>
      </c>
      <c r="S2857" s="42">
        <f t="shared" ca="1" si="49"/>
        <v>48563</v>
      </c>
      <c r="T2857" s="43">
        <f ca="1">_xll.BInterpol('Base CDI'!$H$4:$H$28,'Base CDI'!$J$4:$J$29,S2857,"Cubic","Extrapolate=Linear","MultiX=Average","Skip=True","Sort=True")</f>
        <v>14.73392183128963</v>
      </c>
      <c r="U2857" s="43">
        <f ca="1">_xll.BInterpol('Base CDI'!$H$4:$H$28,'Base CDI'!$I$4:$I$29,S2857,"Cubic","Extrapolate=Linear","MultiX=Average","Skip=True","Sort=True")</f>
        <v>14.810654001694447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48564</v>
      </c>
      <c r="T2858" s="43">
        <f ca="1">_xll.BInterpol('Base CDI'!$H$4:$H$28,'Base CDI'!$J$4:$J$29,S2858,"Cubic","Extrapolate=Linear","MultiX=Average","Skip=True","Sort=True")</f>
        <v>14.733873688765422</v>
      </c>
      <c r="U2858" s="43">
        <f ca="1">_xll.BInterpol('Base CDI'!$H$4:$H$28,'Base CDI'!$I$4:$I$29,S2858,"Cubic","Extrapolate=Linear","MultiX=Average","Skip=True","Sort=True")</f>
        <v>14.810619808195355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48565</v>
      </c>
      <c r="T2859" s="43">
        <f ca="1">_xll.BInterpol('Base CDI'!$H$4:$H$28,'Base CDI'!$J$4:$J$29,S2859,"Cubic","Extrapolate=Linear","MultiX=Average","Skip=True","Sort=True")</f>
        <v>14.733825504525553</v>
      </c>
      <c r="U2859" s="43">
        <f ca="1">_xll.BInterpol('Base CDI'!$H$4:$H$28,'Base CDI'!$I$4:$I$29,S2859,"Cubic","Extrapolate=Linear","MultiX=Average","Skip=True","Sort=True")</f>
        <v>14.810585588618364</v>
      </c>
    </row>
    <row r="2860" spans="16:21" x14ac:dyDescent="0.25">
      <c r="P2860" s="10">
        <v>38670</v>
      </c>
      <c r="Q2860">
        <v>13.76559</v>
      </c>
      <c r="S2860" s="42">
        <f t="shared" ca="1" si="49"/>
        <v>48566</v>
      </c>
      <c r="T2860" s="43">
        <f ca="1">_xll.BInterpol('Base CDI'!$H$4:$H$28,'Base CDI'!$J$4:$J$29,S2860,"Cubic","Extrapolate=Linear","MultiX=Average","Skip=True","Sort=True")</f>
        <v>14.733777278580392</v>
      </c>
      <c r="U2860" s="43">
        <f ca="1">_xll.BInterpol('Base CDI'!$H$4:$H$28,'Base CDI'!$I$4:$I$29,S2860,"Cubic","Extrapolate=Linear","MultiX=Average","Skip=True","Sort=True")</f>
        <v>14.810551343101876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48567</v>
      </c>
      <c r="T2861" s="43">
        <f ca="1">_xll.BInterpol('Base CDI'!$H$4:$H$28,'Base CDI'!$J$4:$J$29,S2861,"Cubic","Extrapolate=Linear","MultiX=Average","Skip=True","Sort=True")</f>
        <v>14.733729010940309</v>
      </c>
      <c r="U2861" s="43">
        <f ca="1">_xll.BInterpol('Base CDI'!$H$4:$H$28,'Base CDI'!$I$4:$I$29,S2861,"Cubic","Extrapolate=Linear","MultiX=Average","Skip=True","Sort=True")</f>
        <v>14.810517071784288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48568</v>
      </c>
      <c r="T2862" s="43">
        <f ca="1">_xll.BInterpol('Base CDI'!$H$4:$H$28,'Base CDI'!$J$4:$J$29,S2862,"Cubic","Extrapolate=Linear","MultiX=Average","Skip=True","Sort=True")</f>
        <v>14.733680701615672</v>
      </c>
      <c r="U2862" s="43">
        <f ca="1">_xll.BInterpol('Base CDI'!$H$4:$H$28,'Base CDI'!$I$4:$I$29,S2862,"Cubic","Extrapolate=Linear","MultiX=Average","Skip=True","Sort=True")</f>
        <v>14.810482774803999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48569</v>
      </c>
      <c r="T2863" s="43">
        <f ca="1">_xll.BInterpol('Base CDI'!$H$4:$H$28,'Base CDI'!$J$4:$J$29,S2863,"Cubic","Extrapolate=Linear","MultiX=Average","Skip=True","Sort=True")</f>
        <v>14.733632350616855</v>
      </c>
      <c r="U2863" s="43">
        <f ca="1">_xll.BInterpol('Base CDI'!$H$4:$H$28,'Base CDI'!$I$4:$I$29,S2863,"Cubic","Extrapolate=Linear","MultiX=Average","Skip=True","Sort=True")</f>
        <v>14.81044845229941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48570</v>
      </c>
      <c r="T2864" s="43">
        <f ca="1">_xll.BInterpol('Base CDI'!$H$4:$H$28,'Base CDI'!$J$4:$J$29,S2864,"Cubic","Extrapolate=Linear","MultiX=Average","Skip=True","Sort=True")</f>
        <v>14.733583957954224</v>
      </c>
      <c r="U2864" s="43">
        <f ca="1">_xll.BInterpol('Base CDI'!$H$4:$H$28,'Base CDI'!$I$4:$I$29,S2864,"Cubic","Extrapolate=Linear","MultiX=Average","Skip=True","Sort=True")</f>
        <v>14.810414104408919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48571</v>
      </c>
      <c r="T2865" s="43">
        <f ca="1">_xll.BInterpol('Base CDI'!$H$4:$H$28,'Base CDI'!$J$4:$J$29,S2865,"Cubic","Extrapolate=Linear","MultiX=Average","Skip=True","Sort=True")</f>
        <v>14.733535523638151</v>
      </c>
      <c r="U2865" s="43">
        <f ca="1">_xll.BInterpol('Base CDI'!$H$4:$H$28,'Base CDI'!$I$4:$I$29,S2865,"Cubic","Extrapolate=Linear","MultiX=Average","Skip=True","Sort=True")</f>
        <v>14.810379731270924</v>
      </c>
    </row>
    <row r="2866" spans="16:21" x14ac:dyDescent="0.25">
      <c r="P2866" s="10">
        <v>38679</v>
      </c>
      <c r="Q2866">
        <v>13.82249</v>
      </c>
      <c r="S2866" s="42">
        <f t="shared" ca="1" si="49"/>
        <v>48572</v>
      </c>
      <c r="T2866" s="43">
        <f ca="1">_xll.BInterpol('Base CDI'!$H$4:$H$28,'Base CDI'!$J$4:$J$29,S2866,"Cubic","Extrapolate=Linear","MultiX=Average","Skip=True","Sort=True")</f>
        <v>14.733487047679006</v>
      </c>
      <c r="U2866" s="43">
        <f ca="1">_xll.BInterpol('Base CDI'!$H$4:$H$28,'Base CDI'!$I$4:$I$29,S2866,"Cubic","Extrapolate=Linear","MultiX=Average","Skip=True","Sort=True")</f>
        <v>14.810345333023827</v>
      </c>
    </row>
    <row r="2867" spans="16:21" x14ac:dyDescent="0.25">
      <c r="P2867" s="10">
        <v>38680</v>
      </c>
      <c r="Q2867">
        <v>13.83197</v>
      </c>
      <c r="S2867" s="42">
        <f t="shared" ca="1" si="49"/>
        <v>48573</v>
      </c>
      <c r="T2867" s="43">
        <f ca="1">_xll.BInterpol('Base CDI'!$H$4:$H$28,'Base CDI'!$J$4:$J$29,S2867,"Cubic","Extrapolate=Linear","MultiX=Average","Skip=True","Sort=True")</f>
        <v>14.73343853008716</v>
      </c>
      <c r="U2867" s="43">
        <f ca="1">_xll.BInterpol('Base CDI'!$H$4:$H$28,'Base CDI'!$I$4:$I$29,S2867,"Cubic","Extrapolate=Linear","MultiX=Average","Skip=True","Sort=True")</f>
        <v>14.810310909806025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48574</v>
      </c>
      <c r="T2868" s="43">
        <f ca="1">_xll.BInterpol('Base CDI'!$H$4:$H$28,'Base CDI'!$J$4:$J$29,S2868,"Cubic","Extrapolate=Linear","MultiX=Average","Skip=True","Sort=True")</f>
        <v>14.733389970872981</v>
      </c>
      <c r="U2868" s="43">
        <f ca="1">_xll.BInterpol('Base CDI'!$H$4:$H$28,'Base CDI'!$I$4:$I$29,S2868,"Cubic","Extrapolate=Linear","MultiX=Average","Skip=True","Sort=True")</f>
        <v>14.810276461755919</v>
      </c>
    </row>
    <row r="2869" spans="16:21" x14ac:dyDescent="0.25">
      <c r="P2869" s="10">
        <v>38684</v>
      </c>
      <c r="Q2869">
        <v>13.85051</v>
      </c>
      <c r="S2869" s="42">
        <f t="shared" ca="1" si="49"/>
        <v>48575</v>
      </c>
      <c r="T2869" s="43">
        <f ca="1">_xll.BInterpol('Base CDI'!$H$4:$H$28,'Base CDI'!$J$4:$J$29,S2869,"Cubic","Extrapolate=Linear","MultiX=Average","Skip=True","Sort=True")</f>
        <v>14.733341370046841</v>
      </c>
      <c r="U2869" s="43">
        <f ca="1">_xll.BInterpol('Base CDI'!$H$4:$H$28,'Base CDI'!$I$4:$I$29,S2869,"Cubic","Extrapolate=Linear","MultiX=Average","Skip=True","Sort=True")</f>
        <v>14.810241989011908</v>
      </c>
    </row>
    <row r="2870" spans="16:21" x14ac:dyDescent="0.25">
      <c r="P2870" s="10">
        <v>38685</v>
      </c>
      <c r="Q2870">
        <v>13.85979</v>
      </c>
      <c r="S2870" s="42">
        <f t="shared" ca="1" si="49"/>
        <v>48576</v>
      </c>
      <c r="T2870" s="43">
        <f ca="1">_xll.BInterpol('Base CDI'!$H$4:$H$28,'Base CDI'!$J$4:$J$29,S2870,"Cubic","Extrapolate=Linear","MultiX=Average","Skip=True","Sort=True")</f>
        <v>14.733292727619107</v>
      </c>
      <c r="U2870" s="43">
        <f ca="1">_xll.BInterpol('Base CDI'!$H$4:$H$28,'Base CDI'!$I$4:$I$29,S2870,"Cubic","Extrapolate=Linear","MultiX=Average","Skip=True","Sort=True")</f>
        <v>14.81020749171239</v>
      </c>
    </row>
    <row r="2871" spans="16:21" x14ac:dyDescent="0.25">
      <c r="P2871" s="10">
        <v>38686</v>
      </c>
      <c r="Q2871">
        <v>13.86909</v>
      </c>
      <c r="S2871" s="42">
        <f t="shared" ca="1" si="49"/>
        <v>48577</v>
      </c>
      <c r="T2871" s="43">
        <f ca="1">_xll.BInterpol('Base CDI'!$H$4:$H$28,'Base CDI'!$J$4:$J$29,S2871,"Cubic","Extrapolate=Linear","MultiX=Average","Skip=True","Sort=True")</f>
        <v>14.733244043600152</v>
      </c>
      <c r="U2871" s="43">
        <f ca="1">_xll.BInterpol('Base CDI'!$H$4:$H$28,'Base CDI'!$I$4:$I$29,S2871,"Cubic","Extrapolate=Linear","MultiX=Average","Skip=True","Sort=True")</f>
        <v>14.810172969995763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48578</v>
      </c>
      <c r="T2872" s="43">
        <f ca="1">_xll.BInterpol('Base CDI'!$H$4:$H$28,'Base CDI'!$J$4:$J$29,S2872,"Cubic","Extrapolate=Linear","MultiX=Average","Skip=True","Sort=True")</f>
        <v>14.733195318000345</v>
      </c>
      <c r="U2872" s="43">
        <f ca="1">_xll.BInterpol('Base CDI'!$H$4:$H$28,'Base CDI'!$I$4:$I$29,S2872,"Cubic","Extrapolate=Linear","MultiX=Average","Skip=True","Sort=True")</f>
        <v>14.81013842400043</v>
      </c>
    </row>
    <row r="2873" spans="16:21" x14ac:dyDescent="0.25">
      <c r="P2873" s="10">
        <v>38688</v>
      </c>
      <c r="Q2873">
        <v>13.88772</v>
      </c>
      <c r="S2873" s="42">
        <f t="shared" ca="1" si="49"/>
        <v>48579</v>
      </c>
      <c r="T2873" s="43">
        <f ca="1">_xll.BInterpol('Base CDI'!$H$4:$H$28,'Base CDI'!$J$4:$J$29,S2873,"Cubic","Extrapolate=Linear","MultiX=Average","Skip=True","Sort=True")</f>
        <v>14.733146550830057</v>
      </c>
      <c r="U2873" s="43">
        <f ca="1">_xll.BInterpol('Base CDI'!$H$4:$H$28,'Base CDI'!$I$4:$I$29,S2873,"Cubic","Extrapolate=Linear","MultiX=Average","Skip=True","Sort=True")</f>
        <v>14.810103853864788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48580</v>
      </c>
      <c r="T2874" s="43">
        <f ca="1">_xll.BInterpol('Base CDI'!$H$4:$H$28,'Base CDI'!$J$4:$J$29,S2874,"Cubic","Extrapolate=Linear","MultiX=Average","Skip=True","Sort=True")</f>
        <v>14.733097742099657</v>
      </c>
      <c r="U2874" s="43">
        <f ca="1">_xll.BInterpol('Base CDI'!$H$4:$H$28,'Base CDI'!$I$4:$I$29,S2874,"Cubic","Extrapolate=Linear","MultiX=Average","Skip=True","Sort=True")</f>
        <v>14.810069259727236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48581</v>
      </c>
      <c r="T2875" s="43">
        <f ca="1">_xll.BInterpol('Base CDI'!$H$4:$H$28,'Base CDI'!$J$4:$J$29,S2875,"Cubic","Extrapolate=Linear","MultiX=Average","Skip=True","Sort=True")</f>
        <v>14.733048891819514</v>
      </c>
      <c r="U2875" s="43">
        <f ca="1">_xll.BInterpol('Base CDI'!$H$4:$H$28,'Base CDI'!$I$4:$I$29,S2875,"Cubic","Extrapolate=Linear","MultiX=Average","Skip=True","Sort=True")</f>
        <v>14.810034641726174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48582</v>
      </c>
      <c r="T2876" s="43">
        <f ca="1">_xll.BInterpol('Base CDI'!$H$4:$H$28,'Base CDI'!$J$4:$J$29,S2876,"Cubic","Extrapolate=Linear","MultiX=Average","Skip=True","Sort=True")</f>
        <v>14.733000000000001</v>
      </c>
      <c r="U2876" s="43">
        <f ca="1">_xll.BInterpol('Base CDI'!$H$4:$H$28,'Base CDI'!$I$4:$I$29,S2876,"Cubic","Extrapolate=Linear","MultiX=Average","Skip=True","Sort=True")</f>
        <v>14.81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48583</v>
      </c>
      <c r="T2877" s="43">
        <f ca="1">_xll.BInterpol('Base CDI'!$H$4:$H$28,'Base CDI'!$J$4:$J$29,S2877,"Cubic","Extrapolate=Linear","MultiX=Average","Skip=True","Sort=True")</f>
        <v>14.732951066625732</v>
      </c>
      <c r="U2877" s="43">
        <f ca="1">_xll.BInterpol('Base CDI'!$H$4:$H$28,'Base CDI'!$I$4:$I$29,S2877,"Cubic","Extrapolate=Linear","MultiX=Average","Skip=True","Sort=True")</f>
        <v>14.809965334590562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48584</v>
      </c>
      <c r="T2878" s="43">
        <f ca="1">_xll.BInterpol('Base CDI'!$H$4:$H$28,'Base CDI'!$J$4:$J$29,S2878,"Cubic","Extrapolate=Linear","MultiX=Average","Skip=True","Sort=True")</f>
        <v>14.732902091578314</v>
      </c>
      <c r="U2878" s="43">
        <f ca="1">_xll.BInterpol('Base CDI'!$H$4:$H$28,'Base CDI'!$I$4:$I$29,S2878,"Cubic","Extrapolate=Linear","MultiX=Average","Skip=True","Sort=True")</f>
        <v>14.809930645153495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48585</v>
      </c>
      <c r="T2879" s="43">
        <f ca="1">_xll.BInterpol('Base CDI'!$H$4:$H$28,'Base CDI'!$J$4:$J$29,S2879,"Cubic","Extrapolate=Linear","MultiX=Average","Skip=True","Sort=True")</f>
        <v>14.732853074713599</v>
      </c>
      <c r="U2879" s="43">
        <f ca="1">_xll.BInterpol('Base CDI'!$H$4:$H$28,'Base CDI'!$I$4:$I$29,S2879,"Cubic","Extrapolate=Linear","MultiX=Average","Skip=True","Sort=True")</f>
        <v>14.80989593124788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48586</v>
      </c>
      <c r="T2880" s="43">
        <f ca="1">_xll.BInterpol('Base CDI'!$H$4:$H$28,'Base CDI'!$J$4:$J$29,S2880,"Cubic","Extrapolate=Linear","MultiX=Average","Skip=True","Sort=True")</f>
        <v>14.73280401588744</v>
      </c>
      <c r="U2880" s="43">
        <f ca="1">_xll.BInterpol('Base CDI'!$H$4:$H$28,'Base CDI'!$I$4:$I$29,S2880,"Cubic","Extrapolate=Linear","MultiX=Average","Skip=True","Sort=True")</f>
        <v>14.809861192432798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48587</v>
      </c>
      <c r="T2881" s="43">
        <f ca="1">_xll.BInterpol('Base CDI'!$H$4:$H$28,'Base CDI'!$J$4:$J$29,S2881,"Cubic","Extrapolate=Linear","MultiX=Average","Skip=True","Sort=True")</f>
        <v>14.73275491495569</v>
      </c>
      <c r="U2881" s="43">
        <f ca="1">_xll.BInterpol('Base CDI'!$H$4:$H$28,'Base CDI'!$I$4:$I$29,S2881,"Cubic","Extrapolate=Linear","MultiX=Average","Skip=True","Sort=True")</f>
        <v>14.809826428267336</v>
      </c>
    </row>
    <row r="2882" spans="16:21" x14ac:dyDescent="0.25">
      <c r="P2882" s="10">
        <v>38701</v>
      </c>
      <c r="Q2882">
        <v>13.97174</v>
      </c>
      <c r="S2882" s="42">
        <f t="shared" ca="1" si="49"/>
        <v>48588</v>
      </c>
      <c r="T2882" s="43">
        <f ca="1">_xll.BInterpol('Base CDI'!$H$4:$H$28,'Base CDI'!$J$4:$J$29,S2882,"Cubic","Extrapolate=Linear","MultiX=Average","Skip=True","Sort=True")</f>
        <v>14.732705771774201</v>
      </c>
      <c r="U2882" s="43">
        <f ca="1">_xll.BInterpol('Base CDI'!$H$4:$H$28,'Base CDI'!$I$4:$I$29,S2882,"Cubic","Extrapolate=Linear","MultiX=Average","Skip=True","Sort=True")</f>
        <v>14.809791638310573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48589</v>
      </c>
      <c r="T2883" s="43">
        <f ca="1">_xll.BInterpol('Base CDI'!$H$4:$H$28,'Base CDI'!$J$4:$J$29,S2883,"Cubic","Extrapolate=Linear","MultiX=Average","Skip=True","Sort=True")</f>
        <v>14.732656586198823</v>
      </c>
      <c r="U2883" s="43">
        <f ca="1">_xll.BInterpol('Base CDI'!$H$4:$H$28,'Base CDI'!$I$4:$I$29,S2883,"Cubic","Extrapolate=Linear","MultiX=Average","Skip=True","Sort=True")</f>
        <v>14.809756822121591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48590</v>
      </c>
      <c r="T2884" s="43">
        <f ca="1">_xll.BInterpol('Base CDI'!$H$4:$H$28,'Base CDI'!$J$4:$J$29,S2884,"Cubic","Extrapolate=Linear","MultiX=Average","Skip=True","Sort=True")</f>
        <v>14.732607358085412</v>
      </c>
      <c r="U2884" s="43">
        <f ca="1">_xll.BInterpol('Base CDI'!$H$4:$H$28,'Base CDI'!$I$4:$I$29,S2884,"Cubic","Extrapolate=Linear","MultiX=Average","Skip=True","Sort=True")</f>
        <v>14.809721979259471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48591</v>
      </c>
      <c r="T2885" s="43">
        <f ca="1">_xll.BInterpol('Base CDI'!$H$4:$H$28,'Base CDI'!$J$4:$J$29,S2885,"Cubic","Extrapolate=Linear","MultiX=Average","Skip=True","Sort=True")</f>
        <v>14.732558087289819</v>
      </c>
      <c r="U2885" s="43">
        <f ca="1">_xll.BInterpol('Base CDI'!$H$4:$H$28,'Base CDI'!$I$4:$I$29,S2885,"Cubic","Extrapolate=Linear","MultiX=Average","Skip=True","Sort=True")</f>
        <v>14.809687109283299</v>
      </c>
    </row>
    <row r="2886" spans="16:21" x14ac:dyDescent="0.25">
      <c r="P2886" s="10">
        <v>38707</v>
      </c>
      <c r="Q2886">
        <v>14.00835</v>
      </c>
      <c r="S2886" s="42">
        <f t="shared" ca="1" si="49"/>
        <v>48592</v>
      </c>
      <c r="T2886" s="43">
        <f ca="1">_xll.BInterpol('Base CDI'!$H$4:$H$28,'Base CDI'!$J$4:$J$29,S2886,"Cubic","Extrapolate=Linear","MultiX=Average","Skip=True","Sort=True")</f>
        <v>14.732508773667897</v>
      </c>
      <c r="U2886" s="43">
        <f ca="1">_xll.BInterpol('Base CDI'!$H$4:$H$28,'Base CDI'!$I$4:$I$29,S2886,"Cubic","Extrapolate=Linear","MultiX=Average","Skip=True","Sort=True")</f>
        <v>14.809652211752155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48593</v>
      </c>
      <c r="T2887" s="43">
        <f ca="1">_xll.BInterpol('Base CDI'!$H$4:$H$28,'Base CDI'!$J$4:$J$29,S2887,"Cubic","Extrapolate=Linear","MultiX=Average","Skip=True","Sort=True")</f>
        <v>14.732459417075496</v>
      </c>
      <c r="U2887" s="43">
        <f ca="1">_xll.BInterpol('Base CDI'!$H$4:$H$28,'Base CDI'!$I$4:$I$29,S2887,"Cubic","Extrapolate=Linear","MultiX=Average","Skip=True","Sort=True")</f>
        <v>14.809617286225123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48594</v>
      </c>
      <c r="T2888" s="43">
        <f ca="1">_xll.BInterpol('Base CDI'!$H$4:$H$28,'Base CDI'!$J$4:$J$29,S2888,"Cubic","Extrapolate=Linear","MultiX=Average","Skip=True","Sort=True")</f>
        <v>14.732410017368473</v>
      </c>
      <c r="U2888" s="43">
        <f ca="1">_xll.BInterpol('Base CDI'!$H$4:$H$28,'Base CDI'!$I$4:$I$29,S2888,"Cubic","Extrapolate=Linear","MultiX=Average","Skip=True","Sort=True")</f>
        <v>14.809582332261282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48595</v>
      </c>
      <c r="T2889" s="43">
        <f ca="1">_xll.BInterpol('Base CDI'!$H$4:$H$28,'Base CDI'!$J$4:$J$29,S2889,"Cubic","Extrapolate=Linear","MultiX=Average","Skip=True","Sort=True")</f>
        <v>14.732360574402676</v>
      </c>
      <c r="U2889" s="43">
        <f ca="1">_xll.BInterpol('Base CDI'!$H$4:$H$28,'Base CDI'!$I$4:$I$29,S2889,"Cubic","Extrapolate=Linear","MultiX=Average","Skip=True","Sort=True")</f>
        <v>14.809547349419718</v>
      </c>
    </row>
    <row r="2890" spans="16:21" x14ac:dyDescent="0.25">
      <c r="P2890" s="10">
        <v>38713</v>
      </c>
      <c r="Q2890">
        <v>14.0451</v>
      </c>
      <c r="S2890" s="42">
        <f t="shared" ca="1" si="49"/>
        <v>48596</v>
      </c>
      <c r="T2890" s="43">
        <f ca="1">_xll.BInterpol('Base CDI'!$H$4:$H$28,'Base CDI'!$J$4:$J$29,S2890,"Cubic","Extrapolate=Linear","MultiX=Average","Skip=True","Sort=True")</f>
        <v>14.73231108803396</v>
      </c>
      <c r="U2890" s="43">
        <f ca="1">_xll.BInterpol('Base CDI'!$H$4:$H$28,'Base CDI'!$I$4:$I$29,S2890,"Cubic","Extrapolate=Linear","MultiX=Average","Skip=True","Sort=True")</f>
        <v>14.809512337259511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48597</v>
      </c>
      <c r="T2891" s="43">
        <f ca="1">_xll.BInterpol('Base CDI'!$H$4:$H$28,'Base CDI'!$J$4:$J$29,S2891,"Cubic","Extrapolate=Linear","MultiX=Average","Skip=True","Sort=True")</f>
        <v>14.732261558118177</v>
      </c>
      <c r="U2891" s="43">
        <f ca="1">_xll.BInterpol('Base CDI'!$H$4:$H$28,'Base CDI'!$I$4:$I$29,S2891,"Cubic","Extrapolate=Linear","MultiX=Average","Skip=True","Sort=True")</f>
        <v>14.809477295339743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48598</v>
      </c>
      <c r="T2892" s="43">
        <f ca="1">_xll.BInterpol('Base CDI'!$H$4:$H$28,'Base CDI'!$J$4:$J$29,S2892,"Cubic","Extrapolate=Linear","MultiX=Average","Skip=True","Sort=True")</f>
        <v>14.73221198451118</v>
      </c>
      <c r="U2892" s="43">
        <f ca="1">_xll.BInterpol('Base CDI'!$H$4:$H$28,'Base CDI'!$I$4:$I$29,S2892,"Cubic","Extrapolate=Linear","MultiX=Average","Skip=True","Sort=True")</f>
        <v>14.809442223219497</v>
      </c>
    </row>
    <row r="2893" spans="16:21" x14ac:dyDescent="0.25">
      <c r="P2893" s="10">
        <v>38716</v>
      </c>
      <c r="Q2893">
        <v>14.07273</v>
      </c>
      <c r="S2893" s="42">
        <f t="shared" ca="1" si="50"/>
        <v>48599</v>
      </c>
      <c r="T2893" s="43">
        <f ca="1">_xll.BInterpol('Base CDI'!$H$4:$H$28,'Base CDI'!$J$4:$J$29,S2893,"Cubic","Extrapolate=Linear","MultiX=Average","Skip=True","Sort=True")</f>
        <v>14.73216236706882</v>
      </c>
      <c r="U2893" s="43">
        <f ca="1">_xll.BInterpol('Base CDI'!$H$4:$H$28,'Base CDI'!$I$4:$I$29,S2893,"Cubic","Extrapolate=Linear","MultiX=Average","Skip=True","Sort=True")</f>
        <v>14.809407120457855</v>
      </c>
    </row>
    <row r="2894" spans="16:21" x14ac:dyDescent="0.25">
      <c r="P2894" s="10">
        <v>38719</v>
      </c>
      <c r="Q2894">
        <v>14.08197</v>
      </c>
      <c r="S2894" s="42">
        <f t="shared" ca="1" si="50"/>
        <v>48600</v>
      </c>
      <c r="T2894" s="43">
        <f ca="1">_xll.BInterpol('Base CDI'!$H$4:$H$28,'Base CDI'!$J$4:$J$29,S2894,"Cubic","Extrapolate=Linear","MultiX=Average","Skip=True","Sort=True")</f>
        <v>14.73211270564695</v>
      </c>
      <c r="U2894" s="43">
        <f ca="1">_xll.BInterpol('Base CDI'!$H$4:$H$28,'Base CDI'!$I$4:$I$29,S2894,"Cubic","Extrapolate=Linear","MultiX=Average","Skip=True","Sort=True")</f>
        <v>14.809371986613899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48601</v>
      </c>
      <c r="T2895" s="43">
        <f ca="1">_xll.BInterpol('Base CDI'!$H$4:$H$28,'Base CDI'!$J$4:$J$29,S2895,"Cubic","Extrapolate=Linear","MultiX=Average","Skip=True","Sort=True")</f>
        <v>14.732063000101423</v>
      </c>
      <c r="U2895" s="43">
        <f ca="1">_xll.BInterpol('Base CDI'!$H$4:$H$28,'Base CDI'!$I$4:$I$29,S2895,"Cubic","Extrapolate=Linear","MultiX=Average","Skip=True","Sort=True")</f>
        <v>14.809336821246713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48602</v>
      </c>
      <c r="T2896" s="43">
        <f ca="1">_xll.BInterpol('Base CDI'!$H$4:$H$28,'Base CDI'!$J$4:$J$29,S2896,"Cubic","Extrapolate=Linear","MultiX=Average","Skip=True","Sort=True")</f>
        <v>14.732013250288091</v>
      </c>
      <c r="U2896" s="43">
        <f ca="1">_xll.BInterpol('Base CDI'!$H$4:$H$28,'Base CDI'!$I$4:$I$29,S2896,"Cubic","Extrapolate=Linear","MultiX=Average","Skip=True","Sort=True")</f>
        <v>14.809301623915378</v>
      </c>
    </row>
    <row r="2897" spans="16:21" x14ac:dyDescent="0.25">
      <c r="P2897" s="10">
        <v>38722</v>
      </c>
      <c r="Q2897">
        <v>14.10966</v>
      </c>
      <c r="S2897" s="42">
        <f t="shared" ca="1" si="50"/>
        <v>48603</v>
      </c>
      <c r="T2897" s="43">
        <f ca="1">_xll.BInterpol('Base CDI'!$H$4:$H$28,'Base CDI'!$J$4:$J$29,S2897,"Cubic","Extrapolate=Linear","MultiX=Average","Skip=True","Sort=True")</f>
        <v>14.731963456062807</v>
      </c>
      <c r="U2897" s="43">
        <f ca="1">_xll.BInterpol('Base CDI'!$H$4:$H$28,'Base CDI'!$I$4:$I$29,S2897,"Cubic","Extrapolate=Linear","MultiX=Average","Skip=True","Sort=True")</f>
        <v>14.809266394178975</v>
      </c>
    </row>
    <row r="2898" spans="16:21" x14ac:dyDescent="0.25">
      <c r="P2898" s="10">
        <v>38723</v>
      </c>
      <c r="Q2898">
        <v>14.11889</v>
      </c>
      <c r="S2898" s="42">
        <f t="shared" ca="1" si="50"/>
        <v>48604</v>
      </c>
      <c r="T2898" s="43">
        <f ca="1">_xll.BInterpol('Base CDI'!$H$4:$H$28,'Base CDI'!$J$4:$J$29,S2898,"Cubic","Extrapolate=Linear","MultiX=Average","Skip=True","Sort=True")</f>
        <v>14.731913617281423</v>
      </c>
      <c r="U2898" s="43">
        <f ca="1">_xll.BInterpol('Base CDI'!$H$4:$H$28,'Base CDI'!$I$4:$I$29,S2898,"Cubic","Extrapolate=Linear","MultiX=Average","Skip=True","Sort=True")</f>
        <v>14.809231131596588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48605</v>
      </c>
      <c r="T2899" s="43">
        <f ca="1">_xll.BInterpol('Base CDI'!$H$4:$H$28,'Base CDI'!$J$4:$J$29,S2899,"Cubic","Extrapolate=Linear","MultiX=Average","Skip=True","Sort=True")</f>
        <v>14.731863733799791</v>
      </c>
      <c r="U2899" s="43">
        <f ca="1">_xll.BInterpol('Base CDI'!$H$4:$H$28,'Base CDI'!$I$4:$I$29,S2899,"Cubic","Extrapolate=Linear","MultiX=Average","Skip=True","Sort=True")</f>
        <v>14.8091958357273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48606</v>
      </c>
      <c r="T2900" s="43">
        <f ca="1">_xll.BInterpol('Base CDI'!$H$4:$H$28,'Base CDI'!$J$4:$J$29,S2900,"Cubic","Extrapolate=Linear","MultiX=Average","Skip=True","Sort=True")</f>
        <v>14.731813805473765</v>
      </c>
      <c r="U2900" s="43">
        <f ca="1">_xll.BInterpol('Base CDI'!$H$4:$H$28,'Base CDI'!$I$4:$I$29,S2900,"Cubic","Extrapolate=Linear","MultiX=Average","Skip=True","Sort=True")</f>
        <v>14.809160506130191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48607</v>
      </c>
      <c r="T2901" s="43">
        <f ca="1">_xll.BInterpol('Base CDI'!$H$4:$H$28,'Base CDI'!$J$4:$J$29,S2901,"Cubic","Extrapolate=Linear","MultiX=Average","Skip=True","Sort=True")</f>
        <v>14.731763832159196</v>
      </c>
      <c r="U2901" s="43">
        <f ca="1">_xll.BInterpol('Base CDI'!$H$4:$H$28,'Base CDI'!$I$4:$I$29,S2901,"Cubic","Extrapolate=Linear","MultiX=Average","Skip=True","Sort=True")</f>
        <v>14.809125142364344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48608</v>
      </c>
      <c r="T2902" s="43">
        <f ca="1">_xll.BInterpol('Base CDI'!$H$4:$H$28,'Base CDI'!$J$4:$J$29,S2902,"Cubic","Extrapolate=Linear","MultiX=Average","Skip=True","Sort=True")</f>
        <v>14.731713813711938</v>
      </c>
      <c r="U2902" s="43">
        <f ca="1">_xll.BInterpol('Base CDI'!$H$4:$H$28,'Base CDI'!$I$4:$I$29,S2902,"Cubic","Extrapolate=Linear","MultiX=Average","Skip=True","Sort=True")</f>
        <v>14.80908974398884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48609</v>
      </c>
      <c r="T2903" s="43">
        <f ca="1">_xll.BInterpol('Base CDI'!$H$4:$H$28,'Base CDI'!$J$4:$J$29,S2903,"Cubic","Extrapolate=Linear","MultiX=Average","Skip=True","Sort=True")</f>
        <v>14.731663749987842</v>
      </c>
      <c r="U2903" s="43">
        <f ca="1">_xll.BInterpol('Base CDI'!$H$4:$H$28,'Base CDI'!$I$4:$I$29,S2903,"Cubic","Extrapolate=Linear","MultiX=Average","Skip=True","Sort=True")</f>
        <v>14.809054310562766</v>
      </c>
    </row>
    <row r="2904" spans="16:21" x14ac:dyDescent="0.25">
      <c r="P2904" s="10">
        <v>38733</v>
      </c>
      <c r="Q2904">
        <v>14.17435</v>
      </c>
      <c r="S2904" s="42">
        <f t="shared" ca="1" si="50"/>
        <v>48610</v>
      </c>
      <c r="T2904" s="43">
        <f ca="1">_xll.BInterpol('Base CDI'!$H$4:$H$28,'Base CDI'!$J$4:$J$29,S2904,"Cubic","Extrapolate=Linear","MultiX=Average","Skip=True","Sort=True")</f>
        <v>14.73161364084276</v>
      </c>
      <c r="U2904" s="43">
        <f ca="1">_xll.BInterpol('Base CDI'!$H$4:$H$28,'Base CDI'!$I$4:$I$29,S2904,"Cubic","Extrapolate=Linear","MultiX=Average","Skip=True","Sort=True")</f>
        <v>14.8090188416452</v>
      </c>
    </row>
    <row r="2905" spans="16:21" x14ac:dyDescent="0.25">
      <c r="P2905" s="10">
        <v>38734</v>
      </c>
      <c r="Q2905">
        <v>14.18361</v>
      </c>
      <c r="S2905" s="42">
        <f t="shared" ca="1" si="50"/>
        <v>48611</v>
      </c>
      <c r="T2905" s="43">
        <f ca="1">_xll.BInterpol('Base CDI'!$H$4:$H$28,'Base CDI'!$J$4:$J$29,S2905,"Cubic","Extrapolate=Linear","MultiX=Average","Skip=True","Sort=True")</f>
        <v>14.731563486132545</v>
      </c>
      <c r="U2905" s="43">
        <f ca="1">_xll.BInterpol('Base CDI'!$H$4:$H$28,'Base CDI'!$I$4:$I$29,S2905,"Cubic","Extrapolate=Linear","MultiX=Average","Skip=True","Sort=True")</f>
        <v>14.808983336795224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48612</v>
      </c>
      <c r="T2906" s="43">
        <f ca="1">_xll.BInterpol('Base CDI'!$H$4:$H$28,'Base CDI'!$J$4:$J$29,S2906,"Cubic","Extrapolate=Linear","MultiX=Average","Skip=True","Sort=True")</f>
        <v>14.731513285713051</v>
      </c>
      <c r="U2906" s="43">
        <f ca="1">_xll.BInterpol('Base CDI'!$H$4:$H$28,'Base CDI'!$I$4:$I$29,S2906,"Cubic","Extrapolate=Linear","MultiX=Average","Skip=True","Sort=True")</f>
        <v>14.808947795571923</v>
      </c>
    </row>
    <row r="2907" spans="16:21" x14ac:dyDescent="0.25">
      <c r="P2907" s="10">
        <v>38736</v>
      </c>
      <c r="Q2907">
        <v>14.20214</v>
      </c>
      <c r="S2907" s="42">
        <f t="shared" ca="1" si="50"/>
        <v>48613</v>
      </c>
      <c r="T2907" s="43">
        <f ca="1">_xll.BInterpol('Base CDI'!$H$4:$H$28,'Base CDI'!$J$4:$J$29,S2907,"Cubic","Extrapolate=Linear","MultiX=Average","Skip=True","Sort=True")</f>
        <v>14.731463039440129</v>
      </c>
      <c r="U2907" s="43">
        <f ca="1">_xll.BInterpol('Base CDI'!$H$4:$H$28,'Base CDI'!$I$4:$I$29,S2907,"Cubic","Extrapolate=Linear","MultiX=Average","Skip=True","Sort=True")</f>
        <v>14.808912217534377</v>
      </c>
    </row>
    <row r="2908" spans="16:21" x14ac:dyDescent="0.25">
      <c r="P2908" s="10">
        <v>38737</v>
      </c>
      <c r="Q2908">
        <v>14.21105</v>
      </c>
      <c r="S2908" s="42">
        <f t="shared" ca="1" si="50"/>
        <v>48614</v>
      </c>
      <c r="T2908" s="43">
        <f ca="1">_xll.BInterpol('Base CDI'!$H$4:$H$28,'Base CDI'!$J$4:$J$29,S2908,"Cubic","Extrapolate=Linear","MultiX=Average","Skip=True","Sort=True")</f>
        <v>14.731412747169633</v>
      </c>
      <c r="U2908" s="43">
        <f ca="1">_xll.BInterpol('Base CDI'!$H$4:$H$28,'Base CDI'!$I$4:$I$29,S2908,"Cubic","Extrapolate=Linear","MultiX=Average","Skip=True","Sort=True")</f>
        <v>14.80887660224167</v>
      </c>
    </row>
    <row r="2909" spans="16:21" x14ac:dyDescent="0.25">
      <c r="P2909" s="10">
        <v>38740</v>
      </c>
      <c r="Q2909">
        <v>14.21996</v>
      </c>
      <c r="S2909" s="42">
        <f t="shared" ca="1" si="50"/>
        <v>48615</v>
      </c>
      <c r="T2909" s="43">
        <f ca="1">_xll.BInterpol('Base CDI'!$H$4:$H$28,'Base CDI'!$J$4:$J$29,S2909,"Cubic","Extrapolate=Linear","MultiX=Average","Skip=True","Sort=True")</f>
        <v>14.731362408757413</v>
      </c>
      <c r="U2909" s="43">
        <f ca="1">_xll.BInterpol('Base CDI'!$H$4:$H$28,'Base CDI'!$I$4:$I$29,S2909,"Cubic","Extrapolate=Linear","MultiX=Average","Skip=True","Sort=True")</f>
        <v>14.808840949252883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48616</v>
      </c>
      <c r="T2910" s="43">
        <f ca="1">_xll.BInterpol('Base CDI'!$H$4:$H$28,'Base CDI'!$J$4:$J$29,S2910,"Cubic","Extrapolate=Linear","MultiX=Average","Skip=True","Sort=True")</f>
        <v>14.731312024059322</v>
      </c>
      <c r="U2910" s="43">
        <f ca="1">_xll.BInterpol('Base CDI'!$H$4:$H$28,'Base CDI'!$I$4:$I$29,S2910,"Cubic","Extrapolate=Linear","MultiX=Average","Skip=True","Sort=True")</f>
        <v>14.808805258127098</v>
      </c>
    </row>
    <row r="2911" spans="16:21" x14ac:dyDescent="0.25">
      <c r="P2911" s="10">
        <v>38742</v>
      </c>
      <c r="Q2911">
        <v>14.23786</v>
      </c>
      <c r="S2911" s="42">
        <f t="shared" ca="1" si="50"/>
        <v>48617</v>
      </c>
      <c r="T2911" s="43">
        <f ca="1">_xll.BInterpol('Base CDI'!$H$4:$H$28,'Base CDI'!$J$4:$J$29,S2911,"Cubic","Extrapolate=Linear","MultiX=Average","Skip=True","Sort=True")</f>
        <v>14.731261592931215</v>
      </c>
      <c r="U2911" s="43">
        <f ca="1">_xll.BInterpol('Base CDI'!$H$4:$H$28,'Base CDI'!$I$4:$I$29,S2911,"Cubic","Extrapolate=Linear","MultiX=Average","Skip=True","Sort=True")</f>
        <v>14.808769528423397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48618</v>
      </c>
      <c r="T2912" s="43">
        <f ca="1">_xll.BInterpol('Base CDI'!$H$4:$H$28,'Base CDI'!$J$4:$J$29,S2912,"Cubic","Extrapolate=Linear","MultiX=Average","Skip=True","Sort=True")</f>
        <v>14.731211115228943</v>
      </c>
      <c r="U2912" s="43">
        <f ca="1">_xll.BInterpol('Base CDI'!$H$4:$H$28,'Base CDI'!$I$4:$I$29,S2912,"Cubic","Extrapolate=Linear","MultiX=Average","Skip=True","Sort=True")</f>
        <v>14.808733759700864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48619</v>
      </c>
      <c r="T2913" s="43">
        <f ca="1">_xll.BInterpol('Base CDI'!$H$4:$H$28,'Base CDI'!$J$4:$J$29,S2913,"Cubic","Extrapolate=Linear","MultiX=Average","Skip=True","Sort=True")</f>
        <v>14.731160590808356</v>
      </c>
      <c r="U2913" s="43">
        <f ca="1">_xll.BInterpol('Base CDI'!$H$4:$H$28,'Base CDI'!$I$4:$I$29,S2913,"Cubic","Extrapolate=Linear","MultiX=Average","Skip=True","Sort=True")</f>
        <v>14.808697951518582</v>
      </c>
    </row>
    <row r="2914" spans="16:21" x14ac:dyDescent="0.25">
      <c r="P2914" s="10">
        <v>38747</v>
      </c>
      <c r="Q2914">
        <v>14.26483</v>
      </c>
      <c r="S2914" s="42">
        <f t="shared" ca="1" si="50"/>
        <v>48620</v>
      </c>
      <c r="T2914" s="43">
        <f ca="1">_xll.BInterpol('Base CDI'!$H$4:$H$28,'Base CDI'!$J$4:$J$29,S2914,"Cubic","Extrapolate=Linear","MultiX=Average","Skip=True","Sort=True")</f>
        <v>14.73111001952531</v>
      </c>
      <c r="U2914" s="43">
        <f ca="1">_xll.BInterpol('Base CDI'!$H$4:$H$28,'Base CDI'!$I$4:$I$29,S2914,"Cubic","Extrapolate=Linear","MultiX=Average","Skip=True","Sort=True")</f>
        <v>14.80866210343563</v>
      </c>
    </row>
    <row r="2915" spans="16:21" x14ac:dyDescent="0.25">
      <c r="P2915" s="10">
        <v>38748</v>
      </c>
      <c r="Q2915">
        <v>14.27378</v>
      </c>
      <c r="S2915" s="42">
        <f t="shared" ca="1" si="50"/>
        <v>48621</v>
      </c>
      <c r="T2915" s="43">
        <f ca="1">_xll.BInterpol('Base CDI'!$H$4:$H$28,'Base CDI'!$J$4:$J$29,S2915,"Cubic","Extrapolate=Linear","MultiX=Average","Skip=True","Sort=True")</f>
        <v>14.731059401235655</v>
      </c>
      <c r="U2915" s="43">
        <f ca="1">_xll.BInterpol('Base CDI'!$H$4:$H$28,'Base CDI'!$I$4:$I$29,S2915,"Cubic","Extrapolate=Linear","MultiX=Average","Skip=True","Sort=True")</f>
        <v>14.808626215011092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48622</v>
      </c>
      <c r="T2916" s="43">
        <f ca="1">_xll.BInterpol('Base CDI'!$H$4:$H$28,'Base CDI'!$J$4:$J$29,S2916,"Cubic","Extrapolate=Linear","MultiX=Average","Skip=True","Sort=True")</f>
        <v>14.731008735795246</v>
      </c>
      <c r="U2916" s="43">
        <f ca="1">_xll.BInterpol('Base CDI'!$H$4:$H$28,'Base CDI'!$I$4:$I$29,S2916,"Cubic","Extrapolate=Linear","MultiX=Average","Skip=True","Sort=True")</f>
        <v>14.808590285804049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48623</v>
      </c>
      <c r="T2917" s="43">
        <f ca="1">_xll.BInterpol('Base CDI'!$H$4:$H$28,'Base CDI'!$J$4:$J$29,S2917,"Cubic","Extrapolate=Linear","MultiX=Average","Skip=True","Sort=True")</f>
        <v>14.730958023059934</v>
      </c>
      <c r="U2917" s="43">
        <f ca="1">_xll.BInterpol('Base CDI'!$H$4:$H$28,'Base CDI'!$I$4:$I$29,S2917,"Cubic","Extrapolate=Linear","MultiX=Average","Skip=True","Sort=True")</f>
        <v>14.808554315373586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48624</v>
      </c>
      <c r="T2918" s="43">
        <f ca="1">_xll.BInterpol('Base CDI'!$H$4:$H$28,'Base CDI'!$J$4:$J$29,S2918,"Cubic","Extrapolate=Linear","MultiX=Average","Skip=True","Sort=True")</f>
        <v>14.73090726288557</v>
      </c>
      <c r="U2918" s="43">
        <f ca="1">_xll.BInterpol('Base CDI'!$H$4:$H$28,'Base CDI'!$I$4:$I$29,S2918,"Cubic","Extrapolate=Linear","MultiX=Average","Skip=True","Sort=True")</f>
        <v>14.808518303278783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48625</v>
      </c>
      <c r="T2919" s="43">
        <f ca="1">_xll.BInterpol('Base CDI'!$H$4:$H$28,'Base CDI'!$J$4:$J$29,S2919,"Cubic","Extrapolate=Linear","MultiX=Average","Skip=True","Sort=True")</f>
        <v>14.730856455128009</v>
      </c>
      <c r="U2919" s="43">
        <f ca="1">_xll.BInterpol('Base CDI'!$H$4:$H$28,'Base CDI'!$I$4:$I$29,S2919,"Cubic","Extrapolate=Linear","MultiX=Average","Skip=True","Sort=True")</f>
        <v>14.808482249078724</v>
      </c>
    </row>
    <row r="2920" spans="16:21" x14ac:dyDescent="0.25">
      <c r="P2920" s="10">
        <v>38755</v>
      </c>
      <c r="Q2920">
        <v>14.3187</v>
      </c>
      <c r="S2920" s="42">
        <f t="shared" ca="1" si="50"/>
        <v>48626</v>
      </c>
      <c r="T2920" s="43">
        <f ca="1">_xll.BInterpol('Base CDI'!$H$4:$H$28,'Base CDI'!$J$4:$J$29,S2920,"Cubic","Extrapolate=Linear","MultiX=Average","Skip=True","Sort=True")</f>
        <v>14.730805599643102</v>
      </c>
      <c r="U2920" s="43">
        <f ca="1">_xll.BInterpol('Base CDI'!$H$4:$H$28,'Base CDI'!$I$4:$I$29,S2920,"Cubic","Extrapolate=Linear","MultiX=Average","Skip=True","Sort=True")</f>
        <v>14.808446152332488</v>
      </c>
    </row>
    <row r="2921" spans="16:21" x14ac:dyDescent="0.25">
      <c r="P2921" s="10">
        <v>38756</v>
      </c>
      <c r="Q2921">
        <v>14.32771</v>
      </c>
      <c r="S2921" s="42">
        <f t="shared" ca="1" si="50"/>
        <v>48627</v>
      </c>
      <c r="T2921" s="43">
        <f ca="1">_xll.BInterpol('Base CDI'!$H$4:$H$28,'Base CDI'!$J$4:$J$29,S2921,"Cubic","Extrapolate=Linear","MultiX=Average","Skip=True","Sort=True")</f>
        <v>14.730754696286702</v>
      </c>
      <c r="U2921" s="43">
        <f ca="1">_xll.BInterpol('Base CDI'!$H$4:$H$28,'Base CDI'!$I$4:$I$29,S2921,"Cubic","Extrapolate=Linear","MultiX=Average","Skip=True","Sort=True")</f>
        <v>14.808410012599161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48628</v>
      </c>
      <c r="T2922" s="43">
        <f ca="1">_xll.BInterpol('Base CDI'!$H$4:$H$28,'Base CDI'!$J$4:$J$29,S2922,"Cubic","Extrapolate=Linear","MultiX=Average","Skip=True","Sort=True")</f>
        <v>14.730703744914662</v>
      </c>
      <c r="U2922" s="43">
        <f ca="1">_xll.BInterpol('Base CDI'!$H$4:$H$28,'Base CDI'!$I$4:$I$29,S2922,"Cubic","Extrapolate=Linear","MultiX=Average","Skip=True","Sort=True")</f>
        <v>14.808373829437823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48629</v>
      </c>
      <c r="T2923" s="43">
        <f ca="1">_xll.BInterpol('Base CDI'!$H$4:$H$28,'Base CDI'!$J$4:$J$29,S2923,"Cubic","Extrapolate=Linear","MultiX=Average","Skip=True","Sort=True")</f>
        <v>14.730652745382832</v>
      </c>
      <c r="U2923" s="43">
        <f ca="1">_xll.BInterpol('Base CDI'!$H$4:$H$28,'Base CDI'!$I$4:$I$29,S2923,"Cubic","Extrapolate=Linear","MultiX=Average","Skip=True","Sort=True")</f>
        <v>14.808337602407558</v>
      </c>
    </row>
    <row r="2924" spans="16:21" x14ac:dyDescent="0.25">
      <c r="P2924" s="10">
        <v>38761</v>
      </c>
      <c r="Q2924">
        <v>14.35478</v>
      </c>
      <c r="S2924" s="42">
        <f t="shared" ca="1" si="50"/>
        <v>48630</v>
      </c>
      <c r="T2924" s="43">
        <f ca="1">_xll.BInterpol('Base CDI'!$H$4:$H$28,'Base CDI'!$J$4:$J$29,S2924,"Cubic","Extrapolate=Linear","MultiX=Average","Skip=True","Sort=True")</f>
        <v>14.730601697547067</v>
      </c>
      <c r="U2924" s="43">
        <f ca="1">_xll.BInterpol('Base CDI'!$H$4:$H$28,'Base CDI'!$I$4:$I$29,S2924,"Cubic","Extrapolate=Linear","MultiX=Average","Skip=True","Sort=True")</f>
        <v>14.808301331067446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48631</v>
      </c>
      <c r="T2925" s="43">
        <f ca="1">_xll.BInterpol('Base CDI'!$H$4:$H$28,'Base CDI'!$J$4:$J$29,S2925,"Cubic","Extrapolate=Linear","MultiX=Average","Skip=True","Sort=True")</f>
        <v>14.73055060126322</v>
      </c>
      <c r="U2925" s="43">
        <f ca="1">_xll.BInterpol('Base CDI'!$H$4:$H$28,'Base CDI'!$I$4:$I$29,S2925,"Cubic","Extrapolate=Linear","MultiX=Average","Skip=True","Sort=True")</f>
        <v>14.808265014976572</v>
      </c>
    </row>
    <row r="2926" spans="16:21" x14ac:dyDescent="0.25">
      <c r="P2926" s="10">
        <v>38763</v>
      </c>
      <c r="Q2926">
        <v>14.37284</v>
      </c>
      <c r="S2926" s="42">
        <f t="shared" ca="1" si="50"/>
        <v>48632</v>
      </c>
      <c r="T2926" s="43">
        <f ca="1">_xll.BInterpol('Base CDI'!$H$4:$H$28,'Base CDI'!$J$4:$J$29,S2926,"Cubic","Extrapolate=Linear","MultiX=Average","Skip=True","Sort=True")</f>
        <v>14.730499456387141</v>
      </c>
      <c r="U2926" s="43">
        <f ca="1">_xll.BInterpol('Base CDI'!$H$4:$H$28,'Base CDI'!$I$4:$I$29,S2926,"Cubic","Extrapolate=Linear","MultiX=Average","Skip=True","Sort=True")</f>
        <v>14.808228653694014</v>
      </c>
    </row>
    <row r="2927" spans="16:21" x14ac:dyDescent="0.25">
      <c r="P2927" s="10">
        <v>38764</v>
      </c>
      <c r="Q2927">
        <v>14.3819</v>
      </c>
      <c r="S2927" s="42">
        <f t="shared" ca="1" si="50"/>
        <v>48633</v>
      </c>
      <c r="T2927" s="43">
        <f ca="1">_xll.BInterpol('Base CDI'!$H$4:$H$28,'Base CDI'!$J$4:$J$29,S2927,"Cubic","Extrapolate=Linear","MultiX=Average","Skip=True","Sort=True")</f>
        <v>14.730448262774685</v>
      </c>
      <c r="U2927" s="43">
        <f ca="1">_xll.BInterpol('Base CDI'!$H$4:$H$28,'Base CDI'!$I$4:$I$29,S2927,"Cubic","Extrapolate=Linear","MultiX=Average","Skip=True","Sort=True")</f>
        <v>14.808192246778859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48634</v>
      </c>
      <c r="T2928" s="43">
        <f ca="1">_xll.BInterpol('Base CDI'!$H$4:$H$28,'Base CDI'!$J$4:$J$29,S2928,"Cubic","Extrapolate=Linear","MultiX=Average","Skip=True","Sort=True")</f>
        <v>14.730397020281703</v>
      </c>
      <c r="U2928" s="43">
        <f ca="1">_xll.BInterpol('Base CDI'!$H$4:$H$28,'Base CDI'!$I$4:$I$29,S2928,"Cubic","Extrapolate=Linear","MultiX=Average","Skip=True","Sort=True")</f>
        <v>14.808155793790187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48635</v>
      </c>
      <c r="T2929" s="43">
        <f ca="1">_xll.BInterpol('Base CDI'!$H$4:$H$28,'Base CDI'!$J$4:$J$29,S2929,"Cubic","Extrapolate=Linear","MultiX=Average","Skip=True","Sort=True")</f>
        <v>14.730345728764046</v>
      </c>
      <c r="U2929" s="43">
        <f ca="1">_xll.BInterpol('Base CDI'!$H$4:$H$28,'Base CDI'!$I$4:$I$29,S2929,"Cubic","Extrapolate=Linear","MultiX=Average","Skip=True","Sort=True")</f>
        <v>14.80811929428708</v>
      </c>
    </row>
    <row r="2930" spans="16:21" x14ac:dyDescent="0.25">
      <c r="P2930" s="10">
        <v>38769</v>
      </c>
      <c r="Q2930">
        <v>14.40912</v>
      </c>
      <c r="S2930" s="42">
        <f t="shared" ca="1" si="50"/>
        <v>48636</v>
      </c>
      <c r="T2930" s="43">
        <f ca="1">_xll.BInterpol('Base CDI'!$H$4:$H$28,'Base CDI'!$J$4:$J$29,S2930,"Cubic","Extrapolate=Linear","MultiX=Average","Skip=True","Sort=True")</f>
        <v>14.730294388077569</v>
      </c>
      <c r="U2930" s="43">
        <f ca="1">_xll.BInterpol('Base CDI'!$H$4:$H$28,'Base CDI'!$I$4:$I$29,S2930,"Cubic","Extrapolate=Linear","MultiX=Average","Skip=True","Sort=True")</f>
        <v>14.808082747828621</v>
      </c>
    </row>
    <row r="2931" spans="16:21" x14ac:dyDescent="0.25">
      <c r="P2931" s="10">
        <v>38770</v>
      </c>
      <c r="Q2931">
        <v>14.41821</v>
      </c>
      <c r="S2931" s="42">
        <f t="shared" ca="1" si="50"/>
        <v>48637</v>
      </c>
      <c r="T2931" s="43">
        <f ca="1">_xll.BInterpol('Base CDI'!$H$4:$H$28,'Base CDI'!$J$4:$J$29,S2931,"Cubic","Extrapolate=Linear","MultiX=Average","Skip=True","Sort=True")</f>
        <v>14.730242998078124</v>
      </c>
      <c r="U2931" s="43">
        <f ca="1">_xll.BInterpol('Base CDI'!$H$4:$H$28,'Base CDI'!$I$4:$I$29,S2931,"Cubic","Extrapolate=Linear","MultiX=Average","Skip=True","Sort=True")</f>
        <v>14.808046153973892</v>
      </c>
    </row>
    <row r="2932" spans="16:21" x14ac:dyDescent="0.25">
      <c r="P2932" s="10">
        <v>38771</v>
      </c>
      <c r="Q2932">
        <v>14.42731</v>
      </c>
      <c r="S2932" s="42">
        <f t="shared" ca="1" si="50"/>
        <v>48638</v>
      </c>
      <c r="T2932" s="43">
        <f ca="1">_xll.BInterpol('Base CDI'!$H$4:$H$28,'Base CDI'!$J$4:$J$29,S2932,"Cubic","Extrapolate=Linear","MultiX=Average","Skip=True","Sort=True")</f>
        <v>14.730191558621563</v>
      </c>
      <c r="U2932" s="43">
        <f ca="1">_xll.BInterpol('Base CDI'!$H$4:$H$28,'Base CDI'!$I$4:$I$29,S2932,"Cubic","Extrapolate=Linear","MultiX=Average","Skip=True","Sort=True")</f>
        <v>14.808009512281975</v>
      </c>
    </row>
    <row r="2933" spans="16:21" x14ac:dyDescent="0.25">
      <c r="P2933" s="10">
        <v>38772</v>
      </c>
      <c r="Q2933">
        <v>14.43642</v>
      </c>
      <c r="S2933" s="42">
        <f t="shared" ca="1" si="50"/>
        <v>48639</v>
      </c>
      <c r="T2933" s="43">
        <f ca="1">_xll.BInterpol('Base CDI'!$H$4:$H$28,'Base CDI'!$J$4:$J$29,S2933,"Cubic","Extrapolate=Linear","MultiX=Average","Skip=True","Sort=True")</f>
        <v>14.730140069563738</v>
      </c>
      <c r="U2933" s="43">
        <f ca="1">_xll.BInterpol('Base CDI'!$H$4:$H$28,'Base CDI'!$I$4:$I$29,S2933,"Cubic","Extrapolate=Linear","MultiX=Average","Skip=True","Sort=True")</f>
        <v>14.807972822311953</v>
      </c>
    </row>
    <row r="2934" spans="16:21" x14ac:dyDescent="0.25">
      <c r="P2934" s="10">
        <v>38777</v>
      </c>
      <c r="Q2934">
        <v>14.44556</v>
      </c>
      <c r="S2934" s="42">
        <f t="shared" ca="1" si="50"/>
        <v>48640</v>
      </c>
      <c r="T2934" s="43">
        <f ca="1">_xll.BInterpol('Base CDI'!$H$4:$H$28,'Base CDI'!$J$4:$J$29,S2934,"Cubic","Extrapolate=Linear","MultiX=Average","Skip=True","Sort=True")</f>
        <v>14.730088530760503</v>
      </c>
      <c r="U2934" s="43">
        <f ca="1">_xll.BInterpol('Base CDI'!$H$4:$H$28,'Base CDI'!$I$4:$I$29,S2934,"Cubic","Extrapolate=Linear","MultiX=Average","Skip=True","Sort=True")</f>
        <v>14.807936083622907</v>
      </c>
    </row>
    <row r="2935" spans="16:21" x14ac:dyDescent="0.25">
      <c r="P2935" s="10">
        <v>38778</v>
      </c>
      <c r="Q2935">
        <v>14.45471</v>
      </c>
      <c r="S2935" s="42">
        <f t="shared" ca="1" si="50"/>
        <v>48641</v>
      </c>
      <c r="T2935" s="43">
        <f ca="1">_xll.BInterpol('Base CDI'!$H$4:$H$28,'Base CDI'!$J$4:$J$29,S2935,"Cubic","Extrapolate=Linear","MultiX=Average","Skip=True","Sort=True")</f>
        <v>14.730036942067708</v>
      </c>
      <c r="U2935" s="43">
        <f ca="1">_xll.BInterpol('Base CDI'!$H$4:$H$28,'Base CDI'!$I$4:$I$29,S2935,"Cubic","Extrapolate=Linear","MultiX=Average","Skip=True","Sort=True")</f>
        <v>14.807899295773922</v>
      </c>
    </row>
    <row r="2936" spans="16:21" x14ac:dyDescent="0.25">
      <c r="P2936" s="10">
        <v>38779</v>
      </c>
      <c r="Q2936">
        <v>14.46386</v>
      </c>
      <c r="S2936" s="42">
        <f t="shared" ca="1" si="50"/>
        <v>48642</v>
      </c>
      <c r="T2936" s="43">
        <f ca="1">_xll.BInterpol('Base CDI'!$H$4:$H$28,'Base CDI'!$J$4:$J$29,S2936,"Cubic","Extrapolate=Linear","MultiX=Average","Skip=True","Sort=True")</f>
        <v>14.729985303341207</v>
      </c>
      <c r="U2936" s="43">
        <f ca="1">_xll.BInterpol('Base CDI'!$H$4:$H$28,'Base CDI'!$I$4:$I$29,S2936,"Cubic","Extrapolate=Linear","MultiX=Average","Skip=True","Sort=True")</f>
        <v>14.807862458324076</v>
      </c>
    </row>
    <row r="2937" spans="16:21" x14ac:dyDescent="0.25">
      <c r="P2937" s="10">
        <v>38782</v>
      </c>
      <c r="Q2937">
        <v>14.47301</v>
      </c>
      <c r="S2937" s="42">
        <f t="shared" ca="1" si="50"/>
        <v>48643</v>
      </c>
      <c r="T2937" s="43">
        <f ca="1">_xll.BInterpol('Base CDI'!$H$4:$H$28,'Base CDI'!$J$4:$J$29,S2937,"Cubic","Extrapolate=Linear","MultiX=Average","Skip=True","Sort=True")</f>
        <v>14.729933614436854</v>
      </c>
      <c r="U2937" s="43">
        <f ca="1">_xll.BInterpol('Base CDI'!$H$4:$H$28,'Base CDI'!$I$4:$I$29,S2937,"Cubic","Extrapolate=Linear","MultiX=Average","Skip=True","Sort=True")</f>
        <v>14.807825570832454</v>
      </c>
    </row>
    <row r="2938" spans="16:21" x14ac:dyDescent="0.25">
      <c r="P2938" s="10">
        <v>38783</v>
      </c>
      <c r="Q2938">
        <v>14.48216</v>
      </c>
      <c r="S2938" s="42">
        <f t="shared" ca="1" si="50"/>
        <v>48644</v>
      </c>
      <c r="T2938" s="43">
        <f ca="1">_xll.BInterpol('Base CDI'!$H$4:$H$28,'Base CDI'!$J$4:$J$29,S2938,"Cubic","Extrapolate=Linear","MultiX=Average","Skip=True","Sort=True")</f>
        <v>14.729881875210499</v>
      </c>
      <c r="U2938" s="43">
        <f ca="1">_xll.BInterpol('Base CDI'!$H$4:$H$28,'Base CDI'!$I$4:$I$29,S2938,"Cubic","Extrapolate=Linear","MultiX=Average","Skip=True","Sort=True")</f>
        <v>14.80778863285814</v>
      </c>
    </row>
    <row r="2939" spans="16:21" x14ac:dyDescent="0.25">
      <c r="P2939" s="10">
        <v>38784</v>
      </c>
      <c r="Q2939">
        <v>14.49131</v>
      </c>
      <c r="S2939" s="42">
        <f t="shared" ca="1" si="50"/>
        <v>48645</v>
      </c>
      <c r="T2939" s="43">
        <f ca="1">_xll.BInterpol('Base CDI'!$H$4:$H$28,'Base CDI'!$J$4:$J$29,S2939,"Cubic","Extrapolate=Linear","MultiX=Average","Skip=True","Sort=True")</f>
        <v>14.729830085517994</v>
      </c>
      <c r="U2939" s="43">
        <f ca="1">_xll.BInterpol('Base CDI'!$H$4:$H$28,'Base CDI'!$I$4:$I$29,S2939,"Cubic","Extrapolate=Linear","MultiX=Average","Skip=True","Sort=True")</f>
        <v>14.807751643960211</v>
      </c>
    </row>
    <row r="2940" spans="16:21" x14ac:dyDescent="0.25">
      <c r="P2940" s="10">
        <v>38785</v>
      </c>
      <c r="Q2940">
        <v>14.50046</v>
      </c>
      <c r="S2940" s="42">
        <f t="shared" ca="1" si="50"/>
        <v>48646</v>
      </c>
      <c r="T2940" s="43">
        <f ca="1">_xll.BInterpol('Base CDI'!$H$4:$H$28,'Base CDI'!$J$4:$J$29,S2940,"Cubic","Extrapolate=Linear","MultiX=Average","Skip=True","Sort=True")</f>
        <v>14.729778245215194</v>
      </c>
      <c r="U2940" s="43">
        <f ca="1">_xll.BInterpol('Base CDI'!$H$4:$H$28,'Base CDI'!$I$4:$I$29,S2940,"Cubic","Extrapolate=Linear","MultiX=Average","Skip=True","Sort=True")</f>
        <v>14.807714603697754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48647</v>
      </c>
      <c r="T2941" s="43">
        <f ca="1">_xll.BInterpol('Base CDI'!$H$4:$H$28,'Base CDI'!$J$4:$J$29,S2941,"Cubic","Extrapolate=Linear","MultiX=Average","Skip=True","Sort=True")</f>
        <v>14.72972635415795</v>
      </c>
      <c r="U2941" s="43">
        <f ca="1">_xll.BInterpol('Base CDI'!$H$4:$H$28,'Base CDI'!$I$4:$I$29,S2941,"Cubic","Extrapolate=Linear","MultiX=Average","Skip=True","Sort=True")</f>
        <v>14.80767751162985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48648</v>
      </c>
      <c r="T2942" s="43">
        <f ca="1">_xll.BInterpol('Base CDI'!$H$4:$H$28,'Base CDI'!$J$4:$J$29,S2942,"Cubic","Extrapolate=Linear","MultiX=Average","Skip=True","Sort=True")</f>
        <v>14.729674412202115</v>
      </c>
      <c r="U2942" s="43">
        <f ca="1">_xll.BInterpol('Base CDI'!$H$4:$H$28,'Base CDI'!$I$4:$I$29,S2942,"Cubic","Extrapolate=Linear","MultiX=Average","Skip=True","Sort=True")</f>
        <v>14.807640367315578</v>
      </c>
    </row>
    <row r="2943" spans="16:21" x14ac:dyDescent="0.25">
      <c r="P2943" s="10">
        <v>38790</v>
      </c>
      <c r="Q2943">
        <v>14.52685</v>
      </c>
      <c r="S2943" s="42">
        <f t="shared" ca="1" si="50"/>
        <v>48649</v>
      </c>
      <c r="T2943" s="43">
        <f ca="1">_xll.BInterpol('Base CDI'!$H$4:$H$28,'Base CDI'!$J$4:$J$29,S2943,"Cubic","Extrapolate=Linear","MultiX=Average","Skip=True","Sort=True")</f>
        <v>14.729622419203542</v>
      </c>
      <c r="U2943" s="43">
        <f ca="1">_xll.BInterpol('Base CDI'!$H$4:$H$28,'Base CDI'!$I$4:$I$29,S2943,"Cubic","Extrapolate=Linear","MultiX=Average","Skip=True","Sort=True")</f>
        <v>14.807603170314026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48650</v>
      </c>
      <c r="T2944" s="43">
        <f ca="1">_xll.BInterpol('Base CDI'!$H$4:$H$28,'Base CDI'!$J$4:$J$29,S2944,"Cubic","Extrapolate=Linear","MultiX=Average","Skip=True","Sort=True")</f>
        <v>14.729570375018081</v>
      </c>
      <c r="U2944" s="43">
        <f ca="1">_xll.BInterpol('Base CDI'!$H$4:$H$28,'Base CDI'!$I$4:$I$29,S2944,"Cubic","Extrapolate=Linear","MultiX=Average","Skip=True","Sort=True")</f>
        <v>14.807565920184272</v>
      </c>
    </row>
    <row r="2945" spans="16:21" x14ac:dyDescent="0.25">
      <c r="P2945" s="10">
        <v>38792</v>
      </c>
      <c r="Q2945">
        <v>14.54444</v>
      </c>
      <c r="S2945" s="42">
        <f t="shared" ca="1" si="50"/>
        <v>48651</v>
      </c>
      <c r="T2945" s="43">
        <f ca="1">_xll.BInterpol('Base CDI'!$H$4:$H$28,'Base CDI'!$J$4:$J$29,S2945,"Cubic","Extrapolate=Linear","MultiX=Average","Skip=True","Sort=True")</f>
        <v>14.729518279501587</v>
      </c>
      <c r="U2945" s="43">
        <f ca="1">_xll.BInterpol('Base CDI'!$H$4:$H$28,'Base CDI'!$I$4:$I$29,S2945,"Cubic","Extrapolate=Linear","MultiX=Average","Skip=True","Sort=True")</f>
        <v>14.807528616485401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48652</v>
      </c>
      <c r="T2946" s="43">
        <f ca="1">_xll.BInterpol('Base CDI'!$H$4:$H$28,'Base CDI'!$J$4:$J$29,S2946,"Cubic","Extrapolate=Linear","MultiX=Average","Skip=True","Sort=True")</f>
        <v>14.729466132509911</v>
      </c>
      <c r="U2946" s="43">
        <f ca="1">_xll.BInterpol('Base CDI'!$H$4:$H$28,'Base CDI'!$I$4:$I$29,S2946,"Cubic","Extrapolate=Linear","MultiX=Average","Skip=True","Sort=True")</f>
        <v>14.807491258776492</v>
      </c>
    </row>
    <row r="2947" spans="16:21" x14ac:dyDescent="0.25">
      <c r="P2947" s="10">
        <v>38796</v>
      </c>
      <c r="Q2947">
        <v>14.56204</v>
      </c>
      <c r="S2947" s="42">
        <f t="shared" ca="1" si="50"/>
        <v>48653</v>
      </c>
      <c r="T2947" s="43">
        <f ca="1">_xll.BInterpol('Base CDI'!$H$4:$H$28,'Base CDI'!$J$4:$J$29,S2947,"Cubic","Extrapolate=Linear","MultiX=Average","Skip=True","Sort=True")</f>
        <v>14.729413933898906</v>
      </c>
      <c r="U2947" s="43">
        <f ca="1">_xll.BInterpol('Base CDI'!$H$4:$H$28,'Base CDI'!$I$4:$I$29,S2947,"Cubic","Extrapolate=Linear","MultiX=Average","Skip=True","Sort=True")</f>
        <v>14.80745384661663</v>
      </c>
    </row>
    <row r="2948" spans="16:21" x14ac:dyDescent="0.25">
      <c r="P2948" s="10">
        <v>38797</v>
      </c>
      <c r="Q2948">
        <v>14.57085</v>
      </c>
      <c r="S2948" s="42">
        <f t="shared" ca="1" si="50"/>
        <v>48654</v>
      </c>
      <c r="T2948" s="43">
        <f ca="1">_xll.BInterpol('Base CDI'!$H$4:$H$28,'Base CDI'!$J$4:$J$29,S2948,"Cubic","Extrapolate=Linear","MultiX=Average","Skip=True","Sort=True")</f>
        <v>14.729361683524425</v>
      </c>
      <c r="U2948" s="43">
        <f ca="1">_xll.BInterpol('Base CDI'!$H$4:$H$28,'Base CDI'!$I$4:$I$29,S2948,"Cubic","Extrapolate=Linear","MultiX=Average","Skip=True","Sort=True")</f>
        <v>14.807416379564897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48655</v>
      </c>
      <c r="T2949" s="43">
        <f ca="1">_xll.BInterpol('Base CDI'!$H$4:$H$28,'Base CDI'!$J$4:$J$29,S2949,"Cubic","Extrapolate=Linear","MultiX=Average","Skip=True","Sort=True")</f>
        <v>14.72930938124232</v>
      </c>
      <c r="U2949" s="43">
        <f ca="1">_xll.BInterpol('Base CDI'!$H$4:$H$28,'Base CDI'!$I$4:$I$29,S2949,"Cubic","Extrapolate=Linear","MultiX=Average","Skip=True","Sort=True")</f>
        <v>14.807378857180373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48656</v>
      </c>
      <c r="T2950" s="43">
        <f ca="1">_xll.BInterpol('Base CDI'!$H$4:$H$28,'Base CDI'!$J$4:$J$29,S2950,"Cubic","Extrapolate=Linear","MultiX=Average","Skip=True","Sort=True")</f>
        <v>14.729257026908444</v>
      </c>
      <c r="U2950" s="43">
        <f ca="1">_xll.BInterpol('Base CDI'!$H$4:$H$28,'Base CDI'!$I$4:$I$29,S2950,"Cubic","Extrapolate=Linear","MultiX=Average","Skip=True","Sort=True")</f>
        <v>14.807341279022143</v>
      </c>
    </row>
    <row r="2951" spans="16:21" x14ac:dyDescent="0.25">
      <c r="P2951" s="10">
        <v>38800</v>
      </c>
      <c r="Q2951">
        <v>14.59732</v>
      </c>
      <c r="S2951" s="42">
        <f t="shared" ca="1" si="50"/>
        <v>48657</v>
      </c>
      <c r="T2951" s="43">
        <f ca="1">_xll.BInterpol('Base CDI'!$H$4:$H$28,'Base CDI'!$J$4:$J$29,S2951,"Cubic","Extrapolate=Linear","MultiX=Average","Skip=True","Sort=True")</f>
        <v>14.729204620378647</v>
      </c>
      <c r="U2951" s="43">
        <f ca="1">_xll.BInterpol('Base CDI'!$H$4:$H$28,'Base CDI'!$I$4:$I$29,S2951,"Cubic","Extrapolate=Linear","MultiX=Average","Skip=True","Sort=True")</f>
        <v>14.807303644649288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48658</v>
      </c>
      <c r="T2952" s="43">
        <f ca="1">_xll.BInterpol('Base CDI'!$H$4:$H$28,'Base CDI'!$J$4:$J$29,S2952,"Cubic","Extrapolate=Linear","MultiX=Average","Skip=True","Sort=True")</f>
        <v>14.729152161508786</v>
      </c>
      <c r="U2952" s="43">
        <f ca="1">_xll.BInterpol('Base CDI'!$H$4:$H$28,'Base CDI'!$I$4:$I$29,S2952,"Cubic","Extrapolate=Linear","MultiX=Average","Skip=True","Sort=True")</f>
        <v>14.80726595362089</v>
      </c>
    </row>
    <row r="2953" spans="16:21" x14ac:dyDescent="0.25">
      <c r="P2953" s="10">
        <v>38804</v>
      </c>
      <c r="Q2953">
        <v>14.615</v>
      </c>
      <c r="S2953" s="42">
        <f t="shared" ca="1" si="50"/>
        <v>48659</v>
      </c>
      <c r="T2953" s="43">
        <f ca="1">_xll.BInterpol('Base CDI'!$H$4:$H$28,'Base CDI'!$J$4:$J$29,S2953,"Cubic","Extrapolate=Linear","MultiX=Average","Skip=True","Sort=True")</f>
        <v>14.729099650154708</v>
      </c>
      <c r="U2953" s="43">
        <f ca="1">_xll.BInterpol('Base CDI'!$H$4:$H$28,'Base CDI'!$I$4:$I$29,S2953,"Cubic","Extrapolate=Linear","MultiX=Average","Skip=True","Sort=True")</f>
        <v>14.807228205496033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48660</v>
      </c>
      <c r="T2954" s="43">
        <f ca="1">_xll.BInterpol('Base CDI'!$H$4:$H$28,'Base CDI'!$J$4:$J$29,S2954,"Cubic","Extrapolate=Linear","MultiX=Average","Skip=True","Sort=True")</f>
        <v>14.729047086172271</v>
      </c>
      <c r="U2954" s="43">
        <f ca="1">_xll.BInterpol('Base CDI'!$H$4:$H$28,'Base CDI'!$I$4:$I$29,S2954,"Cubic","Extrapolate=Linear","MultiX=Average","Skip=True","Sort=True")</f>
        <v>14.807190399833797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48661</v>
      </c>
      <c r="T2955" s="43">
        <f ca="1">_xll.BInterpol('Base CDI'!$H$4:$H$28,'Base CDI'!$J$4:$J$29,S2955,"Cubic","Extrapolate=Linear","MultiX=Average","Skip=True","Sort=True")</f>
        <v>14.728994469417323</v>
      </c>
      <c r="U2955" s="43">
        <f ca="1">_xll.BInterpol('Base CDI'!$H$4:$H$28,'Base CDI'!$I$4:$I$29,S2955,"Cubic","Extrapolate=Linear","MultiX=Average","Skip=True","Sort=True")</f>
        <v>14.807152536193264</v>
      </c>
    </row>
    <row r="2956" spans="16:21" x14ac:dyDescent="0.25">
      <c r="P2956" s="10">
        <v>38807</v>
      </c>
      <c r="Q2956">
        <v>14.64157</v>
      </c>
      <c r="S2956" s="42">
        <f t="shared" ca="1" si="51"/>
        <v>48662</v>
      </c>
      <c r="T2956" s="43">
        <f ca="1">_xll.BInterpol('Base CDI'!$H$4:$H$28,'Base CDI'!$J$4:$J$29,S2956,"Cubic","Extrapolate=Linear","MultiX=Average","Skip=True","Sort=True")</f>
        <v>14.728941799745719</v>
      </c>
      <c r="U2956" s="43">
        <f ca="1">_xll.BInterpol('Base CDI'!$H$4:$H$28,'Base CDI'!$I$4:$I$29,S2956,"Cubic","Extrapolate=Linear","MultiX=Average","Skip=True","Sort=True")</f>
        <v>14.807114614133519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48663</v>
      </c>
      <c r="T2957" s="43">
        <f ca="1">_xll.BInterpol('Base CDI'!$H$4:$H$28,'Base CDI'!$J$4:$J$29,S2957,"Cubic","Extrapolate=Linear","MultiX=Average","Skip=True","Sort=True")</f>
        <v>14.728889077013312</v>
      </c>
      <c r="U2957" s="43">
        <f ca="1">_xll.BInterpol('Base CDI'!$H$4:$H$28,'Base CDI'!$I$4:$I$29,S2957,"Cubic","Extrapolate=Linear","MultiX=Average","Skip=True","Sort=True")</f>
        <v>14.807076633213642</v>
      </c>
    </row>
    <row r="2958" spans="16:21" x14ac:dyDescent="0.25">
      <c r="P2958" s="10">
        <v>38811</v>
      </c>
      <c r="Q2958">
        <v>14.65931</v>
      </c>
      <c r="S2958" s="42">
        <f t="shared" ca="1" si="51"/>
        <v>48664</v>
      </c>
      <c r="T2958" s="43">
        <f ca="1">_xll.BInterpol('Base CDI'!$H$4:$H$28,'Base CDI'!$J$4:$J$29,S2958,"Cubic","Extrapolate=Linear","MultiX=Average","Skip=True","Sort=True")</f>
        <v>14.728836301075951</v>
      </c>
      <c r="U2958" s="43">
        <f ca="1">_xll.BInterpol('Base CDI'!$H$4:$H$28,'Base CDI'!$I$4:$I$29,S2958,"Cubic","Extrapolate=Linear","MultiX=Average","Skip=True","Sort=True")</f>
        <v>14.807038592992717</v>
      </c>
    </row>
    <row r="2959" spans="16:21" x14ac:dyDescent="0.25">
      <c r="P2959" s="10">
        <v>38812</v>
      </c>
      <c r="Q2959">
        <v>14.66816</v>
      </c>
      <c r="S2959" s="42">
        <f t="shared" ca="1" si="51"/>
        <v>48665</v>
      </c>
      <c r="T2959" s="43">
        <f ca="1">_xll.BInterpol('Base CDI'!$H$4:$H$28,'Base CDI'!$J$4:$J$29,S2959,"Cubic","Extrapolate=Linear","MultiX=Average","Skip=True","Sort=True")</f>
        <v>14.728783471789491</v>
      </c>
      <c r="U2959" s="43">
        <f ca="1">_xll.BInterpol('Base CDI'!$H$4:$H$28,'Base CDI'!$I$4:$I$29,S2959,"Cubic","Extrapolate=Linear","MultiX=Average","Skip=True","Sort=True")</f>
        <v>14.807000493029824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48666</v>
      </c>
      <c r="T2960" s="43">
        <f ca="1">_xll.BInterpol('Base CDI'!$H$4:$H$28,'Base CDI'!$J$4:$J$29,S2960,"Cubic","Extrapolate=Linear","MultiX=Average","Skip=True","Sort=True")</f>
        <v>14.728730589009785</v>
      </c>
      <c r="U2960" s="43">
        <f ca="1">_xll.BInterpol('Base CDI'!$H$4:$H$28,'Base CDI'!$I$4:$I$29,S2960,"Cubic","Extrapolate=Linear","MultiX=Average","Skip=True","Sort=True")</f>
        <v>14.806962332884048</v>
      </c>
    </row>
    <row r="2961" spans="16:21" x14ac:dyDescent="0.25">
      <c r="P2961" s="10">
        <v>38814</v>
      </c>
      <c r="Q2961">
        <v>14.68586</v>
      </c>
      <c r="S2961" s="42">
        <f t="shared" ca="1" si="51"/>
        <v>48667</v>
      </c>
      <c r="T2961" s="43">
        <f ca="1">_xll.BInterpol('Base CDI'!$H$4:$H$28,'Base CDI'!$J$4:$J$29,S2961,"Cubic","Extrapolate=Linear","MultiX=Average","Skip=True","Sort=True")</f>
        <v>14.728677652592685</v>
      </c>
      <c r="U2961" s="43">
        <f ca="1">_xll.BInterpol('Base CDI'!$H$4:$H$28,'Base CDI'!$I$4:$I$29,S2961,"Cubic","Extrapolate=Linear","MultiX=Average","Skip=True","Sort=True")</f>
        <v>14.806924112114467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48668</v>
      </c>
      <c r="T2962" s="43">
        <f ca="1">_xll.BInterpol('Base CDI'!$H$4:$H$28,'Base CDI'!$J$4:$J$29,S2962,"Cubic","Extrapolate=Linear","MultiX=Average","Skip=True","Sort=True")</f>
        <v>14.728624662394042</v>
      </c>
      <c r="U2962" s="43">
        <f ca="1">_xll.BInterpol('Base CDI'!$H$4:$H$28,'Base CDI'!$I$4:$I$29,S2962,"Cubic","Extrapolate=Linear","MultiX=Average","Skip=True","Sort=True")</f>
        <v>14.806885830280168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48669</v>
      </c>
      <c r="T2963" s="43">
        <f ca="1">_xll.BInterpol('Base CDI'!$H$4:$H$28,'Base CDI'!$J$4:$J$29,S2963,"Cubic","Extrapolate=Linear","MultiX=Average","Skip=True","Sort=True")</f>
        <v>14.72857161826971</v>
      </c>
      <c r="U2963" s="43">
        <f ca="1">_xll.BInterpol('Base CDI'!$H$4:$H$28,'Base CDI'!$I$4:$I$29,S2963,"Cubic","Extrapolate=Linear","MultiX=Average","Skip=True","Sort=True")</f>
        <v>14.806847486940232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48670</v>
      </c>
      <c r="T2964" s="43">
        <f ca="1">_xll.BInterpol('Base CDI'!$H$4:$H$28,'Base CDI'!$J$4:$J$29,S2964,"Cubic","Extrapolate=Linear","MultiX=Average","Skip=True","Sort=True")</f>
        <v>14.728518520075541</v>
      </c>
      <c r="U2964" s="43">
        <f ca="1">_xll.BInterpol('Base CDI'!$H$4:$H$28,'Base CDI'!$I$4:$I$29,S2964,"Cubic","Extrapolate=Linear","MultiX=Average","Skip=True","Sort=True")</f>
        <v>14.806809081653739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48671</v>
      </c>
      <c r="T2965" s="43">
        <f ca="1">_xll.BInterpol('Base CDI'!$H$4:$H$28,'Base CDI'!$J$4:$J$29,S2965,"Cubic","Extrapolate=Linear","MultiX=Average","Skip=True","Sort=True")</f>
        <v>14.728465367667388</v>
      </c>
      <c r="U2965" s="43">
        <f ca="1">_xll.BInterpol('Base CDI'!$H$4:$H$28,'Base CDI'!$I$4:$I$29,S2965,"Cubic","Extrapolate=Linear","MultiX=Average","Skip=True","Sort=True")</f>
        <v>14.806770613979772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48672</v>
      </c>
      <c r="T2966" s="43">
        <f ca="1">_xll.BInterpol('Base CDI'!$H$4:$H$28,'Base CDI'!$J$4:$J$29,S2966,"Cubic","Extrapolate=Linear","MultiX=Average","Skip=True","Sort=True")</f>
        <v>14.728412160901101</v>
      </c>
      <c r="U2966" s="43">
        <f ca="1">_xll.BInterpol('Base CDI'!$H$4:$H$28,'Base CDI'!$I$4:$I$29,S2966,"Cubic","Extrapolate=Linear","MultiX=Average","Skip=True","Sort=True")</f>
        <v>14.806732083477415</v>
      </c>
    </row>
    <row r="2967" spans="16:21" x14ac:dyDescent="0.25">
      <c r="P2967" s="10">
        <v>38825</v>
      </c>
      <c r="Q2967">
        <v>14.73906</v>
      </c>
      <c r="S2967" s="42">
        <f t="shared" ca="1" si="51"/>
        <v>48673</v>
      </c>
      <c r="T2967" s="43">
        <f ca="1">_xll.BInterpol('Base CDI'!$H$4:$H$28,'Base CDI'!$J$4:$J$29,S2967,"Cubic","Extrapolate=Linear","MultiX=Average","Skip=True","Sort=True")</f>
        <v>14.728358899632536</v>
      </c>
      <c r="U2967" s="43">
        <f ca="1">_xll.BInterpol('Base CDI'!$H$4:$H$28,'Base CDI'!$I$4:$I$29,S2967,"Cubic","Extrapolate=Linear","MultiX=Average","Skip=True","Sort=True")</f>
        <v>14.806693489705751</v>
      </c>
    </row>
    <row r="2968" spans="16:21" x14ac:dyDescent="0.25">
      <c r="P2968" s="10">
        <v>38826</v>
      </c>
      <c r="Q2968">
        <v>14.74794</v>
      </c>
      <c r="S2968" s="42">
        <f t="shared" ca="1" si="51"/>
        <v>48674</v>
      </c>
      <c r="T2968" s="43">
        <f ca="1">_xll.BInterpol('Base CDI'!$H$4:$H$28,'Base CDI'!$J$4:$J$29,S2968,"Cubic","Extrapolate=Linear","MultiX=Average","Skip=True","Sort=True")</f>
        <v>14.728305583717544</v>
      </c>
      <c r="U2968" s="43">
        <f ca="1">_xll.BInterpol('Base CDI'!$H$4:$H$28,'Base CDI'!$I$4:$I$29,S2968,"Cubic","Extrapolate=Linear","MultiX=Average","Skip=True","Sort=True")</f>
        <v>14.806654832223858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48675</v>
      </c>
      <c r="T2969" s="43">
        <f ca="1">_xll.BInterpol('Base CDI'!$H$4:$H$28,'Base CDI'!$J$4:$J$29,S2969,"Cubic","Extrapolate=Linear","MultiX=Average","Skip=True","Sort=True")</f>
        <v>14.728252213011977</v>
      </c>
      <c r="U2969" s="43">
        <f ca="1">_xll.BInterpol('Base CDI'!$H$4:$H$28,'Base CDI'!$I$4:$I$29,S2969,"Cubic","Extrapolate=Linear","MultiX=Average","Skip=True","Sort=True")</f>
        <v>14.806616110590822</v>
      </c>
    </row>
    <row r="2970" spans="16:21" x14ac:dyDescent="0.25">
      <c r="P2970" s="10">
        <v>38831</v>
      </c>
      <c r="Q2970">
        <v>14.76535</v>
      </c>
      <c r="S2970" s="42">
        <f t="shared" ca="1" si="51"/>
        <v>48676</v>
      </c>
      <c r="T2970" s="43">
        <f ca="1">_xll.BInterpol('Base CDI'!$H$4:$H$28,'Base CDI'!$J$4:$J$29,S2970,"Cubic","Extrapolate=Linear","MultiX=Average","Skip=True","Sort=True")</f>
        <v>14.728198787371687</v>
      </c>
      <c r="U2970" s="43">
        <f ca="1">_xll.BInterpol('Base CDI'!$H$4:$H$28,'Base CDI'!$I$4:$I$29,S2970,"Cubic","Extrapolate=Linear","MultiX=Average","Skip=True","Sort=True")</f>
        <v>14.806577324365723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48677</v>
      </c>
      <c r="T2971" s="43">
        <f ca="1">_xll.BInterpol('Base CDI'!$H$4:$H$28,'Base CDI'!$J$4:$J$29,S2971,"Cubic","Extrapolate=Linear","MultiX=Average","Skip=True","Sort=True")</f>
        <v>14.728145306652529</v>
      </c>
      <c r="U2971" s="43">
        <f ca="1">_xll.BInterpol('Base CDI'!$H$4:$H$28,'Base CDI'!$I$4:$I$29,S2971,"Cubic","Extrapolate=Linear","MultiX=Average","Skip=True","Sort=True")</f>
        <v>14.806538473107645</v>
      </c>
    </row>
    <row r="2972" spans="16:21" x14ac:dyDescent="0.25">
      <c r="P2972" s="10">
        <v>38833</v>
      </c>
      <c r="Q2972">
        <v>14.78238</v>
      </c>
      <c r="S2972" s="42">
        <f t="shared" ca="1" si="51"/>
        <v>48678</v>
      </c>
      <c r="T2972" s="43">
        <f ca="1">_xll.BInterpol('Base CDI'!$H$4:$H$28,'Base CDI'!$J$4:$J$29,S2972,"Cubic","Extrapolate=Linear","MultiX=Average","Skip=True","Sort=True")</f>
        <v>14.728091770710353</v>
      </c>
      <c r="U2972" s="43">
        <f ca="1">_xll.BInterpol('Base CDI'!$H$4:$H$28,'Base CDI'!$I$4:$I$29,S2972,"Cubic","Extrapolate=Linear","MultiX=Average","Skip=True","Sort=True")</f>
        <v>14.80649955637567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48679</v>
      </c>
      <c r="T2973" s="43">
        <f ca="1">_xll.BInterpol('Base CDI'!$H$4:$H$28,'Base CDI'!$J$4:$J$29,S2973,"Cubic","Extrapolate=Linear","MultiX=Average","Skip=True","Sort=True")</f>
        <v>14.728038179401011</v>
      </c>
      <c r="U2973" s="43">
        <f ca="1">_xll.BInterpol('Base CDI'!$H$4:$H$28,'Base CDI'!$I$4:$I$29,S2973,"Cubic","Extrapolate=Linear","MultiX=Average","Skip=True","Sort=True")</f>
        <v>14.806460573728879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48680</v>
      </c>
      <c r="T2974" s="43">
        <f ca="1">_xll.BInterpol('Base CDI'!$H$4:$H$28,'Base CDI'!$J$4:$J$29,S2974,"Cubic","Extrapolate=Linear","MultiX=Average","Skip=True","Sort=True")</f>
        <v>14.727984532580358</v>
      </c>
      <c r="U2974" s="43">
        <f ca="1">_xll.BInterpol('Base CDI'!$H$4:$H$28,'Base CDI'!$I$4:$I$29,S2974,"Cubic","Extrapolate=Linear","MultiX=Average","Skip=True","Sort=True")</f>
        <v>14.806421524726355</v>
      </c>
    </row>
    <row r="2975" spans="16:21" x14ac:dyDescent="0.25">
      <c r="P2975" s="10">
        <v>38839</v>
      </c>
      <c r="Q2975">
        <v>14.80799</v>
      </c>
      <c r="S2975" s="42">
        <f t="shared" ca="1" si="51"/>
        <v>48681</v>
      </c>
      <c r="T2975" s="43">
        <f ca="1">_xll.BInterpol('Base CDI'!$H$4:$H$28,'Base CDI'!$J$4:$J$29,S2975,"Cubic","Extrapolate=Linear","MultiX=Average","Skip=True","Sort=True")</f>
        <v>14.727930830104246</v>
      </c>
      <c r="U2975" s="43">
        <f ca="1">_xll.BInterpol('Base CDI'!$H$4:$H$28,'Base CDI'!$I$4:$I$29,S2975,"Cubic","Extrapolate=Linear","MultiX=Average","Skip=True","Sort=True")</f>
        <v>14.806382408927181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48682</v>
      </c>
      <c r="T2976" s="43">
        <f ca="1">_xll.BInterpol('Base CDI'!$H$4:$H$28,'Base CDI'!$J$4:$J$29,S2976,"Cubic","Extrapolate=Linear","MultiX=Average","Skip=True","Sort=True")</f>
        <v>14.727877071828525</v>
      </c>
      <c r="U2976" s="43">
        <f ca="1">_xll.BInterpol('Base CDI'!$H$4:$H$28,'Base CDI'!$I$4:$I$29,S2976,"Cubic","Extrapolate=Linear","MultiX=Average","Skip=True","Sort=True")</f>
        <v>14.806343225890439</v>
      </c>
    </row>
    <row r="2977" spans="16:21" x14ac:dyDescent="0.25">
      <c r="P2977" s="10">
        <v>38841</v>
      </c>
      <c r="Q2977">
        <v>14.82513</v>
      </c>
      <c r="S2977" s="42">
        <f t="shared" ca="1" si="51"/>
        <v>48683</v>
      </c>
      <c r="T2977" s="43">
        <f ca="1">_xll.BInterpol('Base CDI'!$H$4:$H$28,'Base CDI'!$J$4:$J$29,S2977,"Cubic","Extrapolate=Linear","MultiX=Average","Skip=True","Sort=True")</f>
        <v>14.72782325760905</v>
      </c>
      <c r="U2977" s="43">
        <f ca="1">_xll.BInterpol('Base CDI'!$H$4:$H$28,'Base CDI'!$I$4:$I$29,S2977,"Cubic","Extrapolate=Linear","MultiX=Average","Skip=True","Sort=True")</f>
        <v>14.80630397517521</v>
      </c>
    </row>
    <row r="2978" spans="16:21" x14ac:dyDescent="0.25">
      <c r="P2978" s="10">
        <v>38842</v>
      </c>
      <c r="Q2978">
        <v>14.8337</v>
      </c>
      <c r="S2978" s="42">
        <f t="shared" ca="1" si="51"/>
        <v>48684</v>
      </c>
      <c r="T2978" s="43">
        <f ca="1">_xll.BInterpol('Base CDI'!$H$4:$H$28,'Base CDI'!$J$4:$J$29,S2978,"Cubic","Extrapolate=Linear","MultiX=Average","Skip=True","Sort=True")</f>
        <v>14.727769387301672</v>
      </c>
      <c r="U2978" s="43">
        <f ca="1">_xll.BInterpol('Base CDI'!$H$4:$H$28,'Base CDI'!$I$4:$I$29,S2978,"Cubic","Extrapolate=Linear","MultiX=Average","Skip=True","Sort=True")</f>
        <v>14.806264656340577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48685</v>
      </c>
      <c r="T2979" s="43">
        <f ca="1">_xll.BInterpol('Base CDI'!$H$4:$H$28,'Base CDI'!$J$4:$J$29,S2979,"Cubic","Extrapolate=Linear","MultiX=Average","Skip=True","Sort=True")</f>
        <v>14.727715460762244</v>
      </c>
      <c r="U2979" s="43">
        <f ca="1">_xll.BInterpol('Base CDI'!$H$4:$H$28,'Base CDI'!$I$4:$I$29,S2979,"Cubic","Extrapolate=Linear","MultiX=Average","Skip=True","Sort=True")</f>
        <v>14.806225268945623</v>
      </c>
    </row>
    <row r="2980" spans="16:21" x14ac:dyDescent="0.25">
      <c r="P2980" s="10">
        <v>38846</v>
      </c>
      <c r="Q2980">
        <v>14.85087</v>
      </c>
      <c r="S2980" s="42">
        <f t="shared" ca="1" si="51"/>
        <v>48686</v>
      </c>
      <c r="T2980" s="43">
        <f ca="1">_xll.BInterpol('Base CDI'!$H$4:$H$28,'Base CDI'!$J$4:$J$29,S2980,"Cubic","Extrapolate=Linear","MultiX=Average","Skip=True","Sort=True")</f>
        <v>14.727661477846619</v>
      </c>
      <c r="U2980" s="43">
        <f ca="1">_xll.BInterpol('Base CDI'!$H$4:$H$28,'Base CDI'!$I$4:$I$29,S2980,"Cubic","Extrapolate=Linear","MultiX=Average","Skip=True","Sort=True")</f>
        <v>14.806185812549428</v>
      </c>
    </row>
    <row r="2981" spans="16:21" x14ac:dyDescent="0.25">
      <c r="P2981" s="10">
        <v>38847</v>
      </c>
      <c r="Q2981">
        <v>14.85946</v>
      </c>
      <c r="S2981" s="42">
        <f t="shared" ca="1" si="51"/>
        <v>48687</v>
      </c>
      <c r="T2981" s="43">
        <f ca="1">_xll.BInterpol('Base CDI'!$H$4:$H$28,'Base CDI'!$J$4:$J$29,S2981,"Cubic","Extrapolate=Linear","MultiX=Average","Skip=True","Sort=True")</f>
        <v>14.727607438410647</v>
      </c>
      <c r="U2981" s="43">
        <f ca="1">_xll.BInterpol('Base CDI'!$H$4:$H$28,'Base CDI'!$I$4:$I$29,S2981,"Cubic","Extrapolate=Linear","MultiX=Average","Skip=True","Sort=True")</f>
        <v>14.806146286711078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48688</v>
      </c>
      <c r="T2982" s="43">
        <f ca="1">_xll.BInterpol('Base CDI'!$H$4:$H$28,'Base CDI'!$J$4:$J$29,S2982,"Cubic","Extrapolate=Linear","MultiX=Average","Skip=True","Sort=True")</f>
        <v>14.727553342310184</v>
      </c>
      <c r="U2982" s="43">
        <f ca="1">_xll.BInterpol('Base CDI'!$H$4:$H$28,'Base CDI'!$I$4:$I$29,S2982,"Cubic","Extrapolate=Linear","MultiX=Average","Skip=True","Sort=True")</f>
        <v>14.806106690989653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48689</v>
      </c>
      <c r="T2983" s="43">
        <f ca="1">_xll.BInterpol('Base CDI'!$H$4:$H$28,'Base CDI'!$J$4:$J$29,S2983,"Cubic","Extrapolate=Linear","MultiX=Average","Skip=True","Sort=True")</f>
        <v>14.727499189401081</v>
      </c>
      <c r="U2983" s="43">
        <f ca="1">_xll.BInterpol('Base CDI'!$H$4:$H$28,'Base CDI'!$I$4:$I$29,S2983,"Cubic","Extrapolate=Linear","MultiX=Average","Skip=True","Sort=True")</f>
        <v>14.806067024944234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48690</v>
      </c>
      <c r="T2984" s="43">
        <f ca="1">_xll.BInterpol('Base CDI'!$H$4:$H$28,'Base CDI'!$J$4:$J$29,S2984,"Cubic","Extrapolate=Linear","MultiX=Average","Skip=True","Sort=True")</f>
        <v>14.727444979539191</v>
      </c>
      <c r="U2984" s="43">
        <f ca="1">_xll.BInterpol('Base CDI'!$H$4:$H$28,'Base CDI'!$I$4:$I$29,S2984,"Cubic","Extrapolate=Linear","MultiX=Average","Skip=True","Sort=True")</f>
        <v>14.806027288133905</v>
      </c>
    </row>
    <row r="2985" spans="16:21" x14ac:dyDescent="0.25">
      <c r="P2985" s="10">
        <v>38853</v>
      </c>
      <c r="Q2985">
        <v>14.89382</v>
      </c>
      <c r="S2985" s="42">
        <f t="shared" ca="1" si="51"/>
        <v>48691</v>
      </c>
      <c r="T2985" s="43">
        <f ca="1">_xll.BInterpol('Base CDI'!$H$4:$H$28,'Base CDI'!$J$4:$J$29,S2985,"Cubic","Extrapolate=Linear","MultiX=Average","Skip=True","Sort=True")</f>
        <v>14.727390712580366</v>
      </c>
      <c r="U2985" s="43">
        <f ca="1">_xll.BInterpol('Base CDI'!$H$4:$H$28,'Base CDI'!$I$4:$I$29,S2985,"Cubic","Extrapolate=Linear","MultiX=Average","Skip=True","Sort=True")</f>
        <v>14.805987480117748</v>
      </c>
    </row>
    <row r="2986" spans="16:21" x14ac:dyDescent="0.25">
      <c r="P2986" s="10">
        <v>38854</v>
      </c>
      <c r="Q2986">
        <v>14.90245</v>
      </c>
      <c r="S2986" s="42">
        <f t="shared" ca="1" si="51"/>
        <v>48692</v>
      </c>
      <c r="T2986" s="43">
        <f ca="1">_xll.BInterpol('Base CDI'!$H$4:$H$28,'Base CDI'!$J$4:$J$29,S2986,"Cubic","Extrapolate=Linear","MultiX=Average","Skip=True","Sort=True")</f>
        <v>14.727336388380456</v>
      </c>
      <c r="U2986" s="43">
        <f ca="1">_xll.BInterpol('Base CDI'!$H$4:$H$28,'Base CDI'!$I$4:$I$29,S2986,"Cubic","Extrapolate=Linear","MultiX=Average","Skip=True","Sort=True")</f>
        <v>14.805947600454845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48693</v>
      </c>
      <c r="T2987" s="43">
        <f ca="1">_xll.BInterpol('Base CDI'!$H$4:$H$28,'Base CDI'!$J$4:$J$29,S2987,"Cubic","Extrapolate=Linear","MultiX=Average","Skip=True","Sort=True")</f>
        <v>14.727282006795319</v>
      </c>
      <c r="U2987" s="43">
        <f ca="1">_xll.BInterpol('Base CDI'!$H$4:$H$28,'Base CDI'!$I$4:$I$29,S2987,"Cubic","Extrapolate=Linear","MultiX=Average","Skip=True","Sort=True")</f>
        <v>14.805907648704279</v>
      </c>
    </row>
    <row r="2988" spans="16:21" x14ac:dyDescent="0.25">
      <c r="P2988" s="10">
        <v>38856</v>
      </c>
      <c r="Q2988">
        <v>14.91966</v>
      </c>
      <c r="S2988" s="42">
        <f t="shared" ca="1" si="51"/>
        <v>48694</v>
      </c>
      <c r="T2988" s="43">
        <f ca="1">_xll.BInterpol('Base CDI'!$H$4:$H$28,'Base CDI'!$J$4:$J$29,S2988,"Cubic","Extrapolate=Linear","MultiX=Average","Skip=True","Sort=True")</f>
        <v>14.727227567680801</v>
      </c>
      <c r="U2988" s="43">
        <f ca="1">_xll.BInterpol('Base CDI'!$H$4:$H$28,'Base CDI'!$I$4:$I$29,S2988,"Cubic","Extrapolate=Linear","MultiX=Average","Skip=True","Sort=True")</f>
        <v>14.805867624425131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48695</v>
      </c>
      <c r="T2989" s="43">
        <f ca="1">_xll.BInterpol('Base CDI'!$H$4:$H$28,'Base CDI'!$J$4:$J$29,S2989,"Cubic","Extrapolate=Linear","MultiX=Average","Skip=True","Sort=True")</f>
        <v>14.727173070892759</v>
      </c>
      <c r="U2989" s="43">
        <f ca="1">_xll.BInterpol('Base CDI'!$H$4:$H$28,'Base CDI'!$I$4:$I$29,S2989,"Cubic","Extrapolate=Linear","MultiX=Average","Skip=True","Sort=True")</f>
        <v>14.805827527176485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48696</v>
      </c>
      <c r="T2990" s="43">
        <f ca="1">_xll.BInterpol('Base CDI'!$H$4:$H$28,'Base CDI'!$J$4:$J$29,S2990,"Cubic","Extrapolate=Linear","MultiX=Average","Skip=True","Sort=True")</f>
        <v>14.727118516287044</v>
      </c>
      <c r="U2990" s="43">
        <f ca="1">_xll.BInterpol('Base CDI'!$H$4:$H$28,'Base CDI'!$I$4:$I$29,S2990,"Cubic","Extrapolate=Linear","MultiX=Average","Skip=True","Sort=True")</f>
        <v>14.805787356517422</v>
      </c>
    </row>
    <row r="2991" spans="16:21" x14ac:dyDescent="0.25">
      <c r="P2991" s="10">
        <v>38861</v>
      </c>
      <c r="Q2991">
        <v>14.94548</v>
      </c>
      <c r="S2991" s="42">
        <f t="shared" ca="1" si="51"/>
        <v>48697</v>
      </c>
      <c r="T2991" s="43">
        <f ca="1">_xll.BInterpol('Base CDI'!$H$4:$H$28,'Base CDI'!$J$4:$J$29,S2991,"Cubic","Extrapolate=Linear","MultiX=Average","Skip=True","Sort=True")</f>
        <v>14.727063903719509</v>
      </c>
      <c r="U2991" s="43">
        <f ca="1">_xll.BInterpol('Base CDI'!$H$4:$H$28,'Base CDI'!$I$4:$I$29,S2991,"Cubic","Extrapolate=Linear","MultiX=Average","Skip=True","Sort=True")</f>
        <v>14.805747112007024</v>
      </c>
    </row>
    <row r="2992" spans="16:21" x14ac:dyDescent="0.25">
      <c r="P2992" s="10">
        <v>38862</v>
      </c>
      <c r="Q2992">
        <v>14.9541</v>
      </c>
      <c r="S2992" s="42">
        <f t="shared" ca="1" si="51"/>
        <v>48698</v>
      </c>
      <c r="T2992" s="43">
        <f ca="1">_xll.BInterpol('Base CDI'!$H$4:$H$28,'Base CDI'!$J$4:$J$29,S2992,"Cubic","Extrapolate=Linear","MultiX=Average","Skip=True","Sort=True")</f>
        <v>14.727009233046006</v>
      </c>
      <c r="U2992" s="43">
        <f ca="1">_xll.BInterpol('Base CDI'!$H$4:$H$28,'Base CDI'!$I$4:$I$29,S2992,"Cubic","Extrapolate=Linear","MultiX=Average","Skip=True","Sort=True")</f>
        <v>14.805706793204374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48699</v>
      </c>
      <c r="T2993" s="43">
        <f ca="1">_xll.BInterpol('Base CDI'!$H$4:$H$28,'Base CDI'!$J$4:$J$29,S2993,"Cubic","Extrapolate=Linear","MultiX=Average","Skip=True","Sort=True")</f>
        <v>14.726954504122389</v>
      </c>
      <c r="U2993" s="43">
        <f ca="1">_xll.BInterpol('Base CDI'!$H$4:$H$28,'Base CDI'!$I$4:$I$29,S2993,"Cubic","Extrapolate=Linear","MultiX=Average","Skip=True","Sort=True")</f>
        <v>14.805666399668553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48700</v>
      </c>
      <c r="T2994" s="43">
        <f ca="1">_xll.BInterpol('Base CDI'!$H$4:$H$28,'Base CDI'!$J$4:$J$29,S2994,"Cubic","Extrapolate=Linear","MultiX=Average","Skip=True","Sort=True")</f>
        <v>14.726899716804507</v>
      </c>
      <c r="U2994" s="43">
        <f ca="1">_xll.BInterpol('Base CDI'!$H$4:$H$28,'Base CDI'!$I$4:$I$29,S2994,"Cubic","Extrapolate=Linear","MultiX=Average","Skip=True","Sort=True")</f>
        <v>14.805625930958644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48701</v>
      </c>
      <c r="T2995" s="43">
        <f ca="1">_xll.BInterpol('Base CDI'!$H$4:$H$28,'Base CDI'!$J$4:$J$29,S2995,"Cubic","Extrapolate=Linear","MultiX=Average","Skip=True","Sort=True")</f>
        <v>14.726844870948215</v>
      </c>
      <c r="U2995" s="43">
        <f ca="1">_xll.BInterpol('Base CDI'!$H$4:$H$28,'Base CDI'!$I$4:$I$29,S2995,"Cubic","Extrapolate=Linear","MultiX=Average","Skip=True","Sort=True")</f>
        <v>14.805585386633732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48702</v>
      </c>
      <c r="T2996" s="43">
        <f ca="1">_xll.BInterpol('Base CDI'!$H$4:$H$28,'Base CDI'!$J$4:$J$29,S2996,"Cubic","Extrapolate=Linear","MultiX=Average","Skip=True","Sort=True")</f>
        <v>14.726789966409365</v>
      </c>
      <c r="U2996" s="43">
        <f ca="1">_xll.BInterpol('Base CDI'!$H$4:$H$28,'Base CDI'!$I$4:$I$29,S2996,"Cubic","Extrapolate=Linear","MultiX=Average","Skip=True","Sort=True")</f>
        <v>14.805544766252893</v>
      </c>
    </row>
    <row r="2997" spans="16:21" x14ac:dyDescent="0.25">
      <c r="P2997" s="10">
        <v>38869</v>
      </c>
      <c r="Q2997">
        <v>14.99727</v>
      </c>
      <c r="S2997" s="42">
        <f t="shared" ca="1" si="51"/>
        <v>48703</v>
      </c>
      <c r="T2997" s="43">
        <f ca="1">_xll.BInterpol('Base CDI'!$H$4:$H$28,'Base CDI'!$J$4:$J$29,S2997,"Cubic","Extrapolate=Linear","MultiX=Average","Skip=True","Sort=True")</f>
        <v>14.72673500304381</v>
      </c>
      <c r="U2997" s="43">
        <f ca="1">_xll.BInterpol('Base CDI'!$H$4:$H$28,'Base CDI'!$I$4:$I$29,S2997,"Cubic","Extrapolate=Linear","MultiX=Average","Skip=True","Sort=True")</f>
        <v>14.805504069375216</v>
      </c>
    </row>
    <row r="2998" spans="16:21" x14ac:dyDescent="0.25">
      <c r="P2998" s="10">
        <v>38870</v>
      </c>
      <c r="Q2998">
        <v>15.00567</v>
      </c>
      <c r="S2998" s="42">
        <f t="shared" ca="1" si="51"/>
        <v>48704</v>
      </c>
      <c r="T2998" s="43">
        <f ca="1">_xll.BInterpol('Base CDI'!$H$4:$H$28,'Base CDI'!$J$4:$J$29,S2998,"Cubic","Extrapolate=Linear","MultiX=Average","Skip=True","Sort=True")</f>
        <v>14.726679980707402</v>
      </c>
      <c r="U2998" s="43">
        <f ca="1">_xll.BInterpol('Base CDI'!$H$4:$H$28,'Base CDI'!$I$4:$I$29,S2998,"Cubic","Extrapolate=Linear","MultiX=Average","Skip=True","Sort=True")</f>
        <v>14.805463295559779</v>
      </c>
    </row>
    <row r="2999" spans="16:21" x14ac:dyDescent="0.25">
      <c r="P2999" s="10">
        <v>38873</v>
      </c>
      <c r="Q2999">
        <v>15.01408</v>
      </c>
      <c r="S2999" s="42">
        <f t="shared" ca="1" si="51"/>
        <v>48705</v>
      </c>
      <c r="T2999" s="43">
        <f ca="1">_xll.BInterpol('Base CDI'!$H$4:$H$28,'Base CDI'!$J$4:$J$29,S2999,"Cubic","Extrapolate=Linear","MultiX=Average","Skip=True","Sort=True")</f>
        <v>14.726624899255993</v>
      </c>
      <c r="U2999" s="43">
        <f ca="1">_xll.BInterpol('Base CDI'!$H$4:$H$28,'Base CDI'!$I$4:$I$29,S2999,"Cubic","Extrapolate=Linear","MultiX=Average","Skip=True","Sort=True")</f>
        <v>14.805422444365666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48706</v>
      </c>
      <c r="T3000" s="43">
        <f ca="1">_xll.BInterpol('Base CDI'!$H$4:$H$28,'Base CDI'!$J$4:$J$29,S3000,"Cubic","Extrapolate=Linear","MultiX=Average","Skip=True","Sort=True")</f>
        <v>14.726569758545436</v>
      </c>
      <c r="U3000" s="43">
        <f ca="1">_xll.BInterpol('Base CDI'!$H$4:$H$28,'Base CDI'!$I$4:$I$29,S3000,"Cubic","Extrapolate=Linear","MultiX=Average","Skip=True","Sort=True")</f>
        <v>14.805381515351959</v>
      </c>
    </row>
    <row r="3001" spans="16:21" x14ac:dyDescent="0.25">
      <c r="P3001" s="10">
        <v>38875</v>
      </c>
      <c r="Q3001">
        <v>15.03091</v>
      </c>
      <c r="S3001" s="42">
        <f t="shared" ca="1" si="51"/>
        <v>48707</v>
      </c>
      <c r="T3001" s="43">
        <f ca="1">_xll.BInterpol('Base CDI'!$H$4:$H$28,'Base CDI'!$J$4:$J$29,S3001,"Cubic","Extrapolate=Linear","MultiX=Average","Skip=True","Sort=True")</f>
        <v>14.726514558431582</v>
      </c>
      <c r="U3001" s="43">
        <f ca="1">_xll.BInterpol('Base CDI'!$H$4:$H$28,'Base CDI'!$I$4:$I$29,S3001,"Cubic","Extrapolate=Linear","MultiX=Average","Skip=True","Sort=True")</f>
        <v>14.805340508077739</v>
      </c>
    </row>
    <row r="3002" spans="16:21" x14ac:dyDescent="0.25">
      <c r="P3002" s="10">
        <v>38876</v>
      </c>
      <c r="Q3002">
        <v>15.03933</v>
      </c>
      <c r="S3002" s="42">
        <f t="shared" ca="1" si="51"/>
        <v>48708</v>
      </c>
      <c r="T3002" s="43">
        <f ca="1">_xll.BInterpol('Base CDI'!$H$4:$H$28,'Base CDI'!$J$4:$J$29,S3002,"Cubic","Extrapolate=Linear","MultiX=Average","Skip=True","Sort=True")</f>
        <v>14.726459298770287</v>
      </c>
      <c r="U3002" s="43">
        <f ca="1">_xll.BInterpol('Base CDI'!$H$4:$H$28,'Base CDI'!$I$4:$I$29,S3002,"Cubic","Extrapolate=Linear","MultiX=Average","Skip=True","Sort=True")</f>
        <v>14.80529942210209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48709</v>
      </c>
      <c r="T3003" s="43">
        <f ca="1">_xll.BInterpol('Base CDI'!$H$4:$H$28,'Base CDI'!$J$4:$J$29,S3003,"Cubic","Extrapolate=Linear","MultiX=Average","Skip=True","Sort=True")</f>
        <v>14.7264039794174</v>
      </c>
      <c r="U3003" s="43">
        <f ca="1">_xll.BInterpol('Base CDI'!$H$4:$H$28,'Base CDI'!$I$4:$I$29,S3003,"Cubic","Extrapolate=Linear","MultiX=Average","Skip=True","Sort=True")</f>
        <v>14.805258256984095</v>
      </c>
    </row>
    <row r="3004" spans="16:21" x14ac:dyDescent="0.25">
      <c r="P3004" s="10">
        <v>38880</v>
      </c>
      <c r="Q3004">
        <v>15.05616</v>
      </c>
      <c r="S3004" s="42">
        <f t="shared" ca="1" si="51"/>
        <v>48710</v>
      </c>
      <c r="T3004" s="43">
        <f ca="1">_xll.BInterpol('Base CDI'!$H$4:$H$28,'Base CDI'!$J$4:$J$29,S3004,"Cubic","Extrapolate=Linear","MultiX=Average","Skip=True","Sort=True")</f>
        <v>14.726348600228775</v>
      </c>
      <c r="U3004" s="43">
        <f ca="1">_xll.BInterpol('Base CDI'!$H$4:$H$28,'Base CDI'!$I$4:$I$29,S3004,"Cubic","Extrapolate=Linear","MultiX=Average","Skip=True","Sort=True")</f>
        <v>14.805217012282831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48711</v>
      </c>
      <c r="T3005" s="43">
        <f ca="1">_xll.BInterpol('Base CDI'!$H$4:$H$28,'Base CDI'!$J$4:$J$29,S3005,"Cubic","Extrapolate=Linear","MultiX=Average","Skip=True","Sort=True")</f>
        <v>14.726293161060264</v>
      </c>
      <c r="U3005" s="43">
        <f ca="1">_xll.BInterpol('Base CDI'!$H$4:$H$28,'Base CDI'!$I$4:$I$29,S3005,"Cubic","Extrapolate=Linear","MultiX=Average","Skip=True","Sort=True")</f>
        <v>14.805175687557387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48712</v>
      </c>
      <c r="T3006" s="43">
        <f ca="1">_xll.BInterpol('Base CDI'!$H$4:$H$28,'Base CDI'!$J$4:$J$29,S3006,"Cubic","Extrapolate=Linear","MultiX=Average","Skip=True","Sort=True")</f>
        <v>14.726237661767719</v>
      </c>
      <c r="U3006" s="43">
        <f ca="1">_xll.BInterpol('Base CDI'!$H$4:$H$28,'Base CDI'!$I$4:$I$29,S3006,"Cubic","Extrapolate=Linear","MultiX=Average","Skip=True","Sort=True")</f>
        <v>14.805134282366842</v>
      </c>
    </row>
    <row r="3007" spans="16:21" x14ac:dyDescent="0.25">
      <c r="P3007" s="10">
        <v>38884</v>
      </c>
      <c r="Q3007">
        <v>15.08146</v>
      </c>
      <c r="S3007" s="42">
        <f t="shared" ca="1" si="51"/>
        <v>48713</v>
      </c>
      <c r="T3007" s="43">
        <f ca="1">_xll.BInterpol('Base CDI'!$H$4:$H$28,'Base CDI'!$J$4:$J$29,S3007,"Cubic","Extrapolate=Linear","MultiX=Average","Skip=True","Sort=True")</f>
        <v>14.726182102206995</v>
      </c>
      <c r="U3007" s="43">
        <f ca="1">_xll.BInterpol('Base CDI'!$H$4:$H$28,'Base CDI'!$I$4:$I$29,S3007,"Cubic","Extrapolate=Linear","MultiX=Average","Skip=True","Sort=True")</f>
        <v>14.805092796270278</v>
      </c>
    </row>
    <row r="3008" spans="16:21" x14ac:dyDescent="0.25">
      <c r="P3008" s="10">
        <v>38887</v>
      </c>
      <c r="Q3008">
        <v>15.0899</v>
      </c>
      <c r="S3008" s="42">
        <f t="shared" ca="1" si="51"/>
        <v>48714</v>
      </c>
      <c r="T3008" s="43">
        <f ca="1">_xll.BInterpol('Base CDI'!$H$4:$H$28,'Base CDI'!$J$4:$J$29,S3008,"Cubic","Extrapolate=Linear","MultiX=Average","Skip=True","Sort=True")</f>
        <v>14.726126482233941</v>
      </c>
      <c r="U3008" s="43">
        <f ca="1">_xll.BInterpol('Base CDI'!$H$4:$H$28,'Base CDI'!$I$4:$I$29,S3008,"Cubic","Extrapolate=Linear","MultiX=Average","Skip=True","Sort=True")</f>
        <v>14.805051228826779</v>
      </c>
    </row>
    <row r="3009" spans="16:21" x14ac:dyDescent="0.25">
      <c r="P3009" s="10">
        <v>38888</v>
      </c>
      <c r="Q3009">
        <v>15.09835</v>
      </c>
      <c r="S3009" s="42">
        <f t="shared" ca="1" si="51"/>
        <v>48715</v>
      </c>
      <c r="T3009" s="43">
        <f ca="1">_xll.BInterpol('Base CDI'!$H$4:$H$28,'Base CDI'!$J$4:$J$29,S3009,"Cubic","Extrapolate=Linear","MultiX=Average","Skip=True","Sort=True")</f>
        <v>14.726070801704411</v>
      </c>
      <c r="U3009" s="43">
        <f ca="1">_xll.BInterpol('Base CDI'!$H$4:$H$28,'Base CDI'!$I$4:$I$29,S3009,"Cubic","Extrapolate=Linear","MultiX=Average","Skip=True","Sort=True")</f>
        <v>14.805009579595424</v>
      </c>
    </row>
    <row r="3010" spans="16:21" x14ac:dyDescent="0.25">
      <c r="P3010" s="10">
        <v>38889</v>
      </c>
      <c r="Q3010">
        <v>15.1068</v>
      </c>
      <c r="S3010" s="42">
        <f t="shared" ca="1" si="51"/>
        <v>48716</v>
      </c>
      <c r="T3010" s="43">
        <f ca="1">_xll.BInterpol('Base CDI'!$H$4:$H$28,'Base CDI'!$J$4:$J$29,S3010,"Cubic","Extrapolate=Linear","MultiX=Average","Skip=True","Sort=True")</f>
        <v>14.726015060474259</v>
      </c>
      <c r="U3010" s="43">
        <f ca="1">_xll.BInterpol('Base CDI'!$H$4:$H$28,'Base CDI'!$I$4:$I$29,S3010,"Cubic","Extrapolate=Linear","MultiX=Average","Skip=True","Sort=True")</f>
        <v>14.804967848135298</v>
      </c>
    </row>
    <row r="3011" spans="16:21" x14ac:dyDescent="0.25">
      <c r="P3011" s="10">
        <v>38890</v>
      </c>
      <c r="Q3011">
        <v>15.11525</v>
      </c>
      <c r="S3011" s="42">
        <f t="shared" ca="1" si="51"/>
        <v>48717</v>
      </c>
      <c r="T3011" s="43">
        <f ca="1">_xll.BInterpol('Base CDI'!$H$4:$H$28,'Base CDI'!$J$4:$J$29,S3011,"Cubic","Extrapolate=Linear","MultiX=Average","Skip=True","Sort=True")</f>
        <v>14.725959258399334</v>
      </c>
      <c r="U3011" s="43">
        <f ca="1">_xll.BInterpol('Base CDI'!$H$4:$H$28,'Base CDI'!$I$4:$I$29,S3011,"Cubic","Extrapolate=Linear","MultiX=Average","Skip=True","Sort=True")</f>
        <v>14.804926034005485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48718</v>
      </c>
      <c r="T3012" s="43">
        <f ca="1">_xll.BInterpol('Base CDI'!$H$4:$H$28,'Base CDI'!$J$4:$J$29,S3012,"Cubic","Extrapolate=Linear","MultiX=Average","Skip=True","Sort=True")</f>
        <v>14.725903395335491</v>
      </c>
      <c r="U3012" s="43">
        <f ca="1">_xll.BInterpol('Base CDI'!$H$4:$H$28,'Base CDI'!$I$4:$I$29,S3012,"Cubic","Extrapolate=Linear","MultiX=Average","Skip=True","Sort=True")</f>
        <v>14.804884136765063</v>
      </c>
    </row>
    <row r="3013" spans="16:21" x14ac:dyDescent="0.25">
      <c r="P3013" s="10">
        <v>38894</v>
      </c>
      <c r="Q3013">
        <v>15.13218</v>
      </c>
      <c r="S3013" s="42">
        <f t="shared" ca="1" si="51"/>
        <v>48719</v>
      </c>
      <c r="T3013" s="43">
        <f ca="1">_xll.BInterpol('Base CDI'!$H$4:$H$28,'Base CDI'!$J$4:$J$29,S3013,"Cubic","Extrapolate=Linear","MultiX=Average","Skip=True","Sort=True")</f>
        <v>14.725847471138582</v>
      </c>
      <c r="U3013" s="43">
        <f ca="1">_xll.BInterpol('Base CDI'!$H$4:$H$28,'Base CDI'!$I$4:$I$29,S3013,"Cubic","Extrapolate=Linear","MultiX=Average","Skip=True","Sort=True")</f>
        <v>14.804842155973114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48720</v>
      </c>
      <c r="T3014" s="43">
        <f ca="1">_xll.BInterpol('Base CDI'!$H$4:$H$28,'Base CDI'!$J$4:$J$29,S3014,"Cubic","Extrapolate=Linear","MultiX=Average","Skip=True","Sort=True")</f>
        <v>14.725791485664461</v>
      </c>
      <c r="U3014" s="43">
        <f ca="1">_xll.BInterpol('Base CDI'!$H$4:$H$28,'Base CDI'!$I$4:$I$29,S3014,"Cubic","Extrapolate=Linear","MultiX=Average","Skip=True","Sort=True")</f>
        <v>14.804800091188726</v>
      </c>
    </row>
    <row r="3015" spans="16:21" x14ac:dyDescent="0.25">
      <c r="P3015" s="10">
        <v>38896</v>
      </c>
      <c r="Q3015">
        <v>15.14911</v>
      </c>
      <c r="S3015" s="42">
        <f t="shared" ca="1" si="51"/>
        <v>48721</v>
      </c>
      <c r="T3015" s="43">
        <f ca="1">_xll.BInterpol('Base CDI'!$H$4:$H$28,'Base CDI'!$J$4:$J$29,S3015,"Cubic","Extrapolate=Linear","MultiX=Average","Skip=True","Sort=True")</f>
        <v>14.725735438768977</v>
      </c>
      <c r="U3015" s="43">
        <f ca="1">_xll.BInterpol('Base CDI'!$H$4:$H$28,'Base CDI'!$I$4:$I$29,S3015,"Cubic","Extrapolate=Linear","MultiX=Average","Skip=True","Sort=True")</f>
        <v>14.804757941970974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48722</v>
      </c>
      <c r="T3016" s="43">
        <f ca="1">_xll.BInterpol('Base CDI'!$H$4:$H$28,'Base CDI'!$J$4:$J$29,S3016,"Cubic","Extrapolate=Linear","MultiX=Average","Skip=True","Sort=True")</f>
        <v>14.725679330307985</v>
      </c>
      <c r="U3016" s="43">
        <f ca="1">_xll.BInterpol('Base CDI'!$H$4:$H$28,'Base CDI'!$I$4:$I$29,S3016,"Cubic","Extrapolate=Linear","MultiX=Average","Skip=True","Sort=True")</f>
        <v>14.804715707878946</v>
      </c>
    </row>
    <row r="3017" spans="16:21" x14ac:dyDescent="0.25">
      <c r="P3017" s="10">
        <v>38898</v>
      </c>
      <c r="Q3017">
        <v>15.16606</v>
      </c>
      <c r="S3017" s="42">
        <f t="shared" ca="1" si="51"/>
        <v>48723</v>
      </c>
      <c r="T3017" s="43">
        <f ca="1">_xll.BInterpol('Base CDI'!$H$4:$H$28,'Base CDI'!$J$4:$J$29,S3017,"Cubic","Extrapolate=Linear","MultiX=Average","Skip=True","Sort=True")</f>
        <v>14.725623160137337</v>
      </c>
      <c r="U3017" s="43">
        <f ca="1">_xll.BInterpol('Base CDI'!$H$4:$H$28,'Base CDI'!$I$4:$I$29,S3017,"Cubic","Extrapolate=Linear","MultiX=Average","Skip=True","Sort=True")</f>
        <v>14.804673388471723</v>
      </c>
    </row>
    <row r="3018" spans="16:21" x14ac:dyDescent="0.25">
      <c r="P3018" s="10">
        <v>38901</v>
      </c>
      <c r="Q3018">
        <v>15.17456</v>
      </c>
      <c r="S3018" s="42">
        <f t="shared" ca="1" si="51"/>
        <v>48724</v>
      </c>
      <c r="T3018" s="43">
        <f ca="1">_xll.BInterpol('Base CDI'!$H$4:$H$28,'Base CDI'!$J$4:$J$29,S3018,"Cubic","Extrapolate=Linear","MultiX=Average","Skip=True","Sort=True")</f>
        <v>14.725566928112885</v>
      </c>
      <c r="U3018" s="43">
        <f ca="1">_xll.BInterpol('Base CDI'!$H$4:$H$28,'Base CDI'!$I$4:$I$29,S3018,"Cubic","Extrapolate=Linear","MultiX=Average","Skip=True","Sort=True")</f>
        <v>14.804630983308385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48725</v>
      </c>
      <c r="T3019" s="43">
        <f ca="1">_xll.BInterpol('Base CDI'!$H$4:$H$28,'Base CDI'!$J$4:$J$29,S3019,"Cubic","Extrapolate=Linear","MultiX=Average","Skip=True","Sort=True")</f>
        <v>14.725510634090481</v>
      </c>
      <c r="U3019" s="43">
        <f ca="1">_xll.BInterpol('Base CDI'!$H$4:$H$28,'Base CDI'!$I$4:$I$29,S3019,"Cubic","Extrapolate=Linear","MultiX=Average","Skip=True","Sort=True")</f>
        <v>14.804588491948017</v>
      </c>
    </row>
    <row r="3020" spans="16:21" x14ac:dyDescent="0.25">
      <c r="P3020" s="10">
        <v>38903</v>
      </c>
      <c r="Q3020">
        <v>15.19158</v>
      </c>
      <c r="S3020" s="42">
        <f t="shared" ca="1" si="52"/>
        <v>48726</v>
      </c>
      <c r="T3020" s="43">
        <f ca="1">_xll.BInterpol('Base CDI'!$H$4:$H$28,'Base CDI'!$J$4:$J$29,S3020,"Cubic","Extrapolate=Linear","MultiX=Average","Skip=True","Sort=True")</f>
        <v>14.72545427792598</v>
      </c>
      <c r="U3020" s="43">
        <f ca="1">_xll.BInterpol('Base CDI'!$H$4:$H$28,'Base CDI'!$I$4:$I$29,S3020,"Cubic","Extrapolate=Linear","MultiX=Average","Skip=True","Sort=True")</f>
        <v>14.804545913949699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48727</v>
      </c>
      <c r="T3021" s="43">
        <f ca="1">_xll.BInterpol('Base CDI'!$H$4:$H$28,'Base CDI'!$J$4:$J$29,S3021,"Cubic","Extrapolate=Linear","MultiX=Average","Skip=True","Sort=True")</f>
        <v>14.725397859475231</v>
      </c>
      <c r="U3021" s="43">
        <f ca="1">_xll.BInterpol('Base CDI'!$H$4:$H$28,'Base CDI'!$I$4:$I$29,S3021,"Cubic","Extrapolate=Linear","MultiX=Average","Skip=True","Sort=True")</f>
        <v>14.804503248872514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48728</v>
      </c>
      <c r="T3022" s="43">
        <f ca="1">_xll.BInterpol('Base CDI'!$H$4:$H$28,'Base CDI'!$J$4:$J$29,S3022,"Cubic","Extrapolate=Linear","MultiX=Average","Skip=True","Sort=True")</f>
        <v>14.72534137859409</v>
      </c>
      <c r="U3022" s="43">
        <f ca="1">_xll.BInterpol('Base CDI'!$H$4:$H$28,'Base CDI'!$I$4:$I$29,S3022,"Cubic","Extrapolate=Linear","MultiX=Average","Skip=True","Sort=True")</f>
        <v>14.804460496275544</v>
      </c>
    </row>
    <row r="3023" spans="16:21" x14ac:dyDescent="0.25">
      <c r="P3023" s="10">
        <v>38908</v>
      </c>
      <c r="Q3023">
        <v>15.21712</v>
      </c>
      <c r="S3023" s="42">
        <f t="shared" ca="1" si="52"/>
        <v>48729</v>
      </c>
      <c r="T3023" s="43">
        <f ca="1">_xll.BInterpol('Base CDI'!$H$4:$H$28,'Base CDI'!$J$4:$J$29,S3023,"Cubic","Extrapolate=Linear","MultiX=Average","Skip=True","Sort=True")</f>
        <v>14.725284835138407</v>
      </c>
      <c r="U3023" s="43">
        <f ca="1">_xll.BInterpol('Base CDI'!$H$4:$H$28,'Base CDI'!$I$4:$I$29,S3023,"Cubic","Extrapolate=Linear","MultiX=Average","Skip=True","Sort=True")</f>
        <v>14.804417655717872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48730</v>
      </c>
      <c r="T3024" s="43">
        <f ca="1">_xll.BInterpol('Base CDI'!$H$4:$H$28,'Base CDI'!$J$4:$J$29,S3024,"Cubic","Extrapolate=Linear","MultiX=Average","Skip=True","Sort=True")</f>
        <v>14.725228228964033</v>
      </c>
      <c r="U3024" s="43">
        <f ca="1">_xll.BInterpol('Base CDI'!$H$4:$H$28,'Base CDI'!$I$4:$I$29,S3024,"Cubic","Extrapolate=Linear","MultiX=Average","Skip=True","Sort=True")</f>
        <v>14.804374726758581</v>
      </c>
    </row>
    <row r="3025" spans="16:21" x14ac:dyDescent="0.25">
      <c r="P3025" s="10">
        <v>38910</v>
      </c>
      <c r="Q3025">
        <v>15.23415</v>
      </c>
      <c r="S3025" s="42">
        <f t="shared" ca="1" si="52"/>
        <v>48731</v>
      </c>
      <c r="T3025" s="43">
        <f ca="1">_xll.BInterpol('Base CDI'!$H$4:$H$28,'Base CDI'!$J$4:$J$29,S3025,"Cubic","Extrapolate=Linear","MultiX=Average","Skip=True","Sort=True")</f>
        <v>14.725171559926824</v>
      </c>
      <c r="U3025" s="43">
        <f ca="1">_xll.BInterpol('Base CDI'!$H$4:$H$28,'Base CDI'!$I$4:$I$29,S3025,"Cubic","Extrapolate=Linear","MultiX=Average","Skip=True","Sort=True")</f>
        <v>14.804331708956752</v>
      </c>
    </row>
    <row r="3026" spans="16:21" x14ac:dyDescent="0.25">
      <c r="P3026" s="10">
        <v>38911</v>
      </c>
      <c r="Q3026">
        <v>15.24267</v>
      </c>
      <c r="S3026" s="42">
        <f t="shared" ca="1" si="52"/>
        <v>48732</v>
      </c>
      <c r="T3026" s="43">
        <f ca="1">_xll.BInterpol('Base CDI'!$H$4:$H$28,'Base CDI'!$J$4:$J$29,S3026,"Cubic","Extrapolate=Linear","MultiX=Average","Skip=True","Sort=True")</f>
        <v>14.725114827882631</v>
      </c>
      <c r="U3026" s="43">
        <f ca="1">_xll.BInterpol('Base CDI'!$H$4:$H$28,'Base CDI'!$I$4:$I$29,S3026,"Cubic","Extrapolate=Linear","MultiX=Average","Skip=True","Sort=True")</f>
        <v>14.804288601871466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48733</v>
      </c>
      <c r="T3027" s="43">
        <f ca="1">_xll.BInterpol('Base CDI'!$H$4:$H$28,'Base CDI'!$J$4:$J$29,S3027,"Cubic","Extrapolate=Linear","MultiX=Average","Skip=True","Sort=True")</f>
        <v>14.725058032687308</v>
      </c>
      <c r="U3027" s="43">
        <f ca="1">_xll.BInterpol('Base CDI'!$H$4:$H$28,'Base CDI'!$I$4:$I$29,S3027,"Cubic","Extrapolate=Linear","MultiX=Average","Skip=True","Sort=True")</f>
        <v>14.804245405061808</v>
      </c>
    </row>
    <row r="3028" spans="16:21" x14ac:dyDescent="0.25">
      <c r="P3028" s="10">
        <v>38915</v>
      </c>
      <c r="Q3028">
        <v>15.25972</v>
      </c>
      <c r="S3028" s="42">
        <f t="shared" ca="1" si="52"/>
        <v>48734</v>
      </c>
      <c r="T3028" s="43">
        <f ca="1">_xll.BInterpol('Base CDI'!$H$4:$H$28,'Base CDI'!$J$4:$J$29,S3028,"Cubic","Extrapolate=Linear","MultiX=Average","Skip=True","Sort=True")</f>
        <v>14.725001174196704</v>
      </c>
      <c r="U3028" s="43">
        <f ca="1">_xll.BInterpol('Base CDI'!$H$4:$H$28,'Base CDI'!$I$4:$I$29,S3028,"Cubic","Extrapolate=Linear","MultiX=Average","Skip=True","Sort=True")</f>
        <v>14.804202118086858</v>
      </c>
    </row>
    <row r="3029" spans="16:21" x14ac:dyDescent="0.25">
      <c r="P3029" s="10">
        <v>38916</v>
      </c>
      <c r="Q3029">
        <v>15.26825</v>
      </c>
      <c r="S3029" s="42">
        <f t="shared" ca="1" si="52"/>
        <v>48735</v>
      </c>
      <c r="T3029" s="43">
        <f ca="1">_xll.BInterpol('Base CDI'!$H$4:$H$28,'Base CDI'!$J$4:$J$29,S3029,"Cubic","Extrapolate=Linear","MultiX=Average","Skip=True","Sort=True")</f>
        <v>14.724944252266674</v>
      </c>
      <c r="U3029" s="43">
        <f ca="1">_xll.BInterpol('Base CDI'!$H$4:$H$28,'Base CDI'!$I$4:$I$29,S3029,"Cubic","Extrapolate=Linear","MultiX=Average","Skip=True","Sort=True")</f>
        <v>14.8041587405057</v>
      </c>
    </row>
    <row r="3030" spans="16:21" x14ac:dyDescent="0.25">
      <c r="P3030" s="10">
        <v>38917</v>
      </c>
      <c r="Q3030">
        <v>15.27679</v>
      </c>
      <c r="S3030" s="42">
        <f t="shared" ca="1" si="52"/>
        <v>48736</v>
      </c>
      <c r="T3030" s="43">
        <f ca="1">_xll.BInterpol('Base CDI'!$H$4:$H$28,'Base CDI'!$J$4:$J$29,S3030,"Cubic","Extrapolate=Linear","MultiX=Average","Skip=True","Sort=True")</f>
        <v>14.72488726675307</v>
      </c>
      <c r="U3030" s="43">
        <f ca="1">_xll.BInterpol('Base CDI'!$H$4:$H$28,'Base CDI'!$I$4:$I$29,S3030,"Cubic","Extrapolate=Linear","MultiX=Average","Skip=True","Sort=True")</f>
        <v>14.804115271877416</v>
      </c>
    </row>
    <row r="3031" spans="16:21" x14ac:dyDescent="0.25">
      <c r="P3031" s="10">
        <v>38918</v>
      </c>
      <c r="Q3031">
        <v>15.28533</v>
      </c>
      <c r="S3031" s="42">
        <f t="shared" ca="1" si="52"/>
        <v>48737</v>
      </c>
      <c r="T3031" s="43">
        <f ca="1">_xll.BInterpol('Base CDI'!$H$4:$H$28,'Base CDI'!$J$4:$J$29,S3031,"Cubic","Extrapolate=Linear","MultiX=Average","Skip=True","Sort=True")</f>
        <v>14.724830217511744</v>
      </c>
      <c r="U3031" s="43">
        <f ca="1">_xll.BInterpol('Base CDI'!$H$4:$H$28,'Base CDI'!$I$4:$I$29,S3031,"Cubic","Extrapolate=Linear","MultiX=Average","Skip=True","Sort=True")</f>
        <v>14.804071711761086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48738</v>
      </c>
      <c r="T3032" s="43">
        <f ca="1">_xll.BInterpol('Base CDI'!$H$4:$H$28,'Base CDI'!$J$4:$J$29,S3032,"Cubic","Extrapolate=Linear","MultiX=Average","Skip=True","Sort=True")</f>
        <v>14.724773104398549</v>
      </c>
      <c r="U3032" s="43">
        <f ca="1">_xll.BInterpol('Base CDI'!$H$4:$H$28,'Base CDI'!$I$4:$I$29,S3032,"Cubic","Extrapolate=Linear","MultiX=Average","Skip=True","Sort=True")</f>
        <v>14.804028059715796</v>
      </c>
    </row>
    <row r="3033" spans="16:21" x14ac:dyDescent="0.25">
      <c r="P3033" s="10">
        <v>38922</v>
      </c>
      <c r="Q3033">
        <v>15.3019</v>
      </c>
      <c r="S3033" s="42">
        <f t="shared" ca="1" si="52"/>
        <v>48739</v>
      </c>
      <c r="T3033" s="43">
        <f ca="1">_xll.BInterpol('Base CDI'!$H$4:$H$28,'Base CDI'!$J$4:$J$29,S3033,"Cubic","Extrapolate=Linear","MultiX=Average","Skip=True","Sort=True")</f>
        <v>14.724715927269338</v>
      </c>
      <c r="U3033" s="43">
        <f ca="1">_xll.BInterpol('Base CDI'!$H$4:$H$28,'Base CDI'!$I$4:$I$29,S3033,"Cubic","Extrapolate=Linear","MultiX=Average","Skip=True","Sort=True")</f>
        <v>14.803984315300625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48740</v>
      </c>
      <c r="T3034" s="43">
        <f ca="1">_xll.BInterpol('Base CDI'!$H$4:$H$28,'Base CDI'!$J$4:$J$29,S3034,"Cubic","Extrapolate=Linear","MultiX=Average","Skip=True","Sort=True")</f>
        <v>14.724658685979962</v>
      </c>
      <c r="U3034" s="43">
        <f ca="1">_xll.BInterpol('Base CDI'!$H$4:$H$28,'Base CDI'!$I$4:$I$29,S3034,"Cubic","Extrapolate=Linear","MultiX=Average","Skip=True","Sort=True")</f>
        <v>14.803940478074658</v>
      </c>
    </row>
    <row r="3035" spans="16:21" x14ac:dyDescent="0.25">
      <c r="P3035" s="10">
        <v>38924</v>
      </c>
      <c r="Q3035">
        <v>15.31847</v>
      </c>
      <c r="S3035" s="42">
        <f t="shared" ca="1" si="52"/>
        <v>48741</v>
      </c>
      <c r="T3035" s="43">
        <f ca="1">_xll.BInterpol('Base CDI'!$H$4:$H$28,'Base CDI'!$J$4:$J$29,S3035,"Cubic","Extrapolate=Linear","MultiX=Average","Skip=True","Sort=True")</f>
        <v>14.724601380386273</v>
      </c>
      <c r="U3035" s="43">
        <f ca="1">_xll.BInterpol('Base CDI'!$H$4:$H$28,'Base CDI'!$I$4:$I$29,S3035,"Cubic","Extrapolate=Linear","MultiX=Average","Skip=True","Sort=True")</f>
        <v>14.803896547596974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48742</v>
      </c>
      <c r="T3036" s="43">
        <f ca="1">_xll.BInterpol('Base CDI'!$H$4:$H$28,'Base CDI'!$J$4:$J$29,S3036,"Cubic","Extrapolate=Linear","MultiX=Average","Skip=True","Sort=True")</f>
        <v>14.724544010344127</v>
      </c>
      <c r="U3036" s="43">
        <f ca="1">_xll.BInterpol('Base CDI'!$H$4:$H$28,'Base CDI'!$I$4:$I$29,S3036,"Cubic","Extrapolate=Linear","MultiX=Average","Skip=True","Sort=True")</f>
        <v>14.803852523426658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48743</v>
      </c>
      <c r="T3037" s="43">
        <f ca="1">_xll.BInterpol('Base CDI'!$H$4:$H$28,'Base CDI'!$J$4:$J$29,S3037,"Cubic","Extrapolate=Linear","MultiX=Average","Skip=True","Sort=True")</f>
        <v>14.724486575709372</v>
      </c>
      <c r="U3037" s="43">
        <f ca="1">_xll.BInterpol('Base CDI'!$H$4:$H$28,'Base CDI'!$I$4:$I$29,S3037,"Cubic","Extrapolate=Linear","MultiX=Average","Skip=True","Sort=True")</f>
        <v>14.803808405122791</v>
      </c>
    </row>
    <row r="3038" spans="16:21" x14ac:dyDescent="0.25">
      <c r="P3038" s="10">
        <v>38929</v>
      </c>
      <c r="Q3038">
        <v>15.34333</v>
      </c>
      <c r="S3038" s="42">
        <f t="shared" ca="1" si="52"/>
        <v>48744</v>
      </c>
      <c r="T3038" s="43">
        <f ca="1">_xll.BInterpol('Base CDI'!$H$4:$H$28,'Base CDI'!$J$4:$J$29,S3038,"Cubic","Extrapolate=Linear","MultiX=Average","Skip=True","Sort=True")</f>
        <v>14.724429076337865</v>
      </c>
      <c r="U3038" s="43">
        <f ca="1">_xll.BInterpol('Base CDI'!$H$4:$H$28,'Base CDI'!$I$4:$I$29,S3038,"Cubic","Extrapolate=Linear","MultiX=Average","Skip=True","Sort=True")</f>
        <v>14.803764192244454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48745</v>
      </c>
      <c r="T3039" s="43">
        <f ca="1">_xll.BInterpol('Base CDI'!$H$4:$H$28,'Base CDI'!$J$4:$J$29,S3039,"Cubic","Extrapolate=Linear","MultiX=Average","Skip=True","Sort=True")</f>
        <v>14.724371512085455</v>
      </c>
      <c r="U3039" s="43">
        <f ca="1">_xll.BInterpol('Base CDI'!$H$4:$H$28,'Base CDI'!$I$4:$I$29,S3039,"Cubic","Extrapolate=Linear","MultiX=Average","Skip=True","Sort=True")</f>
        <v>14.803719884350734</v>
      </c>
    </row>
    <row r="3040" spans="16:21" x14ac:dyDescent="0.25">
      <c r="P3040" s="10">
        <v>38931</v>
      </c>
      <c r="Q3040">
        <v>15.35995</v>
      </c>
      <c r="S3040" s="42">
        <f t="shared" ca="1" si="52"/>
        <v>48746</v>
      </c>
      <c r="T3040" s="43">
        <f ca="1">_xll.BInterpol('Base CDI'!$H$4:$H$28,'Base CDI'!$J$4:$J$29,S3040,"Cubic","Extrapolate=Linear","MultiX=Average","Skip=True","Sort=True")</f>
        <v>14.724313882807996</v>
      </c>
      <c r="U3040" s="43">
        <f ca="1">_xll.BInterpol('Base CDI'!$H$4:$H$28,'Base CDI'!$I$4:$I$29,S3040,"Cubic","Extrapolate=Linear","MultiX=Average","Skip=True","Sort=True")</f>
        <v>14.803675481000708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48747</v>
      </c>
      <c r="T3041" s="43">
        <f ca="1">_xll.BInterpol('Base CDI'!$H$4:$H$28,'Base CDI'!$J$4:$J$29,S3041,"Cubic","Extrapolate=Linear","MultiX=Average","Skip=True","Sort=True")</f>
        <v>14.724256188361339</v>
      </c>
      <c r="U3041" s="43">
        <f ca="1">_xll.BInterpol('Base CDI'!$H$4:$H$28,'Base CDI'!$I$4:$I$29,S3041,"Cubic","Extrapolate=Linear","MultiX=Average","Skip=True","Sort=True")</f>
        <v>14.803630981753461</v>
      </c>
    </row>
    <row r="3042" spans="16:21" x14ac:dyDescent="0.25">
      <c r="P3042" s="10">
        <v>38933</v>
      </c>
      <c r="Q3042">
        <v>15.37659</v>
      </c>
      <c r="S3042" s="42">
        <f t="shared" ca="1" si="52"/>
        <v>48748</v>
      </c>
      <c r="T3042" s="43">
        <f ca="1">_xll.BInterpol('Base CDI'!$H$4:$H$28,'Base CDI'!$J$4:$J$29,S3042,"Cubic","Extrapolate=Linear","MultiX=Average","Skip=True","Sort=True")</f>
        <v>14.724198428601337</v>
      </c>
      <c r="U3042" s="43">
        <f ca="1">_xll.BInterpol('Base CDI'!$H$4:$H$28,'Base CDI'!$I$4:$I$29,S3042,"Cubic","Extrapolate=Linear","MultiX=Average","Skip=True","Sort=True")</f>
        <v>14.803586386168075</v>
      </c>
    </row>
    <row r="3043" spans="16:21" x14ac:dyDescent="0.25">
      <c r="P3043" s="10">
        <v>38936</v>
      </c>
      <c r="Q3043">
        <v>15.38491</v>
      </c>
      <c r="S3043" s="42">
        <f t="shared" ca="1" si="52"/>
        <v>48749</v>
      </c>
      <c r="T3043" s="43">
        <f ca="1">_xll.BInterpol('Base CDI'!$H$4:$H$28,'Base CDI'!$J$4:$J$29,S3043,"Cubic","Extrapolate=Linear","MultiX=Average","Skip=True","Sort=True")</f>
        <v>14.724140603383844</v>
      </c>
      <c r="U3043" s="43">
        <f ca="1">_xll.BInterpol('Base CDI'!$H$4:$H$28,'Base CDI'!$I$4:$I$29,S3043,"Cubic","Extrapolate=Linear","MultiX=Average","Skip=True","Sort=True")</f>
        <v>14.803541693803631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48750</v>
      </c>
      <c r="T3044" s="43">
        <f ca="1">_xll.BInterpol('Base CDI'!$H$4:$H$28,'Base CDI'!$J$4:$J$29,S3044,"Cubic","Extrapolate=Linear","MultiX=Average","Skip=True","Sort=True")</f>
        <v>14.724082712564712</v>
      </c>
      <c r="U3044" s="43">
        <f ca="1">_xll.BInterpol('Base CDI'!$H$4:$H$28,'Base CDI'!$I$4:$I$29,S3044,"Cubic","Extrapolate=Linear","MultiX=Average","Skip=True","Sort=True")</f>
        <v>14.803496904219211</v>
      </c>
    </row>
    <row r="3045" spans="16:21" x14ac:dyDescent="0.25">
      <c r="P3045" s="10">
        <v>38938</v>
      </c>
      <c r="Q3045">
        <v>15.40156</v>
      </c>
      <c r="S3045" s="42">
        <f t="shared" ca="1" si="52"/>
        <v>48751</v>
      </c>
      <c r="T3045" s="43">
        <f ca="1">_xll.BInterpol('Base CDI'!$H$4:$H$28,'Base CDI'!$J$4:$J$29,S3045,"Cubic","Extrapolate=Linear","MultiX=Average","Skip=True","Sort=True")</f>
        <v>14.724024755999793</v>
      </c>
      <c r="U3045" s="43">
        <f ca="1">_xll.BInterpol('Base CDI'!$H$4:$H$28,'Base CDI'!$I$4:$I$29,S3045,"Cubic","Extrapolate=Linear","MultiX=Average","Skip=True","Sort=True")</f>
        <v>14.8034520169739</v>
      </c>
    </row>
    <row r="3046" spans="16:21" x14ac:dyDescent="0.25">
      <c r="P3046" s="10">
        <v>38939</v>
      </c>
      <c r="Q3046">
        <v>15.4099</v>
      </c>
      <c r="S3046" s="42">
        <f t="shared" ca="1" si="52"/>
        <v>48752</v>
      </c>
      <c r="T3046" s="43">
        <f ca="1">_xll.BInterpol('Base CDI'!$H$4:$H$28,'Base CDI'!$J$4:$J$29,S3046,"Cubic","Extrapolate=Linear","MultiX=Average","Skip=True","Sort=True")</f>
        <v>14.723966733544938</v>
      </c>
      <c r="U3046" s="43">
        <f ca="1">_xll.BInterpol('Base CDI'!$H$4:$H$28,'Base CDI'!$I$4:$I$29,S3046,"Cubic","Extrapolate=Linear","MultiX=Average","Skip=True","Sort=True")</f>
        <v>14.803407031626778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48753</v>
      </c>
      <c r="T3047" s="43">
        <f ca="1">_xll.BInterpol('Base CDI'!$H$4:$H$28,'Base CDI'!$J$4:$J$29,S3047,"Cubic","Extrapolate=Linear","MultiX=Average","Skip=True","Sort=True")</f>
        <v>14.723908645056001</v>
      </c>
      <c r="U3047" s="43">
        <f ca="1">_xll.BInterpol('Base CDI'!$H$4:$H$28,'Base CDI'!$I$4:$I$29,S3047,"Cubic","Extrapolate=Linear","MultiX=Average","Skip=True","Sort=True")</f>
        <v>14.803361947736928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48754</v>
      </c>
      <c r="T3048" s="43">
        <f ca="1">_xll.BInterpol('Base CDI'!$H$4:$H$28,'Base CDI'!$J$4:$J$29,S3048,"Cubic","Extrapolate=Linear","MultiX=Average","Skip=True","Sort=True")</f>
        <v>14.723850490388836</v>
      </c>
      <c r="U3048" s="43">
        <f ca="1">_xll.BInterpol('Base CDI'!$H$4:$H$28,'Base CDI'!$I$4:$I$29,S3048,"Cubic","Extrapolate=Linear","MultiX=Average","Skip=True","Sort=True")</f>
        <v>14.803316764863432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48755</v>
      </c>
      <c r="T3049" s="43">
        <f ca="1">_xll.BInterpol('Base CDI'!$H$4:$H$28,'Base CDI'!$J$4:$J$29,S3049,"Cubic","Extrapolate=Linear","MultiX=Average","Skip=True","Sort=True")</f>
        <v>14.723792269399292</v>
      </c>
      <c r="U3049" s="43">
        <f ca="1">_xll.BInterpol('Base CDI'!$H$4:$H$28,'Base CDI'!$I$4:$I$29,S3049,"Cubic","Extrapolate=Linear","MultiX=Average","Skip=True","Sort=True")</f>
        <v>14.803271482565373</v>
      </c>
    </row>
    <row r="3050" spans="16:21" x14ac:dyDescent="0.25">
      <c r="P3050" s="10">
        <v>38945</v>
      </c>
      <c r="Q3050">
        <v>15.44332</v>
      </c>
      <c r="S3050" s="42">
        <f t="shared" ca="1" si="52"/>
        <v>48756</v>
      </c>
      <c r="T3050" s="43">
        <f ca="1">_xll.BInterpol('Base CDI'!$H$4:$H$28,'Base CDI'!$J$4:$J$29,S3050,"Cubic","Extrapolate=Linear","MultiX=Average","Skip=True","Sort=True")</f>
        <v>14.723733981943225</v>
      </c>
      <c r="U3050" s="43">
        <f ca="1">_xll.BInterpol('Base CDI'!$H$4:$H$28,'Base CDI'!$I$4:$I$29,S3050,"Cubic","Extrapolate=Linear","MultiX=Average","Skip=True","Sort=True")</f>
        <v>14.803226100401833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48757</v>
      </c>
      <c r="T3051" s="43">
        <f ca="1">_xll.BInterpol('Base CDI'!$H$4:$H$28,'Base CDI'!$J$4:$J$29,S3051,"Cubic","Extrapolate=Linear","MultiX=Average","Skip=True","Sort=True")</f>
        <v>14.723675627876483</v>
      </c>
      <c r="U3051" s="43">
        <f ca="1">_xll.BInterpol('Base CDI'!$H$4:$H$28,'Base CDI'!$I$4:$I$29,S3051,"Cubic","Extrapolate=Linear","MultiX=Average","Skip=True","Sort=True")</f>
        <v>14.803180617931892</v>
      </c>
    </row>
    <row r="3052" spans="16:21" x14ac:dyDescent="0.25">
      <c r="P3052" s="10">
        <v>38947</v>
      </c>
      <c r="Q3052">
        <v>15.46007</v>
      </c>
      <c r="S3052" s="42">
        <f t="shared" ca="1" si="52"/>
        <v>48758</v>
      </c>
      <c r="T3052" s="43">
        <f ca="1">_xll.BInterpol('Base CDI'!$H$4:$H$28,'Base CDI'!$J$4:$J$29,S3052,"Cubic","Extrapolate=Linear","MultiX=Average","Skip=True","Sort=True")</f>
        <v>14.723617207054923</v>
      </c>
      <c r="U3052" s="43">
        <f ca="1">_xll.BInterpol('Base CDI'!$H$4:$H$28,'Base CDI'!$I$4:$I$29,S3052,"Cubic","Extrapolate=Linear","MultiX=Average","Skip=True","Sort=True")</f>
        <v>14.803135034714636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48759</v>
      </c>
      <c r="T3053" s="43">
        <f ca="1">_xll.BInterpol('Base CDI'!$H$4:$H$28,'Base CDI'!$J$4:$J$29,S3053,"Cubic","Extrapolate=Linear","MultiX=Average","Skip=True","Sort=True")</f>
        <v>14.723558719334395</v>
      </c>
      <c r="U3053" s="43">
        <f ca="1">_xll.BInterpol('Base CDI'!$H$4:$H$28,'Base CDI'!$I$4:$I$29,S3053,"Cubic","Extrapolate=Linear","MultiX=Average","Skip=True","Sort=True")</f>
        <v>14.803089350309145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48760</v>
      </c>
      <c r="T3054" s="43">
        <f ca="1">_xll.BInterpol('Base CDI'!$H$4:$H$28,'Base CDI'!$J$4:$J$29,S3054,"Cubic","Extrapolate=Linear","MultiX=Average","Skip=True","Sort=True")</f>
        <v>14.723500164570753</v>
      </c>
      <c r="U3054" s="43">
        <f ca="1">_xll.BInterpol('Base CDI'!$H$4:$H$28,'Base CDI'!$I$4:$I$29,S3054,"Cubic","Extrapolate=Linear","MultiX=Average","Skip=True","Sort=True")</f>
        <v>14.803043564274502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48761</v>
      </c>
      <c r="T3055" s="43">
        <f ca="1">_xll.BInterpol('Base CDI'!$H$4:$H$28,'Base CDI'!$J$4:$J$29,S3055,"Cubic","Extrapolate=Linear","MultiX=Average","Skip=True","Sort=True")</f>
        <v>14.723441542619849</v>
      </c>
      <c r="U3055" s="43">
        <f ca="1">_xll.BInterpol('Base CDI'!$H$4:$H$28,'Base CDI'!$I$4:$I$29,S3055,"Cubic","Extrapolate=Linear","MultiX=Average","Skip=True","Sort=True")</f>
        <v>14.802997676169788</v>
      </c>
    </row>
    <row r="3056" spans="16:21" x14ac:dyDescent="0.25">
      <c r="P3056" s="10">
        <v>38953</v>
      </c>
      <c r="Q3056">
        <v>15.49363</v>
      </c>
      <c r="S3056" s="42">
        <f t="shared" ca="1" si="52"/>
        <v>48762</v>
      </c>
      <c r="T3056" s="43">
        <f ca="1">_xll.BInterpol('Base CDI'!$H$4:$H$28,'Base CDI'!$J$4:$J$29,S3056,"Cubic","Extrapolate=Linear","MultiX=Average","Skip=True","Sort=True")</f>
        <v>14.723382853337533</v>
      </c>
      <c r="U3056" s="43">
        <f ca="1">_xll.BInterpol('Base CDI'!$H$4:$H$28,'Base CDI'!$I$4:$I$29,S3056,"Cubic","Extrapolate=Linear","MultiX=Average","Skip=True","Sort=True")</f>
        <v>14.802951685554087</v>
      </c>
    </row>
    <row r="3057" spans="16:21" x14ac:dyDescent="0.25">
      <c r="P3057" s="10">
        <v>38954</v>
      </c>
      <c r="Q3057">
        <v>15.50202</v>
      </c>
      <c r="S3057" s="42">
        <f t="shared" ca="1" si="52"/>
        <v>48763</v>
      </c>
      <c r="T3057" s="43">
        <f ca="1">_xll.BInterpol('Base CDI'!$H$4:$H$28,'Base CDI'!$J$4:$J$29,S3057,"Cubic","Extrapolate=Linear","MultiX=Average","Skip=True","Sort=True")</f>
        <v>14.723324096579661</v>
      </c>
      <c r="U3057" s="43">
        <f ca="1">_xll.BInterpol('Base CDI'!$H$4:$H$28,'Base CDI'!$I$4:$I$29,S3057,"Cubic","Extrapolate=Linear","MultiX=Average","Skip=True","Sort=True")</f>
        <v>14.802905591986478</v>
      </c>
    </row>
    <row r="3058" spans="16:21" x14ac:dyDescent="0.25">
      <c r="P3058" s="10">
        <v>38957</v>
      </c>
      <c r="Q3058">
        <v>15.51042</v>
      </c>
      <c r="S3058" s="42">
        <f t="shared" ca="1" si="52"/>
        <v>48764</v>
      </c>
      <c r="T3058" s="43">
        <f ca="1">_xll.BInterpol('Base CDI'!$H$4:$H$28,'Base CDI'!$J$4:$J$29,S3058,"Cubic","Extrapolate=Linear","MultiX=Average","Skip=True","Sort=True")</f>
        <v>14.723265272202083</v>
      </c>
      <c r="U3058" s="43">
        <f ca="1">_xll.BInterpol('Base CDI'!$H$4:$H$28,'Base CDI'!$I$4:$I$29,S3058,"Cubic","Extrapolate=Linear","MultiX=Average","Skip=True","Sort=True")</f>
        <v>14.802859395026049</v>
      </c>
    </row>
    <row r="3059" spans="16:21" x14ac:dyDescent="0.25">
      <c r="P3059" s="10">
        <v>38958</v>
      </c>
      <c r="Q3059">
        <v>15.51881</v>
      </c>
      <c r="S3059" s="42">
        <f t="shared" ca="1" si="52"/>
        <v>48765</v>
      </c>
      <c r="T3059" s="43">
        <f ca="1">_xll.BInterpol('Base CDI'!$H$4:$H$28,'Base CDI'!$J$4:$J$29,S3059,"Cubic","Extrapolate=Linear","MultiX=Average","Skip=True","Sort=True")</f>
        <v>14.723206380060654</v>
      </c>
      <c r="U3059" s="43">
        <f ca="1">_xll.BInterpol('Base CDI'!$H$4:$H$28,'Base CDI'!$I$4:$I$29,S3059,"Cubic","Extrapolate=Linear","MultiX=Average","Skip=True","Sort=True")</f>
        <v>14.802813094231878</v>
      </c>
    </row>
    <row r="3060" spans="16:21" x14ac:dyDescent="0.25">
      <c r="P3060" s="10">
        <v>38959</v>
      </c>
      <c r="Q3060">
        <v>15.52721</v>
      </c>
      <c r="S3060" s="42">
        <f t="shared" ca="1" si="52"/>
        <v>48766</v>
      </c>
      <c r="T3060" s="43">
        <f ca="1">_xll.BInterpol('Base CDI'!$H$4:$H$28,'Base CDI'!$J$4:$J$29,S3060,"Cubic","Extrapolate=Linear","MultiX=Average","Skip=True","Sort=True")</f>
        <v>14.723147420011223</v>
      </c>
      <c r="U3060" s="43">
        <f ca="1">_xll.BInterpol('Base CDI'!$H$4:$H$28,'Base CDI'!$I$4:$I$29,S3060,"Cubic","Extrapolate=Linear","MultiX=Average","Skip=True","Sort=True")</f>
        <v>14.802766689163047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48767</v>
      </c>
      <c r="T3061" s="43">
        <f ca="1">_xll.BInterpol('Base CDI'!$H$4:$H$28,'Base CDI'!$J$4:$J$29,S3061,"Cubic","Extrapolate=Linear","MultiX=Average","Skip=True","Sort=True")</f>
        <v>14.723088391909647</v>
      </c>
      <c r="U3061" s="43">
        <f ca="1">_xll.BInterpol('Base CDI'!$H$4:$H$28,'Base CDI'!$I$4:$I$29,S3061,"Cubic","Extrapolate=Linear","MultiX=Average","Skip=True","Sort=True")</f>
        <v>14.802720179378641</v>
      </c>
    </row>
    <row r="3062" spans="16:21" x14ac:dyDescent="0.25">
      <c r="P3062" s="10">
        <v>38961</v>
      </c>
      <c r="Q3062">
        <v>15.54374</v>
      </c>
      <c r="S3062" s="42">
        <f t="shared" ca="1" si="52"/>
        <v>48768</v>
      </c>
      <c r="T3062" s="43">
        <f ca="1">_xll.BInterpol('Base CDI'!$H$4:$H$28,'Base CDI'!$J$4:$J$29,S3062,"Cubic","Extrapolate=Linear","MultiX=Average","Skip=True","Sort=True")</f>
        <v>14.723029295611774</v>
      </c>
      <c r="U3062" s="43">
        <f ca="1">_xll.BInterpol('Base CDI'!$H$4:$H$28,'Base CDI'!$I$4:$I$29,S3062,"Cubic","Extrapolate=Linear","MultiX=Average","Skip=True","Sort=True")</f>
        <v>14.80267356443774</v>
      </c>
    </row>
    <row r="3063" spans="16:21" x14ac:dyDescent="0.25">
      <c r="P3063" s="10">
        <v>38964</v>
      </c>
      <c r="Q3063">
        <v>15.5519</v>
      </c>
      <c r="S3063" s="42">
        <f t="shared" ca="1" si="52"/>
        <v>48769</v>
      </c>
      <c r="T3063" s="43">
        <f ca="1">_xll.BInterpol('Base CDI'!$H$4:$H$28,'Base CDI'!$J$4:$J$29,S3063,"Cubic","Extrapolate=Linear","MultiX=Average","Skip=True","Sort=True")</f>
        <v>14.722970130973458</v>
      </c>
      <c r="U3063" s="43">
        <f ca="1">_xll.BInterpol('Base CDI'!$H$4:$H$28,'Base CDI'!$I$4:$I$29,S3063,"Cubic","Extrapolate=Linear","MultiX=Average","Skip=True","Sort=True")</f>
        <v>14.802626843899427</v>
      </c>
    </row>
    <row r="3064" spans="16:21" x14ac:dyDescent="0.25">
      <c r="P3064" s="10">
        <v>38965</v>
      </c>
      <c r="Q3064">
        <v>15.56006</v>
      </c>
      <c r="S3064" s="42">
        <f t="shared" ca="1" si="52"/>
        <v>48770</v>
      </c>
      <c r="T3064" s="43">
        <f ca="1">_xll.BInterpol('Base CDI'!$H$4:$H$28,'Base CDI'!$J$4:$J$29,S3064,"Cubic","Extrapolate=Linear","MultiX=Average","Skip=True","Sort=True")</f>
        <v>14.722910897850552</v>
      </c>
      <c r="U3064" s="43">
        <f ca="1">_xll.BInterpol('Base CDI'!$H$4:$H$28,'Base CDI'!$I$4:$I$29,S3064,"Cubic","Extrapolate=Linear","MultiX=Average","Skip=True","Sort=True")</f>
        <v>14.802580017322784</v>
      </c>
    </row>
    <row r="3065" spans="16:21" x14ac:dyDescent="0.25">
      <c r="P3065" s="10">
        <v>38966</v>
      </c>
      <c r="Q3065">
        <v>15.56822</v>
      </c>
      <c r="S3065" s="42">
        <f t="shared" ca="1" si="52"/>
        <v>48771</v>
      </c>
      <c r="T3065" s="43">
        <f ca="1">_xll.BInterpol('Base CDI'!$H$4:$H$28,'Base CDI'!$J$4:$J$29,S3065,"Cubic","Extrapolate=Linear","MultiX=Average","Skip=True","Sort=True")</f>
        <v>14.722851596098909</v>
      </c>
      <c r="U3065" s="43">
        <f ca="1">_xll.BInterpol('Base CDI'!$H$4:$H$28,'Base CDI'!$I$4:$I$29,S3065,"Cubic","Extrapolate=Linear","MultiX=Average","Skip=True","Sort=True")</f>
        <v>14.802533084266894</v>
      </c>
    </row>
    <row r="3066" spans="16:21" x14ac:dyDescent="0.25">
      <c r="P3066" s="10">
        <v>38968</v>
      </c>
      <c r="Q3066">
        <v>15.57638</v>
      </c>
      <c r="S3066" s="42">
        <f t="shared" ca="1" si="52"/>
        <v>48772</v>
      </c>
      <c r="T3066" s="43">
        <f ca="1">_xll.BInterpol('Base CDI'!$H$4:$H$28,'Base CDI'!$J$4:$J$29,S3066,"Cubic","Extrapolate=Linear","MultiX=Average","Skip=True","Sort=True")</f>
        <v>14.722792225574381</v>
      </c>
      <c r="U3066" s="43">
        <f ca="1">_xll.BInterpol('Base CDI'!$H$4:$H$28,'Base CDI'!$I$4:$I$29,S3066,"Cubic","Extrapolate=Linear","MultiX=Average","Skip=True","Sort=True")</f>
        <v>14.802486044290838</v>
      </c>
    </row>
    <row r="3067" spans="16:21" x14ac:dyDescent="0.25">
      <c r="P3067" s="10">
        <v>38971</v>
      </c>
      <c r="Q3067">
        <v>15.58455</v>
      </c>
      <c r="S3067" s="42">
        <f t="shared" ca="1" si="52"/>
        <v>48773</v>
      </c>
      <c r="T3067" s="43">
        <f ca="1">_xll.BInterpol('Base CDI'!$H$4:$H$28,'Base CDI'!$J$4:$J$29,S3067,"Cubic","Extrapolate=Linear","MultiX=Average","Skip=True","Sort=True")</f>
        <v>14.722732786132818</v>
      </c>
      <c r="U3067" s="43">
        <f ca="1">_xll.BInterpol('Base CDI'!$H$4:$H$28,'Base CDI'!$I$4:$I$29,S3067,"Cubic","Extrapolate=Linear","MultiX=Average","Skip=True","Sort=True")</f>
        <v>14.802438896953699</v>
      </c>
    </row>
    <row r="3068" spans="16:21" x14ac:dyDescent="0.25">
      <c r="P3068" s="10">
        <v>38972</v>
      </c>
      <c r="Q3068">
        <v>15.59271</v>
      </c>
      <c r="S3068" s="42">
        <f t="shared" ca="1" si="52"/>
        <v>48774</v>
      </c>
      <c r="T3068" s="43">
        <f ca="1">_xll.BInterpol('Base CDI'!$H$4:$H$28,'Base CDI'!$J$4:$J$29,S3068,"Cubic","Extrapolate=Linear","MultiX=Average","Skip=True","Sort=True")</f>
        <v>14.722673277630077</v>
      </c>
      <c r="U3068" s="43">
        <f ca="1">_xll.BInterpol('Base CDI'!$H$4:$H$28,'Base CDI'!$I$4:$I$29,S3068,"Cubic","Extrapolate=Linear","MultiX=Average","Skip=True","Sort=True")</f>
        <v>14.802391641814561</v>
      </c>
    </row>
    <row r="3069" spans="16:21" x14ac:dyDescent="0.25">
      <c r="P3069" s="10">
        <v>38973</v>
      </c>
      <c r="Q3069">
        <v>15.60087</v>
      </c>
      <c r="S3069" s="42">
        <f t="shared" ca="1" si="52"/>
        <v>48775</v>
      </c>
      <c r="T3069" s="43">
        <f ca="1">_xll.BInterpol('Base CDI'!$H$4:$H$28,'Base CDI'!$J$4:$J$29,S3069,"Cubic","Extrapolate=Linear","MultiX=Average","Skip=True","Sort=True")</f>
        <v>14.722613699922007</v>
      </c>
      <c r="U3069" s="43">
        <f ca="1">_xll.BInterpol('Base CDI'!$H$4:$H$28,'Base CDI'!$I$4:$I$29,S3069,"Cubic","Extrapolate=Linear","MultiX=Average","Skip=True","Sort=True")</f>
        <v>14.802344278432503</v>
      </c>
    </row>
    <row r="3070" spans="16:21" x14ac:dyDescent="0.25">
      <c r="P3070" s="10">
        <v>38974</v>
      </c>
      <c r="Q3070">
        <v>15.60904</v>
      </c>
      <c r="S3070" s="42">
        <f t="shared" ca="1" si="52"/>
        <v>48776</v>
      </c>
      <c r="T3070" s="43">
        <f ca="1">_xll.BInterpol('Base CDI'!$H$4:$H$28,'Base CDI'!$J$4:$J$29,S3070,"Cubic","Extrapolate=Linear","MultiX=Average","Skip=True","Sort=True")</f>
        <v>14.722554052864462</v>
      </c>
      <c r="U3070" s="43">
        <f ca="1">_xll.BInterpol('Base CDI'!$H$4:$H$28,'Base CDI'!$I$4:$I$29,S3070,"Cubic","Extrapolate=Linear","MultiX=Average","Skip=True","Sort=True")</f>
        <v>14.802296806366609</v>
      </c>
    </row>
    <row r="3071" spans="16:21" x14ac:dyDescent="0.25">
      <c r="P3071" s="10">
        <v>38975</v>
      </c>
      <c r="Q3071">
        <v>15.61721</v>
      </c>
      <c r="S3071" s="42">
        <f t="shared" ca="1" si="52"/>
        <v>48777</v>
      </c>
      <c r="T3071" s="43">
        <f ca="1">_xll.BInterpol('Base CDI'!$H$4:$H$28,'Base CDI'!$J$4:$J$29,S3071,"Cubic","Extrapolate=Linear","MultiX=Average","Skip=True","Sort=True")</f>
        <v>14.722494336313295</v>
      </c>
      <c r="U3071" s="43">
        <f ca="1">_xll.BInterpol('Base CDI'!$H$4:$H$28,'Base CDI'!$I$4:$I$29,S3071,"Cubic","Extrapolate=Linear","MultiX=Average","Skip=True","Sort=True")</f>
        <v>14.802249225175961</v>
      </c>
    </row>
    <row r="3072" spans="16:21" x14ac:dyDescent="0.25">
      <c r="P3072" s="10">
        <v>38978</v>
      </c>
      <c r="Q3072">
        <v>15.62538</v>
      </c>
      <c r="S3072" s="42">
        <f t="shared" ca="1" si="52"/>
        <v>48778</v>
      </c>
      <c r="T3072" s="43">
        <f ca="1">_xll.BInterpol('Base CDI'!$H$4:$H$28,'Base CDI'!$J$4:$J$29,S3072,"Cubic","Extrapolate=Linear","MultiX=Average","Skip=True","Sort=True")</f>
        <v>14.722434550124357</v>
      </c>
      <c r="U3072" s="43">
        <f ca="1">_xll.BInterpol('Base CDI'!$H$4:$H$28,'Base CDI'!$I$4:$I$29,S3072,"Cubic","Extrapolate=Linear","MultiX=Average","Skip=True","Sort=True")</f>
        <v>14.802201534419641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48779</v>
      </c>
      <c r="T3073" s="43">
        <f ca="1">_xll.BInterpol('Base CDI'!$H$4:$H$28,'Base CDI'!$J$4:$J$29,S3073,"Cubic","Extrapolate=Linear","MultiX=Average","Skip=True","Sort=True")</f>
        <v>14.722374694153499</v>
      </c>
      <c r="U3073" s="43">
        <f ca="1">_xll.BInterpol('Base CDI'!$H$4:$H$28,'Base CDI'!$I$4:$I$29,S3073,"Cubic","Extrapolate=Linear","MultiX=Average","Skip=True","Sort=True")</f>
        <v>14.802153733656732</v>
      </c>
    </row>
    <row r="3074" spans="16:21" x14ac:dyDescent="0.25">
      <c r="P3074" s="10">
        <v>38980</v>
      </c>
      <c r="Q3074">
        <v>15.64174</v>
      </c>
      <c r="S3074" s="42">
        <f t="shared" ca="1" si="52"/>
        <v>48780</v>
      </c>
      <c r="T3074" s="43">
        <f ca="1">_xll.BInterpol('Base CDI'!$H$4:$H$28,'Base CDI'!$J$4:$J$29,S3074,"Cubic","Extrapolate=Linear","MultiX=Average","Skip=True","Sort=True")</f>
        <v>14.722314768256577</v>
      </c>
      <c r="U3074" s="43">
        <f ca="1">_xll.BInterpol('Base CDI'!$H$4:$H$28,'Base CDI'!$I$4:$I$29,S3074,"Cubic","Extrapolate=Linear","MultiX=Average","Skip=True","Sort=True")</f>
        <v>14.802105822446316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48781</v>
      </c>
      <c r="T3075" s="43">
        <f ca="1">_xll.BInterpol('Base CDI'!$H$4:$H$28,'Base CDI'!$J$4:$J$29,S3075,"Cubic","Extrapolate=Linear","MultiX=Average","Skip=True","Sort=True")</f>
        <v>14.722254772289443</v>
      </c>
      <c r="U3075" s="43">
        <f ca="1">_xll.BInterpol('Base CDI'!$H$4:$H$28,'Base CDI'!$I$4:$I$29,S3075,"Cubic","Extrapolate=Linear","MultiX=Average","Skip=True","Sort=True")</f>
        <v>14.802057800347477</v>
      </c>
    </row>
    <row r="3076" spans="16:21" x14ac:dyDescent="0.25">
      <c r="P3076" s="10">
        <v>38982</v>
      </c>
      <c r="Q3076">
        <v>15.65812</v>
      </c>
      <c r="S3076" s="42">
        <f t="shared" ca="1" si="52"/>
        <v>48782</v>
      </c>
      <c r="T3076" s="43">
        <f ca="1">_xll.BInterpol('Base CDI'!$H$4:$H$28,'Base CDI'!$J$4:$J$29,S3076,"Cubic","Extrapolate=Linear","MultiX=Average","Skip=True","Sort=True")</f>
        <v>14.722194706107947</v>
      </c>
      <c r="U3076" s="43">
        <f ca="1">_xll.BInterpol('Base CDI'!$H$4:$H$28,'Base CDI'!$I$4:$I$29,S3076,"Cubic","Extrapolate=Linear","MultiX=Average","Skip=True","Sort=True")</f>
        <v>14.802009666919293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48783</v>
      </c>
      <c r="T3077" s="43">
        <f ca="1">_xll.BInterpol('Base CDI'!$H$4:$H$28,'Base CDI'!$J$4:$J$29,S3077,"Cubic","Extrapolate=Linear","MultiX=Average","Skip=True","Sort=True")</f>
        <v>14.722134569567944</v>
      </c>
      <c r="U3077" s="43">
        <f ca="1">_xll.BInterpol('Base CDI'!$H$4:$H$28,'Base CDI'!$I$4:$I$29,S3077,"Cubic","Extrapolate=Linear","MultiX=Average","Skip=True","Sort=True")</f>
        <v>14.801961421720849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48784</v>
      </c>
      <c r="T3078" s="43">
        <f ca="1">_xll.BInterpol('Base CDI'!$H$4:$H$28,'Base CDI'!$J$4:$J$29,S3078,"Cubic","Extrapolate=Linear","MultiX=Average","Skip=True","Sort=True")</f>
        <v>14.722074362525284</v>
      </c>
      <c r="U3078" s="43">
        <f ca="1">_xll.BInterpol('Base CDI'!$H$4:$H$28,'Base CDI'!$I$4:$I$29,S3078,"Cubic","Extrapolate=Linear","MultiX=Average","Skip=True","Sort=True")</f>
        <v>14.801913064311226</v>
      </c>
    </row>
    <row r="3079" spans="16:21" x14ac:dyDescent="0.25">
      <c r="P3079" s="10">
        <v>38987</v>
      </c>
      <c r="Q3079">
        <v>15.68272</v>
      </c>
      <c r="S3079" s="42">
        <f t="shared" ca="1" si="52"/>
        <v>48785</v>
      </c>
      <c r="T3079" s="43">
        <f ca="1">_xll.BInterpol('Base CDI'!$H$4:$H$28,'Base CDI'!$J$4:$J$29,S3079,"Cubic","Extrapolate=Linear","MultiX=Average","Skip=True","Sort=True")</f>
        <v>14.722014084835822</v>
      </c>
      <c r="U3079" s="43">
        <f ca="1">_xll.BInterpol('Base CDI'!$H$4:$H$28,'Base CDI'!$I$4:$I$29,S3079,"Cubic","Extrapolate=Linear","MultiX=Average","Skip=True","Sort=True")</f>
        <v>14.801864594249508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48786</v>
      </c>
      <c r="T3080" s="43">
        <f ca="1">_xll.BInterpol('Base CDI'!$H$4:$H$28,'Base CDI'!$J$4:$J$29,S3080,"Cubic","Extrapolate=Linear","MultiX=Average","Skip=True","Sort=True")</f>
        <v>14.721953736355408</v>
      </c>
      <c r="U3080" s="43">
        <f ca="1">_xll.BInterpol('Base CDI'!$H$4:$H$28,'Base CDI'!$I$4:$I$29,S3080,"Cubic","Extrapolate=Linear","MultiX=Average","Skip=True","Sort=True")</f>
        <v>14.801816011094777</v>
      </c>
    </row>
    <row r="3081" spans="16:21" x14ac:dyDescent="0.25">
      <c r="P3081" s="10">
        <v>38989</v>
      </c>
      <c r="Q3081">
        <v>15.69918</v>
      </c>
      <c r="S3081" s="42">
        <f t="shared" ca="1" si="52"/>
        <v>48787</v>
      </c>
      <c r="T3081" s="43">
        <f ca="1">_xll.BInterpol('Base CDI'!$H$4:$H$28,'Base CDI'!$J$4:$J$29,S3081,"Cubic","Extrapolate=Linear","MultiX=Average","Skip=True","Sort=True")</f>
        <v>14.721893316939896</v>
      </c>
      <c r="U3081" s="43">
        <f ca="1">_xll.BInterpol('Base CDI'!$H$4:$H$28,'Base CDI'!$I$4:$I$29,S3081,"Cubic","Extrapolate=Linear","MultiX=Average","Skip=True","Sort=True")</f>
        <v>14.801767314406113</v>
      </c>
    </row>
    <row r="3082" spans="16:21" x14ac:dyDescent="0.25">
      <c r="P3082" s="10">
        <v>38992</v>
      </c>
      <c r="Q3082">
        <v>15.70745</v>
      </c>
      <c r="S3082" s="42">
        <f t="shared" ca="1" si="52"/>
        <v>48788</v>
      </c>
      <c r="T3082" s="43">
        <f ca="1">_xll.BInterpol('Base CDI'!$H$4:$H$28,'Base CDI'!$J$4:$J$29,S3082,"Cubic","Extrapolate=Linear","MultiX=Average","Skip=True","Sort=True")</f>
        <v>14.721832826445139</v>
      </c>
      <c r="U3082" s="43">
        <f ca="1">_xll.BInterpol('Base CDI'!$H$4:$H$28,'Base CDI'!$I$4:$I$29,S3082,"Cubic","Extrapolate=Linear","MultiX=Average","Skip=True","Sort=True")</f>
        <v>14.801718503742601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48789</v>
      </c>
      <c r="T3083" s="43">
        <f ca="1">_xll.BInterpol('Base CDI'!$H$4:$H$28,'Base CDI'!$J$4:$J$29,S3083,"Cubic","Extrapolate=Linear","MultiX=Average","Skip=True","Sort=True")</f>
        <v>14.721772264726988</v>
      </c>
      <c r="U3083" s="43">
        <f ca="1">_xll.BInterpol('Base CDI'!$H$4:$H$28,'Base CDI'!$I$4:$I$29,S3083,"Cubic","Extrapolate=Linear","MultiX=Average","Skip=True","Sort=True")</f>
        <v>14.801669578663322</v>
      </c>
    </row>
    <row r="3084" spans="16:21" x14ac:dyDescent="0.25">
      <c r="P3084" s="10">
        <v>38994</v>
      </c>
      <c r="Q3084">
        <v>15.72395</v>
      </c>
      <c r="S3084" s="42">
        <f t="shared" ca="1" si="53"/>
        <v>48790</v>
      </c>
      <c r="T3084" s="43">
        <f ca="1">_xll.BInterpol('Base CDI'!$H$4:$H$28,'Base CDI'!$J$4:$J$29,S3084,"Cubic","Extrapolate=Linear","MultiX=Average","Skip=True","Sort=True")</f>
        <v>14.721711631641297</v>
      </c>
      <c r="U3084" s="43">
        <f ca="1">_xll.BInterpol('Base CDI'!$H$4:$H$28,'Base CDI'!$I$4:$I$29,S3084,"Cubic","Extrapolate=Linear","MultiX=Average","Skip=True","Sort=True")</f>
        <v>14.801620538727359</v>
      </c>
    </row>
    <row r="3085" spans="16:21" x14ac:dyDescent="0.25">
      <c r="P3085" s="10">
        <v>38995</v>
      </c>
      <c r="Q3085">
        <v>15.73221</v>
      </c>
      <c r="S3085" s="42">
        <f t="shared" ca="1" si="53"/>
        <v>48791</v>
      </c>
      <c r="T3085" s="43">
        <f ca="1">_xll.BInterpol('Base CDI'!$H$4:$H$28,'Base CDI'!$J$4:$J$29,S3085,"Cubic","Extrapolate=Linear","MultiX=Average","Skip=True","Sort=True")</f>
        <v>14.721650927043918</v>
      </c>
      <c r="U3085" s="43">
        <f ca="1">_xll.BInterpol('Base CDI'!$H$4:$H$28,'Base CDI'!$I$4:$I$29,S3085,"Cubic","Extrapolate=Linear","MultiX=Average","Skip=True","Sort=True")</f>
        <v>14.801571383493792</v>
      </c>
    </row>
    <row r="3086" spans="16:21" x14ac:dyDescent="0.25">
      <c r="P3086" s="10">
        <v>38996</v>
      </c>
      <c r="Q3086">
        <v>15.74047</v>
      </c>
      <c r="S3086" s="42">
        <f t="shared" ca="1" si="53"/>
        <v>48792</v>
      </c>
      <c r="T3086" s="43">
        <f ca="1">_xll.BInterpol('Base CDI'!$H$4:$H$28,'Base CDI'!$J$4:$J$29,S3086,"Cubic","Extrapolate=Linear","MultiX=Average","Skip=True","Sort=True")</f>
        <v>14.721590150790702</v>
      </c>
      <c r="U3086" s="43">
        <f ca="1">_xll.BInterpol('Base CDI'!$H$4:$H$28,'Base CDI'!$I$4:$I$29,S3086,"Cubic","Extrapolate=Linear","MultiX=Average","Skip=True","Sort=True")</f>
        <v>14.801522112521706</v>
      </c>
    </row>
    <row r="3087" spans="16:21" x14ac:dyDescent="0.25">
      <c r="P3087" s="10">
        <v>38999</v>
      </c>
      <c r="Q3087">
        <v>15.74872</v>
      </c>
      <c r="S3087" s="42">
        <f t="shared" ca="1" si="53"/>
        <v>48793</v>
      </c>
      <c r="T3087" s="43">
        <f ca="1">_xll.BInterpol('Base CDI'!$H$4:$H$28,'Base CDI'!$J$4:$J$29,S3087,"Cubic","Extrapolate=Linear","MultiX=Average","Skip=True","Sort=True")</f>
        <v>14.721529302737503</v>
      </c>
      <c r="U3087" s="43">
        <f ca="1">_xll.BInterpol('Base CDI'!$H$4:$H$28,'Base CDI'!$I$4:$I$29,S3087,"Cubic","Extrapolate=Linear","MultiX=Average","Skip=True","Sort=True")</f>
        <v>14.801472725370182</v>
      </c>
    </row>
    <row r="3088" spans="16:21" x14ac:dyDescent="0.25">
      <c r="P3088" s="10">
        <v>39000</v>
      </c>
      <c r="Q3088">
        <v>15.75698</v>
      </c>
      <c r="S3088" s="42">
        <f t="shared" ca="1" si="53"/>
        <v>48794</v>
      </c>
      <c r="T3088" s="43">
        <f ca="1">_xll.BInterpol('Base CDI'!$H$4:$H$28,'Base CDI'!$J$4:$J$29,S3088,"Cubic","Extrapolate=Linear","MultiX=Average","Skip=True","Sort=True")</f>
        <v>14.721468382740172</v>
      </c>
      <c r="U3088" s="43">
        <f ca="1">_xll.BInterpol('Base CDI'!$H$4:$H$28,'Base CDI'!$I$4:$I$29,S3088,"Cubic","Extrapolate=Linear","MultiX=Average","Skip=True","Sort=True")</f>
        <v>14.801423221598304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48795</v>
      </c>
      <c r="T3089" s="43">
        <f ca="1">_xll.BInterpol('Base CDI'!$H$4:$H$28,'Base CDI'!$J$4:$J$29,S3089,"Cubic","Extrapolate=Linear","MultiX=Average","Skip=True","Sort=True")</f>
        <v>14.721407390654564</v>
      </c>
      <c r="U3089" s="43">
        <f ca="1">_xll.BInterpol('Base CDI'!$H$4:$H$28,'Base CDI'!$I$4:$I$29,S3089,"Cubic","Extrapolate=Linear","MultiX=Average","Skip=True","Sort=True")</f>
        <v>14.801373600765151</v>
      </c>
    </row>
    <row r="3090" spans="16:21" x14ac:dyDescent="0.25">
      <c r="P3090" s="10">
        <v>39003</v>
      </c>
      <c r="Q3090">
        <v>15.77347</v>
      </c>
      <c r="S3090" s="42">
        <f t="shared" ca="1" si="53"/>
        <v>48796</v>
      </c>
      <c r="T3090" s="43">
        <f ca="1">_xll.BInterpol('Base CDI'!$H$4:$H$28,'Base CDI'!$J$4:$J$29,S3090,"Cubic","Extrapolate=Linear","MultiX=Average","Skip=True","Sort=True")</f>
        <v>14.721346326336528</v>
      </c>
      <c r="U3090" s="43">
        <f ca="1">_xll.BInterpol('Base CDI'!$H$4:$H$28,'Base CDI'!$I$4:$I$29,S3090,"Cubic","Extrapolate=Linear","MultiX=Average","Skip=True","Sort=True")</f>
        <v>14.801323862429806</v>
      </c>
    </row>
    <row r="3091" spans="16:21" x14ac:dyDescent="0.25">
      <c r="P3091" s="10">
        <v>39006</v>
      </c>
      <c r="Q3091">
        <v>15.78172</v>
      </c>
      <c r="S3091" s="42">
        <f t="shared" ca="1" si="53"/>
        <v>48797</v>
      </c>
      <c r="T3091" s="43">
        <f ca="1">_xll.BInterpol('Base CDI'!$H$4:$H$28,'Base CDI'!$J$4:$J$29,S3091,"Cubic","Extrapolate=Linear","MultiX=Average","Skip=True","Sort=True")</f>
        <v>14.72128518964192</v>
      </c>
      <c r="U3091" s="43">
        <f ca="1">_xll.BInterpol('Base CDI'!$H$4:$H$28,'Base CDI'!$I$4:$I$29,S3091,"Cubic","Extrapolate=Linear","MultiX=Average","Skip=True","Sort=True")</f>
        <v>14.801274006151354</v>
      </c>
    </row>
    <row r="3092" spans="16:21" x14ac:dyDescent="0.25">
      <c r="P3092" s="10">
        <v>39007</v>
      </c>
      <c r="Q3092">
        <v>15.78997</v>
      </c>
      <c r="S3092" s="42">
        <f t="shared" ca="1" si="53"/>
        <v>48798</v>
      </c>
      <c r="T3092" s="43">
        <f ca="1">_xll.BInterpol('Base CDI'!$H$4:$H$28,'Base CDI'!$J$4:$J$29,S3092,"Cubic","Extrapolate=Linear","MultiX=Average","Skip=True","Sort=True")</f>
        <v>14.721223980426592</v>
      </c>
      <c r="U3092" s="43">
        <f ca="1">_xll.BInterpol('Base CDI'!$H$4:$H$28,'Base CDI'!$I$4:$I$29,S3092,"Cubic","Extrapolate=Linear","MultiX=Average","Skip=True","Sort=True")</f>
        <v>14.801224031488875</v>
      </c>
    </row>
    <row r="3093" spans="16:21" x14ac:dyDescent="0.25">
      <c r="P3093" s="10">
        <v>39008</v>
      </c>
      <c r="Q3093">
        <v>15.79823</v>
      </c>
      <c r="S3093" s="42">
        <f t="shared" ca="1" si="53"/>
        <v>48799</v>
      </c>
      <c r="T3093" s="43">
        <f ca="1">_xll.BInterpol('Base CDI'!$H$4:$H$28,'Base CDI'!$J$4:$J$29,S3093,"Cubic","Extrapolate=Linear","MultiX=Average","Skip=True","Sort=True")</f>
        <v>14.721162698546392</v>
      </c>
      <c r="U3093" s="43">
        <f ca="1">_xll.BInterpol('Base CDI'!$H$4:$H$28,'Base CDI'!$I$4:$I$29,S3093,"Cubic","Extrapolate=Linear","MultiX=Average","Skip=True","Sort=True")</f>
        <v>14.801173938001451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48800</v>
      </c>
      <c r="T3094" s="43">
        <f ca="1">_xll.BInterpol('Base CDI'!$H$4:$H$28,'Base CDI'!$J$4:$J$29,S3094,"Cubic","Extrapolate=Linear","MultiX=Average","Skip=True","Sort=True")</f>
        <v>14.721101343857178</v>
      </c>
      <c r="U3094" s="43">
        <f ca="1">_xll.BInterpol('Base CDI'!$H$4:$H$28,'Base CDI'!$I$4:$I$29,S3094,"Cubic","Extrapolate=Linear","MultiX=Average","Skip=True","Sort=True")</f>
        <v>14.801123725248166</v>
      </c>
    </row>
    <row r="3095" spans="16:21" x14ac:dyDescent="0.25">
      <c r="P3095" s="10">
        <v>39010</v>
      </c>
      <c r="Q3095">
        <v>15.81451</v>
      </c>
      <c r="S3095" s="42">
        <f t="shared" ca="1" si="53"/>
        <v>48801</v>
      </c>
      <c r="T3095" s="43">
        <f ca="1">_xll.BInterpol('Base CDI'!$H$4:$H$28,'Base CDI'!$J$4:$J$29,S3095,"Cubic","Extrapolate=Linear","MultiX=Average","Skip=True","Sort=True")</f>
        <v>14.721039916214801</v>
      </c>
      <c r="U3095" s="43">
        <f ca="1">_xll.BInterpol('Base CDI'!$H$4:$H$28,'Base CDI'!$I$4:$I$29,S3095,"Cubic","Extrapolate=Linear","MultiX=Average","Skip=True","Sort=True")</f>
        <v>14.801073392788101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48802</v>
      </c>
      <c r="T3096" s="43">
        <f ca="1">_xll.BInterpol('Base CDI'!$H$4:$H$28,'Base CDI'!$J$4:$J$29,S3096,"Cubic","Extrapolate=Linear","MultiX=Average","Skip=True","Sort=True")</f>
        <v>14.720978415475111</v>
      </c>
      <c r="U3096" s="43">
        <f ca="1">_xll.BInterpol('Base CDI'!$H$4:$H$28,'Base CDI'!$I$4:$I$29,S3096,"Cubic","Extrapolate=Linear","MultiX=Average","Skip=True","Sort=True")</f>
        <v>14.801022940180339</v>
      </c>
    </row>
    <row r="3097" spans="16:21" x14ac:dyDescent="0.25">
      <c r="P3097" s="10">
        <v>39014</v>
      </c>
      <c r="Q3097">
        <v>15.83052</v>
      </c>
      <c r="S3097" s="42">
        <f t="shared" ca="1" si="53"/>
        <v>48803</v>
      </c>
      <c r="T3097" s="43">
        <f ca="1">_xll.BInterpol('Base CDI'!$H$4:$H$28,'Base CDI'!$J$4:$J$29,S3097,"Cubic","Extrapolate=Linear","MultiX=Average","Skip=True","Sort=True")</f>
        <v>14.720916841493963</v>
      </c>
      <c r="U3097" s="43">
        <f ca="1">_xll.BInterpol('Base CDI'!$H$4:$H$28,'Base CDI'!$I$4:$I$29,S3097,"Cubic","Extrapolate=Linear","MultiX=Average","Skip=True","Sort=True")</f>
        <v>14.800972366983959</v>
      </c>
    </row>
    <row r="3098" spans="16:21" x14ac:dyDescent="0.25">
      <c r="P3098" s="10">
        <v>39015</v>
      </c>
      <c r="Q3098">
        <v>15.83853</v>
      </c>
      <c r="S3098" s="42">
        <f t="shared" ca="1" si="53"/>
        <v>48804</v>
      </c>
      <c r="T3098" s="43">
        <f ca="1">_xll.BInterpol('Base CDI'!$H$4:$H$28,'Base CDI'!$J$4:$J$29,S3098,"Cubic","Extrapolate=Linear","MultiX=Average","Skip=True","Sort=True")</f>
        <v>14.720855194127209</v>
      </c>
      <c r="U3098" s="43">
        <f ca="1">_xll.BInterpol('Base CDI'!$H$4:$H$28,'Base CDI'!$I$4:$I$29,S3098,"Cubic","Extrapolate=Linear","MultiX=Average","Skip=True","Sort=True")</f>
        <v>14.800921672758049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48805</v>
      </c>
      <c r="T3099" s="43">
        <f ca="1">_xll.BInterpol('Base CDI'!$H$4:$H$28,'Base CDI'!$J$4:$J$29,S3099,"Cubic","Extrapolate=Linear","MultiX=Average","Skip=True","Sort=True")</f>
        <v>14.720793473230701</v>
      </c>
      <c r="U3099" s="43">
        <f ca="1">_xll.BInterpol('Base CDI'!$H$4:$H$28,'Base CDI'!$I$4:$I$29,S3099,"Cubic","Extrapolate=Linear","MultiX=Average","Skip=True","Sort=True")</f>
        <v>14.800870857061687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48806</v>
      </c>
      <c r="T3100" s="43">
        <f ca="1">_xll.BInterpol('Base CDI'!$H$4:$H$28,'Base CDI'!$J$4:$J$29,S3100,"Cubic","Extrapolate=Linear","MultiX=Average","Skip=True","Sort=True")</f>
        <v>14.720731678660291</v>
      </c>
      <c r="U3100" s="43">
        <f ca="1">_xll.BInterpol('Base CDI'!$H$4:$H$28,'Base CDI'!$I$4:$I$29,S3100,"Cubic","Extrapolate=Linear","MultiX=Average","Skip=True","Sort=True")</f>
        <v>14.800819919453957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48807</v>
      </c>
      <c r="T3101" s="43">
        <f ca="1">_xll.BInterpol('Base CDI'!$H$4:$H$28,'Base CDI'!$J$4:$J$29,S3101,"Cubic","Extrapolate=Linear","MultiX=Average","Skip=True","Sort=True")</f>
        <v>14.720669810271833</v>
      </c>
      <c r="U3101" s="43">
        <f ca="1">_xll.BInterpol('Base CDI'!$H$4:$H$28,'Base CDI'!$I$4:$I$29,S3101,"Cubic","Extrapolate=Linear","MultiX=Average","Skip=True","Sort=True")</f>
        <v>14.800768859493941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48808</v>
      </c>
      <c r="T3102" s="43">
        <f ca="1">_xll.BInterpol('Base CDI'!$H$4:$H$28,'Base CDI'!$J$4:$J$29,S3102,"Cubic","Extrapolate=Linear","MultiX=Average","Skip=True","Sort=True")</f>
        <v>14.720607867921178</v>
      </c>
      <c r="U3102" s="43">
        <f ca="1">_xll.BInterpol('Base CDI'!$H$4:$H$28,'Base CDI'!$I$4:$I$29,S3102,"Cubic","Extrapolate=Linear","MultiX=Average","Skip=True","Sort=True")</f>
        <v>14.800717676740721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48809</v>
      </c>
      <c r="T3103" s="43">
        <f ca="1">_xll.BInterpol('Base CDI'!$H$4:$H$28,'Base CDI'!$J$4:$J$29,S3103,"Cubic","Extrapolate=Linear","MultiX=Average","Skip=True","Sort=True")</f>
        <v>14.72054585146418</v>
      </c>
      <c r="U3103" s="43">
        <f ca="1">_xll.BInterpol('Base CDI'!$H$4:$H$28,'Base CDI'!$I$4:$I$29,S3103,"Cubic","Extrapolate=Linear","MultiX=Average","Skip=True","Sort=True")</f>
        <v>14.800666370753378</v>
      </c>
    </row>
    <row r="3104" spans="16:21" x14ac:dyDescent="0.25">
      <c r="P3104" s="10">
        <v>39024</v>
      </c>
      <c r="Q3104">
        <v>15.88673</v>
      </c>
      <c r="S3104" s="42">
        <f t="shared" ca="1" si="53"/>
        <v>48810</v>
      </c>
      <c r="T3104" s="43">
        <f ca="1">_xll.BInterpol('Base CDI'!$H$4:$H$28,'Base CDI'!$J$4:$J$29,S3104,"Cubic","Extrapolate=Linear","MultiX=Average","Skip=True","Sort=True")</f>
        <v>14.720483760756689</v>
      </c>
      <c r="U3104" s="43">
        <f ca="1">_xll.BInterpol('Base CDI'!$H$4:$H$28,'Base CDI'!$I$4:$I$29,S3104,"Cubic","Extrapolate=Linear","MultiX=Average","Skip=True","Sort=True")</f>
        <v>14.800614941090997</v>
      </c>
    </row>
    <row r="3105" spans="16:21" x14ac:dyDescent="0.25">
      <c r="P3105" s="10">
        <v>39027</v>
      </c>
      <c r="Q3105">
        <v>15.8948</v>
      </c>
      <c r="S3105" s="42">
        <f t="shared" ca="1" si="53"/>
        <v>48811</v>
      </c>
      <c r="T3105" s="43">
        <f ca="1">_xll.BInterpol('Base CDI'!$H$4:$H$28,'Base CDI'!$J$4:$J$29,S3105,"Cubic","Extrapolate=Linear","MultiX=Average","Skip=True","Sort=True")</f>
        <v>14.72042159565456</v>
      </c>
      <c r="U3105" s="43">
        <f ca="1">_xll.BInterpol('Base CDI'!$H$4:$H$28,'Base CDI'!$I$4:$I$29,S3105,"Cubic","Extrapolate=Linear","MultiX=Average","Skip=True","Sort=True")</f>
        <v>14.800563387312657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48812</v>
      </c>
      <c r="T3106" s="43">
        <f ca="1">_xll.BInterpol('Base CDI'!$H$4:$H$28,'Base CDI'!$J$4:$J$29,S3106,"Cubic","Extrapolate=Linear","MultiX=Average","Skip=True","Sort=True")</f>
        <v>14.720359356013645</v>
      </c>
      <c r="U3106" s="43">
        <f ca="1">_xll.BInterpol('Base CDI'!$H$4:$H$28,'Base CDI'!$I$4:$I$29,S3106,"Cubic","Extrapolate=Linear","MultiX=Average","Skip=True","Sort=True")</f>
        <v>14.800511708977444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48813</v>
      </c>
      <c r="T3107" s="43">
        <f ca="1">_xll.BInterpol('Base CDI'!$H$4:$H$28,'Base CDI'!$J$4:$J$29,S3107,"Cubic","Extrapolate=Linear","MultiX=Average","Skip=True","Sort=True")</f>
        <v>14.720297041689795</v>
      </c>
      <c r="U3107" s="43">
        <f ca="1">_xll.BInterpol('Base CDI'!$H$4:$H$28,'Base CDI'!$I$4:$I$29,S3107,"Cubic","Extrapolate=Linear","MultiX=Average","Skip=True","Sort=True")</f>
        <v>14.800459905644438</v>
      </c>
    </row>
    <row r="3108" spans="16:21" x14ac:dyDescent="0.25">
      <c r="P3108" s="10">
        <v>39030</v>
      </c>
      <c r="Q3108">
        <v>15.91906</v>
      </c>
      <c r="S3108" s="42">
        <f t="shared" ca="1" si="53"/>
        <v>48814</v>
      </c>
      <c r="T3108" s="43">
        <f ca="1">_xll.BInterpol('Base CDI'!$H$4:$H$28,'Base CDI'!$J$4:$J$29,S3108,"Cubic","Extrapolate=Linear","MultiX=Average","Skip=True","Sort=True")</f>
        <v>14.720234652538863</v>
      </c>
      <c r="U3108" s="43">
        <f ca="1">_xll.BInterpol('Base CDI'!$H$4:$H$28,'Base CDI'!$I$4:$I$29,S3108,"Cubic","Extrapolate=Linear","MultiX=Average","Skip=True","Sort=True")</f>
        <v>14.800407976872721</v>
      </c>
    </row>
    <row r="3109" spans="16:21" x14ac:dyDescent="0.25">
      <c r="P3109" s="10">
        <v>39031</v>
      </c>
      <c r="Q3109">
        <v>15.92713</v>
      </c>
      <c r="S3109" s="42">
        <f t="shared" ca="1" si="53"/>
        <v>48815</v>
      </c>
      <c r="T3109" s="43">
        <f ca="1">_xll.BInterpol('Base CDI'!$H$4:$H$28,'Base CDI'!$J$4:$J$29,S3109,"Cubic","Extrapolate=Linear","MultiX=Average","Skip=True","Sort=True")</f>
        <v>14.720172188416702</v>
      </c>
      <c r="U3109" s="43">
        <f ca="1">_xll.BInterpol('Base CDI'!$H$4:$H$28,'Base CDI'!$I$4:$I$29,S3109,"Cubic","Extrapolate=Linear","MultiX=Average","Skip=True","Sort=True")</f>
        <v>14.800355922221376</v>
      </c>
    </row>
    <row r="3110" spans="16:21" x14ac:dyDescent="0.25">
      <c r="P3110" s="10">
        <v>39034</v>
      </c>
      <c r="Q3110">
        <v>15.93521</v>
      </c>
      <c r="S3110" s="42">
        <f t="shared" ca="1" si="53"/>
        <v>48816</v>
      </c>
      <c r="T3110" s="43">
        <f ca="1">_xll.BInterpol('Base CDI'!$H$4:$H$28,'Base CDI'!$J$4:$J$29,S3110,"Cubic","Extrapolate=Linear","MultiX=Average","Skip=True","Sort=True")</f>
        <v>14.720109649179165</v>
      </c>
      <c r="U3110" s="43">
        <f ca="1">_xll.BInterpol('Base CDI'!$H$4:$H$28,'Base CDI'!$I$4:$I$29,S3110,"Cubic","Extrapolate=Linear","MultiX=Average","Skip=True","Sort=True")</f>
        <v>14.800303741249484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48817</v>
      </c>
      <c r="T3111" s="43">
        <f ca="1">_xll.BInterpol('Base CDI'!$H$4:$H$28,'Base CDI'!$J$4:$J$29,S3111,"Cubic","Extrapolate=Linear","MultiX=Average","Skip=True","Sort=True")</f>
        <v>14.720047034682104</v>
      </c>
      <c r="U3111" s="43">
        <f ca="1">_xll.BInterpol('Base CDI'!$H$4:$H$28,'Base CDI'!$I$4:$I$29,S3111,"Cubic","Extrapolate=Linear","MultiX=Average","Skip=True","Sort=True")</f>
        <v>14.800251433516131</v>
      </c>
    </row>
    <row r="3112" spans="16:21" x14ac:dyDescent="0.25">
      <c r="P3112" s="10">
        <v>39037</v>
      </c>
      <c r="Q3112">
        <v>15.95138</v>
      </c>
      <c r="S3112" s="42">
        <f t="shared" ca="1" si="53"/>
        <v>48818</v>
      </c>
      <c r="T3112" s="43">
        <f ca="1">_xll.BInterpol('Base CDI'!$H$4:$H$28,'Base CDI'!$J$4:$J$29,S3112,"Cubic","Extrapolate=Linear","MultiX=Average","Skip=True","Sort=True")</f>
        <v>14.71998434478137</v>
      </c>
      <c r="U3112" s="43">
        <f ca="1">_xll.BInterpol('Base CDI'!$H$4:$H$28,'Base CDI'!$I$4:$I$29,S3112,"Cubic","Extrapolate=Linear","MultiX=Average","Skip=True","Sort=True")</f>
        <v>14.800198998580395</v>
      </c>
    </row>
    <row r="3113" spans="16:21" x14ac:dyDescent="0.25">
      <c r="P3113" s="10">
        <v>39038</v>
      </c>
      <c r="Q3113">
        <v>15.95946</v>
      </c>
      <c r="S3113" s="42">
        <f t="shared" ca="1" si="53"/>
        <v>48819</v>
      </c>
      <c r="T3113" s="43">
        <f ca="1">_xll.BInterpol('Base CDI'!$H$4:$H$28,'Base CDI'!$J$4:$J$29,S3113,"Cubic","Extrapolate=Linear","MultiX=Average","Skip=True","Sort=True")</f>
        <v>14.719921579332818</v>
      </c>
      <c r="U3113" s="43">
        <f ca="1">_xll.BInterpol('Base CDI'!$H$4:$H$28,'Base CDI'!$I$4:$I$29,S3113,"Cubic","Extrapolate=Linear","MultiX=Average","Skip=True","Sort=True")</f>
        <v>14.800146436001359</v>
      </c>
    </row>
    <row r="3114" spans="16:21" x14ac:dyDescent="0.25">
      <c r="P3114" s="10">
        <v>39041</v>
      </c>
      <c r="Q3114">
        <v>15.96754</v>
      </c>
      <c r="S3114" s="42">
        <f t="shared" ca="1" si="53"/>
        <v>48820</v>
      </c>
      <c r="T3114" s="43">
        <f ca="1">_xll.BInterpol('Base CDI'!$H$4:$H$28,'Base CDI'!$J$4:$J$29,S3114,"Cubic","Extrapolate=Linear","MultiX=Average","Skip=True","Sort=True")</f>
        <v>14.719858738192299</v>
      </c>
      <c r="U3114" s="43">
        <f ca="1">_xll.BInterpol('Base CDI'!$H$4:$H$28,'Base CDI'!$I$4:$I$29,S3114,"Cubic","Extrapolate=Linear","MultiX=Average","Skip=True","Sort=True")</f>
        <v>14.800093745338108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48821</v>
      </c>
      <c r="T3115" s="43">
        <f ca="1">_xll.BInterpol('Base CDI'!$H$4:$H$28,'Base CDI'!$J$4:$J$29,S3115,"Cubic","Extrapolate=Linear","MultiX=Average","Skip=True","Sort=True")</f>
        <v>14.719795821215666</v>
      </c>
      <c r="U3115" s="43">
        <f ca="1">_xll.BInterpol('Base CDI'!$H$4:$H$28,'Base CDI'!$I$4:$I$29,S3115,"Cubic","Extrapolate=Linear","MultiX=Average","Skip=True","Sort=True")</f>
        <v>14.800040926149721</v>
      </c>
    </row>
    <row r="3116" spans="16:21" x14ac:dyDescent="0.25">
      <c r="P3116" s="10">
        <v>39043</v>
      </c>
      <c r="Q3116">
        <v>15.98373</v>
      </c>
      <c r="S3116" s="42">
        <f t="shared" ca="1" si="53"/>
        <v>48822</v>
      </c>
      <c r="T3116" s="43">
        <f ca="1">_xll.BInterpol('Base CDI'!$H$4:$H$28,'Base CDI'!$J$4:$J$29,S3116,"Cubic","Extrapolate=Linear","MultiX=Average","Skip=True","Sort=True")</f>
        <v>14.719732828258769</v>
      </c>
      <c r="U3116" s="43">
        <f ca="1">_xll.BInterpol('Base CDI'!$H$4:$H$28,'Base CDI'!$I$4:$I$29,S3116,"Cubic","Extrapolate=Linear","MultiX=Average","Skip=True","Sort=True")</f>
        <v>14.799987977995283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48823</v>
      </c>
      <c r="T3117" s="43">
        <f ca="1">_xll.BInterpol('Base CDI'!$H$4:$H$28,'Base CDI'!$J$4:$J$29,S3117,"Cubic","Extrapolate=Linear","MultiX=Average","Skip=True","Sort=True")</f>
        <v>14.719669759177464</v>
      </c>
      <c r="U3117" s="43">
        <f ca="1">_xll.BInterpol('Base CDI'!$H$4:$H$28,'Base CDI'!$I$4:$I$29,S3117,"Cubic","Extrapolate=Linear","MultiX=Average","Skip=True","Sort=True")</f>
        <v>14.799934900433874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48824</v>
      </c>
      <c r="T3118" s="43">
        <f ca="1">_xll.BInterpol('Base CDI'!$H$4:$H$28,'Base CDI'!$J$4:$J$29,S3118,"Cubic","Extrapolate=Linear","MultiX=Average","Skip=True","Sort=True")</f>
        <v>14.719606613827603</v>
      </c>
      <c r="U3118" s="43">
        <f ca="1">_xll.BInterpol('Base CDI'!$H$4:$H$28,'Base CDI'!$I$4:$I$29,S3118,"Cubic","Extrapolate=Linear","MultiX=Average","Skip=True","Sort=True")</f>
        <v>14.799881693024577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48825</v>
      </c>
      <c r="T3119" s="43">
        <f ca="1">_xll.BInterpol('Base CDI'!$H$4:$H$28,'Base CDI'!$J$4:$J$29,S3119,"Cubic","Extrapolate=Linear","MultiX=Average","Skip=True","Sort=True")</f>
        <v>14.719543392065036</v>
      </c>
      <c r="U3119" s="43">
        <f ca="1">_xll.BInterpol('Base CDI'!$H$4:$H$28,'Base CDI'!$I$4:$I$29,S3119,"Cubic","Extrapolate=Linear","MultiX=Average","Skip=True","Sort=True")</f>
        <v>14.799828355326474</v>
      </c>
    </row>
    <row r="3120" spans="16:21" x14ac:dyDescent="0.25">
      <c r="P3120" s="10">
        <v>39049</v>
      </c>
      <c r="Q3120">
        <v>16.01614</v>
      </c>
      <c r="S3120" s="42">
        <f t="shared" ca="1" si="53"/>
        <v>48826</v>
      </c>
      <c r="T3120" s="43">
        <f ca="1">_xll.BInterpol('Base CDI'!$H$4:$H$28,'Base CDI'!$J$4:$J$29,S3120,"Cubic","Extrapolate=Linear","MultiX=Average","Skip=True","Sort=True")</f>
        <v>14.719480093745617</v>
      </c>
      <c r="U3120" s="43">
        <f ca="1">_xll.BInterpol('Base CDI'!$H$4:$H$28,'Base CDI'!$I$4:$I$29,S3120,"Cubic","Extrapolate=Linear","MultiX=Average","Skip=True","Sort=True")</f>
        <v>14.799774886898648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48827</v>
      </c>
      <c r="T3121" s="43">
        <f ca="1">_xll.BInterpol('Base CDI'!$H$4:$H$28,'Base CDI'!$J$4:$J$29,S3121,"Cubic","Extrapolate=Linear","MultiX=Average","Skip=True","Sort=True")</f>
        <v>14.719416718725199</v>
      </c>
      <c r="U3121" s="43">
        <f ca="1">_xll.BInterpol('Base CDI'!$H$4:$H$28,'Base CDI'!$I$4:$I$29,S3121,"Cubic","Extrapolate=Linear","MultiX=Average","Skip=True","Sort=True")</f>
        <v>14.799721287300182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48828</v>
      </c>
      <c r="T3122" s="43">
        <f ca="1">_xll.BInterpol('Base CDI'!$H$4:$H$28,'Base CDI'!$J$4:$J$29,S3122,"Cubic","Extrapolate=Linear","MultiX=Average","Skip=True","Sort=True")</f>
        <v>14.719353266859635</v>
      </c>
      <c r="U3122" s="43">
        <f ca="1">_xll.BInterpol('Base CDI'!$H$4:$H$28,'Base CDI'!$I$4:$I$29,S3122,"Cubic","Extrapolate=Linear","MultiX=Average","Skip=True","Sort=True")</f>
        <v>14.799667556090156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48829</v>
      </c>
      <c r="T3123" s="43">
        <f ca="1">_xll.BInterpol('Base CDI'!$H$4:$H$28,'Base CDI'!$J$4:$J$29,S3123,"Cubic","Extrapolate=Linear","MultiX=Average","Skip=True","Sort=True")</f>
        <v>14.719289738004775</v>
      </c>
      <c r="U3123" s="43">
        <f ca="1">_xll.BInterpol('Base CDI'!$H$4:$H$28,'Base CDI'!$I$4:$I$29,S3123,"Cubic","Extrapolate=Linear","MultiX=Average","Skip=True","Sort=True")</f>
        <v>14.799613692827654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48830</v>
      </c>
      <c r="T3124" s="43">
        <f ca="1">_xll.BInterpol('Base CDI'!$H$4:$H$28,'Base CDI'!$J$4:$J$29,S3124,"Cubic","Extrapolate=Linear","MultiX=Average","Skip=True","Sort=True")</f>
        <v>14.719226132016473</v>
      </c>
      <c r="U3124" s="43">
        <f ca="1">_xll.BInterpol('Base CDI'!$H$4:$H$28,'Base CDI'!$I$4:$I$29,S3124,"Cubic","Extrapolate=Linear","MultiX=Average","Skip=True","Sort=True")</f>
        <v>14.799559697071757</v>
      </c>
    </row>
    <row r="3125" spans="16:21" x14ac:dyDescent="0.25">
      <c r="P3125" s="10">
        <v>39056</v>
      </c>
      <c r="Q3125">
        <v>16.05594</v>
      </c>
      <c r="S3125" s="42">
        <f t="shared" ca="1" si="53"/>
        <v>48831</v>
      </c>
      <c r="T3125" s="43">
        <f ca="1">_xll.BInterpol('Base CDI'!$H$4:$H$28,'Base CDI'!$J$4:$J$29,S3125,"Cubic","Extrapolate=Linear","MultiX=Average","Skip=True","Sort=True")</f>
        <v>14.719162448750581</v>
      </c>
      <c r="U3125" s="43">
        <f ca="1">_xll.BInterpol('Base CDI'!$H$4:$H$28,'Base CDI'!$I$4:$I$29,S3125,"Cubic","Extrapolate=Linear","MultiX=Average","Skip=True","Sort=True")</f>
        <v>14.79950556838155</v>
      </c>
    </row>
    <row r="3126" spans="16:21" x14ac:dyDescent="0.25">
      <c r="P3126" s="10">
        <v>39057</v>
      </c>
      <c r="Q3126">
        <v>16.06381</v>
      </c>
      <c r="S3126" s="42">
        <f t="shared" ca="1" si="53"/>
        <v>48832</v>
      </c>
      <c r="T3126" s="43">
        <f ca="1">_xll.BInterpol('Base CDI'!$H$4:$H$28,'Base CDI'!$J$4:$J$29,S3126,"Cubic","Extrapolate=Linear","MultiX=Average","Skip=True","Sort=True")</f>
        <v>14.719098688062953</v>
      </c>
      <c r="U3126" s="43">
        <f ca="1">_xll.BInterpol('Base CDI'!$H$4:$H$28,'Base CDI'!$I$4:$I$29,S3126,"Cubic","Extrapolate=Linear","MultiX=Average","Skip=True","Sort=True")</f>
        <v>14.799451306316111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48833</v>
      </c>
      <c r="T3127" s="43">
        <f ca="1">_xll.BInterpol('Base CDI'!$H$4:$H$28,'Base CDI'!$J$4:$J$29,S3127,"Cubic","Extrapolate=Linear","MultiX=Average","Skip=True","Sort=True")</f>
        <v>14.719034849809439</v>
      </c>
      <c r="U3127" s="43">
        <f ca="1">_xll.BInterpol('Base CDI'!$H$4:$H$28,'Base CDI'!$I$4:$I$29,S3127,"Cubic","Extrapolate=Linear","MultiX=Average","Skip=True","Sort=True")</f>
        <v>14.799396910434526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48834</v>
      </c>
      <c r="T3128" s="43">
        <f ca="1">_xll.BInterpol('Base CDI'!$H$4:$H$28,'Base CDI'!$J$4:$J$29,S3128,"Cubic","Extrapolate=Linear","MultiX=Average","Skip=True","Sort=True")</f>
        <v>14.718970933845894</v>
      </c>
      <c r="U3128" s="43">
        <f ca="1">_xll.BInterpol('Base CDI'!$H$4:$H$28,'Base CDI'!$I$4:$I$29,S3128,"Cubic","Extrapolate=Linear","MultiX=Average","Skip=True","Sort=True")</f>
        <v>14.799342380295874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48835</v>
      </c>
      <c r="T3129" s="43">
        <f ca="1">_xll.BInterpol('Base CDI'!$H$4:$H$28,'Base CDI'!$J$4:$J$29,S3129,"Cubic","Extrapolate=Linear","MultiX=Average","Skip=True","Sort=True")</f>
        <v>14.718906940028168</v>
      </c>
      <c r="U3129" s="43">
        <f ca="1">_xll.BInterpol('Base CDI'!$H$4:$H$28,'Base CDI'!$I$4:$I$29,S3129,"Cubic","Extrapolate=Linear","MultiX=Average","Skip=True","Sort=True")</f>
        <v>14.79928771545924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48836</v>
      </c>
      <c r="T3130" s="43">
        <f ca="1">_xll.BInterpol('Base CDI'!$H$4:$H$28,'Base CDI'!$J$4:$J$29,S3130,"Cubic","Extrapolate=Linear","MultiX=Average","Skip=True","Sort=True")</f>
        <v>14.718842868212116</v>
      </c>
      <c r="U3130" s="43">
        <f ca="1">_xll.BInterpol('Base CDI'!$H$4:$H$28,'Base CDI'!$I$4:$I$29,S3130,"Cubic","Extrapolate=Linear","MultiX=Average","Skip=True","Sort=True")</f>
        <v>14.799232915483705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48837</v>
      </c>
      <c r="T3131" s="43">
        <f ca="1">_xll.BInterpol('Base CDI'!$H$4:$H$28,'Base CDI'!$J$4:$J$29,S3131,"Cubic","Extrapolate=Linear","MultiX=Average","Skip=True","Sort=True")</f>
        <v>14.718778718253589</v>
      </c>
      <c r="U3131" s="43">
        <f ca="1">_xll.BInterpol('Base CDI'!$H$4:$H$28,'Base CDI'!$I$4:$I$29,S3131,"Cubic","Extrapolate=Linear","MultiX=Average","Skip=True","Sort=True")</f>
        <v>14.799177979928352</v>
      </c>
    </row>
    <row r="3132" spans="16:21" x14ac:dyDescent="0.25">
      <c r="P3132" s="10">
        <v>39065</v>
      </c>
      <c r="Q3132">
        <v>16.11102</v>
      </c>
      <c r="S3132" s="42">
        <f t="shared" ca="1" si="53"/>
        <v>48838</v>
      </c>
      <c r="T3132" s="43">
        <f ca="1">_xll.BInterpol('Base CDI'!$H$4:$H$28,'Base CDI'!$J$4:$J$29,S3132,"Cubic","Extrapolate=Linear","MultiX=Average","Skip=True","Sort=True")</f>
        <v>14.718714490008438</v>
      </c>
      <c r="U3132" s="43">
        <f ca="1">_xll.BInterpol('Base CDI'!$H$4:$H$28,'Base CDI'!$I$4:$I$29,S3132,"Cubic","Extrapolate=Linear","MultiX=Average","Skip=True","Sort=True")</f>
        <v>14.799122908352263</v>
      </c>
    </row>
    <row r="3133" spans="16:21" x14ac:dyDescent="0.25">
      <c r="P3133" s="10">
        <v>39066</v>
      </c>
      <c r="Q3133">
        <v>16.11889</v>
      </c>
      <c r="S3133" s="42">
        <f t="shared" ca="1" si="53"/>
        <v>48839</v>
      </c>
      <c r="T3133" s="43">
        <f ca="1">_xll.BInterpol('Base CDI'!$H$4:$H$28,'Base CDI'!$J$4:$J$29,S3133,"Cubic","Extrapolate=Linear","MultiX=Average","Skip=True","Sort=True")</f>
        <v>14.718650183332517</v>
      </c>
      <c r="U3133" s="43">
        <f ca="1">_xll.BInterpol('Base CDI'!$H$4:$H$28,'Base CDI'!$I$4:$I$29,S3133,"Cubic","Extrapolate=Linear","MultiX=Average","Skip=True","Sort=True")</f>
        <v>14.799067700314518</v>
      </c>
    </row>
    <row r="3134" spans="16:21" x14ac:dyDescent="0.25">
      <c r="P3134" s="10">
        <v>39069</v>
      </c>
      <c r="Q3134">
        <v>16.12677</v>
      </c>
      <c r="S3134" s="42">
        <f t="shared" ca="1" si="53"/>
        <v>48840</v>
      </c>
      <c r="T3134" s="43">
        <f ca="1">_xll.BInterpol('Base CDI'!$H$4:$H$28,'Base CDI'!$J$4:$J$29,S3134,"Cubic","Extrapolate=Linear","MultiX=Average","Skip=True","Sort=True")</f>
        <v>14.71858579808168</v>
      </c>
      <c r="U3134" s="43">
        <f ca="1">_xll.BInterpol('Base CDI'!$H$4:$H$28,'Base CDI'!$I$4:$I$29,S3134,"Cubic","Extrapolate=Linear","MultiX=Average","Skip=True","Sort=True")</f>
        <v>14.799012355374204</v>
      </c>
    </row>
    <row r="3135" spans="16:21" x14ac:dyDescent="0.25">
      <c r="P3135" s="10">
        <v>39070</v>
      </c>
      <c r="Q3135">
        <v>16.13466</v>
      </c>
      <c r="S3135" s="42">
        <f t="shared" ca="1" si="53"/>
        <v>48841</v>
      </c>
      <c r="T3135" s="43">
        <f ca="1">_xll.BInterpol('Base CDI'!$H$4:$H$28,'Base CDI'!$J$4:$J$29,S3135,"Cubic","Extrapolate=Linear","MultiX=Average","Skip=True","Sort=True")</f>
        <v>14.718521334111779</v>
      </c>
      <c r="U3135" s="43">
        <f ca="1">_xll.BInterpol('Base CDI'!$H$4:$H$28,'Base CDI'!$I$4:$I$29,S3135,"Cubic","Extrapolate=Linear","MultiX=Average","Skip=True","Sort=True")</f>
        <v>14.798956873090399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48842</v>
      </c>
      <c r="T3136" s="43">
        <f ca="1">_xll.BInterpol('Base CDI'!$H$4:$H$28,'Base CDI'!$J$4:$J$29,S3136,"Cubic","Extrapolate=Linear","MultiX=Average","Skip=True","Sort=True")</f>
        <v>14.718456791278664</v>
      </c>
      <c r="U3136" s="43">
        <f ca="1">_xll.BInterpol('Base CDI'!$H$4:$H$28,'Base CDI'!$I$4:$I$29,S3136,"Cubic","Extrapolate=Linear","MultiX=Average","Skip=True","Sort=True")</f>
        <v>14.798901253022187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48843</v>
      </c>
      <c r="T3137" s="43">
        <f ca="1">_xll.BInterpol('Base CDI'!$H$4:$H$28,'Base CDI'!$J$4:$J$29,S3137,"Cubic","Extrapolate=Linear","MultiX=Average","Skip=True","Sort=True")</f>
        <v>14.718392169438188</v>
      </c>
      <c r="U3137" s="43">
        <f ca="1">_xll.BInterpol('Base CDI'!$H$4:$H$28,'Base CDI'!$I$4:$I$29,S3137,"Cubic","Extrapolate=Linear","MultiX=Average","Skip=True","Sort=True")</f>
        <v>14.798845494728651</v>
      </c>
    </row>
    <row r="3138" spans="16:21" x14ac:dyDescent="0.25">
      <c r="P3138" s="10">
        <v>39073</v>
      </c>
      <c r="Q3138">
        <v>16.15841</v>
      </c>
      <c r="S3138" s="42">
        <f t="shared" ca="1" si="53"/>
        <v>48844</v>
      </c>
      <c r="T3138" s="43">
        <f ca="1">_xll.BInterpol('Base CDI'!$H$4:$H$28,'Base CDI'!$J$4:$J$29,S3138,"Cubic","Extrapolate=Linear","MultiX=Average","Skip=True","Sort=True")</f>
        <v>14.718327468446207</v>
      </c>
      <c r="U3138" s="43">
        <f ca="1">_xll.BInterpol('Base CDI'!$H$4:$H$28,'Base CDI'!$I$4:$I$29,S3138,"Cubic","Extrapolate=Linear","MultiX=Average","Skip=True","Sort=True")</f>
        <v>14.79878959776887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48845</v>
      </c>
      <c r="T3139" s="43">
        <f ca="1">_xll.BInterpol('Base CDI'!$H$4:$H$28,'Base CDI'!$J$4:$J$29,S3139,"Cubic","Extrapolate=Linear","MultiX=Average","Skip=True","Sort=True")</f>
        <v>14.718262688158568</v>
      </c>
      <c r="U3139" s="43">
        <f ca="1">_xll.BInterpol('Base CDI'!$H$4:$H$28,'Base CDI'!$I$4:$I$29,S3139,"Cubic","Extrapolate=Linear","MultiX=Average","Skip=True","Sort=True")</f>
        <v>14.79873356170193</v>
      </c>
    </row>
    <row r="3140" spans="16:21" x14ac:dyDescent="0.25">
      <c r="P3140" s="10">
        <v>39078</v>
      </c>
      <c r="Q3140">
        <v>16.17426</v>
      </c>
      <c r="S3140" s="42">
        <f t="shared" ca="1" si="53"/>
        <v>48846</v>
      </c>
      <c r="T3140" s="43">
        <f ca="1">_xll.BInterpol('Base CDI'!$H$4:$H$28,'Base CDI'!$J$4:$J$29,S3140,"Cubic","Extrapolate=Linear","MultiX=Average","Skip=True","Sort=True")</f>
        <v>14.718197828431128</v>
      </c>
      <c r="U3140" s="43">
        <f ca="1">_xll.BInterpol('Base CDI'!$H$4:$H$28,'Base CDI'!$I$4:$I$29,S3140,"Cubic","Extrapolate=Linear","MultiX=Average","Skip=True","Sort=True")</f>
        <v>14.798677386086913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48847</v>
      </c>
      <c r="T3141" s="43">
        <f ca="1">_xll.BInterpol('Base CDI'!$H$4:$H$28,'Base CDI'!$J$4:$J$29,S3141,"Cubic","Extrapolate=Linear","MultiX=Average","Skip=True","Sort=True")</f>
        <v>14.718132889119737</v>
      </c>
      <c r="U3141" s="43">
        <f ca="1">_xll.BInterpol('Base CDI'!$H$4:$H$28,'Base CDI'!$I$4:$I$29,S3141,"Cubic","Extrapolate=Linear","MultiX=Average","Skip=True","Sort=True")</f>
        <v>14.798621070482898</v>
      </c>
    </row>
    <row r="3142" spans="16:21" x14ac:dyDescent="0.25">
      <c r="P3142" s="10">
        <v>39080</v>
      </c>
      <c r="Q3142">
        <v>16.19014</v>
      </c>
      <c r="S3142" s="42">
        <f t="shared" ca="1" si="53"/>
        <v>48848</v>
      </c>
      <c r="T3142" s="43">
        <f ca="1">_xll.BInterpol('Base CDI'!$H$4:$H$28,'Base CDI'!$J$4:$J$29,S3142,"Cubic","Extrapolate=Linear","MultiX=Average","Skip=True","Sort=True")</f>
        <v>14.718067870080249</v>
      </c>
      <c r="U3142" s="43">
        <f ca="1">_xll.BInterpol('Base CDI'!$H$4:$H$28,'Base CDI'!$I$4:$I$29,S3142,"Cubic","Extrapolate=Linear","MultiX=Average","Skip=True","Sort=True")</f>
        <v>14.798564614448971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48849</v>
      </c>
      <c r="T3143" s="43">
        <f ca="1">_xll.BInterpol('Base CDI'!$H$4:$H$28,'Base CDI'!$J$4:$J$29,S3143,"Cubic","Extrapolate=Linear","MultiX=Average","Skip=True","Sort=True")</f>
        <v>14.718002771168516</v>
      </c>
      <c r="U3143" s="43">
        <f ca="1">_xll.BInterpol('Base CDI'!$H$4:$H$28,'Base CDI'!$I$4:$I$29,S3143,"Cubic","Extrapolate=Linear","MultiX=Average","Skip=True","Sort=True")</f>
        <v>14.798508017544211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48850</v>
      </c>
      <c r="T3144" s="43">
        <f ca="1">_xll.BInterpol('Base CDI'!$H$4:$H$28,'Base CDI'!$J$4:$J$29,S3144,"Cubic","Extrapolate=Linear","MultiX=Average","Skip=True","Sort=True")</f>
        <v>14.717937592240389</v>
      </c>
      <c r="U3144" s="43">
        <f ca="1">_xll.BInterpol('Base CDI'!$H$4:$H$28,'Base CDI'!$I$4:$I$29,S3144,"Cubic","Extrapolate=Linear","MultiX=Average","Skip=True","Sort=True")</f>
        <v>14.798451279327702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48851</v>
      </c>
      <c r="T3145" s="43">
        <f ca="1">_xll.BInterpol('Base CDI'!$H$4:$H$28,'Base CDI'!$J$4:$J$29,S3145,"Cubic","Extrapolate=Linear","MultiX=Average","Skip=True","Sort=True")</f>
        <v>14.717872333151723</v>
      </c>
      <c r="U3145" s="43">
        <f ca="1">_xll.BInterpol('Base CDI'!$H$4:$H$28,'Base CDI'!$I$4:$I$29,S3145,"Cubic","Extrapolate=Linear","MultiX=Average","Skip=True","Sort=True")</f>
        <v>14.798394399358529</v>
      </c>
    </row>
    <row r="3146" spans="16:21" x14ac:dyDescent="0.25">
      <c r="P3146" s="10">
        <v>39087</v>
      </c>
      <c r="Q3146">
        <v>16.22195</v>
      </c>
      <c r="S3146" s="42">
        <f t="shared" ca="1" si="53"/>
        <v>48852</v>
      </c>
      <c r="T3146" s="43">
        <f ca="1">_xll.BInterpol('Base CDI'!$H$4:$H$28,'Base CDI'!$J$4:$J$29,S3146,"Cubic","Extrapolate=Linear","MultiX=Average","Skip=True","Sort=True")</f>
        <v>14.717806993758369</v>
      </c>
      <c r="U3146" s="43">
        <f ca="1">_xll.BInterpol('Base CDI'!$H$4:$H$28,'Base CDI'!$I$4:$I$29,S3146,"Cubic","Extrapolate=Linear","MultiX=Average","Skip=True","Sort=True")</f>
        <v>14.798337377195768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48853</v>
      </c>
      <c r="T3147" s="43">
        <f ca="1">_xll.BInterpol('Base CDI'!$H$4:$H$28,'Base CDI'!$J$4:$J$29,S3147,"Cubic","Extrapolate=Linear","MultiX=Average","Skip=True","Sort=True")</f>
        <v>14.717741573916179</v>
      </c>
      <c r="U3147" s="43">
        <f ca="1">_xll.BInterpol('Base CDI'!$H$4:$H$28,'Base CDI'!$I$4:$I$29,S3147,"Cubic","Extrapolate=Linear","MultiX=Average","Skip=True","Sort=True")</f>
        <v>14.798280212398506</v>
      </c>
    </row>
    <row r="3148" spans="16:21" x14ac:dyDescent="0.25">
      <c r="P3148" s="10">
        <v>39091</v>
      </c>
      <c r="Q3148">
        <v>16.23789</v>
      </c>
      <c r="S3148" s="42">
        <f t="shared" ca="1" si="54"/>
        <v>48854</v>
      </c>
      <c r="T3148" s="43">
        <f ca="1">_xll.BInterpol('Base CDI'!$H$4:$H$28,'Base CDI'!$J$4:$J$29,S3148,"Cubic","Extrapolate=Linear","MultiX=Average","Skip=True","Sort=True")</f>
        <v>14.717676073481007</v>
      </c>
      <c r="U3148" s="43">
        <f ca="1">_xll.BInterpol('Base CDI'!$H$4:$H$28,'Base CDI'!$I$4:$I$29,S3148,"Cubic","Extrapolate=Linear","MultiX=Average","Skip=True","Sort=True")</f>
        <v>14.798222904525824</v>
      </c>
    </row>
    <row r="3149" spans="16:21" x14ac:dyDescent="0.25">
      <c r="P3149" s="10">
        <v>39092</v>
      </c>
      <c r="Q3149">
        <v>16.24587</v>
      </c>
      <c r="S3149" s="42">
        <f t="shared" ca="1" si="54"/>
        <v>48855</v>
      </c>
      <c r="T3149" s="43">
        <f ca="1">_xll.BInterpol('Base CDI'!$H$4:$H$28,'Base CDI'!$J$4:$J$29,S3149,"Cubic","Extrapolate=Linear","MultiX=Average","Skip=True","Sort=True")</f>
        <v>14.717610492308703</v>
      </c>
      <c r="U3149" s="43">
        <f ca="1">_xll.BInterpol('Base CDI'!$H$4:$H$28,'Base CDI'!$I$4:$I$29,S3149,"Cubic","Extrapolate=Linear","MultiX=Average","Skip=True","Sort=True")</f>
        <v>14.798165453136804</v>
      </c>
    </row>
    <row r="3150" spans="16:21" x14ac:dyDescent="0.25">
      <c r="P3150" s="10">
        <v>39093</v>
      </c>
      <c r="Q3150">
        <v>16.25384</v>
      </c>
      <c r="S3150" s="42">
        <f t="shared" ca="1" si="54"/>
        <v>48856</v>
      </c>
      <c r="T3150" s="43">
        <f ca="1">_xll.BInterpol('Base CDI'!$H$4:$H$28,'Base CDI'!$J$4:$J$29,S3150,"Cubic","Extrapolate=Linear","MultiX=Average","Skip=True","Sort=True")</f>
        <v>14.717544830255122</v>
      </c>
      <c r="U3150" s="43">
        <f ca="1">_xll.BInterpol('Base CDI'!$H$4:$H$28,'Base CDI'!$I$4:$I$29,S3150,"Cubic","Extrapolate=Linear","MultiX=Average","Skip=True","Sort=True")</f>
        <v>14.798107857790528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48857</v>
      </c>
      <c r="T3151" s="43">
        <f ca="1">_xll.BInterpol('Base CDI'!$H$4:$H$28,'Base CDI'!$J$4:$J$29,S3151,"Cubic","Extrapolate=Linear","MultiX=Average","Skip=True","Sort=True")</f>
        <v>14.717479087176116</v>
      </c>
      <c r="U3151" s="43">
        <f ca="1">_xll.BInterpol('Base CDI'!$H$4:$H$28,'Base CDI'!$I$4:$I$29,S3151,"Cubic","Extrapolate=Linear","MultiX=Average","Skip=True","Sort=True")</f>
        <v>14.798050118046078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48858</v>
      </c>
      <c r="T3152" s="43">
        <f ca="1">_xll.BInterpol('Base CDI'!$H$4:$H$28,'Base CDI'!$J$4:$J$29,S3152,"Cubic","Extrapolate=Linear","MultiX=Average","Skip=True","Sort=True")</f>
        <v>14.717413262927536</v>
      </c>
      <c r="U3152" s="43">
        <f ca="1">_xll.BInterpol('Base CDI'!$H$4:$H$28,'Base CDI'!$I$4:$I$29,S3152,"Cubic","Extrapolate=Linear","MultiX=Average","Skip=True","Sort=True")</f>
        <v>14.797992233462539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48859</v>
      </c>
      <c r="T3153" s="43">
        <f ca="1">_xll.BInterpol('Base CDI'!$H$4:$H$28,'Base CDI'!$J$4:$J$29,S3153,"Cubic","Extrapolate=Linear","MultiX=Average","Skip=True","Sort=True")</f>
        <v>14.717347357365236</v>
      </c>
      <c r="U3153" s="43">
        <f ca="1">_xll.BInterpol('Base CDI'!$H$4:$H$28,'Base CDI'!$I$4:$I$29,S3153,"Cubic","Extrapolate=Linear","MultiX=Average","Skip=True","Sort=True")</f>
        <v>14.79793420359899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48860</v>
      </c>
      <c r="T3154" s="43">
        <f ca="1">_xll.BInterpol('Base CDI'!$H$4:$H$28,'Base CDI'!$J$4:$J$29,S3154,"Cubic","Extrapolate=Linear","MultiX=Average","Skip=True","Sort=True")</f>
        <v>14.717281370345068</v>
      </c>
      <c r="U3154" s="43">
        <f ca="1">_xll.BInterpol('Base CDI'!$H$4:$H$28,'Base CDI'!$I$4:$I$29,S3154,"Cubic","Extrapolate=Linear","MultiX=Average","Skip=True","Sort=True")</f>
        <v>14.797876028014514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48861</v>
      </c>
      <c r="T3155" s="43">
        <f ca="1">_xll.BInterpol('Base CDI'!$H$4:$H$28,'Base CDI'!$J$4:$J$29,S3155,"Cubic","Extrapolate=Linear","MultiX=Average","Skip=True","Sort=True")</f>
        <v>14.717215301722884</v>
      </c>
      <c r="U3155" s="43">
        <f ca="1">_xll.BInterpol('Base CDI'!$H$4:$H$28,'Base CDI'!$I$4:$I$29,S3155,"Cubic","Extrapolate=Linear","MultiX=Average","Skip=True","Sort=True")</f>
        <v>14.797817706268194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48862</v>
      </c>
      <c r="T3156" s="43">
        <f ca="1">_xll.BInterpol('Base CDI'!$H$4:$H$28,'Base CDI'!$J$4:$J$29,S3156,"Cubic","Extrapolate=Linear","MultiX=Average","Skip=True","Sort=True")</f>
        <v>14.717149151354537</v>
      </c>
      <c r="U3156" s="43">
        <f ca="1">_xll.BInterpol('Base CDI'!$H$4:$H$28,'Base CDI'!$I$4:$I$29,S3156,"Cubic","Extrapolate=Linear","MultiX=Average","Skip=True","Sort=True")</f>
        <v>14.797759237919111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48863</v>
      </c>
      <c r="T3157" s="43">
        <f ca="1">_xll.BInterpol('Base CDI'!$H$4:$H$28,'Base CDI'!$J$4:$J$29,S3157,"Cubic","Extrapolate=Linear","MultiX=Average","Skip=True","Sort=True")</f>
        <v>14.71708291909588</v>
      </c>
      <c r="U3157" s="43">
        <f ca="1">_xll.BInterpol('Base CDI'!$H$4:$H$28,'Base CDI'!$I$4:$I$29,S3157,"Cubic","Extrapolate=Linear","MultiX=Average","Skip=True","Sort=True")</f>
        <v>14.797700622526349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48864</v>
      </c>
      <c r="T3158" s="43">
        <f ca="1">_xll.BInterpol('Base CDI'!$H$4:$H$28,'Base CDI'!$J$4:$J$29,S3158,"Cubic","Extrapolate=Linear","MultiX=Average","Skip=True","Sort=True")</f>
        <v>14.717016604802764</v>
      </c>
      <c r="U3158" s="43">
        <f ca="1">_xll.BInterpol('Base CDI'!$H$4:$H$28,'Base CDI'!$I$4:$I$29,S3158,"Cubic","Extrapolate=Linear","MultiX=Average","Skip=True","Sort=True")</f>
        <v>14.797641859648991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48865</v>
      </c>
      <c r="T3159" s="43">
        <f ca="1">_xll.BInterpol('Base CDI'!$H$4:$H$28,'Base CDI'!$J$4:$J$29,S3159,"Cubic","Extrapolate=Linear","MultiX=Average","Skip=True","Sort=True")</f>
        <v>14.716950208331042</v>
      </c>
      <c r="U3159" s="43">
        <f ca="1">_xll.BInterpol('Base CDI'!$H$4:$H$28,'Base CDI'!$I$4:$I$29,S3159,"Cubic","Extrapolate=Linear","MultiX=Average","Skip=True","Sort=True")</f>
        <v>14.797582948846117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48866</v>
      </c>
      <c r="T3160" s="43">
        <f ca="1">_xll.BInterpol('Base CDI'!$H$4:$H$28,'Base CDI'!$J$4:$J$29,S3160,"Cubic","Extrapolate=Linear","MultiX=Average","Skip=True","Sort=True")</f>
        <v>14.716883729536566</v>
      </c>
      <c r="U3160" s="43">
        <f ca="1">_xll.BInterpol('Base CDI'!$H$4:$H$28,'Base CDI'!$I$4:$I$29,S3160,"Cubic","Extrapolate=Linear","MultiX=Average","Skip=True","Sort=True")</f>
        <v>14.797523889676809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48867</v>
      </c>
      <c r="T3161" s="43">
        <f ca="1">_xll.BInterpol('Base CDI'!$H$4:$H$28,'Base CDI'!$J$4:$J$29,S3161,"Cubic","Extrapolate=Linear","MultiX=Average","Skip=True","Sort=True")</f>
        <v>14.71681716827519</v>
      </c>
      <c r="U3161" s="43">
        <f ca="1">_xll.BInterpol('Base CDI'!$H$4:$H$28,'Base CDI'!$I$4:$I$29,S3161,"Cubic","Extrapolate=Linear","MultiX=Average","Skip=True","Sort=True")</f>
        <v>14.79746468170015</v>
      </c>
    </row>
    <row r="3162" spans="16:21" x14ac:dyDescent="0.25">
      <c r="P3162" s="10">
        <v>39111</v>
      </c>
      <c r="Q3162">
        <v>16.34918</v>
      </c>
      <c r="S3162" s="42">
        <f t="shared" ca="1" si="54"/>
        <v>48868</v>
      </c>
      <c r="T3162" s="43">
        <f ca="1">_xll.BInterpol('Base CDI'!$H$4:$H$28,'Base CDI'!$J$4:$J$29,S3162,"Cubic","Extrapolate=Linear","MultiX=Average","Skip=True","Sort=True")</f>
        <v>14.716750524402766</v>
      </c>
      <c r="U3162" s="43">
        <f ca="1">_xll.BInterpol('Base CDI'!$H$4:$H$28,'Base CDI'!$I$4:$I$29,S3162,"Cubic","Extrapolate=Linear","MultiX=Average","Skip=True","Sort=True")</f>
        <v>14.797405324475223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48869</v>
      </c>
      <c r="T3163" s="43">
        <f ca="1">_xll.BInterpol('Base CDI'!$H$4:$H$28,'Base CDI'!$J$4:$J$29,S3163,"Cubic","Extrapolate=Linear","MultiX=Average","Skip=True","Sort=True")</f>
        <v>14.716683797775147</v>
      </c>
      <c r="U3163" s="43">
        <f ca="1">_xll.BInterpol('Base CDI'!$H$4:$H$28,'Base CDI'!$I$4:$I$29,S3163,"Cubic","Extrapolate=Linear","MultiX=Average","Skip=True","Sort=True")</f>
        <v>14.79734581756111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48870</v>
      </c>
      <c r="T3164" s="43">
        <f ca="1">_xll.BInterpol('Base CDI'!$H$4:$H$28,'Base CDI'!$J$4:$J$29,S3164,"Cubic","Extrapolate=Linear","MultiX=Average","Skip=True","Sort=True")</f>
        <v>14.716616988248182</v>
      </c>
      <c r="U3164" s="43">
        <f ca="1">_xll.BInterpol('Base CDI'!$H$4:$H$28,'Base CDI'!$I$4:$I$29,S3164,"Cubic","Extrapolate=Linear","MultiX=Average","Skip=True","Sort=True")</f>
        <v>14.797286160516892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48871</v>
      </c>
      <c r="T3165" s="43">
        <f ca="1">_xll.BInterpol('Base CDI'!$H$4:$H$28,'Base CDI'!$J$4:$J$29,S3165,"Cubic","Extrapolate=Linear","MultiX=Average","Skip=True","Sort=True")</f>
        <v>14.716550095677729</v>
      </c>
      <c r="U3165" s="43">
        <f ca="1">_xll.BInterpol('Base CDI'!$H$4:$H$28,'Base CDI'!$I$4:$I$29,S3165,"Cubic","Extrapolate=Linear","MultiX=Average","Skip=True","Sort=True")</f>
        <v>14.797226352901653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48872</v>
      </c>
      <c r="T3166" s="43">
        <f ca="1">_xll.BInterpol('Base CDI'!$H$4:$H$28,'Base CDI'!$J$4:$J$29,S3166,"Cubic","Extrapolate=Linear","MultiX=Average","Skip=True","Sort=True")</f>
        <v>14.716483119919635</v>
      </c>
      <c r="U3166" s="43">
        <f ca="1">_xll.BInterpol('Base CDI'!$H$4:$H$28,'Base CDI'!$I$4:$I$29,S3166,"Cubic","Extrapolate=Linear","MultiX=Average","Skip=True","Sort=True")</f>
        <v>14.797166394274475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48873</v>
      </c>
      <c r="T3167" s="43">
        <f ca="1">_xll.BInterpol('Base CDI'!$H$4:$H$28,'Base CDI'!$J$4:$J$29,S3167,"Cubic","Extrapolate=Linear","MultiX=Average","Skip=True","Sort=True")</f>
        <v>14.716416060829756</v>
      </c>
      <c r="U3167" s="43">
        <f ca="1">_xll.BInterpol('Base CDI'!$H$4:$H$28,'Base CDI'!$I$4:$I$29,S3167,"Cubic","Extrapolate=Linear","MultiX=Average","Skip=True","Sort=True")</f>
        <v>14.79710628419444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48874</v>
      </c>
      <c r="T3168" s="43">
        <f ca="1">_xll.BInterpol('Base CDI'!$H$4:$H$28,'Base CDI'!$J$4:$J$29,S3168,"Cubic","Extrapolate=Linear","MultiX=Average","Skip=True","Sort=True")</f>
        <v>14.716348918263943</v>
      </c>
      <c r="U3168" s="43">
        <f ca="1">_xll.BInterpol('Base CDI'!$H$4:$H$28,'Base CDI'!$I$4:$I$29,S3168,"Cubic","Extrapolate=Linear","MultiX=Average","Skip=True","Sort=True")</f>
        <v>14.797046022220629</v>
      </c>
    </row>
    <row r="3169" spans="16:21" x14ac:dyDescent="0.25">
      <c r="P3169" s="10">
        <v>39120</v>
      </c>
      <c r="Q3169">
        <v>16.40436</v>
      </c>
      <c r="S3169" s="42">
        <f t="shared" ca="1" si="54"/>
        <v>48875</v>
      </c>
      <c r="T3169" s="43">
        <f ca="1">_xll.BInterpol('Base CDI'!$H$4:$H$28,'Base CDI'!$J$4:$J$29,S3169,"Cubic","Extrapolate=Linear","MultiX=Average","Skip=True","Sort=True")</f>
        <v>14.71628169207805</v>
      </c>
      <c r="U3169" s="43">
        <f ca="1">_xll.BInterpol('Base CDI'!$H$4:$H$28,'Base CDI'!$I$4:$I$29,S3169,"Cubic","Extrapolate=Linear","MultiX=Average","Skip=True","Sort=True")</f>
        <v>14.796985607912125</v>
      </c>
    </row>
    <row r="3170" spans="16:21" x14ac:dyDescent="0.25">
      <c r="P3170" s="10">
        <v>39121</v>
      </c>
      <c r="Q3170">
        <v>16.41226</v>
      </c>
      <c r="S3170" s="42">
        <f t="shared" ca="1" si="54"/>
        <v>48876</v>
      </c>
      <c r="T3170" s="43">
        <f ca="1">_xll.BInterpol('Base CDI'!$H$4:$H$28,'Base CDI'!$J$4:$J$29,S3170,"Cubic","Extrapolate=Linear","MultiX=Average","Skip=True","Sort=True")</f>
        <v>14.716214382127928</v>
      </c>
      <c r="U3170" s="43">
        <f ca="1">_xll.BInterpol('Base CDI'!$H$4:$H$28,'Base CDI'!$I$4:$I$29,S3170,"Cubic","Extrapolate=Linear","MultiX=Average","Skip=True","Sort=True")</f>
        <v>14.796925040828013</v>
      </c>
    </row>
    <row r="3171" spans="16:21" x14ac:dyDescent="0.25">
      <c r="P3171" s="10">
        <v>39122</v>
      </c>
      <c r="Q3171">
        <v>16.42015</v>
      </c>
      <c r="S3171" s="42">
        <f t="shared" ca="1" si="54"/>
        <v>48877</v>
      </c>
      <c r="T3171" s="43">
        <f ca="1">_xll.BInterpol('Base CDI'!$H$4:$H$28,'Base CDI'!$J$4:$J$29,S3171,"Cubic","Extrapolate=Linear","MultiX=Average","Skip=True","Sort=True")</f>
        <v>14.716146988269429</v>
      </c>
      <c r="U3171" s="43">
        <f ca="1">_xll.BInterpol('Base CDI'!$H$4:$H$28,'Base CDI'!$I$4:$I$29,S3171,"Cubic","Extrapolate=Linear","MultiX=Average","Skip=True","Sort=True")</f>
        <v>14.796864320527369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48878</v>
      </c>
      <c r="T3172" s="43">
        <f ca="1">_xll.BInterpol('Base CDI'!$H$4:$H$28,'Base CDI'!$J$4:$J$29,S3172,"Cubic","Extrapolate=Linear","MultiX=Average","Skip=True","Sort=True")</f>
        <v>14.716079510358409</v>
      </c>
      <c r="U3172" s="43">
        <f ca="1">_xll.BInterpol('Base CDI'!$H$4:$H$28,'Base CDI'!$I$4:$I$29,S3172,"Cubic","Extrapolate=Linear","MultiX=Average","Skip=True","Sort=True")</f>
        <v>14.796803446569282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48879</v>
      </c>
      <c r="T3173" s="43">
        <f ca="1">_xll.BInterpol('Base CDI'!$H$4:$H$28,'Base CDI'!$J$4:$J$29,S3173,"Cubic","Extrapolate=Linear","MultiX=Average","Skip=True","Sort=True")</f>
        <v>14.716011948250715</v>
      </c>
      <c r="U3173" s="43">
        <f ca="1">_xll.BInterpol('Base CDI'!$H$4:$H$28,'Base CDI'!$I$4:$I$29,S3173,"Cubic","Extrapolate=Linear","MultiX=Average","Skip=True","Sort=True")</f>
        <v>14.796742418512832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48880</v>
      </c>
      <c r="T3174" s="43">
        <f ca="1">_xll.BInterpol('Base CDI'!$H$4:$H$28,'Base CDI'!$J$4:$J$29,S3174,"Cubic","Extrapolate=Linear","MultiX=Average","Skip=True","Sort=True")</f>
        <v>14.715944301802203</v>
      </c>
      <c r="U3174" s="43">
        <f ca="1">_xll.BInterpol('Base CDI'!$H$4:$H$28,'Base CDI'!$I$4:$I$29,S3174,"Cubic","Extrapolate=Linear","MultiX=Average","Skip=True","Sort=True")</f>
        <v>14.796681235917097</v>
      </c>
    </row>
    <row r="3175" spans="16:21" x14ac:dyDescent="0.25">
      <c r="P3175" s="10">
        <v>39128</v>
      </c>
      <c r="Q3175">
        <v>16.45177</v>
      </c>
      <c r="S3175" s="42">
        <f t="shared" ca="1" si="54"/>
        <v>48881</v>
      </c>
      <c r="T3175" s="43">
        <f ca="1">_xll.BInterpol('Base CDI'!$H$4:$H$28,'Base CDI'!$J$4:$J$29,S3175,"Cubic","Extrapolate=Linear","MultiX=Average","Skip=True","Sort=True")</f>
        <v>14.715876570868724</v>
      </c>
      <c r="U3175" s="43">
        <f ca="1">_xll.BInterpol('Base CDI'!$H$4:$H$28,'Base CDI'!$I$4:$I$29,S3175,"Cubic","Extrapolate=Linear","MultiX=Average","Skip=True","Sort=True")</f>
        <v>14.796619898341165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48882</v>
      </c>
      <c r="T3176" s="43">
        <f ca="1">_xll.BInterpol('Base CDI'!$H$4:$H$28,'Base CDI'!$J$4:$J$29,S3176,"Cubic","Extrapolate=Linear","MultiX=Average","Skip=True","Sort=True")</f>
        <v>14.715808755306133</v>
      </c>
      <c r="U3176" s="43">
        <f ca="1">_xll.BInterpol('Base CDI'!$H$4:$H$28,'Base CDI'!$I$4:$I$29,S3176,"Cubic","Extrapolate=Linear","MultiX=Average","Skip=True","Sort=True")</f>
        <v>14.796558405344117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48883</v>
      </c>
      <c r="T3177" s="43">
        <f ca="1">_xll.BInterpol('Base CDI'!$H$4:$H$28,'Base CDI'!$J$4:$J$29,S3177,"Cubic","Extrapolate=Linear","MultiX=Average","Skip=True","Sort=True")</f>
        <v>14.71574085497028</v>
      </c>
      <c r="U3177" s="43">
        <f ca="1">_xll.BInterpol('Base CDI'!$H$4:$H$28,'Base CDI'!$I$4:$I$29,S3177,"Cubic","Extrapolate=Linear","MultiX=Average","Skip=True","Sort=True")</f>
        <v>14.796496756485032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48884</v>
      </c>
      <c r="T3178" s="43">
        <f ca="1">_xll.BInterpol('Base CDI'!$H$4:$H$28,'Base CDI'!$J$4:$J$29,S3178,"Cubic","Extrapolate=Linear","MultiX=Average","Skip=True","Sort=True")</f>
        <v>14.715672869717016</v>
      </c>
      <c r="U3178" s="43">
        <f ca="1">_xll.BInterpol('Base CDI'!$H$4:$H$28,'Base CDI'!$I$4:$I$29,S3178,"Cubic","Extrapolate=Linear","MultiX=Average","Skip=True","Sort=True")</f>
        <v>14.796434951322997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48885</v>
      </c>
      <c r="T3179" s="43">
        <f ca="1">_xll.BInterpol('Base CDI'!$H$4:$H$28,'Base CDI'!$J$4:$J$29,S3179,"Cubic","Extrapolate=Linear","MultiX=Average","Skip=True","Sort=True")</f>
        <v>14.715604799402199</v>
      </c>
      <c r="U3179" s="43">
        <f ca="1">_xll.BInterpol('Base CDI'!$H$4:$H$28,'Base CDI'!$I$4:$I$29,S3179,"Cubic","Extrapolate=Linear","MultiX=Average","Skip=True","Sort=True")</f>
        <v>14.79637298941709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48886</v>
      </c>
      <c r="T3180" s="43">
        <f ca="1">_xll.BInterpol('Base CDI'!$H$4:$H$28,'Base CDI'!$J$4:$J$29,S3180,"Cubic","Extrapolate=Linear","MultiX=Average","Skip=True","Sort=True")</f>
        <v>14.715536643881675</v>
      </c>
      <c r="U3180" s="43">
        <f ca="1">_xll.BInterpol('Base CDI'!$H$4:$H$28,'Base CDI'!$I$4:$I$29,S3180,"Cubic","Extrapolate=Linear","MultiX=Average","Skip=True","Sort=True")</f>
        <v>14.796310870326396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48887</v>
      </c>
      <c r="T3181" s="43">
        <f ca="1">_xll.BInterpol('Base CDI'!$H$4:$H$28,'Base CDI'!$J$4:$J$29,S3181,"Cubic","Extrapolate=Linear","MultiX=Average","Skip=True","Sort=True")</f>
        <v>14.715468403011302</v>
      </c>
      <c r="U3181" s="43">
        <f ca="1">_xll.BInterpol('Base CDI'!$H$4:$H$28,'Base CDI'!$I$4:$I$29,S3181,"Cubic","Extrapolate=Linear","MultiX=Average","Skip=True","Sort=True")</f>
        <v>14.796248593609997</v>
      </c>
    </row>
    <row r="3182" spans="16:21" x14ac:dyDescent="0.25">
      <c r="P3182" s="10">
        <v>39141</v>
      </c>
      <c r="Q3182">
        <v>16.50723</v>
      </c>
      <c r="S3182" s="42">
        <f t="shared" ca="1" si="54"/>
        <v>48888</v>
      </c>
      <c r="T3182" s="43">
        <f ca="1">_xll.BInterpol('Base CDI'!$H$4:$H$28,'Base CDI'!$J$4:$J$29,S3182,"Cubic","Extrapolate=Linear","MultiX=Average","Skip=True","Sort=True")</f>
        <v>14.715400076646928</v>
      </c>
      <c r="U3182" s="43">
        <f ca="1">_xll.BInterpol('Base CDI'!$H$4:$H$28,'Base CDI'!$I$4:$I$29,S3182,"Cubic","Extrapolate=Linear","MultiX=Average","Skip=True","Sort=True")</f>
        <v>14.796186158826973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48889</v>
      </c>
      <c r="T3183" s="43">
        <f ca="1">_xll.BInterpol('Base CDI'!$H$4:$H$28,'Base CDI'!$J$4:$J$29,S3183,"Cubic","Extrapolate=Linear","MultiX=Average","Skip=True","Sort=True")</f>
        <v>14.71533166464441</v>
      </c>
      <c r="U3183" s="43">
        <f ca="1">_xll.BInterpol('Base CDI'!$H$4:$H$28,'Base CDI'!$I$4:$I$29,S3183,"Cubic","Extrapolate=Linear","MultiX=Average","Skip=True","Sort=True")</f>
        <v>14.79612356553641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48890</v>
      </c>
      <c r="T3184" s="43">
        <f ca="1">_xll.BInterpol('Base CDI'!$H$4:$H$28,'Base CDI'!$J$4:$J$29,S3184,"Cubic","Extrapolate=Linear","MultiX=Average","Skip=True","Sort=True")</f>
        <v>14.715263166859595</v>
      </c>
      <c r="U3184" s="43">
        <f ca="1">_xll.BInterpol('Base CDI'!$H$4:$H$28,'Base CDI'!$I$4:$I$29,S3184,"Cubic","Extrapolate=Linear","MultiX=Average","Skip=True","Sort=True")</f>
        <v>14.796060813297387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48891</v>
      </c>
      <c r="T3185" s="43">
        <f ca="1">_xll.BInterpol('Base CDI'!$H$4:$H$28,'Base CDI'!$J$4:$J$29,S3185,"Cubic","Extrapolate=Linear","MultiX=Average","Skip=True","Sort=True")</f>
        <v>14.715194583148341</v>
      </c>
      <c r="U3185" s="43">
        <f ca="1">_xll.BInterpol('Base CDI'!$H$4:$H$28,'Base CDI'!$I$4:$I$29,S3185,"Cubic","Extrapolate=Linear","MultiX=Average","Skip=True","Sort=True")</f>
        <v>14.795997901668986</v>
      </c>
    </row>
    <row r="3186" spans="16:21" x14ac:dyDescent="0.25">
      <c r="P3186" s="10">
        <v>39147</v>
      </c>
      <c r="Q3186">
        <v>16.53905</v>
      </c>
      <c r="S3186" s="42">
        <f t="shared" ca="1" si="54"/>
        <v>48892</v>
      </c>
      <c r="T3186" s="43">
        <f ca="1">_xll.BInterpol('Base CDI'!$H$4:$H$28,'Base CDI'!$J$4:$J$29,S3186,"Cubic","Extrapolate=Linear","MultiX=Average","Skip=True","Sort=True")</f>
        <v>14.715125913366496</v>
      </c>
      <c r="U3186" s="43">
        <f ca="1">_xll.BInterpol('Base CDI'!$H$4:$H$28,'Base CDI'!$I$4:$I$29,S3186,"Cubic","Extrapolate=Linear","MultiX=Average","Skip=True","Sort=True")</f>
        <v>14.795934830210292</v>
      </c>
    </row>
    <row r="3187" spans="16:21" x14ac:dyDescent="0.25">
      <c r="P3187" s="10">
        <v>39148</v>
      </c>
      <c r="Q3187">
        <v>16.54701</v>
      </c>
      <c r="S3187" s="42">
        <f t="shared" ca="1" si="54"/>
        <v>48893</v>
      </c>
      <c r="T3187" s="43">
        <f ca="1">_xll.BInterpol('Base CDI'!$H$4:$H$28,'Base CDI'!$J$4:$J$29,S3187,"Cubic","Extrapolate=Linear","MultiX=Average","Skip=True","Sort=True")</f>
        <v>14.715057157369914</v>
      </c>
      <c r="U3187" s="43">
        <f ca="1">_xll.BInterpol('Base CDI'!$H$4:$H$28,'Base CDI'!$I$4:$I$29,S3187,"Cubic","Extrapolate=Linear","MultiX=Average","Skip=True","Sort=True")</f>
        <v>14.795871598480387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48894</v>
      </c>
      <c r="T3188" s="43">
        <f ca="1">_xll.BInterpol('Base CDI'!$H$4:$H$28,'Base CDI'!$J$4:$J$29,S3188,"Cubic","Extrapolate=Linear","MultiX=Average","Skip=True","Sort=True")</f>
        <v>14.71498831501445</v>
      </c>
      <c r="U3188" s="43">
        <f ca="1">_xll.BInterpol('Base CDI'!$H$4:$H$28,'Base CDI'!$I$4:$I$29,S3188,"Cubic","Extrapolate=Linear","MultiX=Average","Skip=True","Sort=True")</f>
        <v>14.795808206038352</v>
      </c>
    </row>
    <row r="3189" spans="16:21" x14ac:dyDescent="0.25">
      <c r="P3189" s="10">
        <v>39150</v>
      </c>
      <c r="Q3189">
        <v>16.56278</v>
      </c>
      <c r="S3189" s="42">
        <f t="shared" ca="1" si="54"/>
        <v>48895</v>
      </c>
      <c r="T3189" s="43">
        <f ca="1">_xll.BInterpol('Base CDI'!$H$4:$H$28,'Base CDI'!$J$4:$J$29,S3189,"Cubic","Extrapolate=Linear","MultiX=Average","Skip=True","Sort=True")</f>
        <v>14.714919386155952</v>
      </c>
      <c r="U3189" s="43">
        <f ca="1">_xll.BInterpol('Base CDI'!$H$4:$H$28,'Base CDI'!$I$4:$I$29,S3189,"Cubic","Extrapolate=Linear","MultiX=Average","Skip=True","Sort=True")</f>
        <v>14.795744652443268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48896</v>
      </c>
      <c r="T3190" s="43">
        <f ca="1">_xll.BInterpol('Base CDI'!$H$4:$H$28,'Base CDI'!$J$4:$J$29,S3190,"Cubic","Extrapolate=Linear","MultiX=Average","Skip=True","Sort=True")</f>
        <v>14.714850370650277</v>
      </c>
      <c r="U3190" s="43">
        <f ca="1">_xll.BInterpol('Base CDI'!$H$4:$H$28,'Base CDI'!$I$4:$I$29,S3190,"Cubic","Extrapolate=Linear","MultiX=Average","Skip=True","Sort=True")</f>
        <v>14.79568093725422</v>
      </c>
    </row>
    <row r="3191" spans="16:21" x14ac:dyDescent="0.25">
      <c r="P3191" s="10">
        <v>39154</v>
      </c>
      <c r="Q3191">
        <v>16.57845</v>
      </c>
      <c r="S3191" s="42">
        <f t="shared" ca="1" si="54"/>
        <v>48897</v>
      </c>
      <c r="T3191" s="43">
        <f ca="1">_xll.BInterpol('Base CDI'!$H$4:$H$28,'Base CDI'!$J$4:$J$29,S3191,"Cubic","Extrapolate=Linear","MultiX=Average","Skip=True","Sort=True")</f>
        <v>14.714781268353274</v>
      </c>
      <c r="U3191" s="43">
        <f ca="1">_xll.BInterpol('Base CDI'!$H$4:$H$28,'Base CDI'!$I$4:$I$29,S3191,"Cubic","Extrapolate=Linear","MultiX=Average","Skip=True","Sort=True")</f>
        <v>14.795617060030288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48898</v>
      </c>
      <c r="T3192" s="43">
        <f ca="1">_xll.BInterpol('Base CDI'!$H$4:$H$28,'Base CDI'!$J$4:$J$29,S3192,"Cubic","Extrapolate=Linear","MultiX=Average","Skip=True","Sort=True")</f>
        <v>14.714712079120796</v>
      </c>
      <c r="U3192" s="43">
        <f ca="1">_xll.BInterpol('Base CDI'!$H$4:$H$28,'Base CDI'!$I$4:$I$29,S3192,"Cubic","Extrapolate=Linear","MultiX=Average","Skip=True","Sort=True")</f>
        <v>14.795553020330555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48899</v>
      </c>
      <c r="T3193" s="43">
        <f ca="1">_xll.BInterpol('Base CDI'!$H$4:$H$28,'Base CDI'!$J$4:$J$29,S3193,"Cubic","Extrapolate=Linear","MultiX=Average","Skip=True","Sort=True")</f>
        <v>14.714642802808697</v>
      </c>
      <c r="U3193" s="43">
        <f ca="1">_xll.BInterpol('Base CDI'!$H$4:$H$28,'Base CDI'!$I$4:$I$29,S3193,"Cubic","Extrapolate=Linear","MultiX=Average","Skip=True","Sort=True")</f>
        <v>14.795488817714103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48900</v>
      </c>
      <c r="T3194" s="43">
        <f ca="1">_xll.BInterpol('Base CDI'!$H$4:$H$28,'Base CDI'!$J$4:$J$29,S3194,"Cubic","Extrapolate=Linear","MultiX=Average","Skip=True","Sort=True")</f>
        <v>14.714573439272829</v>
      </c>
      <c r="U3194" s="43">
        <f ca="1">_xll.BInterpol('Base CDI'!$H$4:$H$28,'Base CDI'!$I$4:$I$29,S3194,"Cubic","Extrapolate=Linear","MultiX=Average","Skip=True","Sort=True")</f>
        <v>14.795424451740017</v>
      </c>
    </row>
    <row r="3195" spans="16:21" x14ac:dyDescent="0.25">
      <c r="P3195" s="10">
        <v>39160</v>
      </c>
      <c r="Q3195">
        <v>16.60979</v>
      </c>
      <c r="S3195" s="42">
        <f t="shared" ca="1" si="54"/>
        <v>48901</v>
      </c>
      <c r="T3195" s="43">
        <f ca="1">_xll.BInterpol('Base CDI'!$H$4:$H$28,'Base CDI'!$J$4:$J$29,S3195,"Cubic","Extrapolate=Linear","MultiX=Average","Skip=True","Sort=True")</f>
        <v>14.714503988369042</v>
      </c>
      <c r="U3195" s="43">
        <f ca="1">_xll.BInterpol('Base CDI'!$H$4:$H$28,'Base CDI'!$I$4:$I$29,S3195,"Cubic","Extrapolate=Linear","MultiX=Average","Skip=True","Sort=True")</f>
        <v>14.795359921967375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48902</v>
      </c>
      <c r="T3196" s="43">
        <f ca="1">_xll.BInterpol('Base CDI'!$H$4:$H$28,'Base CDI'!$J$4:$J$29,S3196,"Cubic","Extrapolate=Linear","MultiX=Average","Skip=True","Sort=True")</f>
        <v>14.714434449953194</v>
      </c>
      <c r="U3196" s="43">
        <f ca="1">_xll.BInterpol('Base CDI'!$H$4:$H$28,'Base CDI'!$I$4:$I$29,S3196,"Cubic","Extrapolate=Linear","MultiX=Average","Skip=True","Sort=True")</f>
        <v>14.795295227955263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48903</v>
      </c>
      <c r="T3197" s="43">
        <f ca="1">_xll.BInterpol('Base CDI'!$H$4:$H$28,'Base CDI'!$J$4:$J$29,S3197,"Cubic","Extrapolate=Linear","MultiX=Average","Skip=True","Sort=True")</f>
        <v>14.714364823881132</v>
      </c>
      <c r="U3197" s="43">
        <f ca="1">_xll.BInterpol('Base CDI'!$H$4:$H$28,'Base CDI'!$I$4:$I$29,S3197,"Cubic","Extrapolate=Linear","MultiX=Average","Skip=True","Sort=True")</f>
        <v>14.795230369262759</v>
      </c>
    </row>
    <row r="3198" spans="16:21" x14ac:dyDescent="0.25">
      <c r="P3198" s="10">
        <v>39163</v>
      </c>
      <c r="Q3198">
        <v>16.63335</v>
      </c>
      <c r="S3198" s="42">
        <f t="shared" ca="1" si="54"/>
        <v>48904</v>
      </c>
      <c r="T3198" s="43">
        <f ca="1">_xll.BInterpol('Base CDI'!$H$4:$H$28,'Base CDI'!$J$4:$J$29,S3198,"Cubic","Extrapolate=Linear","MultiX=Average","Skip=True","Sort=True")</f>
        <v>14.71429511000871</v>
      </c>
      <c r="U3198" s="43">
        <f ca="1">_xll.BInterpol('Base CDI'!$H$4:$H$28,'Base CDI'!$I$4:$I$29,S3198,"Cubic","Extrapolate=Linear","MultiX=Average","Skip=True","Sort=True")</f>
        <v>14.79516534544895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48905</v>
      </c>
      <c r="T3199" s="43">
        <f ca="1">_xll.BInterpol('Base CDI'!$H$4:$H$28,'Base CDI'!$J$4:$J$29,S3199,"Cubic","Extrapolate=Linear","MultiX=Average","Skip=True","Sort=True")</f>
        <v>14.714225308191782</v>
      </c>
      <c r="U3199" s="43">
        <f ca="1">_xll.BInterpol('Base CDI'!$H$4:$H$28,'Base CDI'!$I$4:$I$29,S3199,"Cubic","Extrapolate=Linear","MultiX=Average","Skip=True","Sort=True")</f>
        <v>14.795100156072916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48906</v>
      </c>
      <c r="T3200" s="43">
        <f ca="1">_xll.BInterpol('Base CDI'!$H$4:$H$28,'Base CDI'!$J$4:$J$29,S3200,"Cubic","Extrapolate=Linear","MultiX=Average","Skip=True","Sort=True")</f>
        <v>14.714155418286198</v>
      </c>
      <c r="U3200" s="43">
        <f ca="1">_xll.BInterpol('Base CDI'!$H$4:$H$28,'Base CDI'!$I$4:$I$29,S3200,"Cubic","Extrapolate=Linear","MultiX=Average","Skip=True","Sort=True")</f>
        <v>14.795034800693738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48907</v>
      </c>
      <c r="T3201" s="43">
        <f ca="1">_xll.BInterpol('Base CDI'!$H$4:$H$28,'Base CDI'!$J$4:$J$29,S3201,"Cubic","Extrapolate=Linear","MultiX=Average","Skip=True","Sort=True")</f>
        <v>14.714085440147814</v>
      </c>
      <c r="U3201" s="43">
        <f ca="1">_xll.BInterpol('Base CDI'!$H$4:$H$28,'Base CDI'!$I$4:$I$29,S3201,"Cubic","Extrapolate=Linear","MultiX=Average","Skip=True","Sort=True")</f>
        <v>14.7949692788705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48908</v>
      </c>
      <c r="T3202" s="43">
        <f ca="1">_xll.BInterpol('Base CDI'!$H$4:$H$28,'Base CDI'!$J$4:$J$29,S3202,"Cubic","Extrapolate=Linear","MultiX=Average","Skip=True","Sort=True")</f>
        <v>14.714015373632479</v>
      </c>
      <c r="U3202" s="43">
        <f ca="1">_xll.BInterpol('Base CDI'!$H$4:$H$28,'Base CDI'!$I$4:$I$29,S3202,"Cubic","Extrapolate=Linear","MultiX=Average","Skip=True","Sort=True")</f>
        <v>14.794903590162283</v>
      </c>
    </row>
    <row r="3203" spans="16:21" x14ac:dyDescent="0.25">
      <c r="P3203" s="10">
        <v>39170</v>
      </c>
      <c r="Q3203">
        <v>16.67259</v>
      </c>
      <c r="S3203" s="42">
        <f t="shared" ca="1" si="54"/>
        <v>48909</v>
      </c>
      <c r="T3203" s="43">
        <f ca="1">_xll.BInterpol('Base CDI'!$H$4:$H$28,'Base CDI'!$J$4:$J$29,S3203,"Cubic","Extrapolate=Linear","MultiX=Average","Skip=True","Sort=True")</f>
        <v>14.713945218596047</v>
      </c>
      <c r="U3203" s="43">
        <f ca="1">_xll.BInterpol('Base CDI'!$H$4:$H$28,'Base CDI'!$I$4:$I$29,S3203,"Cubic","Extrapolate=Linear","MultiX=Average","Skip=True","Sort=True")</f>
        <v>14.794837734128171</v>
      </c>
    </row>
    <row r="3204" spans="16:21" x14ac:dyDescent="0.25">
      <c r="P3204" s="10">
        <v>39171</v>
      </c>
      <c r="Q3204">
        <v>16.68046</v>
      </c>
      <c r="S3204" s="42">
        <f t="shared" ca="1" si="54"/>
        <v>48910</v>
      </c>
      <c r="T3204" s="43">
        <f ca="1">_xll.BInterpol('Base CDI'!$H$4:$H$28,'Base CDI'!$J$4:$J$29,S3204,"Cubic","Extrapolate=Linear","MultiX=Average","Skip=True","Sort=True")</f>
        <v>14.71387497489437</v>
      </c>
      <c r="U3204" s="43">
        <f ca="1">_xll.BInterpol('Base CDI'!$H$4:$H$28,'Base CDI'!$I$4:$I$29,S3204,"Cubic","Extrapolate=Linear","MultiX=Average","Skip=True","Sort=True")</f>
        <v>14.794771710327247</v>
      </c>
    </row>
    <row r="3205" spans="16:21" x14ac:dyDescent="0.25">
      <c r="P3205" s="10">
        <v>39174</v>
      </c>
      <c r="Q3205">
        <v>16.68835</v>
      </c>
      <c r="S3205" s="42">
        <f t="shared" ca="1" si="54"/>
        <v>48911</v>
      </c>
      <c r="T3205" s="43">
        <f ca="1">_xll.BInterpol('Base CDI'!$H$4:$H$28,'Base CDI'!$J$4:$J$29,S3205,"Cubic","Extrapolate=Linear","MultiX=Average","Skip=True","Sort=True")</f>
        <v>14.713804642383302</v>
      </c>
      <c r="U3205" s="43">
        <f ca="1">_xll.BInterpol('Base CDI'!$H$4:$H$28,'Base CDI'!$I$4:$I$29,S3205,"Cubic","Extrapolate=Linear","MultiX=Average","Skip=True","Sort=True")</f>
        <v>14.794705518318588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48912</v>
      </c>
      <c r="T3206" s="43">
        <f ca="1">_xll.BInterpol('Base CDI'!$H$4:$H$28,'Base CDI'!$J$4:$J$29,S3206,"Cubic","Extrapolate=Linear","MultiX=Average","Skip=True","Sort=True")</f>
        <v>14.713734220918692</v>
      </c>
      <c r="U3206" s="43">
        <f ca="1">_xll.BInterpol('Base CDI'!$H$4:$H$28,'Base CDI'!$I$4:$I$29,S3206,"Cubic","Extrapolate=Linear","MultiX=Average","Skip=True","Sort=True")</f>
        <v>14.794639157661281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48913</v>
      </c>
      <c r="T3207" s="43">
        <f ca="1">_xll.BInterpol('Base CDI'!$H$4:$H$28,'Base CDI'!$J$4:$J$29,S3207,"Cubic","Extrapolate=Linear","MultiX=Average","Skip=True","Sort=True")</f>
        <v>14.713663710356396</v>
      </c>
      <c r="U3207" s="43">
        <f ca="1">_xll.BInterpol('Base CDI'!$H$4:$H$28,'Base CDI'!$I$4:$I$29,S3207,"Cubic","Extrapolate=Linear","MultiX=Average","Skip=True","Sort=True")</f>
        <v>14.794572627914409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48914</v>
      </c>
      <c r="T3208" s="43">
        <f ca="1">_xll.BInterpol('Base CDI'!$H$4:$H$28,'Base CDI'!$J$4:$J$29,S3208,"Cubic","Extrapolate=Linear","MultiX=Average","Skip=True","Sort=True")</f>
        <v>14.713593110552265</v>
      </c>
      <c r="U3208" s="43">
        <f ca="1">_xll.BInterpol('Base CDI'!$H$4:$H$28,'Base CDI'!$I$4:$I$29,S3208,"Cubic","Extrapolate=Linear","MultiX=Average","Skip=True","Sort=True")</f>
        <v>14.794505928637051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48915</v>
      </c>
      <c r="T3209" s="43">
        <f ca="1">_xll.BInterpol('Base CDI'!$H$4:$H$28,'Base CDI'!$J$4:$J$29,S3209,"Cubic","Extrapolate=Linear","MultiX=Average","Skip=True","Sort=True")</f>
        <v>14.713522421362153</v>
      </c>
      <c r="U3209" s="43">
        <f ca="1">_xll.BInterpol('Base CDI'!$H$4:$H$28,'Base CDI'!$I$4:$I$29,S3209,"Cubic","Extrapolate=Linear","MultiX=Average","Skip=True","Sort=True")</f>
        <v>14.79443905938829</v>
      </c>
    </row>
    <row r="3210" spans="16:21" x14ac:dyDescent="0.25">
      <c r="P3210" s="10">
        <v>39182</v>
      </c>
      <c r="Q3210">
        <v>16.72785</v>
      </c>
      <c r="S3210" s="42">
        <f t="shared" ca="1" si="54"/>
        <v>48916</v>
      </c>
      <c r="T3210" s="43">
        <f ca="1">_xll.BInterpol('Base CDI'!$H$4:$H$28,'Base CDI'!$J$4:$J$29,S3210,"Cubic","Extrapolate=Linear","MultiX=Average","Skip=True","Sort=True")</f>
        <v>14.71345164264191</v>
      </c>
      <c r="U3210" s="43">
        <f ca="1">_xll.BInterpol('Base CDI'!$H$4:$H$28,'Base CDI'!$I$4:$I$29,S3210,"Cubic","Extrapolate=Linear","MultiX=Average","Skip=True","Sort=True")</f>
        <v>14.794372019727209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48917</v>
      </c>
      <c r="T3211" s="43">
        <f ca="1">_xll.BInterpol('Base CDI'!$H$4:$H$28,'Base CDI'!$J$4:$J$29,S3211,"Cubic","Extrapolate=Linear","MultiX=Average","Skip=True","Sort=True")</f>
        <v>14.713380774247389</v>
      </c>
      <c r="U3211" s="43">
        <f ca="1">_xll.BInterpol('Base CDI'!$H$4:$H$28,'Base CDI'!$I$4:$I$29,S3211,"Cubic","Extrapolate=Linear","MultiX=Average","Skip=True","Sort=True")</f>
        <v>14.794304809212891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48918</v>
      </c>
      <c r="T3212" s="43">
        <f ca="1">_xll.BInterpol('Base CDI'!$H$4:$H$28,'Base CDI'!$J$4:$J$29,S3212,"Cubic","Extrapolate=Linear","MultiX=Average","Skip=True","Sort=True")</f>
        <v>14.713309816034444</v>
      </c>
      <c r="U3212" s="43">
        <f ca="1">_xll.BInterpol('Base CDI'!$H$4:$H$28,'Base CDI'!$I$4:$I$29,S3212,"Cubic","Extrapolate=Linear","MultiX=Average","Skip=True","Sort=True")</f>
        <v>14.794237427404417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48919</v>
      </c>
      <c r="T3213" s="43">
        <f ca="1">_xll.BInterpol('Base CDI'!$H$4:$H$28,'Base CDI'!$J$4:$J$29,S3213,"Cubic","Extrapolate=Linear","MultiX=Average","Skip=True","Sort=True")</f>
        <v>14.713238767858925</v>
      </c>
      <c r="U3213" s="43">
        <f ca="1">_xll.BInterpol('Base CDI'!$H$4:$H$28,'Base CDI'!$I$4:$I$29,S3213,"Cubic","Extrapolate=Linear","MultiX=Average","Skip=True","Sort=True")</f>
        <v>14.79416987386087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48920</v>
      </c>
      <c r="T3214" s="43">
        <f ca="1">_xll.BInterpol('Base CDI'!$H$4:$H$28,'Base CDI'!$J$4:$J$29,S3214,"Cubic","Extrapolate=Linear","MultiX=Average","Skip=True","Sort=True")</f>
        <v>14.713167629576688</v>
      </c>
      <c r="U3214" s="43">
        <f ca="1">_xll.BInterpol('Base CDI'!$H$4:$H$28,'Base CDI'!$I$4:$I$29,S3214,"Cubic","Extrapolate=Linear","MultiX=Average","Skip=True","Sort=True")</f>
        <v>14.794102148141331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48921</v>
      </c>
      <c r="T3215" s="43">
        <f ca="1">_xll.BInterpol('Base CDI'!$H$4:$H$28,'Base CDI'!$J$4:$J$29,S3215,"Cubic","Extrapolate=Linear","MultiX=Average","Skip=True","Sort=True")</f>
        <v>14.713096401043583</v>
      </c>
      <c r="U3215" s="43">
        <f ca="1">_xll.BInterpol('Base CDI'!$H$4:$H$28,'Base CDI'!$I$4:$I$29,S3215,"Cubic","Extrapolate=Linear","MultiX=Average","Skip=True","Sort=True")</f>
        <v>14.794034249804884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48922</v>
      </c>
      <c r="T3216" s="43">
        <f ca="1">_xll.BInterpol('Base CDI'!$H$4:$H$28,'Base CDI'!$J$4:$J$29,S3216,"Cubic","Extrapolate=Linear","MultiX=Average","Skip=True","Sort=True")</f>
        <v>14.713025082115461</v>
      </c>
      <c r="U3216" s="43">
        <f ca="1">_xll.BInterpol('Base CDI'!$H$4:$H$28,'Base CDI'!$I$4:$I$29,S3216,"Cubic","Extrapolate=Linear","MultiX=Average","Skip=True","Sort=True")</f>
        <v>14.79396617841061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48923</v>
      </c>
      <c r="T3217" s="43">
        <f ca="1">_xll.BInterpol('Base CDI'!$H$4:$H$28,'Base CDI'!$J$4:$J$29,S3217,"Cubic","Extrapolate=Linear","MultiX=Average","Skip=True","Sort=True")</f>
        <v>14.71295367264818</v>
      </c>
      <c r="U3217" s="43">
        <f ca="1">_xll.BInterpol('Base CDI'!$H$4:$H$28,'Base CDI'!$I$4:$I$29,S3217,"Cubic","Extrapolate=Linear","MultiX=Average","Skip=True","Sort=True")</f>
        <v>14.793897933517592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48924</v>
      </c>
      <c r="T3218" s="43">
        <f ca="1">_xll.BInterpol('Base CDI'!$H$4:$H$28,'Base CDI'!$J$4:$J$29,S3218,"Cubic","Extrapolate=Linear","MultiX=Average","Skip=True","Sort=True")</f>
        <v>14.712882172497585</v>
      </c>
      <c r="U3218" s="43">
        <f ca="1">_xll.BInterpol('Base CDI'!$H$4:$H$28,'Base CDI'!$I$4:$I$29,S3218,"Cubic","Extrapolate=Linear","MultiX=Average","Skip=True","Sort=True")</f>
        <v>14.79382951468491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48925</v>
      </c>
      <c r="T3219" s="43">
        <f ca="1">_xll.BInterpol('Base CDI'!$H$4:$H$28,'Base CDI'!$J$4:$J$29,S3219,"Cubic","Extrapolate=Linear","MultiX=Average","Skip=True","Sort=True")</f>
        <v>14.712810581519534</v>
      </c>
      <c r="U3219" s="43">
        <f ca="1">_xll.BInterpol('Base CDI'!$H$4:$H$28,'Base CDI'!$I$4:$I$29,S3219,"Cubic","Extrapolate=Linear","MultiX=Average","Skip=True","Sort=True")</f>
        <v>14.79376092147165</v>
      </c>
    </row>
    <row r="3220" spans="16:21" x14ac:dyDescent="0.25">
      <c r="P3220" s="10">
        <v>39196</v>
      </c>
      <c r="Q3220">
        <v>16.8065</v>
      </c>
      <c r="S3220" s="42">
        <f t="shared" ca="1" si="55"/>
        <v>48926</v>
      </c>
      <c r="T3220" s="43">
        <f ca="1">_xll.BInterpol('Base CDI'!$H$4:$H$28,'Base CDI'!$J$4:$J$29,S3220,"Cubic","Extrapolate=Linear","MultiX=Average","Skip=True","Sort=True")</f>
        <v>14.712738899569878</v>
      </c>
      <c r="U3220" s="43">
        <f ca="1">_xll.BInterpol('Base CDI'!$H$4:$H$28,'Base CDI'!$I$4:$I$29,S3220,"Cubic","Extrapolate=Linear","MultiX=Average","Skip=True","Sort=True")</f>
        <v>14.793692153436893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48927</v>
      </c>
      <c r="T3221" s="43">
        <f ca="1">_xll.BInterpol('Base CDI'!$H$4:$H$28,'Base CDI'!$J$4:$J$29,S3221,"Cubic","Extrapolate=Linear","MultiX=Average","Skip=True","Sort=True")</f>
        <v>14.712667126504469</v>
      </c>
      <c r="U3221" s="43">
        <f ca="1">_xll.BInterpol('Base CDI'!$H$4:$H$28,'Base CDI'!$I$4:$I$29,S3221,"Cubic","Extrapolate=Linear","MultiX=Average","Skip=True","Sort=True")</f>
        <v>14.793623210139719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48928</v>
      </c>
      <c r="T3222" s="43">
        <f ca="1">_xll.BInterpol('Base CDI'!$H$4:$H$28,'Base CDI'!$J$4:$J$29,S3222,"Cubic","Extrapolate=Linear","MultiX=Average","Skip=True","Sort=True")</f>
        <v>14.71259526217916</v>
      </c>
      <c r="U3222" s="43">
        <f ca="1">_xll.BInterpol('Base CDI'!$H$4:$H$28,'Base CDI'!$I$4:$I$29,S3222,"Cubic","Extrapolate=Linear","MultiX=Average","Skip=True","Sort=True")</f>
        <v>14.793554091139214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48929</v>
      </c>
      <c r="T3223" s="43">
        <f ca="1">_xll.BInterpol('Base CDI'!$H$4:$H$28,'Base CDI'!$J$4:$J$29,S3223,"Cubic","Extrapolate=Linear","MultiX=Average","Skip=True","Sort=True")</f>
        <v>14.712523306449803</v>
      </c>
      <c r="U3223" s="43">
        <f ca="1">_xll.BInterpol('Base CDI'!$H$4:$H$28,'Base CDI'!$I$4:$I$29,S3223,"Cubic","Extrapolate=Linear","MultiX=Average","Skip=True","Sort=True")</f>
        <v>14.793484795994456</v>
      </c>
    </row>
    <row r="3224" spans="16:21" x14ac:dyDescent="0.25">
      <c r="P3224" s="10">
        <v>39202</v>
      </c>
      <c r="Q3224">
        <v>16.83755</v>
      </c>
      <c r="S3224" s="42">
        <f t="shared" ca="1" si="55"/>
        <v>48930</v>
      </c>
      <c r="T3224" s="43">
        <f ca="1">_xll.BInterpol('Base CDI'!$H$4:$H$28,'Base CDI'!$J$4:$J$29,S3224,"Cubic","Extrapolate=Linear","MultiX=Average","Skip=True","Sort=True")</f>
        <v>14.71245125917225</v>
      </c>
      <c r="U3224" s="43">
        <f ca="1">_xll.BInterpol('Base CDI'!$H$4:$H$28,'Base CDI'!$I$4:$I$29,S3224,"Cubic","Extrapolate=Linear","MultiX=Average","Skip=True","Sort=True")</f>
        <v>14.793415324264531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48931</v>
      </c>
      <c r="T3225" s="43">
        <f ca="1">_xll.BInterpol('Base CDI'!$H$4:$H$28,'Base CDI'!$J$4:$J$29,S3225,"Cubic","Extrapolate=Linear","MultiX=Average","Skip=True","Sort=True")</f>
        <v>14.712379120202355</v>
      </c>
      <c r="U3225" s="43">
        <f ca="1">_xll.BInterpol('Base CDI'!$H$4:$H$28,'Base CDI'!$I$4:$I$29,S3225,"Cubic","Extrapolate=Linear","MultiX=Average","Skip=True","Sort=True")</f>
        <v>14.793345675508519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48932</v>
      </c>
      <c r="T3226" s="43">
        <f ca="1">_xll.BInterpol('Base CDI'!$H$4:$H$28,'Base CDI'!$J$4:$J$29,S3226,"Cubic","Extrapolate=Linear","MultiX=Average","Skip=True","Sort=True")</f>
        <v>14.712306889395968</v>
      </c>
      <c r="U3226" s="43">
        <f ca="1">_xll.BInterpol('Base CDI'!$H$4:$H$28,'Base CDI'!$I$4:$I$29,S3226,"Cubic","Extrapolate=Linear","MultiX=Average","Skip=True","Sort=True")</f>
        <v>14.793275849285504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48933</v>
      </c>
      <c r="T3227" s="43">
        <f ca="1">_xll.BInterpol('Base CDI'!$H$4:$H$28,'Base CDI'!$J$4:$J$29,S3227,"Cubic","Extrapolate=Linear","MultiX=Average","Skip=True","Sort=True")</f>
        <v>14.712234566608945</v>
      </c>
      <c r="U3227" s="43">
        <f ca="1">_xll.BInterpol('Base CDI'!$H$4:$H$28,'Base CDI'!$I$4:$I$29,S3227,"Cubic","Extrapolate=Linear","MultiX=Average","Skip=True","Sort=True")</f>
        <v>14.793205845154565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48934</v>
      </c>
      <c r="T3228" s="43">
        <f ca="1">_xll.BInterpol('Base CDI'!$H$4:$H$28,'Base CDI'!$J$4:$J$29,S3228,"Cubic","Extrapolate=Linear","MultiX=Average","Skip=True","Sort=True")</f>
        <v>14.712162151697136</v>
      </c>
      <c r="U3228" s="43">
        <f ca="1">_xll.BInterpol('Base CDI'!$H$4:$H$28,'Base CDI'!$I$4:$I$29,S3228,"Cubic","Extrapolate=Linear","MultiX=Average","Skip=True","Sort=True")</f>
        <v>14.793135662674787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48935</v>
      </c>
      <c r="T3229" s="43">
        <f ca="1">_xll.BInterpol('Base CDI'!$H$4:$H$28,'Base CDI'!$J$4:$J$29,S3229,"Cubic","Extrapolate=Linear","MultiX=Average","Skip=True","Sort=True")</f>
        <v>14.712089644516395</v>
      </c>
      <c r="U3229" s="43">
        <f ca="1">_xll.BInterpol('Base CDI'!$H$4:$H$28,'Base CDI'!$I$4:$I$29,S3229,"Cubic","Extrapolate=Linear","MultiX=Average","Skip=True","Sort=True")</f>
        <v>14.793065301405253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48936</v>
      </c>
      <c r="T3230" s="43">
        <f ca="1">_xll.BInterpol('Base CDI'!$H$4:$H$28,'Base CDI'!$J$4:$J$29,S3230,"Cubic","Extrapolate=Linear","MultiX=Average","Skip=True","Sort=True")</f>
        <v>14.712017044922572</v>
      </c>
      <c r="U3230" s="43">
        <f ca="1">_xll.BInterpol('Base CDI'!$H$4:$H$28,'Base CDI'!$I$4:$I$29,S3230,"Cubic","Extrapolate=Linear","MultiX=Average","Skip=True","Sort=True")</f>
        <v>14.792994760905044</v>
      </c>
    </row>
    <row r="3231" spans="16:21" x14ac:dyDescent="0.25">
      <c r="P3231" s="10">
        <v>39212</v>
      </c>
      <c r="Q3231">
        <v>16.89207</v>
      </c>
      <c r="S3231" s="42">
        <f t="shared" ca="1" si="55"/>
        <v>48937</v>
      </c>
      <c r="T3231" s="43">
        <f ca="1">_xll.BInterpol('Base CDI'!$H$4:$H$28,'Base CDI'!$J$4:$J$29,S3231,"Cubic","Extrapolate=Linear","MultiX=Average","Skip=True","Sort=True")</f>
        <v>14.711944352771521</v>
      </c>
      <c r="U3231" s="43">
        <f ca="1">_xll.BInterpol('Base CDI'!$H$4:$H$28,'Base CDI'!$I$4:$I$29,S3231,"Cubic","Extrapolate=Linear","MultiX=Average","Skip=True","Sort=True")</f>
        <v>14.792924040733242</v>
      </c>
    </row>
    <row r="3232" spans="16:21" x14ac:dyDescent="0.25">
      <c r="P3232" s="10">
        <v>39213</v>
      </c>
      <c r="Q3232">
        <v>16.89988</v>
      </c>
      <c r="S3232" s="42">
        <f t="shared" ca="1" si="55"/>
        <v>48938</v>
      </c>
      <c r="T3232" s="43">
        <f ca="1">_xll.BInterpol('Base CDI'!$H$4:$H$28,'Base CDI'!$J$4:$J$29,S3232,"Cubic","Extrapolate=Linear","MultiX=Average","Skip=True","Sort=True")</f>
        <v>14.711871567919093</v>
      </c>
      <c r="U3232" s="43">
        <f ca="1">_xll.BInterpol('Base CDI'!$H$4:$H$28,'Base CDI'!$I$4:$I$29,S3232,"Cubic","Extrapolate=Linear","MultiX=Average","Skip=True","Sort=True")</f>
        <v>14.79285314044893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48939</v>
      </c>
      <c r="T3233" s="43">
        <f ca="1">_xll.BInterpol('Base CDI'!$H$4:$H$28,'Base CDI'!$J$4:$J$29,S3233,"Cubic","Extrapolate=Linear","MultiX=Average","Skip=True","Sort=True")</f>
        <v>14.711798690221144</v>
      </c>
      <c r="U3233" s="43">
        <f ca="1">_xll.BInterpol('Base CDI'!$H$4:$H$28,'Base CDI'!$I$4:$I$29,S3233,"Cubic","Extrapolate=Linear","MultiX=Average","Skip=True","Sort=True")</f>
        <v>14.792782059611188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48940</v>
      </c>
      <c r="T3234" s="43">
        <f ca="1">_xll.BInterpol('Base CDI'!$H$4:$H$28,'Base CDI'!$J$4:$J$29,S3234,"Cubic","Extrapolate=Linear","MultiX=Average","Skip=True","Sort=True")</f>
        <v>14.711725719533524</v>
      </c>
      <c r="U3234" s="43">
        <f ca="1">_xll.BInterpol('Base CDI'!$H$4:$H$28,'Base CDI'!$I$4:$I$29,S3234,"Cubic","Extrapolate=Linear","MultiX=Average","Skip=True","Sort=True")</f>
        <v>14.792710797779101</v>
      </c>
    </row>
    <row r="3235" spans="16:21" x14ac:dyDescent="0.25">
      <c r="P3235" s="10">
        <v>39218</v>
      </c>
      <c r="Q3235">
        <v>16.92333</v>
      </c>
      <c r="S3235" s="42">
        <f t="shared" ca="1" si="55"/>
        <v>48941</v>
      </c>
      <c r="T3235" s="43">
        <f ca="1">_xll.BInterpol('Base CDI'!$H$4:$H$28,'Base CDI'!$J$4:$J$29,S3235,"Cubic","Extrapolate=Linear","MultiX=Average","Skip=True","Sort=True")</f>
        <v>14.711652655712086</v>
      </c>
      <c r="U3235" s="43">
        <f ca="1">_xll.BInterpol('Base CDI'!$H$4:$H$28,'Base CDI'!$I$4:$I$29,S3235,"Cubic","Extrapolate=Linear","MultiX=Average","Skip=True","Sort=True")</f>
        <v>14.792639354511751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48942</v>
      </c>
      <c r="T3236" s="43">
        <f ca="1">_xll.BInterpol('Base CDI'!$H$4:$H$28,'Base CDI'!$J$4:$J$29,S3236,"Cubic","Extrapolate=Linear","MultiX=Average","Skip=True","Sort=True")</f>
        <v>14.711579498612682</v>
      </c>
      <c r="U3236" s="43">
        <f ca="1">_xll.BInterpol('Base CDI'!$H$4:$H$28,'Base CDI'!$I$4:$I$29,S3236,"Cubic","Extrapolate=Linear","MultiX=Average","Skip=True","Sort=True")</f>
        <v>14.792567729368219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48943</v>
      </c>
      <c r="T3237" s="43">
        <f ca="1">_xll.BInterpol('Base CDI'!$H$4:$H$28,'Base CDI'!$J$4:$J$29,S3237,"Cubic","Extrapolate=Linear","MultiX=Average","Skip=True","Sort=True")</f>
        <v>14.711506248091164</v>
      </c>
      <c r="U3237" s="43">
        <f ca="1">_xll.BInterpol('Base CDI'!$H$4:$H$28,'Base CDI'!$I$4:$I$29,S3237,"Cubic","Extrapolate=Linear","MultiX=Average","Skip=True","Sort=True")</f>
        <v>14.792495921907587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48944</v>
      </c>
      <c r="T3238" s="43">
        <f ca="1">_xll.BInterpol('Base CDI'!$H$4:$H$28,'Base CDI'!$J$4:$J$29,S3238,"Cubic","Extrapolate=Linear","MultiX=Average","Skip=True","Sort=True")</f>
        <v>14.711432904003386</v>
      </c>
      <c r="U3238" s="43">
        <f ca="1">_xll.BInterpol('Base CDI'!$H$4:$H$28,'Base CDI'!$I$4:$I$29,S3238,"Cubic","Extrapolate=Linear","MultiX=Average","Skip=True","Sort=True")</f>
        <v>14.792423931688941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48945</v>
      </c>
      <c r="T3239" s="43">
        <f ca="1">_xll.BInterpol('Base CDI'!$H$4:$H$28,'Base CDI'!$J$4:$J$29,S3239,"Cubic","Extrapolate=Linear","MultiX=Average","Skip=True","Sort=True")</f>
        <v>14.711359466205199</v>
      </c>
      <c r="U3239" s="43">
        <f ca="1">_xll.BInterpol('Base CDI'!$H$4:$H$28,'Base CDI'!$I$4:$I$29,S3239,"Cubic","Extrapolate=Linear","MultiX=Average","Skip=True","Sort=True")</f>
        <v>14.792351758271357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48946</v>
      </c>
      <c r="T3240" s="43">
        <f ca="1">_xll.BInterpol('Base CDI'!$H$4:$H$28,'Base CDI'!$J$4:$J$29,S3240,"Cubic","Extrapolate=Linear","MultiX=Average","Skip=True","Sort=True")</f>
        <v>14.711285934552457</v>
      </c>
      <c r="U3240" s="43">
        <f ca="1">_xll.BInterpol('Base CDI'!$H$4:$H$28,'Base CDI'!$I$4:$I$29,S3240,"Cubic","Extrapolate=Linear","MultiX=Average","Skip=True","Sort=True")</f>
        <v>14.792279401213921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48947</v>
      </c>
      <c r="T3241" s="43">
        <f ca="1">_xll.BInterpol('Base CDI'!$H$4:$H$28,'Base CDI'!$J$4:$J$29,S3241,"Cubic","Extrapolate=Linear","MultiX=Average","Skip=True","Sort=True")</f>
        <v>14.711212308901011</v>
      </c>
      <c r="U3241" s="43">
        <f ca="1">_xll.BInterpol('Base CDI'!$H$4:$H$28,'Base CDI'!$I$4:$I$29,S3241,"Cubic","Extrapolate=Linear","MultiX=Average","Skip=True","Sort=True")</f>
        <v>14.792206860075716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48948</v>
      </c>
      <c r="T3242" s="43">
        <f ca="1">_xll.BInterpol('Base CDI'!$H$4:$H$28,'Base CDI'!$J$4:$J$29,S3242,"Cubic","Extrapolate=Linear","MultiX=Average","Skip=True","Sort=True")</f>
        <v>14.711138589106714</v>
      </c>
      <c r="U3242" s="43">
        <f ca="1">_xll.BInterpol('Base CDI'!$H$4:$H$28,'Base CDI'!$I$4:$I$29,S3242,"Cubic","Extrapolate=Linear","MultiX=Average","Skip=True","Sort=True")</f>
        <v>14.792134134415823</v>
      </c>
    </row>
    <row r="3243" spans="16:21" x14ac:dyDescent="0.25">
      <c r="P3243" s="10">
        <v>39230</v>
      </c>
      <c r="Q3243">
        <v>16.98601</v>
      </c>
      <c r="S3243" s="42">
        <f t="shared" ca="1" si="55"/>
        <v>48949</v>
      </c>
      <c r="T3243" s="43">
        <f ca="1">_xll.BInterpol('Base CDI'!$H$4:$H$28,'Base CDI'!$J$4:$J$29,S3243,"Cubic","Extrapolate=Linear","MultiX=Average","Skip=True","Sort=True")</f>
        <v>14.71106477502542</v>
      </c>
      <c r="U3243" s="43">
        <f ca="1">_xll.BInterpol('Base CDI'!$H$4:$H$28,'Base CDI'!$I$4:$I$29,S3243,"Cubic","Extrapolate=Linear","MultiX=Average","Skip=True","Sort=True")</f>
        <v>14.792061223793324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48950</v>
      </c>
      <c r="T3244" s="43">
        <f ca="1">_xll.BInterpol('Base CDI'!$H$4:$H$28,'Base CDI'!$J$4:$J$29,S3244,"Cubic","Extrapolate=Linear","MultiX=Average","Skip=True","Sort=True")</f>
        <v>14.710990866512978</v>
      </c>
      <c r="U3244" s="43">
        <f ca="1">_xll.BInterpol('Base CDI'!$H$4:$H$28,'Base CDI'!$I$4:$I$29,S3244,"Cubic","Extrapolate=Linear","MultiX=Average","Skip=True","Sort=True")</f>
        <v>14.791988127767302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48951</v>
      </c>
      <c r="T3245" s="43">
        <f ca="1">_xll.BInterpol('Base CDI'!$H$4:$H$28,'Base CDI'!$J$4:$J$29,S3245,"Cubic","Extrapolate=Linear","MultiX=Average","Skip=True","Sort=True")</f>
        <v>14.710916863425243</v>
      </c>
      <c r="U3245" s="43">
        <f ca="1">_xll.BInterpol('Base CDI'!$H$4:$H$28,'Base CDI'!$I$4:$I$29,S3245,"Cubic","Extrapolate=Linear","MultiX=Average","Skip=True","Sort=True")</f>
        <v>14.791914845896839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48952</v>
      </c>
      <c r="T3246" s="43">
        <f ca="1">_xll.BInterpol('Base CDI'!$H$4:$H$28,'Base CDI'!$J$4:$J$29,S3246,"Cubic","Extrapolate=Linear","MultiX=Average","Skip=True","Sort=True")</f>
        <v>14.710842765618068</v>
      </c>
      <c r="U3246" s="43">
        <f ca="1">_xll.BInterpol('Base CDI'!$H$4:$H$28,'Base CDI'!$I$4:$I$29,S3246,"Cubic","Extrapolate=Linear","MultiX=Average","Skip=True","Sort=True")</f>
        <v>14.791841377741015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48953</v>
      </c>
      <c r="T3247" s="43">
        <f ca="1">_xll.BInterpol('Base CDI'!$H$4:$H$28,'Base CDI'!$J$4:$J$29,S3247,"Cubic","Extrapolate=Linear","MultiX=Average","Skip=True","Sort=True")</f>
        <v>14.710768572947304</v>
      </c>
      <c r="U3247" s="43">
        <f ca="1">_xll.BInterpol('Base CDI'!$H$4:$H$28,'Base CDI'!$I$4:$I$29,S3247,"Cubic","Extrapolate=Linear","MultiX=Average","Skip=True","Sort=True")</f>
        <v>14.791767722858916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48954</v>
      </c>
      <c r="T3248" s="43">
        <f ca="1">_xll.BInterpol('Base CDI'!$H$4:$H$28,'Base CDI'!$J$4:$J$29,S3248,"Cubic","Extrapolate=Linear","MultiX=Average","Skip=True","Sort=True")</f>
        <v>14.710694285268803</v>
      </c>
      <c r="U3248" s="43">
        <f ca="1">_xll.BInterpol('Base CDI'!$H$4:$H$28,'Base CDI'!$I$4:$I$29,S3248,"Cubic","Extrapolate=Linear","MultiX=Average","Skip=True","Sort=True")</f>
        <v>14.791693880809623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48955</v>
      </c>
      <c r="T3249" s="43">
        <f ca="1">_xll.BInterpol('Base CDI'!$H$4:$H$28,'Base CDI'!$J$4:$J$29,S3249,"Cubic","Extrapolate=Linear","MultiX=Average","Skip=True","Sort=True")</f>
        <v>14.710619902438419</v>
      </c>
      <c r="U3249" s="43">
        <f ca="1">_xll.BInterpol('Base CDI'!$H$4:$H$28,'Base CDI'!$I$4:$I$29,S3249,"Cubic","Extrapolate=Linear","MultiX=Average","Skip=True","Sort=True")</f>
        <v>14.791619851152218</v>
      </c>
    </row>
    <row r="3250" spans="16:21" x14ac:dyDescent="0.25">
      <c r="P3250" s="10">
        <v>39239</v>
      </c>
      <c r="Q3250">
        <v>17.04119</v>
      </c>
      <c r="S3250" s="42">
        <f t="shared" ca="1" si="55"/>
        <v>48956</v>
      </c>
      <c r="T3250" s="43">
        <f ca="1">_xll.BInterpol('Base CDI'!$H$4:$H$28,'Base CDI'!$J$4:$J$29,S3250,"Cubic","Extrapolate=Linear","MultiX=Average","Skip=True","Sort=True")</f>
        <v>14.710545424312004</v>
      </c>
      <c r="U3250" s="43">
        <f ca="1">_xll.BInterpol('Base CDI'!$H$4:$H$28,'Base CDI'!$I$4:$I$29,S3250,"Cubic","Extrapolate=Linear","MultiX=Average","Skip=True","Sort=True")</f>
        <v>14.791545633445782</v>
      </c>
    </row>
    <row r="3251" spans="16:21" x14ac:dyDescent="0.25">
      <c r="P3251" s="10">
        <v>39241</v>
      </c>
      <c r="Q3251">
        <v>17.04909</v>
      </c>
      <c r="S3251" s="42">
        <f t="shared" ca="1" si="55"/>
        <v>48957</v>
      </c>
      <c r="T3251" s="43">
        <f ca="1">_xll.BInterpol('Base CDI'!$H$4:$H$28,'Base CDI'!$J$4:$J$29,S3251,"Cubic","Extrapolate=Linear","MultiX=Average","Skip=True","Sort=True")</f>
        <v>14.710470850745409</v>
      </c>
      <c r="U3251" s="43">
        <f ca="1">_xll.BInterpol('Base CDI'!$H$4:$H$28,'Base CDI'!$I$4:$I$29,S3251,"Cubic","Extrapolate=Linear","MultiX=Average","Skip=True","Sort=True")</f>
        <v>14.791471227249399</v>
      </c>
    </row>
    <row r="3252" spans="16:21" x14ac:dyDescent="0.25">
      <c r="P3252" s="10">
        <v>39244</v>
      </c>
      <c r="Q3252">
        <v>17.05668</v>
      </c>
      <c r="S3252" s="42">
        <f t="shared" ca="1" si="55"/>
        <v>48958</v>
      </c>
      <c r="T3252" s="43">
        <f ca="1">_xll.BInterpol('Base CDI'!$H$4:$H$28,'Base CDI'!$J$4:$J$29,S3252,"Cubic","Extrapolate=Linear","MultiX=Average","Skip=True","Sort=True")</f>
        <v>14.71039618159449</v>
      </c>
      <c r="U3252" s="43">
        <f ca="1">_xll.BInterpol('Base CDI'!$H$4:$H$28,'Base CDI'!$I$4:$I$29,S3252,"Cubic","Extrapolate=Linear","MultiX=Average","Skip=True","Sort=True")</f>
        <v>14.791396632122151</v>
      </c>
    </row>
    <row r="3253" spans="16:21" x14ac:dyDescent="0.25">
      <c r="P3253" s="10">
        <v>39245</v>
      </c>
      <c r="Q3253">
        <v>17.06428</v>
      </c>
      <c r="S3253" s="42">
        <f t="shared" ca="1" si="55"/>
        <v>48959</v>
      </c>
      <c r="T3253" s="43">
        <f ca="1">_xll.BInterpol('Base CDI'!$H$4:$H$28,'Base CDI'!$J$4:$J$29,S3253,"Cubic","Extrapolate=Linear","MultiX=Average","Skip=True","Sort=True")</f>
        <v>14.710321416715095</v>
      </c>
      <c r="U3253" s="43">
        <f ca="1">_xll.BInterpol('Base CDI'!$H$4:$H$28,'Base CDI'!$I$4:$I$29,S3253,"Cubic","Extrapolate=Linear","MultiX=Average","Skip=True","Sort=True")</f>
        <v>14.79132184762312</v>
      </c>
    </row>
    <row r="3254" spans="16:21" x14ac:dyDescent="0.25">
      <c r="P3254" s="10">
        <v>39246</v>
      </c>
      <c r="Q3254">
        <v>17.07188</v>
      </c>
      <c r="S3254" s="42">
        <f t="shared" ca="1" si="55"/>
        <v>48960</v>
      </c>
      <c r="T3254" s="43">
        <f ca="1">_xll.BInterpol('Base CDI'!$H$4:$H$28,'Base CDI'!$J$4:$J$29,S3254,"Cubic","Extrapolate=Linear","MultiX=Average","Skip=True","Sort=True")</f>
        <v>14.71024655596308</v>
      </c>
      <c r="U3254" s="43">
        <f ca="1">_xll.BInterpol('Base CDI'!$H$4:$H$28,'Base CDI'!$I$4:$I$29,S3254,"Cubic","Extrapolate=Linear","MultiX=Average","Skip=True","Sort=True")</f>
        <v>14.791246873311389</v>
      </c>
    </row>
    <row r="3255" spans="16:21" x14ac:dyDescent="0.25">
      <c r="P3255" s="10">
        <v>39247</v>
      </c>
      <c r="Q3255">
        <v>17.07948</v>
      </c>
      <c r="S3255" s="42">
        <f t="shared" ca="1" si="55"/>
        <v>48961</v>
      </c>
      <c r="T3255" s="43">
        <f ca="1">_xll.BInterpol('Base CDI'!$H$4:$H$28,'Base CDI'!$J$4:$J$29,S3255,"Cubic","Extrapolate=Linear","MultiX=Average","Skip=True","Sort=True")</f>
        <v>14.710171599194295</v>
      </c>
      <c r="U3255" s="43">
        <f ca="1">_xll.BInterpol('Base CDI'!$H$4:$H$28,'Base CDI'!$I$4:$I$29,S3255,"Cubic","Extrapolate=Linear","MultiX=Average","Skip=True","Sort=True")</f>
        <v>14.791171708746038</v>
      </c>
    </row>
    <row r="3256" spans="16:21" x14ac:dyDescent="0.25">
      <c r="P3256" s="10">
        <v>39248</v>
      </c>
      <c r="Q3256">
        <v>17.08708</v>
      </c>
      <c r="S3256" s="42">
        <f t="shared" ca="1" si="55"/>
        <v>48962</v>
      </c>
      <c r="T3256" s="43">
        <f ca="1">_xll.BInterpol('Base CDI'!$H$4:$H$28,'Base CDI'!$J$4:$J$29,S3256,"Cubic","Extrapolate=Linear","MultiX=Average","Skip=True","Sort=True")</f>
        <v>14.710096546264595</v>
      </c>
      <c r="U3256" s="43">
        <f ca="1">_xll.BInterpol('Base CDI'!$H$4:$H$28,'Base CDI'!$I$4:$I$29,S3256,"Cubic","Extrapolate=Linear","MultiX=Average","Skip=True","Sort=True")</f>
        <v>14.79109635348615</v>
      </c>
    </row>
    <row r="3257" spans="16:21" x14ac:dyDescent="0.25">
      <c r="P3257" s="10">
        <v>39251</v>
      </c>
      <c r="Q3257">
        <v>17.09468</v>
      </c>
      <c r="S3257" s="42">
        <f t="shared" ca="1" si="55"/>
        <v>48963</v>
      </c>
      <c r="T3257" s="43">
        <f ca="1">_xll.BInterpol('Base CDI'!$H$4:$H$28,'Base CDI'!$J$4:$J$29,S3257,"Cubic","Extrapolate=Linear","MultiX=Average","Skip=True","Sort=True")</f>
        <v>14.710021397029831</v>
      </c>
      <c r="U3257" s="43">
        <f ca="1">_xll.BInterpol('Base CDI'!$H$4:$H$28,'Base CDI'!$I$4:$I$29,S3257,"Cubic","Extrapolate=Linear","MultiX=Average","Skip=True","Sort=True")</f>
        <v>14.79102080709081</v>
      </c>
    </row>
    <row r="3258" spans="16:21" x14ac:dyDescent="0.25">
      <c r="P3258" s="10">
        <v>39252</v>
      </c>
      <c r="Q3258">
        <v>17.10229</v>
      </c>
      <c r="S3258" s="42">
        <f t="shared" ca="1" si="55"/>
        <v>48964</v>
      </c>
      <c r="T3258" s="43">
        <f ca="1">_xll.BInterpol('Base CDI'!$H$4:$H$28,'Base CDI'!$J$4:$J$29,S3258,"Cubic","Extrapolate=Linear","MultiX=Average","Skip=True","Sort=True")</f>
        <v>14.709946151345855</v>
      </c>
      <c r="U3258" s="43">
        <f ca="1">_xll.BInterpol('Base CDI'!$H$4:$H$28,'Base CDI'!$I$4:$I$29,S3258,"Cubic","Extrapolate=Linear","MultiX=Average","Skip=True","Sort=True")</f>
        <v>14.790945069119097</v>
      </c>
    </row>
    <row r="3259" spans="16:21" x14ac:dyDescent="0.25">
      <c r="P3259" s="10">
        <v>39253</v>
      </c>
      <c r="Q3259">
        <v>17.1099</v>
      </c>
      <c r="S3259" s="42">
        <f t="shared" ca="1" si="55"/>
        <v>48965</v>
      </c>
      <c r="T3259" s="43">
        <f ca="1">_xll.BInterpol('Base CDI'!$H$4:$H$28,'Base CDI'!$J$4:$J$29,S3259,"Cubic","Extrapolate=Linear","MultiX=Average","Skip=True","Sort=True")</f>
        <v>14.709870809068519</v>
      </c>
      <c r="U3259" s="43">
        <f ca="1">_xll.BInterpol('Base CDI'!$H$4:$H$28,'Base CDI'!$I$4:$I$29,S3259,"Cubic","Extrapolate=Linear","MultiX=Average","Skip=True","Sort=True")</f>
        <v>14.790869139130095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48966</v>
      </c>
      <c r="T3260" s="43">
        <f ca="1">_xll.BInterpol('Base CDI'!$H$4:$H$28,'Base CDI'!$J$4:$J$29,S3260,"Cubic","Extrapolate=Linear","MultiX=Average","Skip=True","Sort=True")</f>
        <v>14.709795370053678</v>
      </c>
      <c r="U3260" s="43">
        <f ca="1">_xll.BInterpol('Base CDI'!$H$4:$H$28,'Base CDI'!$I$4:$I$29,S3260,"Cubic","Extrapolate=Linear","MultiX=Average","Skip=True","Sort=True")</f>
        <v>14.790793016682885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48967</v>
      </c>
      <c r="T3261" s="43">
        <f ca="1">_xll.BInterpol('Base CDI'!$H$4:$H$28,'Base CDI'!$J$4:$J$29,S3261,"Cubic","Extrapolate=Linear","MultiX=Average","Skip=True","Sort=True")</f>
        <v>14.709719834157184</v>
      </c>
      <c r="U3261" s="43">
        <f ca="1">_xll.BInterpol('Base CDI'!$H$4:$H$28,'Base CDI'!$I$4:$I$29,S3261,"Cubic","Extrapolate=Linear","MultiX=Average","Skip=True","Sort=True")</f>
        <v>14.790716701336549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48968</v>
      </c>
      <c r="T3262" s="43">
        <f ca="1">_xll.BInterpol('Base CDI'!$H$4:$H$28,'Base CDI'!$J$4:$J$29,S3262,"Cubic","Extrapolate=Linear","MultiX=Average","Skip=True","Sort=True")</f>
        <v>14.709644201234886</v>
      </c>
      <c r="U3262" s="43">
        <f ca="1">_xll.BInterpol('Base CDI'!$H$4:$H$28,'Base CDI'!$I$4:$I$29,S3262,"Cubic","Extrapolate=Linear","MultiX=Average","Skip=True","Sort=True")</f>
        <v>14.790640192650173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48969</v>
      </c>
      <c r="T3263" s="43">
        <f ca="1">_xll.BInterpol('Base CDI'!$H$4:$H$28,'Base CDI'!$J$4:$J$29,S3263,"Cubic","Extrapolate=Linear","MultiX=Average","Skip=True","Sort=True")</f>
        <v>14.70956847114264</v>
      </c>
      <c r="U3263" s="43">
        <f ca="1">_xll.BInterpol('Base CDI'!$H$4:$H$28,'Base CDI'!$I$4:$I$29,S3263,"Cubic","Extrapolate=Linear","MultiX=Average","Skip=True","Sort=True")</f>
        <v>14.790563490182835</v>
      </c>
    </row>
    <row r="3264" spans="16:21" x14ac:dyDescent="0.25">
      <c r="P3264" s="10">
        <v>39260</v>
      </c>
      <c r="Q3264">
        <v>17.14799</v>
      </c>
      <c r="S3264" s="42">
        <f t="shared" ca="1" si="55"/>
        <v>48970</v>
      </c>
      <c r="T3264" s="43">
        <f ca="1">_xll.BInterpol('Base CDI'!$H$4:$H$28,'Base CDI'!$J$4:$J$29,S3264,"Cubic","Extrapolate=Linear","MultiX=Average","Skip=True","Sort=True")</f>
        <v>14.709492643736297</v>
      </c>
      <c r="U3264" s="43">
        <f ca="1">_xll.BInterpol('Base CDI'!$H$4:$H$28,'Base CDI'!$I$4:$I$29,S3264,"Cubic","Extrapolate=Linear","MultiX=Average","Skip=True","Sort=True")</f>
        <v>14.790486593493618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48971</v>
      </c>
      <c r="T3265" s="43">
        <f ca="1">_xll.BInterpol('Base CDI'!$H$4:$H$28,'Base CDI'!$J$4:$J$29,S3265,"Cubic","Extrapolate=Linear","MultiX=Average","Skip=True","Sort=True")</f>
        <v>14.70941671887171</v>
      </c>
      <c r="U3265" s="43">
        <f ca="1">_xll.BInterpol('Base CDI'!$H$4:$H$28,'Base CDI'!$I$4:$I$29,S3265,"Cubic","Extrapolate=Linear","MultiX=Average","Skip=True","Sort=True")</f>
        <v>14.790409502141607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48972</v>
      </c>
      <c r="T3266" s="43">
        <f ca="1">_xll.BInterpol('Base CDI'!$H$4:$H$28,'Base CDI'!$J$4:$J$29,S3266,"Cubic","Extrapolate=Linear","MultiX=Average","Skip=True","Sort=True")</f>
        <v>14.709340696404732</v>
      </c>
      <c r="U3266" s="43">
        <f ca="1">_xll.BInterpol('Base CDI'!$H$4:$H$28,'Base CDI'!$I$4:$I$29,S3266,"Cubic","Extrapolate=Linear","MultiX=Average","Skip=True","Sort=True")</f>
        <v>14.790332215685881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48973</v>
      </c>
      <c r="T3267" s="43">
        <f ca="1">_xll.BInterpol('Base CDI'!$H$4:$H$28,'Base CDI'!$J$4:$J$29,S3267,"Cubic","Extrapolate=Linear","MultiX=Average","Skip=True","Sort=True")</f>
        <v>14.709264576191215</v>
      </c>
      <c r="U3267" s="43">
        <f ca="1">_xll.BInterpol('Base CDI'!$H$4:$H$28,'Base CDI'!$I$4:$I$29,S3267,"Cubic","Extrapolate=Linear","MultiX=Average","Skip=True","Sort=True")</f>
        <v>14.790254733685524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48974</v>
      </c>
      <c r="T3268" s="43">
        <f ca="1">_xll.BInterpol('Base CDI'!$H$4:$H$28,'Base CDI'!$J$4:$J$29,S3268,"Cubic","Extrapolate=Linear","MultiX=Average","Skip=True","Sort=True")</f>
        <v>14.70918835808701</v>
      </c>
      <c r="U3268" s="43">
        <f ca="1">_xll.BInterpol('Base CDI'!$H$4:$H$28,'Base CDI'!$I$4:$I$29,S3268,"Cubic","Extrapolate=Linear","MultiX=Average","Skip=True","Sort=True")</f>
        <v>14.790177055699617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48975</v>
      </c>
      <c r="T3269" s="43">
        <f ca="1">_xll.BInterpol('Base CDI'!$H$4:$H$28,'Base CDI'!$J$4:$J$29,S3269,"Cubic","Extrapolate=Linear","MultiX=Average","Skip=True","Sort=True")</f>
        <v>14.709112041947972</v>
      </c>
      <c r="U3269" s="43">
        <f ca="1">_xll.BInterpol('Base CDI'!$H$4:$H$28,'Base CDI'!$I$4:$I$29,S3269,"Cubic","Extrapolate=Linear","MultiX=Average","Skip=True","Sort=True")</f>
        <v>14.790099181287244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48976</v>
      </c>
      <c r="T3270" s="43">
        <f ca="1">_xll.BInterpol('Base CDI'!$H$4:$H$28,'Base CDI'!$J$4:$J$29,S3270,"Cubic","Extrapolate=Linear","MultiX=Average","Skip=True","Sort=True")</f>
        <v>14.70903562762995</v>
      </c>
      <c r="U3270" s="43">
        <f ca="1">_xll.BInterpol('Base CDI'!$H$4:$H$28,'Base CDI'!$I$4:$I$29,S3270,"Cubic","Extrapolate=Linear","MultiX=Average","Skip=True","Sort=True")</f>
        <v>14.790021110007485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48977</v>
      </c>
      <c r="T3271" s="43">
        <f ca="1">_xll.BInterpol('Base CDI'!$H$4:$H$28,'Base CDI'!$J$4:$J$29,S3271,"Cubic","Extrapolate=Linear","MultiX=Average","Skip=True","Sort=True")</f>
        <v>14.708959114988799</v>
      </c>
      <c r="U3271" s="43">
        <f ca="1">_xll.BInterpol('Base CDI'!$H$4:$H$28,'Base CDI'!$I$4:$I$29,S3271,"Cubic","Extrapolate=Linear","MultiX=Average","Skip=True","Sort=True")</f>
        <v>14.789942841419425</v>
      </c>
    </row>
    <row r="3272" spans="16:21" x14ac:dyDescent="0.25">
      <c r="P3272" s="10">
        <v>39272</v>
      </c>
      <c r="Q3272">
        <v>17.20918</v>
      </c>
      <c r="S3272" s="42">
        <f t="shared" ca="1" si="55"/>
        <v>48978</v>
      </c>
      <c r="T3272" s="43">
        <f ca="1">_xll.BInterpol('Base CDI'!$H$4:$H$28,'Base CDI'!$J$4:$J$29,S3272,"Cubic","Extrapolate=Linear","MultiX=Average","Skip=True","Sort=True")</f>
        <v>14.708882503880373</v>
      </c>
      <c r="U3272" s="43">
        <f ca="1">_xll.BInterpol('Base CDI'!$H$4:$H$28,'Base CDI'!$I$4:$I$29,S3272,"Cubic","Extrapolate=Linear","MultiX=Average","Skip=True","Sort=True")</f>
        <v>14.789864375082145</v>
      </c>
    </row>
    <row r="3273" spans="16:21" x14ac:dyDescent="0.25">
      <c r="P3273" s="10">
        <v>39273</v>
      </c>
      <c r="Q3273">
        <v>17.21686</v>
      </c>
      <c r="S3273" s="42">
        <f t="shared" ca="1" si="55"/>
        <v>48979</v>
      </c>
      <c r="T3273" s="43">
        <f ca="1">_xll.BInterpol('Base CDI'!$H$4:$H$28,'Base CDI'!$J$4:$J$29,S3273,"Cubic","Extrapolate=Linear","MultiX=Average","Skip=True","Sort=True")</f>
        <v>14.708805794160522</v>
      </c>
      <c r="U3273" s="43">
        <f ca="1">_xll.BInterpol('Base CDI'!$H$4:$H$28,'Base CDI'!$I$4:$I$29,S3273,"Cubic","Extrapolate=Linear","MultiX=Average","Skip=True","Sort=True")</f>
        <v>14.789785710554726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48980</v>
      </c>
      <c r="T3274" s="43">
        <f ca="1">_xll.BInterpol('Base CDI'!$H$4:$H$28,'Base CDI'!$J$4:$J$29,S3274,"Cubic","Extrapolate=Linear","MultiX=Average","Skip=True","Sort=True")</f>
        <v>14.708728985685099</v>
      </c>
      <c r="U3274" s="43">
        <f ca="1">_xll.BInterpol('Base CDI'!$H$4:$H$28,'Base CDI'!$I$4:$I$29,S3274,"Cubic","Extrapolate=Linear","MultiX=Average","Skip=True","Sort=True")</f>
        <v>14.789706847396252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48981</v>
      </c>
      <c r="T3275" s="43">
        <f ca="1">_xll.BInterpol('Base CDI'!$H$4:$H$28,'Base CDI'!$J$4:$J$29,S3275,"Cubic","Extrapolate=Linear","MultiX=Average","Skip=True","Sort=True")</f>
        <v>14.708652078309955</v>
      </c>
      <c r="U3275" s="43">
        <f ca="1">_xll.BInterpol('Base CDI'!$H$4:$H$28,'Base CDI'!$I$4:$I$29,S3275,"Cubic","Extrapolate=Linear","MultiX=Average","Skip=True","Sort=True")</f>
        <v>14.789627785165804</v>
      </c>
    </row>
    <row r="3276" spans="16:21" x14ac:dyDescent="0.25">
      <c r="P3276" s="10">
        <v>39276</v>
      </c>
      <c r="Q3276">
        <v>17.23987</v>
      </c>
      <c r="S3276" s="42">
        <f t="shared" ca="1" si="56"/>
        <v>48982</v>
      </c>
      <c r="T3276" s="43">
        <f ca="1">_xll.BInterpol('Base CDI'!$H$4:$H$28,'Base CDI'!$J$4:$J$29,S3276,"Cubic","Extrapolate=Linear","MultiX=Average","Skip=True","Sort=True")</f>
        <v>14.708575071890946</v>
      </c>
      <c r="U3276" s="43">
        <f ca="1">_xll.BInterpol('Base CDI'!$H$4:$H$28,'Base CDI'!$I$4:$I$29,S3276,"Cubic","Extrapolate=Linear","MultiX=Average","Skip=True","Sort=True")</f>
        <v>14.789548523422464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48983</v>
      </c>
      <c r="T3277" s="43">
        <f ca="1">_xll.BInterpol('Base CDI'!$H$4:$H$28,'Base CDI'!$J$4:$J$29,S3277,"Cubic","Extrapolate=Linear","MultiX=Average","Skip=True","Sort=True")</f>
        <v>14.708497966283922</v>
      </c>
      <c r="U3277" s="43">
        <f ca="1">_xll.BInterpol('Base CDI'!$H$4:$H$28,'Base CDI'!$I$4:$I$29,S3277,"Cubic","Extrapolate=Linear","MultiX=Average","Skip=True","Sort=True")</f>
        <v>14.789469061725317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48984</v>
      </c>
      <c r="T3278" s="43">
        <f ca="1">_xll.BInterpol('Base CDI'!$H$4:$H$28,'Base CDI'!$J$4:$J$29,S3278,"Cubic","Extrapolate=Linear","MultiX=Average","Skip=True","Sort=True")</f>
        <v>14.708420761344735</v>
      </c>
      <c r="U3278" s="43">
        <f ca="1">_xll.BInterpol('Base CDI'!$H$4:$H$28,'Base CDI'!$I$4:$I$29,S3278,"Cubic","Extrapolate=Linear","MultiX=Average","Skip=True","Sort=True")</f>
        <v>14.789389399633443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48985</v>
      </c>
      <c r="T3279" s="43">
        <f ca="1">_xll.BInterpol('Base CDI'!$H$4:$H$28,'Base CDI'!$J$4:$J$29,S3279,"Cubic","Extrapolate=Linear","MultiX=Average","Skip=True","Sort=True")</f>
        <v>14.708343456929239</v>
      </c>
      <c r="U3279" s="43">
        <f ca="1">_xll.BInterpol('Base CDI'!$H$4:$H$28,'Base CDI'!$I$4:$I$29,S3279,"Cubic","Extrapolate=Linear","MultiX=Average","Skip=True","Sort=True")</f>
        <v>14.789309536705924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48986</v>
      </c>
      <c r="T3280" s="43">
        <f ca="1">_xll.BInterpol('Base CDI'!$H$4:$H$28,'Base CDI'!$J$4:$J$29,S3280,"Cubic","Extrapolate=Linear","MultiX=Average","Skip=True","Sort=True")</f>
        <v>14.708266052893286</v>
      </c>
      <c r="U3280" s="43">
        <f ca="1">_xll.BInterpol('Base CDI'!$H$4:$H$28,'Base CDI'!$I$4:$I$29,S3280,"Cubic","Extrapolate=Linear","MultiX=Average","Skip=True","Sort=True")</f>
        <v>14.789229472501843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48987</v>
      </c>
      <c r="T3281" s="43">
        <f ca="1">_xll.BInterpol('Base CDI'!$H$4:$H$28,'Base CDI'!$J$4:$J$29,S3281,"Cubic","Extrapolate=Linear","MultiX=Average","Skip=True","Sort=True")</f>
        <v>14.708188549092728</v>
      </c>
      <c r="U3281" s="43">
        <f ca="1">_xll.BInterpol('Base CDI'!$H$4:$H$28,'Base CDI'!$I$4:$I$29,S3281,"Cubic","Extrapolate=Linear","MultiX=Average","Skip=True","Sort=True")</f>
        <v>14.789149206580282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48988</v>
      </c>
      <c r="T3282" s="43">
        <f ca="1">_xll.BInterpol('Base CDI'!$H$4:$H$28,'Base CDI'!$J$4:$J$29,S3282,"Cubic","Extrapolate=Linear","MultiX=Average","Skip=True","Sort=True")</f>
        <v>14.708110945383417</v>
      </c>
      <c r="U3282" s="43">
        <f ca="1">_xll.BInterpol('Base CDI'!$H$4:$H$28,'Base CDI'!$I$4:$I$29,S3282,"Cubic","Extrapolate=Linear","MultiX=Average","Skip=True","Sort=True")</f>
        <v>14.789068738500324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48989</v>
      </c>
      <c r="T3283" s="43">
        <f ca="1">_xll.BInterpol('Base CDI'!$H$4:$H$28,'Base CDI'!$J$4:$J$29,S3283,"Cubic","Extrapolate=Linear","MultiX=Average","Skip=True","Sort=True")</f>
        <v>14.708033241621207</v>
      </c>
      <c r="U3283" s="43">
        <f ca="1">_xll.BInterpol('Base CDI'!$H$4:$H$28,'Base CDI'!$I$4:$I$29,S3283,"Cubic","Extrapolate=Linear","MultiX=Average","Skip=True","Sort=True")</f>
        <v>14.78898806782105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48990</v>
      </c>
      <c r="T3284" s="43">
        <f ca="1">_xll.BInterpol('Base CDI'!$H$4:$H$28,'Base CDI'!$J$4:$J$29,S3284,"Cubic","Extrapolate=Linear","MultiX=Average","Skip=True","Sort=True")</f>
        <v>14.707955437661951</v>
      </c>
      <c r="U3284" s="43">
        <f ca="1">_xll.BInterpol('Base CDI'!$H$4:$H$28,'Base CDI'!$I$4:$I$29,S3284,"Cubic","Extrapolate=Linear","MultiX=Average","Skip=True","Sort=True")</f>
        <v>14.788907194101544</v>
      </c>
    </row>
    <row r="3285" spans="16:21" x14ac:dyDescent="0.25">
      <c r="P3285" s="10">
        <v>39289</v>
      </c>
      <c r="Q3285">
        <v>17.30753</v>
      </c>
      <c r="S3285" s="42">
        <f t="shared" ca="1" si="56"/>
        <v>48991</v>
      </c>
      <c r="T3285" s="43">
        <f ca="1">_xll.BInterpol('Base CDI'!$H$4:$H$28,'Base CDI'!$J$4:$J$29,S3285,"Cubic","Extrapolate=Linear","MultiX=Average","Skip=True","Sort=True")</f>
        <v>14.707877533361499</v>
      </c>
      <c r="U3285" s="43">
        <f ca="1">_xll.BInterpol('Base CDI'!$H$4:$H$28,'Base CDI'!$I$4:$I$29,S3285,"Cubic","Extrapolate=Linear","MultiX=Average","Skip=True","Sort=True")</f>
        <v>14.788826116900886</v>
      </c>
    </row>
    <row r="3286" spans="16:21" x14ac:dyDescent="0.25">
      <c r="P3286" s="10">
        <v>39290</v>
      </c>
      <c r="Q3286">
        <v>17.31493</v>
      </c>
      <c r="S3286" s="42">
        <f t="shared" ca="1" si="56"/>
        <v>48992</v>
      </c>
      <c r="T3286" s="43">
        <f ca="1">_xll.BInterpol('Base CDI'!$H$4:$H$28,'Base CDI'!$J$4:$J$29,S3286,"Cubic","Extrapolate=Linear","MultiX=Average","Skip=True","Sort=True")</f>
        <v>14.707799528575704</v>
      </c>
      <c r="U3286" s="43">
        <f ca="1">_xll.BInterpol('Base CDI'!$H$4:$H$28,'Base CDI'!$I$4:$I$29,S3286,"Cubic","Extrapolate=Linear","MultiX=Average","Skip=True","Sort=True")</f>
        <v>14.788744835778159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48993</v>
      </c>
      <c r="T3287" s="43">
        <f ca="1">_xll.BInterpol('Base CDI'!$H$4:$H$28,'Base CDI'!$J$4:$J$29,S3287,"Cubic","Extrapolate=Linear","MultiX=Average","Skip=True","Sort=True")</f>
        <v>14.70772142316042</v>
      </c>
      <c r="U3287" s="43">
        <f ca="1">_xll.BInterpol('Base CDI'!$H$4:$H$28,'Base CDI'!$I$4:$I$29,S3287,"Cubic","Extrapolate=Linear","MultiX=Average","Skip=True","Sort=True")</f>
        <v>14.788663350292447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48994</v>
      </c>
      <c r="T3288" s="43">
        <f ca="1">_xll.BInterpol('Base CDI'!$H$4:$H$28,'Base CDI'!$J$4:$J$29,S3288,"Cubic","Extrapolate=Linear","MultiX=Average","Skip=True","Sort=True")</f>
        <v>14.707643216971499</v>
      </c>
      <c r="U3288" s="43">
        <f ca="1">_xll.BInterpol('Base CDI'!$H$4:$H$28,'Base CDI'!$I$4:$I$29,S3288,"Cubic","Extrapolate=Linear","MultiX=Average","Skip=True","Sort=True")</f>
        <v>14.78858166000283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48995</v>
      </c>
      <c r="T3289" s="43">
        <f ca="1">_xll.BInterpol('Base CDI'!$H$4:$H$28,'Base CDI'!$J$4:$J$29,S3289,"Cubic","Extrapolate=Linear","MultiX=Average","Skip=True","Sort=True")</f>
        <v>14.707564909864793</v>
      </c>
      <c r="U3289" s="43">
        <f ca="1">_xll.BInterpol('Base CDI'!$H$4:$H$28,'Base CDI'!$I$4:$I$29,S3289,"Cubic","Extrapolate=Linear","MultiX=Average","Skip=True","Sort=True")</f>
        <v>14.788499764468392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48996</v>
      </c>
      <c r="T3290" s="43">
        <f ca="1">_xll.BInterpol('Base CDI'!$H$4:$H$28,'Base CDI'!$J$4:$J$29,S3290,"Cubic","Extrapolate=Linear","MultiX=Average","Skip=True","Sort=True")</f>
        <v>14.707486501696152</v>
      </c>
      <c r="U3290" s="43">
        <f ca="1">_xll.BInterpol('Base CDI'!$H$4:$H$28,'Base CDI'!$I$4:$I$29,S3290,"Cubic","Extrapolate=Linear","MultiX=Average","Skip=True","Sort=True")</f>
        <v>14.788417663248214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48997</v>
      </c>
      <c r="T3291" s="43">
        <f ca="1">_xll.BInterpol('Base CDI'!$H$4:$H$28,'Base CDI'!$J$4:$J$29,S3291,"Cubic","Extrapolate=Linear","MultiX=Average","Skip=True","Sort=True")</f>
        <v>14.707407992321434</v>
      </c>
      <c r="U3291" s="43">
        <f ca="1">_xll.BInterpol('Base CDI'!$H$4:$H$28,'Base CDI'!$I$4:$I$29,S3291,"Cubic","Extrapolate=Linear","MultiX=Average","Skip=True","Sort=True")</f>
        <v>14.788335355901378</v>
      </c>
    </row>
    <row r="3292" spans="16:21" x14ac:dyDescent="0.25">
      <c r="P3292" s="10">
        <v>39300</v>
      </c>
      <c r="Q3292">
        <v>17.35943</v>
      </c>
      <c r="S3292" s="42">
        <f t="shared" ca="1" si="56"/>
        <v>48998</v>
      </c>
      <c r="T3292" s="43">
        <f ca="1">_xll.BInterpol('Base CDI'!$H$4:$H$28,'Base CDI'!$J$4:$J$29,S3292,"Cubic","Extrapolate=Linear","MultiX=Average","Skip=True","Sort=True")</f>
        <v>14.707329381596487</v>
      </c>
      <c r="U3292" s="43">
        <f ca="1">_xll.BInterpol('Base CDI'!$H$4:$H$28,'Base CDI'!$I$4:$I$29,S3292,"Cubic","Extrapolate=Linear","MultiX=Average","Skip=True","Sort=True")</f>
        <v>14.788252841986969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48999</v>
      </c>
      <c r="T3293" s="43">
        <f ca="1">_xll.BInterpol('Base CDI'!$H$4:$H$28,'Base CDI'!$J$4:$J$29,S3293,"Cubic","Extrapolate=Linear","MultiX=Average","Skip=True","Sort=True")</f>
        <v>14.707250669377165</v>
      </c>
      <c r="U3293" s="43">
        <f ca="1">_xll.BInterpol('Base CDI'!$H$4:$H$28,'Base CDI'!$I$4:$I$29,S3293,"Cubic","Extrapolate=Linear","MultiX=Average","Skip=True","Sort=True")</f>
        <v>14.788170121064065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49000</v>
      </c>
      <c r="T3294" s="43">
        <f ca="1">_xll.BInterpol('Base CDI'!$H$4:$H$28,'Base CDI'!$J$4:$J$29,S3294,"Cubic","Extrapolate=Linear","MultiX=Average","Skip=True","Sort=True")</f>
        <v>14.707171855519322</v>
      </c>
      <c r="U3294" s="43">
        <f ca="1">_xll.BInterpol('Base CDI'!$H$4:$H$28,'Base CDI'!$I$4:$I$29,S3294,"Cubic","Extrapolate=Linear","MultiX=Average","Skip=True","Sort=True")</f>
        <v>14.788087192691751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49001</v>
      </c>
      <c r="T3295" s="43">
        <f ca="1">_xll.BInterpol('Base CDI'!$H$4:$H$28,'Base CDI'!$J$4:$J$29,S3295,"Cubic","Extrapolate=Linear","MultiX=Average","Skip=True","Sort=True")</f>
        <v>14.707092939878807</v>
      </c>
      <c r="U3295" s="43">
        <f ca="1">_xll.BInterpol('Base CDI'!$H$4:$H$28,'Base CDI'!$I$4:$I$29,S3295,"Cubic","Extrapolate=Linear","MultiX=Average","Skip=True","Sort=True")</f>
        <v>14.788004056429109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49002</v>
      </c>
      <c r="T3296" s="43">
        <f ca="1">_xll.BInterpol('Base CDI'!$H$4:$H$28,'Base CDI'!$J$4:$J$29,S3296,"Cubic","Extrapolate=Linear","MultiX=Average","Skip=True","Sort=True")</f>
        <v>14.707013922311475</v>
      </c>
      <c r="U3296" s="43">
        <f ca="1">_xll.BInterpol('Base CDI'!$H$4:$H$28,'Base CDI'!$I$4:$I$29,S3296,"Cubic","Extrapolate=Linear","MultiX=Average","Skip=True","Sort=True")</f>
        <v>14.787920711835222</v>
      </c>
    </row>
    <row r="3297" spans="16:21" x14ac:dyDescent="0.25">
      <c r="P3297" s="10">
        <v>39307</v>
      </c>
      <c r="Q3297">
        <v>17.39658</v>
      </c>
      <c r="S3297" s="42">
        <f t="shared" ca="1" si="56"/>
        <v>49003</v>
      </c>
      <c r="T3297" s="43">
        <f ca="1">_xll.BInterpol('Base CDI'!$H$4:$H$28,'Base CDI'!$J$4:$J$29,S3297,"Cubic","Extrapolate=Linear","MultiX=Average","Skip=True","Sort=True")</f>
        <v>14.706934802673178</v>
      </c>
      <c r="U3297" s="43">
        <f ca="1">_xll.BInterpol('Base CDI'!$H$4:$H$28,'Base CDI'!$I$4:$I$29,S3297,"Cubic","Extrapolate=Linear","MultiX=Average","Skip=True","Sort=True")</f>
        <v>14.78783715846917</v>
      </c>
    </row>
    <row r="3298" spans="16:21" x14ac:dyDescent="0.25">
      <c r="P3298" s="10">
        <v>39308</v>
      </c>
      <c r="Q3298">
        <v>17.40401</v>
      </c>
      <c r="S3298" s="42">
        <f t="shared" ca="1" si="56"/>
        <v>49004</v>
      </c>
      <c r="T3298" s="43">
        <f ca="1">_xll.BInterpol('Base CDI'!$H$4:$H$28,'Base CDI'!$J$4:$J$29,S3298,"Cubic","Extrapolate=Linear","MultiX=Average","Skip=True","Sort=True")</f>
        <v>14.706855580819768</v>
      </c>
      <c r="U3298" s="43">
        <f ca="1">_xll.BInterpol('Base CDI'!$H$4:$H$28,'Base CDI'!$I$4:$I$29,S3298,"Cubic","Extrapolate=Linear","MultiX=Average","Skip=True","Sort=True")</f>
        <v>14.787753395890038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49005</v>
      </c>
      <c r="T3299" s="43">
        <f ca="1">_xll.BInterpol('Base CDI'!$H$4:$H$28,'Base CDI'!$J$4:$J$29,S3299,"Cubic","Extrapolate=Linear","MultiX=Average","Skip=True","Sort=True")</f>
        <v>14.706776256607098</v>
      </c>
      <c r="U3299" s="43">
        <f ca="1">_xll.BInterpol('Base CDI'!$H$4:$H$28,'Base CDI'!$I$4:$I$29,S3299,"Cubic","Extrapolate=Linear","MultiX=Average","Skip=True","Sort=True")</f>
        <v>14.787669423656904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49006</v>
      </c>
      <c r="T3300" s="43">
        <f ca="1">_xll.BInterpol('Base CDI'!$H$4:$H$28,'Base CDI'!$J$4:$J$29,S3300,"Cubic","Extrapolate=Linear","MultiX=Average","Skip=True","Sort=True")</f>
        <v>14.706696829891021</v>
      </c>
      <c r="U3300" s="43">
        <f ca="1">_xll.BInterpol('Base CDI'!$H$4:$H$28,'Base CDI'!$I$4:$I$29,S3300,"Cubic","Extrapolate=Linear","MultiX=Average","Skip=True","Sort=True")</f>
        <v>14.787585241328856</v>
      </c>
    </row>
    <row r="3301" spans="16:21" x14ac:dyDescent="0.25">
      <c r="P3301" s="10">
        <v>39311</v>
      </c>
      <c r="Q3301">
        <v>17.42632</v>
      </c>
      <c r="S3301" s="42">
        <f t="shared" ca="1" si="56"/>
        <v>49007</v>
      </c>
      <c r="T3301" s="43">
        <f ca="1">_xll.BInterpol('Base CDI'!$H$4:$H$28,'Base CDI'!$J$4:$J$29,S3301,"Cubic","Extrapolate=Linear","MultiX=Average","Skip=True","Sort=True")</f>
        <v>14.706617300527387</v>
      </c>
      <c r="U3301" s="43">
        <f ca="1">_xll.BInterpol('Base CDI'!$H$4:$H$28,'Base CDI'!$I$4:$I$29,S3301,"Cubic","Extrapolate=Linear","MultiX=Average","Skip=True","Sort=True")</f>
        <v>14.787500848464973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49008</v>
      </c>
      <c r="T3302" s="43">
        <f ca="1">_xll.BInterpol('Base CDI'!$H$4:$H$28,'Base CDI'!$J$4:$J$29,S3302,"Cubic","Extrapolate=Linear","MultiX=Average","Skip=True","Sort=True")</f>
        <v>14.706537668372052</v>
      </c>
      <c r="U3302" s="43">
        <f ca="1">_xll.BInterpol('Base CDI'!$H$4:$H$28,'Base CDI'!$I$4:$I$29,S3302,"Cubic","Extrapolate=Linear","MultiX=Average","Skip=True","Sort=True")</f>
        <v>14.787416244624335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49009</v>
      </c>
      <c r="T3303" s="43">
        <f ca="1">_xll.BInterpol('Base CDI'!$H$4:$H$28,'Base CDI'!$J$4:$J$29,S3303,"Cubic","Extrapolate=Linear","MultiX=Average","Skip=True","Sort=True")</f>
        <v>14.706457933280864</v>
      </c>
      <c r="U3303" s="43">
        <f ca="1">_xll.BInterpol('Base CDI'!$H$4:$H$28,'Base CDI'!$I$4:$I$29,S3303,"Cubic","Extrapolate=Linear","MultiX=Average","Skip=True","Sort=True")</f>
        <v>14.787331429366029</v>
      </c>
    </row>
    <row r="3304" spans="16:21" x14ac:dyDescent="0.25">
      <c r="P3304" s="10">
        <v>39316</v>
      </c>
      <c r="Q3304">
        <v>17.44867</v>
      </c>
      <c r="S3304" s="42">
        <f t="shared" ca="1" si="56"/>
        <v>49010</v>
      </c>
      <c r="T3304" s="43">
        <f ca="1">_xll.BInterpol('Base CDI'!$H$4:$H$28,'Base CDI'!$J$4:$J$29,S3304,"Cubic","Extrapolate=Linear","MultiX=Average","Skip=True","Sort=True")</f>
        <v>14.706378095109681</v>
      </c>
      <c r="U3304" s="43">
        <f ca="1">_xll.BInterpol('Base CDI'!$H$4:$H$28,'Base CDI'!$I$4:$I$29,S3304,"Cubic","Extrapolate=Linear","MultiX=Average","Skip=True","Sort=True")</f>
        <v>14.787246402249135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49011</v>
      </c>
      <c r="T3305" s="43">
        <f ca="1">_xll.BInterpol('Base CDI'!$H$4:$H$28,'Base CDI'!$J$4:$J$29,S3305,"Cubic","Extrapolate=Linear","MultiX=Average","Skip=True","Sort=True")</f>
        <v>14.70629815371435</v>
      </c>
      <c r="U3305" s="43">
        <f ca="1">_xll.BInterpol('Base CDI'!$H$4:$H$28,'Base CDI'!$I$4:$I$29,S3305,"Cubic","Extrapolate=Linear","MultiX=Average","Skip=True","Sort=True")</f>
        <v>14.787161162832735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49012</v>
      </c>
      <c r="T3306" s="43">
        <f ca="1">_xll.BInterpol('Base CDI'!$H$4:$H$28,'Base CDI'!$J$4:$J$29,S3306,"Cubic","Extrapolate=Linear","MultiX=Average","Skip=True","Sort=True")</f>
        <v>14.706218108950727</v>
      </c>
      <c r="U3306" s="43">
        <f ca="1">_xll.BInterpol('Base CDI'!$H$4:$H$28,'Base CDI'!$I$4:$I$29,S3306,"Cubic","Extrapolate=Linear","MultiX=Average","Skip=True","Sort=True")</f>
        <v>14.787075710675911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49013</v>
      </c>
      <c r="T3307" s="43">
        <f ca="1">_xll.BInterpol('Base CDI'!$H$4:$H$28,'Base CDI'!$J$4:$J$29,S3307,"Cubic","Extrapolate=Linear","MultiX=Average","Skip=True","Sort=True")</f>
        <v>14.706137960674665</v>
      </c>
      <c r="U3307" s="43">
        <f ca="1">_xll.BInterpol('Base CDI'!$H$4:$H$28,'Base CDI'!$I$4:$I$29,S3307,"Cubic","Extrapolate=Linear","MultiX=Average","Skip=True","Sort=True")</f>
        <v>14.786990045337745</v>
      </c>
    </row>
    <row r="3308" spans="16:21" x14ac:dyDescent="0.25">
      <c r="P3308" s="10">
        <v>39322</v>
      </c>
      <c r="Q3308">
        <v>17.4785</v>
      </c>
      <c r="S3308" s="42">
        <f t="shared" ca="1" si="56"/>
        <v>49014</v>
      </c>
      <c r="T3308" s="43">
        <f ca="1">_xll.BInterpol('Base CDI'!$H$4:$H$28,'Base CDI'!$J$4:$J$29,S3308,"Cubic","Extrapolate=Linear","MultiX=Average","Skip=True","Sort=True")</f>
        <v>14.706057708742014</v>
      </c>
      <c r="U3308" s="43">
        <f ca="1">_xll.BInterpol('Base CDI'!$H$4:$H$28,'Base CDI'!$I$4:$I$29,S3308,"Cubic","Extrapolate=Linear","MultiX=Average","Skip=True","Sort=True")</f>
        <v>14.786904166377322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49015</v>
      </c>
      <c r="T3309" s="43">
        <f ca="1">_xll.BInterpol('Base CDI'!$H$4:$H$28,'Base CDI'!$J$4:$J$29,S3309,"Cubic","Extrapolate=Linear","MultiX=Average","Skip=True","Sort=True")</f>
        <v>14.705977353008626</v>
      </c>
      <c r="U3309" s="43">
        <f ca="1">_xll.BInterpol('Base CDI'!$H$4:$H$28,'Base CDI'!$I$4:$I$29,S3309,"Cubic","Extrapolate=Linear","MultiX=Average","Skip=True","Sort=True")</f>
        <v>14.786818073353722</v>
      </c>
    </row>
    <row r="3310" spans="16:21" x14ac:dyDescent="0.25">
      <c r="P3310" s="10">
        <v>39324</v>
      </c>
      <c r="Q3310">
        <v>17.49343</v>
      </c>
      <c r="S3310" s="42">
        <f t="shared" ca="1" si="56"/>
        <v>49016</v>
      </c>
      <c r="T3310" s="43">
        <f ca="1">_xll.BInterpol('Base CDI'!$H$4:$H$28,'Base CDI'!$J$4:$J$29,S3310,"Cubic","Extrapolate=Linear","MultiX=Average","Skip=True","Sort=True")</f>
        <v>14.705896893330356</v>
      </c>
      <c r="U3310" s="43">
        <f ca="1">_xll.BInterpol('Base CDI'!$H$4:$H$28,'Base CDI'!$I$4:$I$29,S3310,"Cubic","Extrapolate=Linear","MultiX=Average","Skip=True","Sort=True")</f>
        <v>14.786731765826028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49017</v>
      </c>
      <c r="T3311" s="43">
        <f ca="1">_xll.BInterpol('Base CDI'!$H$4:$H$28,'Base CDI'!$J$4:$J$29,S3311,"Cubic","Extrapolate=Linear","MultiX=Average","Skip=True","Sort=True")</f>
        <v>14.705816329563055</v>
      </c>
      <c r="U3311" s="43">
        <f ca="1">_xll.BInterpol('Base CDI'!$H$4:$H$28,'Base CDI'!$I$4:$I$29,S3311,"Cubic","Extrapolate=Linear","MultiX=Average","Skip=True","Sort=True")</f>
        <v>14.78664524335332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49018</v>
      </c>
      <c r="T3312" s="43">
        <f ca="1">_xll.BInterpol('Base CDI'!$H$4:$H$28,'Base CDI'!$J$4:$J$29,S3312,"Cubic","Extrapolate=Linear","MultiX=Average","Skip=True","Sort=True")</f>
        <v>14.705735661562576</v>
      </c>
      <c r="U3312" s="43">
        <f ca="1">_xll.BInterpol('Base CDI'!$H$4:$H$28,'Base CDI'!$I$4:$I$29,S3312,"Cubic","Extrapolate=Linear","MultiX=Average","Skip=True","Sort=True")</f>
        <v>14.786558505494684</v>
      </c>
    </row>
    <row r="3313" spans="16:21" x14ac:dyDescent="0.25">
      <c r="P3313" s="10">
        <v>39329</v>
      </c>
      <c r="Q3313">
        <v>17.51595</v>
      </c>
      <c r="S3313" s="42">
        <f t="shared" ca="1" si="56"/>
        <v>49019</v>
      </c>
      <c r="T3313" s="43">
        <f ca="1">_xll.BInterpol('Base CDI'!$H$4:$H$28,'Base CDI'!$J$4:$J$29,S3313,"Cubic","Extrapolate=Linear","MultiX=Average","Skip=True","Sort=True")</f>
        <v>14.705654889184771</v>
      </c>
      <c r="U3313" s="43">
        <f ca="1">_xll.BInterpol('Base CDI'!$H$4:$H$28,'Base CDI'!$I$4:$I$29,S3313,"Cubic","Extrapolate=Linear","MultiX=Average","Skip=True","Sort=True")</f>
        <v>14.7864715518092</v>
      </c>
    </row>
    <row r="3314" spans="16:21" x14ac:dyDescent="0.25">
      <c r="P3314" s="10">
        <v>39330</v>
      </c>
      <c r="Q3314">
        <v>17.52345</v>
      </c>
      <c r="S3314" s="42">
        <f t="shared" ca="1" si="56"/>
        <v>49020</v>
      </c>
      <c r="T3314" s="43">
        <f ca="1">_xll.BInterpol('Base CDI'!$H$4:$H$28,'Base CDI'!$J$4:$J$29,S3314,"Cubic","Extrapolate=Linear","MultiX=Average","Skip=True","Sort=True")</f>
        <v>14.705574012285494</v>
      </c>
      <c r="U3314" s="43">
        <f ca="1">_xll.BInterpol('Base CDI'!$H$4:$H$28,'Base CDI'!$I$4:$I$29,S3314,"Cubic","Extrapolate=Linear","MultiX=Average","Skip=True","Sort=True")</f>
        <v>14.786384381855949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49021</v>
      </c>
      <c r="T3315" s="43">
        <f ca="1">_xll.BInterpol('Base CDI'!$H$4:$H$28,'Base CDI'!$J$4:$J$29,S3315,"Cubic","Extrapolate=Linear","MultiX=Average","Skip=True","Sort=True")</f>
        <v>14.705493030720595</v>
      </c>
      <c r="U3315" s="43">
        <f ca="1">_xll.BInterpol('Base CDI'!$H$4:$H$28,'Base CDI'!$I$4:$I$29,S3315,"Cubic","Extrapolate=Linear","MultiX=Average","Skip=True","Sort=True")</f>
        <v>14.786296995194016</v>
      </c>
    </row>
    <row r="3316" spans="16:21" x14ac:dyDescent="0.25">
      <c r="P3316" s="10">
        <v>39335</v>
      </c>
      <c r="Q3316">
        <v>17.53828</v>
      </c>
      <c r="S3316" s="42">
        <f t="shared" ca="1" si="56"/>
        <v>49022</v>
      </c>
      <c r="T3316" s="43">
        <f ca="1">_xll.BInterpol('Base CDI'!$H$4:$H$28,'Base CDI'!$J$4:$J$29,S3316,"Cubic","Extrapolate=Linear","MultiX=Average","Skip=True","Sort=True")</f>
        <v>14.705411944345929</v>
      </c>
      <c r="U3316" s="43">
        <f ca="1">_xll.BInterpol('Base CDI'!$H$4:$H$28,'Base CDI'!$I$4:$I$29,S3316,"Cubic","Extrapolate=Linear","MultiX=Average","Skip=True","Sort=True")</f>
        <v>14.786209391382483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49023</v>
      </c>
      <c r="T3317" s="43">
        <f ca="1">_xll.BInterpol('Base CDI'!$H$4:$H$28,'Base CDI'!$J$4:$J$29,S3317,"Cubic","Extrapolate=Linear","MultiX=Average","Skip=True","Sort=True")</f>
        <v>14.705330753017346</v>
      </c>
      <c r="U3317" s="43">
        <f ca="1">_xll.BInterpol('Base CDI'!$H$4:$H$28,'Base CDI'!$I$4:$I$29,S3317,"Cubic","Extrapolate=Linear","MultiX=Average","Skip=True","Sort=True")</f>
        <v>14.78612156998043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49024</v>
      </c>
      <c r="T3318" s="43">
        <f ca="1">_xll.BInterpol('Base CDI'!$H$4:$H$28,'Base CDI'!$J$4:$J$29,S3318,"Cubic","Extrapolate=Linear","MultiX=Average","Skip=True","Sort=True")</f>
        <v>14.7052494565907</v>
      </c>
      <c r="U3318" s="43">
        <f ca="1">_xll.BInterpol('Base CDI'!$H$4:$H$28,'Base CDI'!$I$4:$I$29,S3318,"Cubic","Extrapolate=Linear","MultiX=Average","Skip=True","Sort=True")</f>
        <v>14.786033530546941</v>
      </c>
    </row>
    <row r="3319" spans="16:21" x14ac:dyDescent="0.25">
      <c r="P3319" s="10">
        <v>39338</v>
      </c>
      <c r="Q3319">
        <v>17.56033</v>
      </c>
      <c r="S3319" s="42">
        <f t="shared" ca="1" si="56"/>
        <v>49025</v>
      </c>
      <c r="T3319" s="43">
        <f ca="1">_xll.BInterpol('Base CDI'!$H$4:$H$28,'Base CDI'!$J$4:$J$29,S3319,"Cubic","Extrapolate=Linear","MultiX=Average","Skip=True","Sort=True")</f>
        <v>14.705168054921842</v>
      </c>
      <c r="U3319" s="43">
        <f ca="1">_xll.BInterpol('Base CDI'!$H$4:$H$28,'Base CDI'!$I$4:$I$29,S3319,"Cubic","Extrapolate=Linear","MultiX=Average","Skip=True","Sort=True")</f>
        <v>14.785945272641099</v>
      </c>
    </row>
    <row r="3320" spans="16:21" x14ac:dyDescent="0.25">
      <c r="P3320" s="10">
        <v>39339</v>
      </c>
      <c r="Q3320">
        <v>17.56767</v>
      </c>
      <c r="S3320" s="42">
        <f t="shared" ca="1" si="56"/>
        <v>49026</v>
      </c>
      <c r="T3320" s="43">
        <f ca="1">_xll.BInterpol('Base CDI'!$H$4:$H$28,'Base CDI'!$J$4:$J$29,S3320,"Cubic","Extrapolate=Linear","MultiX=Average","Skip=True","Sort=True")</f>
        <v>14.705086547866626</v>
      </c>
      <c r="U3320" s="43">
        <f ca="1">_xll.BInterpol('Base CDI'!$H$4:$H$28,'Base CDI'!$I$4:$I$29,S3320,"Cubic","Extrapolate=Linear","MultiX=Average","Skip=True","Sort=True")</f>
        <v>14.785856795821985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49027</v>
      </c>
      <c r="T3321" s="43">
        <f ca="1">_xll.BInterpol('Base CDI'!$H$4:$H$28,'Base CDI'!$J$4:$J$29,S3321,"Cubic","Extrapolate=Linear","MultiX=Average","Skip=True","Sort=True")</f>
        <v>14.705004935280906</v>
      </c>
      <c r="U3321" s="43">
        <f ca="1">_xll.BInterpol('Base CDI'!$H$4:$H$28,'Base CDI'!$I$4:$I$29,S3321,"Cubic","Extrapolate=Linear","MultiX=Average","Skip=True","Sort=True")</f>
        <v>14.785768099648681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49028</v>
      </c>
      <c r="T3322" s="43">
        <f ca="1">_xll.BInterpol('Base CDI'!$H$4:$H$28,'Base CDI'!$J$4:$J$29,S3322,"Cubic","Extrapolate=Linear","MultiX=Average","Skip=True","Sort=True")</f>
        <v>14.70492321702053</v>
      </c>
      <c r="U3322" s="43">
        <f ca="1">_xll.BInterpol('Base CDI'!$H$4:$H$28,'Base CDI'!$I$4:$I$29,S3322,"Cubic","Extrapolate=Linear","MultiX=Average","Skip=True","Sort=True")</f>
        <v>14.785679183680269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49029</v>
      </c>
      <c r="T3323" s="43">
        <f ca="1">_xll.BInterpol('Base CDI'!$H$4:$H$28,'Base CDI'!$J$4:$J$29,S3323,"Cubic","Extrapolate=Linear","MultiX=Average","Skip=True","Sort=True")</f>
        <v>14.704841392941354</v>
      </c>
      <c r="U3323" s="43">
        <f ca="1">_xll.BInterpol('Base CDI'!$H$4:$H$28,'Base CDI'!$I$4:$I$29,S3323,"Cubic","Extrapolate=Linear","MultiX=Average","Skip=True","Sort=True")</f>
        <v>14.785590047475832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49030</v>
      </c>
      <c r="T3324" s="43">
        <f ca="1">_xll.BInterpol('Base CDI'!$H$4:$H$28,'Base CDI'!$J$4:$J$29,S3324,"Cubic","Extrapolate=Linear","MultiX=Average","Skip=True","Sort=True")</f>
        <v>14.704759462899231</v>
      </c>
      <c r="U3324" s="43">
        <f ca="1">_xll.BInterpol('Base CDI'!$H$4:$H$28,'Base CDI'!$I$4:$I$29,S3324,"Cubic","Extrapolate=Linear","MultiX=Average","Skip=True","Sort=True")</f>
        <v>14.785500690594453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49031</v>
      </c>
      <c r="T3325" s="43">
        <f ca="1">_xll.BInterpol('Base CDI'!$H$4:$H$28,'Base CDI'!$J$4:$J$29,S3325,"Cubic","Extrapolate=Linear","MultiX=Average","Skip=True","Sort=True")</f>
        <v>14.70467742675001</v>
      </c>
      <c r="U3325" s="43">
        <f ca="1">_xll.BInterpol('Base CDI'!$H$4:$H$28,'Base CDI'!$I$4:$I$29,S3325,"Cubic","Extrapolate=Linear","MultiX=Average","Skip=True","Sort=True")</f>
        <v>14.785411112595215</v>
      </c>
    </row>
    <row r="3326" spans="16:21" x14ac:dyDescent="0.25">
      <c r="P3326" s="10">
        <v>39349</v>
      </c>
      <c r="Q3326">
        <v>17.61178</v>
      </c>
      <c r="S3326" s="42">
        <f t="shared" ca="1" si="56"/>
        <v>49032</v>
      </c>
      <c r="T3326" s="43">
        <f ca="1">_xll.BInterpol('Base CDI'!$H$4:$H$28,'Base CDI'!$J$4:$J$29,S3326,"Cubic","Extrapolate=Linear","MultiX=Average","Skip=True","Sort=True")</f>
        <v>14.704595284349546</v>
      </c>
      <c r="U3326" s="43">
        <f ca="1">_xll.BInterpol('Base CDI'!$H$4:$H$28,'Base CDI'!$I$4:$I$29,S3326,"Cubic","Extrapolate=Linear","MultiX=Average","Skip=True","Sort=True")</f>
        <v>14.785321313037196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49033</v>
      </c>
      <c r="T3327" s="43">
        <f ca="1">_xll.BInterpol('Base CDI'!$H$4:$H$28,'Base CDI'!$J$4:$J$29,S3327,"Cubic","Extrapolate=Linear","MultiX=Average","Skip=True","Sort=True")</f>
        <v>14.70451303555369</v>
      </c>
      <c r="U3327" s="43">
        <f ca="1">_xll.BInterpol('Base CDI'!$H$4:$H$28,'Base CDI'!$I$4:$I$29,S3327,"Cubic","Extrapolate=Linear","MultiX=Average","Skip=True","Sort=True")</f>
        <v>14.785231291479482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49034</v>
      </c>
      <c r="T3328" s="43">
        <f ca="1">_xll.BInterpol('Base CDI'!$H$4:$H$28,'Base CDI'!$J$4:$J$29,S3328,"Cubic","Extrapolate=Linear","MultiX=Average","Skip=True","Sort=True")</f>
        <v>14.704430680218296</v>
      </c>
      <c r="U3328" s="43">
        <f ca="1">_xll.BInterpol('Base CDI'!$H$4:$H$28,'Base CDI'!$I$4:$I$29,S3328,"Cubic","Extrapolate=Linear","MultiX=Average","Skip=True","Sort=True")</f>
        <v>14.785141047481154</v>
      </c>
    </row>
    <row r="3329" spans="16:21" x14ac:dyDescent="0.25">
      <c r="P3329" s="10">
        <v>39352</v>
      </c>
      <c r="Q3329">
        <v>17.63383</v>
      </c>
      <c r="S3329" s="42">
        <f t="shared" ca="1" si="56"/>
        <v>49035</v>
      </c>
      <c r="T3329" s="43">
        <f ca="1">_xll.BInterpol('Base CDI'!$H$4:$H$28,'Base CDI'!$J$4:$J$29,S3329,"Cubic","Extrapolate=Linear","MultiX=Average","Skip=True","Sort=True")</f>
        <v>14.704348218199216</v>
      </c>
      <c r="U3329" s="43">
        <f ca="1">_xll.BInterpol('Base CDI'!$H$4:$H$28,'Base CDI'!$I$4:$I$29,S3329,"Cubic","Extrapolate=Linear","MultiX=Average","Skip=True","Sort=True")</f>
        <v>14.785050580601295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49036</v>
      </c>
      <c r="T3330" s="43">
        <f ca="1">_xll.BInterpol('Base CDI'!$H$4:$H$28,'Base CDI'!$J$4:$J$29,S3330,"Cubic","Extrapolate=Linear","MultiX=Average","Skip=True","Sort=True")</f>
        <v>14.704265649352301</v>
      </c>
      <c r="U3330" s="43">
        <f ca="1">_xll.BInterpol('Base CDI'!$H$4:$H$28,'Base CDI'!$I$4:$I$29,S3330,"Cubic","Extrapolate=Linear","MultiX=Average","Skip=True","Sort=True")</f>
        <v>14.784959890398987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49037</v>
      </c>
      <c r="T3331" s="43">
        <f ca="1">_xll.BInterpol('Base CDI'!$H$4:$H$28,'Base CDI'!$J$4:$J$29,S3331,"Cubic","Extrapolate=Linear","MultiX=Average","Skip=True","Sort=True")</f>
        <v>14.704182973533406</v>
      </c>
      <c r="U3331" s="43">
        <f ca="1">_xll.BInterpol('Base CDI'!$H$4:$H$28,'Base CDI'!$I$4:$I$29,S3331,"Cubic","Extrapolate=Linear","MultiX=Average","Skip=True","Sort=True")</f>
        <v>14.784868976433311</v>
      </c>
    </row>
    <row r="3332" spans="16:21" x14ac:dyDescent="0.25">
      <c r="P3332" s="10">
        <v>39357</v>
      </c>
      <c r="Q3332">
        <v>17.65596</v>
      </c>
      <c r="S3332" s="42">
        <f t="shared" ca="1" si="56"/>
        <v>49038</v>
      </c>
      <c r="T3332" s="43">
        <f ca="1">_xll.BInterpol('Base CDI'!$H$4:$H$28,'Base CDI'!$J$4:$J$29,S3332,"Cubic","Extrapolate=Linear","MultiX=Average","Skip=True","Sort=True")</f>
        <v>14.704100190598382</v>
      </c>
      <c r="U3332" s="43">
        <f ca="1">_xll.BInterpol('Base CDI'!$H$4:$H$28,'Base CDI'!$I$4:$I$29,S3332,"Cubic","Extrapolate=Linear","MultiX=Average","Skip=True","Sort=True")</f>
        <v>14.78477783826335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49039</v>
      </c>
      <c r="T3333" s="43">
        <f ca="1">_xll.BInterpol('Base CDI'!$H$4:$H$28,'Base CDI'!$J$4:$J$29,S3333,"Cubic","Extrapolate=Linear","MultiX=Average","Skip=True","Sort=True")</f>
        <v>14.704017300403082</v>
      </c>
      <c r="U3333" s="43">
        <f ca="1">_xll.BInterpol('Base CDI'!$H$4:$H$28,'Base CDI'!$I$4:$I$29,S3333,"Cubic","Extrapolate=Linear","MultiX=Average","Skip=True","Sort=True")</f>
        <v>14.784686475448188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49040</v>
      </c>
      <c r="T3334" s="43">
        <f ca="1">_xll.BInterpol('Base CDI'!$H$4:$H$28,'Base CDI'!$J$4:$J$29,S3334,"Cubic","Extrapolate=Linear","MultiX=Average","Skip=True","Sort=True")</f>
        <v>14.703934302803358</v>
      </c>
      <c r="U3334" s="43">
        <f ca="1">_xll.BInterpol('Base CDI'!$H$4:$H$28,'Base CDI'!$I$4:$I$29,S3334,"Cubic","Extrapolate=Linear","MultiX=Average","Skip=True","Sort=True")</f>
        <v>14.784594887546906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49041</v>
      </c>
      <c r="T3335" s="43">
        <f ca="1">_xll.BInterpol('Base CDI'!$H$4:$H$28,'Base CDI'!$J$4:$J$29,S3335,"Cubic","Extrapolate=Linear","MultiX=Average","Skip=True","Sort=True")</f>
        <v>14.703851197655062</v>
      </c>
      <c r="U3335" s="43">
        <f ca="1">_xll.BInterpol('Base CDI'!$H$4:$H$28,'Base CDI'!$I$4:$I$29,S3335,"Cubic","Extrapolate=Linear","MultiX=Average","Skip=True","Sort=True")</f>
        <v>14.784503074118584</v>
      </c>
    </row>
    <row r="3336" spans="16:21" x14ac:dyDescent="0.25">
      <c r="P3336" s="10">
        <v>39363</v>
      </c>
      <c r="Q3336">
        <v>17.68552</v>
      </c>
      <c r="S3336" s="42">
        <f t="shared" ca="1" si="56"/>
        <v>49042</v>
      </c>
      <c r="T3336" s="43">
        <f ca="1">_xll.BInterpol('Base CDI'!$H$4:$H$28,'Base CDI'!$J$4:$J$29,S3336,"Cubic","Extrapolate=Linear","MultiX=Average","Skip=True","Sort=True")</f>
        <v>14.703767984814046</v>
      </c>
      <c r="U3336" s="43">
        <f ca="1">_xll.BInterpol('Base CDI'!$H$4:$H$28,'Base CDI'!$I$4:$I$29,S3336,"Cubic","Extrapolate=Linear","MultiX=Average","Skip=True","Sort=True")</f>
        <v>14.784411034722307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49043</v>
      </c>
      <c r="T3337" s="43">
        <f ca="1">_xll.BInterpol('Base CDI'!$H$4:$H$28,'Base CDI'!$J$4:$J$29,S3337,"Cubic","Extrapolate=Linear","MultiX=Average","Skip=True","Sort=True")</f>
        <v>14.703684664136166</v>
      </c>
      <c r="U3337" s="43">
        <f ca="1">_xll.BInterpol('Base CDI'!$H$4:$H$28,'Base CDI'!$I$4:$I$29,S3337,"Cubic","Extrapolate=Linear","MultiX=Average","Skip=True","Sort=True")</f>
        <v>14.784318768917158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49044</v>
      </c>
      <c r="T3338" s="43">
        <f ca="1">_xll.BInterpol('Base CDI'!$H$4:$H$28,'Base CDI'!$J$4:$J$29,S3338,"Cubic","Extrapolate=Linear","MultiX=Average","Skip=True","Sort=True")</f>
        <v>14.70360123547727</v>
      </c>
      <c r="U3338" s="43">
        <f ca="1">_xll.BInterpol('Base CDI'!$H$4:$H$28,'Base CDI'!$I$4:$I$29,S3338,"Cubic","Extrapolate=Linear","MultiX=Average","Skip=True","Sort=True")</f>
        <v>14.784226276262217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49045</v>
      </c>
      <c r="T3339" s="43">
        <f ca="1">_xll.BInterpol('Base CDI'!$H$4:$H$28,'Base CDI'!$J$4:$J$29,S3339,"Cubic","Extrapolate=Linear","MultiX=Average","Skip=True","Sort=True")</f>
        <v>14.703517698693213</v>
      </c>
      <c r="U3339" s="43">
        <f ca="1">_xll.BInterpol('Base CDI'!$H$4:$H$28,'Base CDI'!$I$4:$I$29,S3339,"Cubic","Extrapolate=Linear","MultiX=Average","Skip=True","Sort=True")</f>
        <v>14.784133556316567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49046</v>
      </c>
      <c r="T3340" s="43">
        <f ca="1">_xll.BInterpol('Base CDI'!$H$4:$H$28,'Base CDI'!$J$4:$J$29,S3340,"Cubic","Extrapolate=Linear","MultiX=Average","Skip=True","Sort=True")</f>
        <v>14.703434053639848</v>
      </c>
      <c r="U3340" s="43">
        <f ca="1">_xll.BInterpol('Base CDI'!$H$4:$H$28,'Base CDI'!$I$4:$I$29,S3340,"Cubic","Extrapolate=Linear","MultiX=Average","Skip=True","Sort=True")</f>
        <v>14.784040608639289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49047</v>
      </c>
      <c r="T3341" s="43">
        <f ca="1">_xll.BInterpol('Base CDI'!$H$4:$H$28,'Base CDI'!$J$4:$J$29,S3341,"Cubic","Extrapolate=Linear","MultiX=Average","Skip=True","Sort=True")</f>
        <v>14.703350300173025</v>
      </c>
      <c r="U3341" s="43">
        <f ca="1">_xll.BInterpol('Base CDI'!$H$4:$H$28,'Base CDI'!$I$4:$I$29,S3341,"Cubic","Extrapolate=Linear","MultiX=Average","Skip=True","Sort=True")</f>
        <v>14.783947432789468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49048</v>
      </c>
      <c r="T3342" s="43">
        <f ca="1">_xll.BInterpol('Base CDI'!$H$4:$H$28,'Base CDI'!$J$4:$J$29,S3342,"Cubic","Extrapolate=Linear","MultiX=Average","Skip=True","Sort=True")</f>
        <v>14.703266438148599</v>
      </c>
      <c r="U3342" s="43">
        <f ca="1">_xll.BInterpol('Base CDI'!$H$4:$H$28,'Base CDI'!$I$4:$I$29,S3342,"Cubic","Extrapolate=Linear","MultiX=Average","Skip=True","Sort=True")</f>
        <v>14.783854028326186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49049</v>
      </c>
      <c r="T3343" s="43">
        <f ca="1">_xll.BInterpol('Base CDI'!$H$4:$H$28,'Base CDI'!$J$4:$J$29,S3343,"Cubic","Extrapolate=Linear","MultiX=Average","Skip=True","Sort=True")</f>
        <v>14.703182467422421</v>
      </c>
      <c r="U3343" s="43">
        <f ca="1">_xll.BInterpol('Base CDI'!$H$4:$H$28,'Base CDI'!$I$4:$I$29,S3343,"Cubic","Extrapolate=Linear","MultiX=Average","Skip=True","Sort=True")</f>
        <v>14.783760394808523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49050</v>
      </c>
      <c r="T3344" s="43">
        <f ca="1">_xll.BInterpol('Base CDI'!$H$4:$H$28,'Base CDI'!$J$4:$J$29,S3344,"Cubic","Extrapolate=Linear","MultiX=Average","Skip=True","Sort=True")</f>
        <v>14.703098387850343</v>
      </c>
      <c r="U3344" s="43">
        <f ca="1">_xll.BInterpol('Base CDI'!$H$4:$H$28,'Base CDI'!$I$4:$I$29,S3344,"Cubic","Extrapolate=Linear","MultiX=Average","Skip=True","Sort=True")</f>
        <v>14.783666531795561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49051</v>
      </c>
      <c r="T3345" s="43">
        <f ca="1">_xll.BInterpol('Base CDI'!$H$4:$H$28,'Base CDI'!$J$4:$J$29,S3345,"Cubic","Extrapolate=Linear","MultiX=Average","Skip=True","Sort=True")</f>
        <v>14.703014199288219</v>
      </c>
      <c r="U3345" s="43">
        <f ca="1">_xll.BInterpol('Base CDI'!$H$4:$H$28,'Base CDI'!$I$4:$I$29,S3345,"Cubic","Extrapolate=Linear","MultiX=Average","Skip=True","Sort=True")</f>
        <v>14.783572438846385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49052</v>
      </c>
      <c r="T3346" s="43">
        <f ca="1">_xll.BInterpol('Base CDI'!$H$4:$H$28,'Base CDI'!$J$4:$J$29,S3346,"Cubic","Extrapolate=Linear","MultiX=Average","Skip=True","Sort=True")</f>
        <v>14.702929901591901</v>
      </c>
      <c r="U3346" s="43">
        <f ca="1">_xll.BInterpol('Base CDI'!$H$4:$H$28,'Base CDI'!$I$4:$I$29,S3346,"Cubic","Extrapolate=Linear","MultiX=Average","Skip=True","Sort=True")</f>
        <v>14.783478115520076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49053</v>
      </c>
      <c r="T3347" s="43">
        <f ca="1">_xll.BInterpol('Base CDI'!$H$4:$H$28,'Base CDI'!$J$4:$J$29,S3347,"Cubic","Extrapolate=Linear","MultiX=Average","Skip=True","Sort=True")</f>
        <v>14.70284549461724</v>
      </c>
      <c r="U3347" s="43">
        <f ca="1">_xll.BInterpol('Base CDI'!$H$4:$H$28,'Base CDI'!$I$4:$I$29,S3347,"Cubic","Extrapolate=Linear","MultiX=Average","Skip=True","Sort=True")</f>
        <v>14.783383561375715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49054</v>
      </c>
      <c r="T3348" s="43">
        <f ca="1">_xll.BInterpol('Base CDI'!$H$4:$H$28,'Base CDI'!$J$4:$J$29,S3348,"Cubic","Extrapolate=Linear","MultiX=Average","Skip=True","Sort=True")</f>
        <v>14.702760978220089</v>
      </c>
      <c r="U3348" s="43">
        <f ca="1">_xll.BInterpol('Base CDI'!$H$4:$H$28,'Base CDI'!$I$4:$I$29,S3348,"Cubic","Extrapolate=Linear","MultiX=Average","Skip=True","Sort=True")</f>
        <v>14.783288775972386</v>
      </c>
    </row>
    <row r="3349" spans="16:21" x14ac:dyDescent="0.25">
      <c r="P3349" s="10">
        <v>39381</v>
      </c>
      <c r="Q3349">
        <v>17.78191</v>
      </c>
      <c r="S3349" s="42">
        <f t="shared" ca="1" si="57"/>
        <v>49055</v>
      </c>
      <c r="T3349" s="43">
        <f ca="1">_xll.BInterpol('Base CDI'!$H$4:$H$28,'Base CDI'!$J$4:$J$29,S3349,"Cubic","Extrapolate=Linear","MultiX=Average","Skip=True","Sort=True")</f>
        <v>14.702676352256304</v>
      </c>
      <c r="U3349" s="43">
        <f ca="1">_xll.BInterpol('Base CDI'!$H$4:$H$28,'Base CDI'!$I$4:$I$29,S3349,"Cubic","Extrapolate=Linear","MultiX=Average","Skip=True","Sort=True")</f>
        <v>14.783193758869171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49056</v>
      </c>
      <c r="T3350" s="43">
        <f ca="1">_xll.BInterpol('Base CDI'!$H$4:$H$28,'Base CDI'!$J$4:$J$29,S3350,"Cubic","Extrapolate=Linear","MultiX=Average","Skip=True","Sort=True")</f>
        <v>14.702591616581733</v>
      </c>
      <c r="U3350" s="43">
        <f ca="1">_xll.BInterpol('Base CDI'!$H$4:$H$28,'Base CDI'!$I$4:$I$29,S3350,"Cubic","Extrapolate=Linear","MultiX=Average","Skip=True","Sort=True")</f>
        <v>14.783098509625152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49057</v>
      </c>
      <c r="T3351" s="43">
        <f ca="1">_xll.BInterpol('Base CDI'!$H$4:$H$28,'Base CDI'!$J$4:$J$29,S3351,"Cubic","Extrapolate=Linear","MultiX=Average","Skip=True","Sort=True")</f>
        <v>14.70250677105223</v>
      </c>
      <c r="U3351" s="43">
        <f ca="1">_xll.BInterpol('Base CDI'!$H$4:$H$28,'Base CDI'!$I$4:$I$29,S3351,"Cubic","Extrapolate=Linear","MultiX=Average","Skip=True","Sort=True")</f>
        <v>14.783003027799412</v>
      </c>
    </row>
    <row r="3352" spans="16:21" x14ac:dyDescent="0.25">
      <c r="P3352" s="10">
        <v>39386</v>
      </c>
      <c r="Q3352">
        <v>17.80423</v>
      </c>
      <c r="S3352" s="42">
        <f t="shared" ca="1" si="57"/>
        <v>49058</v>
      </c>
      <c r="T3352" s="43">
        <f ca="1">_xll.BInterpol('Base CDI'!$H$4:$H$28,'Base CDI'!$J$4:$J$29,S3352,"Cubic","Extrapolate=Linear","MultiX=Average","Skip=True","Sort=True")</f>
        <v>14.702421815523648</v>
      </c>
      <c r="U3352" s="43">
        <f ca="1">_xll.BInterpol('Base CDI'!$H$4:$H$28,'Base CDI'!$I$4:$I$29,S3352,"Cubic","Extrapolate=Linear","MultiX=Average","Skip=True","Sort=True")</f>
        <v>14.78290731295103</v>
      </c>
    </row>
    <row r="3353" spans="16:21" x14ac:dyDescent="0.25">
      <c r="P3353" s="10">
        <v>39387</v>
      </c>
      <c r="Q3353">
        <v>17.81166</v>
      </c>
      <c r="S3353" s="42">
        <f t="shared" ca="1" si="57"/>
        <v>49059</v>
      </c>
      <c r="T3353" s="43">
        <f ca="1">_xll.BInterpol('Base CDI'!$H$4:$H$28,'Base CDI'!$J$4:$J$29,S3353,"Cubic","Extrapolate=Linear","MultiX=Average","Skip=True","Sort=True")</f>
        <v>14.702336749851838</v>
      </c>
      <c r="U3353" s="43">
        <f ca="1">_xll.BInterpol('Base CDI'!$H$4:$H$28,'Base CDI'!$I$4:$I$29,S3353,"Cubic","Extrapolate=Linear","MultiX=Average","Skip=True","Sort=True")</f>
        <v>14.782811364639093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49060</v>
      </c>
      <c r="T3354" s="43">
        <f ca="1">_xll.BInterpol('Base CDI'!$H$4:$H$28,'Base CDI'!$J$4:$J$29,S3354,"Cubic","Extrapolate=Linear","MultiX=Average","Skip=True","Sort=True")</f>
        <v>14.702251573892655</v>
      </c>
      <c r="U3354" s="43">
        <f ca="1">_xll.BInterpol('Base CDI'!$H$4:$H$28,'Base CDI'!$I$4:$I$29,S3354,"Cubic","Extrapolate=Linear","MultiX=Average","Skip=True","Sort=True")</f>
        <v>14.782715182422679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49061</v>
      </c>
      <c r="T3355" s="43">
        <f ca="1">_xll.BInterpol('Base CDI'!$H$4:$H$28,'Base CDI'!$J$4:$J$29,S3355,"Cubic","Extrapolate=Linear","MultiX=Average","Skip=True","Sort=True")</f>
        <v>14.702166287501949</v>
      </c>
      <c r="U3355" s="43">
        <f ca="1">_xll.BInterpol('Base CDI'!$H$4:$H$28,'Base CDI'!$I$4:$I$29,S3355,"Cubic","Extrapolate=Linear","MultiX=Average","Skip=True","Sort=True")</f>
        <v>14.782618765860873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49062</v>
      </c>
      <c r="T3356" s="43">
        <f ca="1">_xll.BInterpol('Base CDI'!$H$4:$H$28,'Base CDI'!$J$4:$J$29,S3356,"Cubic","Extrapolate=Linear","MultiX=Average","Skip=True","Sort=True")</f>
        <v>14.702080890535573</v>
      </c>
      <c r="U3356" s="43">
        <f ca="1">_xll.BInterpol('Base CDI'!$H$4:$H$28,'Base CDI'!$I$4:$I$29,S3356,"Cubic","Extrapolate=Linear","MultiX=Average","Skip=True","Sort=True")</f>
        <v>14.782522114512757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49063</v>
      </c>
      <c r="T3357" s="43">
        <f ca="1">_xll.BInterpol('Base CDI'!$H$4:$H$28,'Base CDI'!$J$4:$J$29,S3357,"Cubic","Extrapolate=Linear","MultiX=Average","Skip=True","Sort=True")</f>
        <v>14.701995382849381</v>
      </c>
      <c r="U3357" s="43">
        <f ca="1">_xll.BInterpol('Base CDI'!$H$4:$H$28,'Base CDI'!$I$4:$I$29,S3357,"Cubic","Extrapolate=Linear","MultiX=Average","Skip=True","Sort=True")</f>
        <v>14.782425227937413</v>
      </c>
    </row>
    <row r="3358" spans="16:21" x14ac:dyDescent="0.25">
      <c r="P3358" s="10">
        <v>39395</v>
      </c>
      <c r="Q3358">
        <v>17.84892</v>
      </c>
      <c r="S3358" s="42">
        <f t="shared" ca="1" si="57"/>
        <v>49064</v>
      </c>
      <c r="T3358" s="43">
        <f ca="1">_xll.BInterpol('Base CDI'!$H$4:$H$28,'Base CDI'!$J$4:$J$29,S3358,"Cubic","Extrapolate=Linear","MultiX=Average","Skip=True","Sort=True")</f>
        <v>14.701909764299224</v>
      </c>
      <c r="U3358" s="43">
        <f ca="1">_xll.BInterpol('Base CDI'!$H$4:$H$28,'Base CDI'!$I$4:$I$29,S3358,"Cubic","Extrapolate=Linear","MultiX=Average","Skip=True","Sort=True")</f>
        <v>14.782328105693921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49065</v>
      </c>
      <c r="T3359" s="43">
        <f ca="1">_xll.BInterpol('Base CDI'!$H$4:$H$28,'Base CDI'!$J$4:$J$29,S3359,"Cubic","Extrapolate=Linear","MultiX=Average","Skip=True","Sort=True")</f>
        <v>14.701824034740953</v>
      </c>
      <c r="U3359" s="43">
        <f ca="1">_xll.BInterpol('Base CDI'!$H$4:$H$28,'Base CDI'!$I$4:$I$29,S3359,"Cubic","Extrapolate=Linear","MultiX=Average","Skip=True","Sort=True")</f>
        <v>14.782230747341368</v>
      </c>
    </row>
    <row r="3360" spans="16:21" x14ac:dyDescent="0.25">
      <c r="P3360" s="10">
        <v>39399</v>
      </c>
      <c r="Q3360">
        <v>17.86384</v>
      </c>
      <c r="S3360" s="42">
        <f t="shared" ca="1" si="57"/>
        <v>49066</v>
      </c>
      <c r="T3360" s="43">
        <f ca="1">_xll.BInterpol('Base CDI'!$H$4:$H$28,'Base CDI'!$J$4:$J$29,S3360,"Cubic","Extrapolate=Linear","MultiX=Average","Skip=True","Sort=True")</f>
        <v>14.701738194030424</v>
      </c>
      <c r="U3360" s="43">
        <f ca="1">_xll.BInterpol('Base CDI'!$H$4:$H$28,'Base CDI'!$I$4:$I$29,S3360,"Cubic","Extrapolate=Linear","MultiX=Average","Skip=True","Sort=True")</f>
        <v>14.782133152438831</v>
      </c>
    </row>
    <row r="3361" spans="16:21" x14ac:dyDescent="0.25">
      <c r="P3361" s="10">
        <v>39400</v>
      </c>
      <c r="Q3361">
        <v>17.87133</v>
      </c>
      <c r="S3361" s="42">
        <f t="shared" ca="1" si="57"/>
        <v>49067</v>
      </c>
      <c r="T3361" s="43">
        <f ca="1">_xll.BInterpol('Base CDI'!$H$4:$H$28,'Base CDI'!$J$4:$J$29,S3361,"Cubic","Extrapolate=Linear","MultiX=Average","Skip=True","Sort=True")</f>
        <v>14.701652242023489</v>
      </c>
      <c r="U3361" s="43">
        <f ca="1">_xll.BInterpol('Base CDI'!$H$4:$H$28,'Base CDI'!$I$4:$I$29,S3361,"Cubic","Extrapolate=Linear","MultiX=Average","Skip=True","Sort=True")</f>
        <v>14.782035320545395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49068</v>
      </c>
      <c r="T3362" s="43">
        <f ca="1">_xll.BInterpol('Base CDI'!$H$4:$H$28,'Base CDI'!$J$4:$J$29,S3362,"Cubic","Extrapolate=Linear","MultiX=Average","Skip=True","Sort=True")</f>
        <v>14.701566178575998</v>
      </c>
      <c r="U3362" s="43">
        <f ca="1">_xll.BInterpol('Base CDI'!$H$4:$H$28,'Base CDI'!$I$4:$I$29,S3362,"Cubic","Extrapolate=Linear","MultiX=Average","Skip=True","Sort=True")</f>
        <v>14.781937251220144</v>
      </c>
    </row>
    <row r="3363" spans="16:21" x14ac:dyDescent="0.25">
      <c r="P3363" s="10">
        <v>39405</v>
      </c>
      <c r="Q3363">
        <v>17.88627</v>
      </c>
      <c r="S3363" s="42">
        <f t="shared" ca="1" si="57"/>
        <v>49069</v>
      </c>
      <c r="T3363" s="43">
        <f ca="1">_xll.BInterpol('Base CDI'!$H$4:$H$28,'Base CDI'!$J$4:$J$29,S3363,"Cubic","Extrapolate=Linear","MultiX=Average","Skip=True","Sort=True")</f>
        <v>14.701480003543804</v>
      </c>
      <c r="U3363" s="43">
        <f ca="1">_xll.BInterpol('Base CDI'!$H$4:$H$28,'Base CDI'!$I$4:$I$29,S3363,"Cubic","Extrapolate=Linear","MultiX=Average","Skip=True","Sort=True")</f>
        <v>14.781838944022157</v>
      </c>
    </row>
    <row r="3364" spans="16:21" x14ac:dyDescent="0.25">
      <c r="P3364" s="10">
        <v>39406</v>
      </c>
      <c r="Q3364">
        <v>17.89376</v>
      </c>
      <c r="S3364" s="42">
        <f t="shared" ca="1" si="57"/>
        <v>49070</v>
      </c>
      <c r="T3364" s="43">
        <f ca="1">_xll.BInterpol('Base CDI'!$H$4:$H$28,'Base CDI'!$J$4:$J$29,S3364,"Cubic","Extrapolate=Linear","MultiX=Average","Skip=True","Sort=True")</f>
        <v>14.701393716782761</v>
      </c>
      <c r="U3364" s="43">
        <f ca="1">_xll.BInterpol('Base CDI'!$H$4:$H$28,'Base CDI'!$I$4:$I$29,S3364,"Cubic","Extrapolate=Linear","MultiX=Average","Skip=True","Sort=True")</f>
        <v>14.781740398510516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49071</v>
      </c>
      <c r="T3365" s="43">
        <f ca="1">_xll.BInterpol('Base CDI'!$H$4:$H$28,'Base CDI'!$J$4:$J$29,S3365,"Cubic","Extrapolate=Linear","MultiX=Average","Skip=True","Sort=True")</f>
        <v>14.70130731814872</v>
      </c>
      <c r="U3365" s="43">
        <f ca="1">_xll.BInterpol('Base CDI'!$H$4:$H$28,'Base CDI'!$I$4:$I$29,S3365,"Cubic","Extrapolate=Linear","MultiX=Average","Skip=True","Sort=True")</f>
        <v>14.781641614244307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49072</v>
      </c>
      <c r="T3366" s="43">
        <f ca="1">_xll.BInterpol('Base CDI'!$H$4:$H$28,'Base CDI'!$J$4:$J$29,S3366,"Cubic","Extrapolate=Linear","MultiX=Average","Skip=True","Sort=True")</f>
        <v>14.701220807497535</v>
      </c>
      <c r="U3366" s="43">
        <f ca="1">_xll.BInterpol('Base CDI'!$H$4:$H$28,'Base CDI'!$I$4:$I$29,S3366,"Cubic","Extrapolate=Linear","MultiX=Average","Skip=True","Sort=True")</f>
        <v>14.78154259078261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49073</v>
      </c>
      <c r="T3367" s="43">
        <f ca="1">_xll.BInterpol('Base CDI'!$H$4:$H$28,'Base CDI'!$J$4:$J$29,S3367,"Cubic","Extrapolate=Linear","MultiX=Average","Skip=True","Sort=True")</f>
        <v>14.701134184685056</v>
      </c>
      <c r="U3367" s="43">
        <f ca="1">_xll.BInterpol('Base CDI'!$H$4:$H$28,'Base CDI'!$I$4:$I$29,S3367,"Cubic","Extrapolate=Linear","MultiX=Average","Skip=True","Sort=True")</f>
        <v>14.781443327684507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49074</v>
      </c>
      <c r="T3368" s="43">
        <f ca="1">_xll.BInterpol('Base CDI'!$H$4:$H$28,'Base CDI'!$J$4:$J$29,S3368,"Cubic","Extrapolate=Linear","MultiX=Average","Skip=True","Sort=True")</f>
        <v>14.701047449567138</v>
      </c>
      <c r="U3368" s="43">
        <f ca="1">_xll.BInterpol('Base CDI'!$H$4:$H$28,'Base CDI'!$I$4:$I$29,S3368,"Cubic","Extrapolate=Linear","MultiX=Average","Skip=True","Sort=True")</f>
        <v>14.781343824509079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49075</v>
      </c>
      <c r="T3369" s="43">
        <f ca="1">_xll.BInterpol('Base CDI'!$H$4:$H$28,'Base CDI'!$J$4:$J$29,S3369,"Cubic","Extrapolate=Linear","MultiX=Average","Skip=True","Sort=True")</f>
        <v>14.700960601999633</v>
      </c>
      <c r="U3369" s="43">
        <f ca="1">_xll.BInterpol('Base CDI'!$H$4:$H$28,'Base CDI'!$I$4:$I$29,S3369,"Cubic","Extrapolate=Linear","MultiX=Average","Skip=True","Sort=True")</f>
        <v>14.78124408081541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49076</v>
      </c>
      <c r="T3370" s="43">
        <f ca="1">_xll.BInterpol('Base CDI'!$H$4:$H$28,'Base CDI'!$J$4:$J$29,S3370,"Cubic","Extrapolate=Linear","MultiX=Average","Skip=True","Sort=True")</f>
        <v>14.700873641838392</v>
      </c>
      <c r="U3370" s="43">
        <f ca="1">_xll.BInterpol('Base CDI'!$H$4:$H$28,'Base CDI'!$I$4:$I$29,S3370,"Cubic","Extrapolate=Linear","MultiX=Average","Skip=True","Sort=True")</f>
        <v>14.781144096162585</v>
      </c>
    </row>
    <row r="3371" spans="16:21" x14ac:dyDescent="0.25">
      <c r="P3371" s="10">
        <v>39415</v>
      </c>
      <c r="Q3371">
        <v>17.94624</v>
      </c>
      <c r="S3371" s="42">
        <f t="shared" ca="1" si="57"/>
        <v>49077</v>
      </c>
      <c r="T3371" s="43">
        <f ca="1">_xll.BInterpol('Base CDI'!$H$4:$H$28,'Base CDI'!$J$4:$J$29,S3371,"Cubic","Extrapolate=Linear","MultiX=Average","Skip=True","Sort=True")</f>
        <v>14.70078656893927</v>
      </c>
      <c r="U3371" s="43">
        <f ca="1">_xll.BInterpol('Base CDI'!$H$4:$H$28,'Base CDI'!$I$4:$I$29,S3371,"Cubic","Extrapolate=Linear","MultiX=Average","Skip=True","Sort=True")</f>
        <v>14.781043870109681</v>
      </c>
    </row>
    <row r="3372" spans="16:21" x14ac:dyDescent="0.25">
      <c r="P3372" s="10">
        <v>39416</v>
      </c>
      <c r="Q3372">
        <v>17.95374</v>
      </c>
      <c r="S3372" s="42">
        <f t="shared" ca="1" si="57"/>
        <v>49078</v>
      </c>
      <c r="T3372" s="43">
        <f ca="1">_xll.BInterpol('Base CDI'!$H$4:$H$28,'Base CDI'!$J$4:$J$29,S3372,"Cubic","Extrapolate=Linear","MultiX=Average","Skip=True","Sort=True")</f>
        <v>14.700699383158117</v>
      </c>
      <c r="U3372" s="43">
        <f ca="1">_xll.BInterpol('Base CDI'!$H$4:$H$28,'Base CDI'!$I$4:$I$29,S3372,"Cubic","Extrapolate=Linear","MultiX=Average","Skip=True","Sort=True")</f>
        <v>14.780943402215783</v>
      </c>
    </row>
    <row r="3373" spans="16:21" x14ac:dyDescent="0.25">
      <c r="P3373" s="10">
        <v>39419</v>
      </c>
      <c r="Q3373">
        <v>17.96125</v>
      </c>
      <c r="S3373" s="42">
        <f t="shared" ca="1" si="57"/>
        <v>49079</v>
      </c>
      <c r="T3373" s="43">
        <f ca="1">_xll.BInterpol('Base CDI'!$H$4:$H$28,'Base CDI'!$J$4:$J$29,S3373,"Cubic","Extrapolate=Linear","MultiX=Average","Skip=True","Sort=True")</f>
        <v>14.700612084350785</v>
      </c>
      <c r="U3373" s="43">
        <f ca="1">_xll.BInterpol('Base CDI'!$H$4:$H$28,'Base CDI'!$I$4:$I$29,S3373,"Cubic","Extrapolate=Linear","MultiX=Average","Skip=True","Sort=True")</f>
        <v>14.780842692039972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49080</v>
      </c>
      <c r="T3374" s="43">
        <f ca="1">_xll.BInterpol('Base CDI'!$H$4:$H$28,'Base CDI'!$J$4:$J$29,S3374,"Cubic","Extrapolate=Linear","MultiX=Average","Skip=True","Sort=True")</f>
        <v>14.700524672373129</v>
      </c>
      <c r="U3374" s="43">
        <f ca="1">_xll.BInterpol('Base CDI'!$H$4:$H$28,'Base CDI'!$I$4:$I$29,S3374,"Cubic","Extrapolate=Linear","MultiX=Average","Skip=True","Sort=True")</f>
        <v>14.780741739141332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49081</v>
      </c>
      <c r="T3375" s="43">
        <f ca="1">_xll.BInterpol('Base CDI'!$H$4:$H$28,'Base CDI'!$J$4:$J$29,S3375,"Cubic","Extrapolate=Linear","MultiX=Average","Skip=True","Sort=True")</f>
        <v>14.700437147081001</v>
      </c>
      <c r="U3375" s="43">
        <f ca="1">_xll.BInterpol('Base CDI'!$H$4:$H$28,'Base CDI'!$I$4:$I$29,S3375,"Cubic","Extrapolate=Linear","MultiX=Average","Skip=True","Sort=True")</f>
        <v>14.780640543078944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49082</v>
      </c>
      <c r="T3376" s="43">
        <f ca="1">_xll.BInterpol('Base CDI'!$H$4:$H$28,'Base CDI'!$J$4:$J$29,S3376,"Cubic","Extrapolate=Linear","MultiX=Average","Skip=True","Sort=True")</f>
        <v>14.700349508330252</v>
      </c>
      <c r="U3376" s="43">
        <f ca="1">_xll.BInterpol('Base CDI'!$H$4:$H$28,'Base CDI'!$I$4:$I$29,S3376,"Cubic","Extrapolate=Linear","MultiX=Average","Skip=True","Sort=True")</f>
        <v>14.780539103411892</v>
      </c>
    </row>
    <row r="3377" spans="16:21" x14ac:dyDescent="0.25">
      <c r="P3377" s="10">
        <v>39423</v>
      </c>
      <c r="Q3377">
        <v>17.99136</v>
      </c>
      <c r="S3377" s="42">
        <f t="shared" ca="1" si="57"/>
        <v>49083</v>
      </c>
      <c r="T3377" s="43">
        <f ca="1">_xll.BInterpol('Base CDI'!$H$4:$H$28,'Base CDI'!$J$4:$J$29,S3377,"Cubic","Extrapolate=Linear","MultiX=Average","Skip=True","Sort=True")</f>
        <v>14.700261755976735</v>
      </c>
      <c r="U3377" s="43">
        <f ca="1">_xll.BInterpol('Base CDI'!$H$4:$H$28,'Base CDI'!$I$4:$I$29,S3377,"Cubic","Extrapolate=Linear","MultiX=Average","Skip=True","Sort=True")</f>
        <v>14.780437419699254</v>
      </c>
    </row>
    <row r="3378" spans="16:21" x14ac:dyDescent="0.25">
      <c r="P3378" s="10">
        <v>39426</v>
      </c>
      <c r="Q3378">
        <v>17.99888</v>
      </c>
      <c r="S3378" s="42">
        <f t="shared" ca="1" si="57"/>
        <v>49084</v>
      </c>
      <c r="T3378" s="43">
        <f ca="1">_xll.BInterpol('Base CDI'!$H$4:$H$28,'Base CDI'!$J$4:$J$29,S3378,"Cubic","Extrapolate=Linear","MultiX=Average","Skip=True","Sort=True")</f>
        <v>14.700173889876304</v>
      </c>
      <c r="U3378" s="43">
        <f ca="1">_xll.BInterpol('Base CDI'!$H$4:$H$28,'Base CDI'!$I$4:$I$29,S3378,"Cubic","Extrapolate=Linear","MultiX=Average","Skip=True","Sort=True")</f>
        <v>14.780335491500118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49085</v>
      </c>
      <c r="T3379" s="43">
        <f ca="1">_xll.BInterpol('Base CDI'!$H$4:$H$28,'Base CDI'!$J$4:$J$29,S3379,"Cubic","Extrapolate=Linear","MultiX=Average","Skip=True","Sort=True")</f>
        <v>14.700085909884807</v>
      </c>
      <c r="U3379" s="43">
        <f ca="1">_xll.BInterpol('Base CDI'!$H$4:$H$28,'Base CDI'!$I$4:$I$29,S3379,"Cubic","Extrapolate=Linear","MultiX=Average","Skip=True","Sort=True")</f>
        <v>14.780233318373561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49086</v>
      </c>
      <c r="T3380" s="43">
        <f ca="1">_xll.BInterpol('Base CDI'!$H$4:$H$28,'Base CDI'!$J$4:$J$29,S3380,"Cubic","Extrapolate=Linear","MultiX=Average","Skip=True","Sort=True")</f>
        <v>14.699997815858103</v>
      </c>
      <c r="U3380" s="43">
        <f ca="1">_xll.BInterpol('Base CDI'!$H$4:$H$28,'Base CDI'!$I$4:$I$29,S3380,"Cubic","Extrapolate=Linear","MultiX=Average","Skip=True","Sort=True")</f>
        <v>14.780130899878669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49087</v>
      </c>
      <c r="T3381" s="43">
        <f ca="1">_xll.BInterpol('Base CDI'!$H$4:$H$28,'Base CDI'!$J$4:$J$29,S3381,"Cubic","Extrapolate=Linear","MultiX=Average","Skip=True","Sort=True")</f>
        <v>14.699909607652039</v>
      </c>
      <c r="U3381" s="43">
        <f ca="1">_xll.BInterpol('Base CDI'!$H$4:$H$28,'Base CDI'!$I$4:$I$29,S3381,"Cubic","Extrapolate=Linear","MultiX=Average","Skip=True","Sort=True")</f>
        <v>14.780028235574523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49088</v>
      </c>
      <c r="T3382" s="43">
        <f ca="1">_xll.BInterpol('Base CDI'!$H$4:$H$28,'Base CDI'!$J$4:$J$29,S3382,"Cubic","Extrapolate=Linear","MultiX=Average","Skip=True","Sort=True")</f>
        <v>14.699821285122471</v>
      </c>
      <c r="U3382" s="43">
        <f ca="1">_xll.BInterpol('Base CDI'!$H$4:$H$28,'Base CDI'!$I$4:$I$29,S3382,"Cubic","Extrapolate=Linear","MultiX=Average","Skip=True","Sort=True")</f>
        <v>14.779925325020205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49089</v>
      </c>
      <c r="T3383" s="43">
        <f ca="1">_xll.BInterpol('Base CDI'!$H$4:$H$28,'Base CDI'!$J$4:$J$29,S3383,"Cubic","Extrapolate=Linear","MultiX=Average","Skip=True","Sort=True")</f>
        <v>14.699732848125249</v>
      </c>
      <c r="U3383" s="43">
        <f ca="1">_xll.BInterpol('Base CDI'!$H$4:$H$28,'Base CDI'!$I$4:$I$29,S3383,"Cubic","Extrapolate=Linear","MultiX=Average","Skip=True","Sort=True")</f>
        <v>14.779822167774798</v>
      </c>
    </row>
    <row r="3384" spans="16:21" x14ac:dyDescent="0.25">
      <c r="P3384" s="10">
        <v>39434</v>
      </c>
      <c r="Q3384">
        <v>18.044</v>
      </c>
      <c r="S3384" s="42">
        <f t="shared" ca="1" si="57"/>
        <v>49090</v>
      </c>
      <c r="T3384" s="43">
        <f ca="1">_xll.BInterpol('Base CDI'!$H$4:$H$28,'Base CDI'!$J$4:$J$29,S3384,"Cubic","Extrapolate=Linear","MultiX=Average","Skip=True","Sort=True")</f>
        <v>14.699644296516228</v>
      </c>
      <c r="U3384" s="43">
        <f ca="1">_xll.BInterpol('Base CDI'!$H$4:$H$28,'Base CDI'!$I$4:$I$29,S3384,"Cubic","Extrapolate=Linear","MultiX=Average","Skip=True","Sort=True")</f>
        <v>14.779718763397382</v>
      </c>
    </row>
    <row r="3385" spans="16:21" x14ac:dyDescent="0.25">
      <c r="P3385" s="10">
        <v>39435</v>
      </c>
      <c r="Q3385">
        <v>18.05153</v>
      </c>
      <c r="S3385" s="42">
        <f t="shared" ca="1" si="57"/>
        <v>49091</v>
      </c>
      <c r="T3385" s="43">
        <f ca="1">_xll.BInterpol('Base CDI'!$H$4:$H$28,'Base CDI'!$J$4:$J$29,S3385,"Cubic","Extrapolate=Linear","MultiX=Average","Skip=True","Sort=True")</f>
        <v>14.699555630151258</v>
      </c>
      <c r="U3385" s="43">
        <f ca="1">_xll.BInterpol('Base CDI'!$H$4:$H$28,'Base CDI'!$I$4:$I$29,S3385,"Cubic","Extrapolate=Linear","MultiX=Average","Skip=True","Sort=True")</f>
        <v>14.779615111447042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49092</v>
      </c>
      <c r="T3386" s="43">
        <f ca="1">_xll.BInterpol('Base CDI'!$H$4:$H$28,'Base CDI'!$J$4:$J$29,S3386,"Cubic","Extrapolate=Linear","MultiX=Average","Skip=True","Sort=True")</f>
        <v>14.699466848886193</v>
      </c>
      <c r="U3386" s="43">
        <f ca="1">_xll.BInterpol('Base CDI'!$H$4:$H$28,'Base CDI'!$I$4:$I$29,S3386,"Cubic","Extrapolate=Linear","MultiX=Average","Skip=True","Sort=True")</f>
        <v>14.779511211482859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49093</v>
      </c>
      <c r="T3387" s="43">
        <f ca="1">_xll.BInterpol('Base CDI'!$H$4:$H$28,'Base CDI'!$J$4:$J$29,S3387,"Cubic","Extrapolate=Linear","MultiX=Average","Skip=True","Sort=True")</f>
        <v>14.699377952576883</v>
      </c>
      <c r="U3387" s="43">
        <f ca="1">_xll.BInterpol('Base CDI'!$H$4:$H$28,'Base CDI'!$I$4:$I$29,S3387,"Cubic","Extrapolate=Linear","MultiX=Average","Skip=True","Sort=True")</f>
        <v>14.779407063063916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49094</v>
      </c>
      <c r="T3388" s="43">
        <f ca="1">_xll.BInterpol('Base CDI'!$H$4:$H$28,'Base CDI'!$J$4:$J$29,S3388,"Cubic","Extrapolate=Linear","MultiX=Average","Skip=True","Sort=True")</f>
        <v>14.699288941079184</v>
      </c>
      <c r="U3388" s="43">
        <f ca="1">_xll.BInterpol('Base CDI'!$H$4:$H$28,'Base CDI'!$I$4:$I$29,S3388,"Cubic","Extrapolate=Linear","MultiX=Average","Skip=True","Sort=True")</f>
        <v>14.779302665749293</v>
      </c>
    </row>
    <row r="3389" spans="16:21" x14ac:dyDescent="0.25">
      <c r="P3389" s="10">
        <v>39442</v>
      </c>
      <c r="Q3389">
        <v>18.08175</v>
      </c>
      <c r="S3389" s="42">
        <f t="shared" ca="1" si="57"/>
        <v>49095</v>
      </c>
      <c r="T3389" s="43">
        <f ca="1">_xll.BInterpol('Base CDI'!$H$4:$H$28,'Base CDI'!$J$4:$J$29,S3389,"Cubic","Extrapolate=Linear","MultiX=Average","Skip=True","Sort=True")</f>
        <v>14.699199814248948</v>
      </c>
      <c r="U3389" s="43">
        <f ca="1">_xll.BInterpol('Base CDI'!$H$4:$H$28,'Base CDI'!$I$4:$I$29,S3389,"Cubic","Extrapolate=Linear","MultiX=Average","Skip=True","Sort=True")</f>
        <v>14.779198019098075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49096</v>
      </c>
      <c r="T3390" s="43">
        <f ca="1">_xll.BInterpol('Base CDI'!$H$4:$H$28,'Base CDI'!$J$4:$J$29,S3390,"Cubic","Extrapolate=Linear","MultiX=Average","Skip=True","Sort=True")</f>
        <v>14.699110571942024</v>
      </c>
      <c r="U3390" s="43">
        <f ca="1">_xll.BInterpol('Base CDI'!$H$4:$H$28,'Base CDI'!$I$4:$I$29,S3390,"Cubic","Extrapolate=Linear","MultiX=Average","Skip=True","Sort=True")</f>
        <v>14.779093122669344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49097</v>
      </c>
      <c r="T3391" s="43">
        <f ca="1">_xll.BInterpol('Base CDI'!$H$4:$H$28,'Base CDI'!$J$4:$J$29,S3391,"Cubic","Extrapolate=Linear","MultiX=Average","Skip=True","Sort=True")</f>
        <v>14.699021214014268</v>
      </c>
      <c r="U3391" s="43">
        <f ca="1">_xll.BInterpol('Base CDI'!$H$4:$H$28,'Base CDI'!$I$4:$I$29,S3391,"Cubic","Extrapolate=Linear","MultiX=Average","Skip=True","Sort=True")</f>
        <v>14.778987976022181</v>
      </c>
    </row>
    <row r="3392" spans="16:21" x14ac:dyDescent="0.25">
      <c r="P3392" s="10">
        <v>39447</v>
      </c>
      <c r="Q3392">
        <v>18.10445</v>
      </c>
      <c r="S3392" s="42">
        <f t="shared" ca="1" si="57"/>
        <v>49098</v>
      </c>
      <c r="T3392" s="43">
        <f ca="1">_xll.BInterpol('Base CDI'!$H$4:$H$28,'Base CDI'!$J$4:$J$29,S3392,"Cubic","Extrapolate=Linear","MultiX=Average","Skip=True","Sort=True")</f>
        <v>14.69893174032153</v>
      </c>
      <c r="U3392" s="43">
        <f ca="1">_xll.BInterpol('Base CDI'!$H$4:$H$28,'Base CDI'!$I$4:$I$29,S3392,"Cubic","Extrapolate=Linear","MultiX=Average","Skip=True","Sort=True")</f>
        <v>14.778882578715669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49099</v>
      </c>
      <c r="T3393" s="43">
        <f ca="1">_xll.BInterpol('Base CDI'!$H$4:$H$28,'Base CDI'!$J$4:$J$29,S3393,"Cubic","Extrapolate=Linear","MultiX=Average","Skip=True","Sort=True")</f>
        <v>14.698842150719665</v>
      </c>
      <c r="U3393" s="43">
        <f ca="1">_xll.BInterpol('Base CDI'!$H$4:$H$28,'Base CDI'!$I$4:$I$29,S3393,"Cubic","Extrapolate=Linear","MultiX=Average","Skip=True","Sort=True")</f>
        <v>14.778776930308888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49100</v>
      </c>
      <c r="T3394" s="43">
        <f ca="1">_xll.BInterpol('Base CDI'!$H$4:$H$28,'Base CDI'!$J$4:$J$29,S3394,"Cubic","Extrapolate=Linear","MultiX=Average","Skip=True","Sort=True")</f>
        <v>14.698752445064525</v>
      </c>
      <c r="U3394" s="43">
        <f ca="1">_xll.BInterpol('Base CDI'!$H$4:$H$28,'Base CDI'!$I$4:$I$29,S3394,"Cubic","Extrapolate=Linear","MultiX=Average","Skip=True","Sort=True")</f>
        <v>14.778671030360924</v>
      </c>
    </row>
    <row r="3395" spans="16:21" x14ac:dyDescent="0.25">
      <c r="P3395" s="10">
        <v>39451</v>
      </c>
      <c r="Q3395">
        <v>18.12715</v>
      </c>
      <c r="S3395" s="42">
        <f t="shared" ca="1" si="57"/>
        <v>49101</v>
      </c>
      <c r="T3395" s="43">
        <f ca="1">_xll.BInterpol('Base CDI'!$H$4:$H$28,'Base CDI'!$J$4:$J$29,S3395,"Cubic","Extrapolate=Linear","MultiX=Average","Skip=True","Sort=True")</f>
        <v>14.698662623211959</v>
      </c>
      <c r="U3395" s="43">
        <f ca="1">_xll.BInterpol('Base CDI'!$H$4:$H$28,'Base CDI'!$I$4:$I$29,S3395,"Cubic","Extrapolate=Linear","MultiX=Average","Skip=True","Sort=True")</f>
        <v>14.778564878430858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49102</v>
      </c>
      <c r="T3396" s="43">
        <f ca="1">_xll.BInterpol('Base CDI'!$H$4:$H$28,'Base CDI'!$J$4:$J$29,S3396,"Cubic","Extrapolate=Linear","MultiX=Average","Skip=True","Sort=True")</f>
        <v>14.698572685017824</v>
      </c>
      <c r="U3396" s="43">
        <f ca="1">_xll.BInterpol('Base CDI'!$H$4:$H$28,'Base CDI'!$I$4:$I$29,S3396,"Cubic","Extrapolate=Linear","MultiX=Average","Skip=True","Sort=True")</f>
        <v>14.77845847407777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49103</v>
      </c>
      <c r="T3397" s="43">
        <f ca="1">_xll.BInterpol('Base CDI'!$H$4:$H$28,'Base CDI'!$J$4:$J$29,S3397,"Cubic","Extrapolate=Linear","MultiX=Average","Skip=True","Sort=True")</f>
        <v>14.698482630337971</v>
      </c>
      <c r="U3397" s="43">
        <f ca="1">_xll.BInterpol('Base CDI'!$H$4:$H$28,'Base CDI'!$I$4:$I$29,S3397,"Cubic","Extrapolate=Linear","MultiX=Average","Skip=True","Sort=True")</f>
        <v>14.778351816860745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49104</v>
      </c>
      <c r="T3398" s="43">
        <f ca="1">_xll.BInterpol('Base CDI'!$H$4:$H$28,'Base CDI'!$J$4:$J$29,S3398,"Cubic","Extrapolate=Linear","MultiX=Average","Skip=True","Sort=True")</f>
        <v>14.69839245902825</v>
      </c>
      <c r="U3398" s="43">
        <f ca="1">_xll.BInterpol('Base CDI'!$H$4:$H$28,'Base CDI'!$I$4:$I$29,S3398,"Cubic","Extrapolate=Linear","MultiX=Average","Skip=True","Sort=True")</f>
        <v>14.778244906338864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49105</v>
      </c>
      <c r="T3399" s="43">
        <f ca="1">_xll.BInterpol('Base CDI'!$H$4:$H$28,'Base CDI'!$J$4:$J$29,S3399,"Cubic","Extrapolate=Linear","MultiX=Average","Skip=True","Sort=True")</f>
        <v>14.698302170944517</v>
      </c>
      <c r="U3399" s="43">
        <f ca="1">_xll.BInterpol('Base CDI'!$H$4:$H$28,'Base CDI'!$I$4:$I$29,S3399,"Cubic","Extrapolate=Linear","MultiX=Average","Skip=True","Sort=True")</f>
        <v>14.778137742071211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49106</v>
      </c>
      <c r="T3400" s="43">
        <f ca="1">_xll.BInterpol('Base CDI'!$H$4:$H$28,'Base CDI'!$J$4:$J$29,S3400,"Cubic","Extrapolate=Linear","MultiX=Average","Skip=True","Sort=True")</f>
        <v>14.698211765942624</v>
      </c>
      <c r="U3400" s="43">
        <f ca="1">_xll.BInterpol('Base CDI'!$H$4:$H$28,'Base CDI'!$I$4:$I$29,S3400,"Cubic","Extrapolate=Linear","MultiX=Average","Skip=True","Sort=True")</f>
        <v>14.778030323616864</v>
      </c>
    </row>
    <row r="3401" spans="16:21" x14ac:dyDescent="0.25">
      <c r="P3401" s="10">
        <v>39461</v>
      </c>
      <c r="Q3401">
        <v>18.17258</v>
      </c>
      <c r="S3401" s="42">
        <f t="shared" ca="1" si="57"/>
        <v>49107</v>
      </c>
      <c r="T3401" s="43">
        <f ca="1">_xll.BInterpol('Base CDI'!$H$4:$H$28,'Base CDI'!$J$4:$J$29,S3401,"Cubic","Extrapolate=Linear","MultiX=Average","Skip=True","Sort=True")</f>
        <v>14.69812124387842</v>
      </c>
      <c r="U3401" s="43">
        <f ca="1">_xll.BInterpol('Base CDI'!$H$4:$H$28,'Base CDI'!$I$4:$I$29,S3401,"Cubic","Extrapolate=Linear","MultiX=Average","Skip=True","Sort=True")</f>
        <v>14.777922650534911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49108</v>
      </c>
      <c r="T3402" s="43">
        <f ca="1">_xll.BInterpol('Base CDI'!$H$4:$H$28,'Base CDI'!$J$4:$J$29,S3402,"Cubic","Extrapolate=Linear","MultiX=Average","Skip=True","Sort=True")</f>
        <v>14.698030604607762</v>
      </c>
      <c r="U3402" s="43">
        <f ca="1">_xll.BInterpol('Base CDI'!$H$4:$H$28,'Base CDI'!$I$4:$I$29,S3402,"Cubic","Extrapolate=Linear","MultiX=Average","Skip=True","Sort=True")</f>
        <v>14.777814722384429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49109</v>
      </c>
      <c r="T3403" s="43">
        <f ca="1">_xll.BInterpol('Base CDI'!$H$4:$H$28,'Base CDI'!$J$4:$J$29,S3403,"Cubic","Extrapolate=Linear","MultiX=Average","Skip=True","Sort=True")</f>
        <v>14.697939847986499</v>
      </c>
      <c r="U3403" s="43">
        <f ca="1">_xll.BInterpol('Base CDI'!$H$4:$H$28,'Base CDI'!$I$4:$I$29,S3403,"Cubic","Extrapolate=Linear","MultiX=Average","Skip=True","Sort=True")</f>
        <v>14.777706538724503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49110</v>
      </c>
      <c r="T3404" s="43">
        <f ca="1">_xll.BInterpol('Base CDI'!$H$4:$H$28,'Base CDI'!$J$4:$J$29,S3404,"Cubic","Extrapolate=Linear","MultiX=Average","Skip=True","Sort=True")</f>
        <v>14.697848973870485</v>
      </c>
      <c r="U3404" s="43">
        <f ca="1">_xll.BInterpol('Base CDI'!$H$4:$H$28,'Base CDI'!$I$4:$I$29,S3404,"Cubic","Extrapolate=Linear","MultiX=Average","Skip=True","Sort=True")</f>
        <v>14.777598099114217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49111</v>
      </c>
      <c r="T3405" s="43">
        <f ca="1">_xll.BInterpol('Base CDI'!$H$4:$H$28,'Base CDI'!$J$4:$J$29,S3405,"Cubic","Extrapolate=Linear","MultiX=Average","Skip=True","Sort=True")</f>
        <v>14.697757982115574</v>
      </c>
      <c r="U3405" s="43">
        <f ca="1">_xll.BInterpol('Base CDI'!$H$4:$H$28,'Base CDI'!$I$4:$I$29,S3405,"Cubic","Extrapolate=Linear","MultiX=Average","Skip=True","Sort=True")</f>
        <v>14.777489403112648</v>
      </c>
    </row>
    <row r="3406" spans="16:21" x14ac:dyDescent="0.25">
      <c r="P3406" s="10">
        <v>39468</v>
      </c>
      <c r="Q3406">
        <v>18.2105</v>
      </c>
      <c r="S3406" s="42">
        <f t="shared" ca="1" si="58"/>
        <v>49112</v>
      </c>
      <c r="T3406" s="43">
        <f ca="1">_xll.BInterpol('Base CDI'!$H$4:$H$28,'Base CDI'!$J$4:$J$29,S3406,"Cubic","Extrapolate=Linear","MultiX=Average","Skip=True","Sort=True")</f>
        <v>14.697666872577615</v>
      </c>
      <c r="U3406" s="43">
        <f ca="1">_xll.BInterpol('Base CDI'!$H$4:$H$28,'Base CDI'!$I$4:$I$29,S3406,"Cubic","Extrapolate=Linear","MultiX=Average","Skip=True","Sort=True")</f>
        <v>14.777380450278883</v>
      </c>
    </row>
    <row r="3407" spans="16:21" x14ac:dyDescent="0.25">
      <c r="P3407" s="10">
        <v>39469</v>
      </c>
      <c r="Q3407">
        <v>18.21809</v>
      </c>
      <c r="S3407" s="42">
        <f t="shared" ca="1" si="58"/>
        <v>49113</v>
      </c>
      <c r="T3407" s="43">
        <f ca="1">_xll.BInterpol('Base CDI'!$H$4:$H$28,'Base CDI'!$J$4:$J$29,S3407,"Cubic","Extrapolate=Linear","MultiX=Average","Skip=True","Sort=True")</f>
        <v>14.697575645112464</v>
      </c>
      <c r="U3407" s="43">
        <f ca="1">_xll.BInterpol('Base CDI'!$H$4:$H$28,'Base CDI'!$I$4:$I$29,S3407,"Cubic","Extrapolate=Linear","MultiX=Average","Skip=True","Sort=True")</f>
        <v>14.777271240172002</v>
      </c>
    </row>
    <row r="3408" spans="16:21" x14ac:dyDescent="0.25">
      <c r="P3408" s="10">
        <v>39470</v>
      </c>
      <c r="Q3408">
        <v>18.22569</v>
      </c>
      <c r="S3408" s="42">
        <f t="shared" ca="1" si="58"/>
        <v>49114</v>
      </c>
      <c r="T3408" s="43">
        <f ca="1">_xll.BInterpol('Base CDI'!$H$4:$H$28,'Base CDI'!$J$4:$J$29,S3408,"Cubic","Extrapolate=Linear","MultiX=Average","Skip=True","Sort=True")</f>
        <v>14.69748429957597</v>
      </c>
      <c r="U3408" s="43">
        <f ca="1">_xll.BInterpol('Base CDI'!$H$4:$H$28,'Base CDI'!$I$4:$I$29,S3408,"Cubic","Extrapolate=Linear","MultiX=Average","Skip=True","Sort=True")</f>
        <v>14.777161772351089</v>
      </c>
    </row>
    <row r="3409" spans="16:21" x14ac:dyDescent="0.25">
      <c r="P3409" s="10">
        <v>39471</v>
      </c>
      <c r="Q3409">
        <v>18.23329</v>
      </c>
      <c r="S3409" s="42">
        <f t="shared" ca="1" si="58"/>
        <v>49115</v>
      </c>
      <c r="T3409" s="43">
        <f ca="1">_xll.BInterpol('Base CDI'!$H$4:$H$28,'Base CDI'!$J$4:$J$29,S3409,"Cubic","Extrapolate=Linear","MultiX=Average","Skip=True","Sort=True")</f>
        <v>14.697392835823988</v>
      </c>
      <c r="U3409" s="43">
        <f ca="1">_xll.BInterpol('Base CDI'!$H$4:$H$28,'Base CDI'!$I$4:$I$29,S3409,"Cubic","Extrapolate=Linear","MultiX=Average","Skip=True","Sort=True")</f>
        <v>14.777052046375225</v>
      </c>
    </row>
    <row r="3410" spans="16:21" x14ac:dyDescent="0.25">
      <c r="P3410" s="10">
        <v>39472</v>
      </c>
      <c r="Q3410">
        <v>18.24091</v>
      </c>
      <c r="S3410" s="42">
        <f t="shared" ca="1" si="58"/>
        <v>49116</v>
      </c>
      <c r="T3410" s="43">
        <f ca="1">_xll.BInterpol('Base CDI'!$H$4:$H$28,'Base CDI'!$J$4:$J$29,S3410,"Cubic","Extrapolate=Linear","MultiX=Average","Skip=True","Sort=True")</f>
        <v>14.69730125371237</v>
      </c>
      <c r="U3410" s="43">
        <f ca="1">_xll.BInterpol('Base CDI'!$H$4:$H$28,'Base CDI'!$I$4:$I$29,S3410,"Cubic","Extrapolate=Linear","MultiX=Average","Skip=True","Sort=True")</f>
        <v>14.77694206180349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49117</v>
      </c>
      <c r="T3411" s="43">
        <f ca="1">_xll.BInterpol('Base CDI'!$H$4:$H$28,'Base CDI'!$J$4:$J$29,S3411,"Cubic","Extrapolate=Linear","MultiX=Average","Skip=True","Sort=True")</f>
        <v>14.697209553096966</v>
      </c>
      <c r="U3411" s="43">
        <f ca="1">_xll.BInterpol('Base CDI'!$H$4:$H$28,'Base CDI'!$I$4:$I$29,S3411,"Cubic","Extrapolate=Linear","MultiX=Average","Skip=True","Sort=True")</f>
        <v>14.776831818194971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49118</v>
      </c>
      <c r="T3412" s="43">
        <f ca="1">_xll.BInterpol('Base CDI'!$H$4:$H$28,'Base CDI'!$J$4:$J$29,S3412,"Cubic","Extrapolate=Linear","MultiX=Average","Skip=True","Sort=True")</f>
        <v>14.697117733833633</v>
      </c>
      <c r="U3412" s="43">
        <f ca="1">_xll.BInterpol('Base CDI'!$H$4:$H$28,'Base CDI'!$I$4:$I$29,S3412,"Cubic","Extrapolate=Linear","MultiX=Average","Skip=True","Sort=True")</f>
        <v>14.776721315108746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49119</v>
      </c>
      <c r="T3413" s="43">
        <f ca="1">_xll.BInterpol('Base CDI'!$H$4:$H$28,'Base CDI'!$J$4:$J$29,S3413,"Cubic","Extrapolate=Linear","MultiX=Average","Skip=True","Sort=True")</f>
        <v>14.69702579577822</v>
      </c>
      <c r="U3413" s="43">
        <f ca="1">_xll.BInterpol('Base CDI'!$H$4:$H$28,'Base CDI'!$I$4:$I$29,S3413,"Cubic","Extrapolate=Linear","MultiX=Average","Skip=True","Sort=True")</f>
        <v>14.776610552103902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49120</v>
      </c>
      <c r="T3414" s="43">
        <f ca="1">_xll.BInterpol('Base CDI'!$H$4:$H$28,'Base CDI'!$J$4:$J$29,S3414,"Cubic","Extrapolate=Linear","MultiX=Average","Skip=True","Sort=True")</f>
        <v>14.696933738786582</v>
      </c>
      <c r="U3414" s="43">
        <f ca="1">_xll.BInterpol('Base CDI'!$H$4:$H$28,'Base CDI'!$I$4:$I$29,S3414,"Cubic","Extrapolate=Linear","MultiX=Average","Skip=True","Sort=True")</f>
        <v>14.776499528739516</v>
      </c>
    </row>
    <row r="3415" spans="16:21" x14ac:dyDescent="0.25">
      <c r="P3415" s="10">
        <v>39479</v>
      </c>
      <c r="Q3415">
        <v>18.27901</v>
      </c>
      <c r="S3415" s="42">
        <f t="shared" ca="1" si="58"/>
        <v>49121</v>
      </c>
      <c r="T3415" s="43">
        <f ca="1">_xll.BInterpol('Base CDI'!$H$4:$H$28,'Base CDI'!$J$4:$J$29,S3415,"Cubic","Extrapolate=Linear","MultiX=Average","Skip=True","Sort=True")</f>
        <v>14.696841562714567</v>
      </c>
      <c r="U3415" s="43">
        <f ca="1">_xll.BInterpol('Base CDI'!$H$4:$H$28,'Base CDI'!$I$4:$I$29,S3415,"Cubic","Extrapolate=Linear","MultiX=Average","Skip=True","Sort=True")</f>
        <v>14.776388244574674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49122</v>
      </c>
      <c r="T3416" s="43">
        <f ca="1">_xll.BInterpol('Base CDI'!$H$4:$H$28,'Base CDI'!$J$4:$J$29,S3416,"Cubic","Extrapolate=Linear","MultiX=Average","Skip=True","Sort=True")</f>
        <v>14.696749267418033</v>
      </c>
      <c r="U3416" s="43">
        <f ca="1">_xll.BInterpol('Base CDI'!$H$4:$H$28,'Base CDI'!$I$4:$I$29,S3416,"Cubic","Extrapolate=Linear","MultiX=Average","Skip=True","Sort=True")</f>
        <v>14.776276699168456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49123</v>
      </c>
      <c r="T3417" s="43">
        <f ca="1">_xll.BInterpol('Base CDI'!$H$4:$H$28,'Base CDI'!$J$4:$J$29,S3417,"Cubic","Extrapolate=Linear","MultiX=Average","Skip=True","Sort=True")</f>
        <v>14.696656852752829</v>
      </c>
      <c r="U3417" s="43">
        <f ca="1">_xll.BInterpol('Base CDI'!$H$4:$H$28,'Base CDI'!$I$4:$I$29,S3417,"Cubic","Extrapolate=Linear","MultiX=Average","Skip=True","Sort=True")</f>
        <v>14.776164892079946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49124</v>
      </c>
      <c r="T3418" s="43">
        <f ca="1">_xll.BInterpol('Base CDI'!$H$4:$H$28,'Base CDI'!$J$4:$J$29,S3418,"Cubic","Extrapolate=Linear","MultiX=Average","Skip=True","Sort=True")</f>
        <v>14.69656431857481</v>
      </c>
      <c r="U3418" s="43">
        <f ca="1">_xll.BInterpol('Base CDI'!$H$4:$H$28,'Base CDI'!$I$4:$I$29,S3418,"Cubic","Extrapolate=Linear","MultiX=Average","Skip=True","Sort=True")</f>
        <v>14.776052822868223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49125</v>
      </c>
      <c r="T3419" s="43">
        <f ca="1">_xll.BInterpol('Base CDI'!$H$4:$H$28,'Base CDI'!$J$4:$J$29,S3419,"Cubic","Extrapolate=Linear","MultiX=Average","Skip=True","Sort=True")</f>
        <v>14.696471664739825</v>
      </c>
      <c r="U3419" s="43">
        <f ca="1">_xll.BInterpol('Base CDI'!$H$4:$H$28,'Base CDI'!$I$4:$I$29,S3419,"Cubic","Extrapolate=Linear","MultiX=Average","Skip=True","Sort=True")</f>
        <v>14.775940491092374</v>
      </c>
    </row>
    <row r="3420" spans="16:21" x14ac:dyDescent="0.25">
      <c r="P3420" s="10">
        <v>39490</v>
      </c>
      <c r="Q3420">
        <v>18.31719</v>
      </c>
      <c r="S3420" s="42">
        <f t="shared" ca="1" si="58"/>
        <v>49126</v>
      </c>
      <c r="T3420" s="43">
        <f ca="1">_xll.BInterpol('Base CDI'!$H$4:$H$28,'Base CDI'!$J$4:$J$29,S3420,"Cubic","Extrapolate=Linear","MultiX=Average","Skip=True","Sort=True")</f>
        <v>14.696378891103729</v>
      </c>
      <c r="U3420" s="43">
        <f ca="1">_xll.BInterpol('Base CDI'!$H$4:$H$28,'Base CDI'!$I$4:$I$29,S3420,"Cubic","Extrapolate=Linear","MultiX=Average","Skip=True","Sort=True")</f>
        <v>14.775827896311478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49127</v>
      </c>
      <c r="T3421" s="43">
        <f ca="1">_xll.BInterpol('Base CDI'!$H$4:$H$28,'Base CDI'!$J$4:$J$29,S3421,"Cubic","Extrapolate=Linear","MultiX=Average","Skip=True","Sort=True")</f>
        <v>14.696285997522374</v>
      </c>
      <c r="U3421" s="43">
        <f ca="1">_xll.BInterpol('Base CDI'!$H$4:$H$28,'Base CDI'!$I$4:$I$29,S3421,"Cubic","Extrapolate=Linear","MultiX=Average","Skip=True","Sort=True")</f>
        <v>14.77571503808462</v>
      </c>
    </row>
    <row r="3422" spans="16:21" x14ac:dyDescent="0.25">
      <c r="P3422" s="10">
        <v>39492</v>
      </c>
      <c r="Q3422">
        <v>18.33248</v>
      </c>
      <c r="S3422" s="42">
        <f t="shared" ca="1" si="58"/>
        <v>49128</v>
      </c>
      <c r="T3422" s="43">
        <f ca="1">_xll.BInterpol('Base CDI'!$H$4:$H$28,'Base CDI'!$J$4:$J$29,S3422,"Cubic","Extrapolate=Linear","MultiX=Average","Skip=True","Sort=True")</f>
        <v>14.696192983851612</v>
      </c>
      <c r="U3422" s="43">
        <f ca="1">_xll.BInterpol('Base CDI'!$H$4:$H$28,'Base CDI'!$I$4:$I$29,S3422,"Cubic","Extrapolate=Linear","MultiX=Average","Skip=True","Sort=True")</f>
        <v>14.775601915970878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49129</v>
      </c>
      <c r="T3423" s="43">
        <f ca="1">_xll.BInterpol('Base CDI'!$H$4:$H$28,'Base CDI'!$J$4:$J$29,S3423,"Cubic","Extrapolate=Linear","MultiX=Average","Skip=True","Sort=True")</f>
        <v>14.696099849947297</v>
      </c>
      <c r="U3423" s="43">
        <f ca="1">_xll.BInterpol('Base CDI'!$H$4:$H$28,'Base CDI'!$I$4:$I$29,S3423,"Cubic","Extrapolate=Linear","MultiX=Average","Skip=True","Sort=True")</f>
        <v>14.775488529529339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49130</v>
      </c>
      <c r="T3424" s="43">
        <f ca="1">_xll.BInterpol('Base CDI'!$H$4:$H$28,'Base CDI'!$J$4:$J$29,S3424,"Cubic","Extrapolate=Linear","MultiX=Average","Skip=True","Sort=True")</f>
        <v>14.696006595665278</v>
      </c>
      <c r="U3424" s="43">
        <f ca="1">_xll.BInterpol('Base CDI'!$H$4:$H$28,'Base CDI'!$I$4:$I$29,S3424,"Cubic","Extrapolate=Linear","MultiX=Average","Skip=True","Sort=True")</f>
        <v>14.775374878319081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49131</v>
      </c>
      <c r="T3425" s="43">
        <f ca="1">_xll.BInterpol('Base CDI'!$H$4:$H$28,'Base CDI'!$J$4:$J$29,S3425,"Cubic","Extrapolate=Linear","MultiX=Average","Skip=True","Sort=True")</f>
        <v>14.695913220861412</v>
      </c>
      <c r="U3425" s="43">
        <f ca="1">_xll.BInterpol('Base CDI'!$H$4:$H$28,'Base CDI'!$I$4:$I$29,S3425,"Cubic","Extrapolate=Linear","MultiX=Average","Skip=True","Sort=True")</f>
        <v>14.775260961899189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49132</v>
      </c>
      <c r="T3426" s="43">
        <f ca="1">_xll.BInterpol('Base CDI'!$H$4:$H$28,'Base CDI'!$J$4:$J$29,S3426,"Cubic","Extrapolate=Linear","MultiX=Average","Skip=True","Sort=True")</f>
        <v>14.695819725391548</v>
      </c>
      <c r="U3426" s="43">
        <f ca="1">_xll.BInterpol('Base CDI'!$H$4:$H$28,'Base CDI'!$I$4:$I$29,S3426,"Cubic","Extrapolate=Linear","MultiX=Average","Skip=True","Sort=True")</f>
        <v>14.775146779828743</v>
      </c>
    </row>
    <row r="3427" spans="16:21" x14ac:dyDescent="0.25">
      <c r="P3427" s="10">
        <v>39499</v>
      </c>
      <c r="Q3427">
        <v>18.37069</v>
      </c>
      <c r="S3427" s="42">
        <f t="shared" ca="1" si="58"/>
        <v>49133</v>
      </c>
      <c r="T3427" s="43">
        <f ca="1">_xll.BInterpol('Base CDI'!$H$4:$H$28,'Base CDI'!$J$4:$J$29,S3427,"Cubic","Extrapolate=Linear","MultiX=Average","Skip=True","Sort=True")</f>
        <v>14.695726109111538</v>
      </c>
      <c r="U3427" s="43">
        <f ca="1">_xll.BInterpol('Base CDI'!$H$4:$H$28,'Base CDI'!$I$4:$I$29,S3427,"Cubic","Extrapolate=Linear","MultiX=Average","Skip=True","Sort=True")</f>
        <v>14.775032331666829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49134</v>
      </c>
      <c r="T3428" s="43">
        <f ca="1">_xll.BInterpol('Base CDI'!$H$4:$H$28,'Base CDI'!$J$4:$J$29,S3428,"Cubic","Extrapolate=Linear","MultiX=Average","Skip=True","Sort=True")</f>
        <v>14.695632371877238</v>
      </c>
      <c r="U3428" s="43">
        <f ca="1">_xll.BInterpol('Base CDI'!$H$4:$H$28,'Base CDI'!$I$4:$I$29,S3428,"Cubic","Extrapolate=Linear","MultiX=Average","Skip=True","Sort=True")</f>
        <v>14.774917616972527</v>
      </c>
    </row>
    <row r="3429" spans="16:21" x14ac:dyDescent="0.25">
      <c r="P3429" s="10">
        <v>39503</v>
      </c>
      <c r="Q3429">
        <v>18.38598</v>
      </c>
      <c r="S3429" s="42">
        <f t="shared" ca="1" si="58"/>
        <v>49135</v>
      </c>
      <c r="T3429" s="43">
        <f ca="1">_xll.BInterpol('Base CDI'!$H$4:$H$28,'Base CDI'!$J$4:$J$29,S3429,"Cubic","Extrapolate=Linear","MultiX=Average","Skip=True","Sort=True")</f>
        <v>14.695538513544498</v>
      </c>
      <c r="U3429" s="43">
        <f ca="1">_xll.BInterpol('Base CDI'!$H$4:$H$28,'Base CDI'!$I$4:$I$29,S3429,"Cubic","Extrapolate=Linear","MultiX=Average","Skip=True","Sort=True")</f>
        <v>14.774802635304917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49136</v>
      </c>
      <c r="T3430" s="43">
        <f ca="1">_xll.BInterpol('Base CDI'!$H$4:$H$28,'Base CDI'!$J$4:$J$29,S3430,"Cubic","Extrapolate=Linear","MultiX=Average","Skip=True","Sort=True")</f>
        <v>14.695444533969171</v>
      </c>
      <c r="U3430" s="43">
        <f ca="1">_xll.BInterpol('Base CDI'!$H$4:$H$28,'Base CDI'!$I$4:$I$29,S3430,"Cubic","Extrapolate=Linear","MultiX=Average","Skip=True","Sort=True")</f>
        <v>14.774687386223086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49137</v>
      </c>
      <c r="T3431" s="43">
        <f ca="1">_xll.BInterpol('Base CDI'!$H$4:$H$28,'Base CDI'!$J$4:$J$29,S3431,"Cubic","Extrapolate=Linear","MultiX=Average","Skip=True","Sort=True")</f>
        <v>14.695350433007111</v>
      </c>
      <c r="U3431" s="43">
        <f ca="1">_xll.BInterpol('Base CDI'!$H$4:$H$28,'Base CDI'!$I$4:$I$29,S3431,"Cubic","Extrapolate=Linear","MultiX=Average","Skip=True","Sort=True")</f>
        <v>14.774571869286113</v>
      </c>
    </row>
    <row r="3432" spans="16:21" x14ac:dyDescent="0.25">
      <c r="P3432" s="10">
        <v>39506</v>
      </c>
      <c r="Q3432">
        <v>18.40897</v>
      </c>
      <c r="S3432" s="42">
        <f t="shared" ca="1" si="58"/>
        <v>49138</v>
      </c>
      <c r="T3432" s="43">
        <f ca="1">_xll.BInterpol('Base CDI'!$H$4:$H$28,'Base CDI'!$J$4:$J$29,S3432,"Cubic","Extrapolate=Linear","MultiX=Average","Skip=True","Sort=True")</f>
        <v>14.695256210514167</v>
      </c>
      <c r="U3432" s="43">
        <f ca="1">_xll.BInterpol('Base CDI'!$H$4:$H$28,'Base CDI'!$I$4:$I$29,S3432,"Cubic","Extrapolate=Linear","MultiX=Average","Skip=True","Sort=True")</f>
        <v>14.77445608405308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49139</v>
      </c>
      <c r="T3433" s="43">
        <f ca="1">_xll.BInterpol('Base CDI'!$H$4:$H$28,'Base CDI'!$J$4:$J$29,S3433,"Cubic","Extrapolate=Linear","MultiX=Average","Skip=True","Sort=True")</f>
        <v>14.695161866346195</v>
      </c>
      <c r="U3433" s="43">
        <f ca="1">_xll.BInterpol('Base CDI'!$H$4:$H$28,'Base CDI'!$I$4:$I$29,S3433,"Cubic","Extrapolate=Linear","MultiX=Average","Skip=True","Sort=True")</f>
        <v>14.774340030083071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49140</v>
      </c>
      <c r="T3434" s="43">
        <f ca="1">_xll.BInterpol('Base CDI'!$H$4:$H$28,'Base CDI'!$J$4:$J$29,S3434,"Cubic","Extrapolate=Linear","MultiX=Average","Skip=True","Sort=True")</f>
        <v>14.695067400359045</v>
      </c>
      <c r="U3434" s="43">
        <f ca="1">_xll.BInterpol('Base CDI'!$H$4:$H$28,'Base CDI'!$I$4:$I$29,S3434,"Cubic","Extrapolate=Linear","MultiX=Average","Skip=True","Sort=True")</f>
        <v>14.774223706935167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49141</v>
      </c>
      <c r="T3435" s="43">
        <f ca="1">_xll.BInterpol('Base CDI'!$H$4:$H$28,'Base CDI'!$J$4:$J$29,S3435,"Cubic","Extrapolate=Linear","MultiX=Average","Skip=True","Sort=True")</f>
        <v>14.694972812408571</v>
      </c>
      <c r="U3435" s="43">
        <f ca="1">_xll.BInterpol('Base CDI'!$H$4:$H$28,'Base CDI'!$I$4:$I$29,S3435,"Cubic","Extrapolate=Linear","MultiX=Average","Skip=True","Sort=True")</f>
        <v>14.774107114168451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49142</v>
      </c>
      <c r="T3436" s="43">
        <f ca="1">_xll.BInterpol('Base CDI'!$H$4:$H$28,'Base CDI'!$J$4:$J$29,S3436,"Cubic","Extrapolate=Linear","MultiX=Average","Skip=True","Sort=True")</f>
        <v>14.694878102350623</v>
      </c>
      <c r="U3436" s="43">
        <f ca="1">_xll.BInterpol('Base CDI'!$H$4:$H$28,'Base CDI'!$I$4:$I$29,S3436,"Cubic","Extrapolate=Linear","MultiX=Average","Skip=True","Sort=True")</f>
        <v>14.773990251342006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49143</v>
      </c>
      <c r="T3437" s="43">
        <f ca="1">_xll.BInterpol('Base CDI'!$H$4:$H$28,'Base CDI'!$J$4:$J$29,S3437,"Cubic","Extrapolate=Linear","MultiX=Average","Skip=True","Sort=True")</f>
        <v>14.694783270041057</v>
      </c>
      <c r="U3437" s="43">
        <f ca="1">_xll.BInterpol('Base CDI'!$H$4:$H$28,'Base CDI'!$I$4:$I$29,S3437,"Cubic","Extrapolate=Linear","MultiX=Average","Skip=True","Sort=True")</f>
        <v>14.773873118014913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49144</v>
      </c>
      <c r="T3438" s="43">
        <f ca="1">_xll.BInterpol('Base CDI'!$H$4:$H$28,'Base CDI'!$J$4:$J$29,S3438,"Cubic","Extrapolate=Linear","MultiX=Average","Skip=True","Sort=True")</f>
        <v>14.694688315335723</v>
      </c>
      <c r="U3438" s="43">
        <f ca="1">_xll.BInterpol('Base CDI'!$H$4:$H$28,'Base CDI'!$I$4:$I$29,S3438,"Cubic","Extrapolate=Linear","MultiX=Average","Skip=True","Sort=True")</f>
        <v>14.773755713746255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49145</v>
      </c>
      <c r="T3439" s="43">
        <f ca="1">_xll.BInterpol('Base CDI'!$H$4:$H$28,'Base CDI'!$J$4:$J$29,S3439,"Cubic","Extrapolate=Linear","MultiX=Average","Skip=True","Sort=True")</f>
        <v>14.694593238090475</v>
      </c>
      <c r="U3439" s="43">
        <f ca="1">_xll.BInterpol('Base CDI'!$H$4:$H$28,'Base CDI'!$I$4:$I$29,S3439,"Cubic","Extrapolate=Linear","MultiX=Average","Skip=True","Sort=True")</f>
        <v>14.773638038095113</v>
      </c>
    </row>
    <row r="3440" spans="16:21" x14ac:dyDescent="0.25">
      <c r="P3440" s="10">
        <v>39518</v>
      </c>
      <c r="Q3440">
        <v>18.47052</v>
      </c>
      <c r="S3440" s="42">
        <f t="shared" ca="1" si="58"/>
        <v>49146</v>
      </c>
      <c r="T3440" s="43">
        <f ca="1">_xll.BInterpol('Base CDI'!$H$4:$H$28,'Base CDI'!$J$4:$J$29,S3440,"Cubic","Extrapolate=Linear","MultiX=Average","Skip=True","Sort=True")</f>
        <v>14.694498038161164</v>
      </c>
      <c r="U3440" s="43">
        <f ca="1">_xll.BInterpol('Base CDI'!$H$4:$H$28,'Base CDI'!$I$4:$I$29,S3440,"Cubic","Extrapolate=Linear","MultiX=Average","Skip=True","Sort=True")</f>
        <v>14.77352009062057</v>
      </c>
    </row>
    <row r="3441" spans="16:21" x14ac:dyDescent="0.25">
      <c r="P3441" s="10">
        <v>39519</v>
      </c>
      <c r="Q3441">
        <v>18.47824</v>
      </c>
      <c r="S3441" s="42">
        <f t="shared" ca="1" si="58"/>
        <v>49147</v>
      </c>
      <c r="T3441" s="43">
        <f ca="1">_xll.BInterpol('Base CDI'!$H$4:$H$28,'Base CDI'!$J$4:$J$29,S3441,"Cubic","Extrapolate=Linear","MultiX=Average","Skip=True","Sort=True")</f>
        <v>14.694402715403644</v>
      </c>
      <c r="U3441" s="43">
        <f ca="1">_xll.BInterpol('Base CDI'!$H$4:$H$28,'Base CDI'!$I$4:$I$29,S3441,"Cubic","Extrapolate=Linear","MultiX=Average","Skip=True","Sort=True")</f>
        <v>14.77340187088171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49148</v>
      </c>
      <c r="T3442" s="43">
        <f ca="1">_xll.BInterpol('Base CDI'!$H$4:$H$28,'Base CDI'!$J$4:$J$29,S3442,"Cubic","Extrapolate=Linear","MultiX=Average","Skip=True","Sort=True")</f>
        <v>14.694307269673766</v>
      </c>
      <c r="U3442" s="43">
        <f ca="1">_xll.BInterpol('Base CDI'!$H$4:$H$28,'Base CDI'!$I$4:$I$29,S3442,"Cubic","Extrapolate=Linear","MultiX=Average","Skip=True","Sort=True")</f>
        <v>14.773283378437611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49149</v>
      </c>
      <c r="T3443" s="43">
        <f ca="1">_xll.BInterpol('Base CDI'!$H$4:$H$28,'Base CDI'!$J$4:$J$29,S3443,"Cubic","Extrapolate=Linear","MultiX=Average","Skip=True","Sort=True")</f>
        <v>14.694211700827383</v>
      </c>
      <c r="U3443" s="43">
        <f ca="1">_xll.BInterpol('Base CDI'!$H$4:$H$28,'Base CDI'!$I$4:$I$29,S3443,"Cubic","Extrapolate=Linear","MultiX=Average","Skip=True","Sort=True")</f>
        <v>14.77316461284736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49150</v>
      </c>
      <c r="T3444" s="43">
        <f ca="1">_xll.BInterpol('Base CDI'!$H$4:$H$28,'Base CDI'!$J$4:$J$29,S3444,"Cubic","Extrapolate=Linear","MultiX=Average","Skip=True","Sort=True")</f>
        <v>14.694116008720348</v>
      </c>
      <c r="U3444" s="43">
        <f ca="1">_xll.BInterpol('Base CDI'!$H$4:$H$28,'Base CDI'!$I$4:$I$29,S3444,"Cubic","Extrapolate=Linear","MultiX=Average","Skip=True","Sort=True")</f>
        <v>14.773045573670036</v>
      </c>
    </row>
    <row r="3445" spans="16:21" x14ac:dyDescent="0.25">
      <c r="P3445" s="10">
        <v>39525</v>
      </c>
      <c r="Q3445">
        <v>18.5091</v>
      </c>
      <c r="S3445" s="42">
        <f t="shared" ca="1" si="58"/>
        <v>49151</v>
      </c>
      <c r="T3445" s="43">
        <f ca="1">_xll.BInterpol('Base CDI'!$H$4:$H$28,'Base CDI'!$J$4:$J$29,S3445,"Cubic","Extrapolate=Linear","MultiX=Average","Skip=True","Sort=True")</f>
        <v>14.694020193208512</v>
      </c>
      <c r="U3445" s="43">
        <f ca="1">_xll.BInterpol('Base CDI'!$H$4:$H$28,'Base CDI'!$I$4:$I$29,S3445,"Cubic","Extrapolate=Linear","MultiX=Average","Skip=True","Sort=True")</f>
        <v>14.772926260464722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49152</v>
      </c>
      <c r="T3446" s="43">
        <f ca="1">_xll.BInterpol('Base CDI'!$H$4:$H$28,'Base CDI'!$J$4:$J$29,S3446,"Cubic","Extrapolate=Linear","MultiX=Average","Skip=True","Sort=True")</f>
        <v>14.693924254147731</v>
      </c>
      <c r="U3446" s="43">
        <f ca="1">_xll.BInterpol('Base CDI'!$H$4:$H$28,'Base CDI'!$I$4:$I$29,S3446,"Cubic","Extrapolate=Linear","MultiX=Average","Skip=True","Sort=True")</f>
        <v>14.772806672790502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49153</v>
      </c>
      <c r="T3447" s="43">
        <f ca="1">_xll.BInterpol('Base CDI'!$H$4:$H$28,'Base CDI'!$J$4:$J$29,S3447,"Cubic","Extrapolate=Linear","MultiX=Average","Skip=True","Sort=True")</f>
        <v>14.693828191393854</v>
      </c>
      <c r="U3447" s="43">
        <f ca="1">_xll.BInterpol('Base CDI'!$H$4:$H$28,'Base CDI'!$I$4:$I$29,S3447,"Cubic","Extrapolate=Linear","MultiX=Average","Skip=True","Sort=True")</f>
        <v>14.772686810206455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49154</v>
      </c>
      <c r="T3448" s="43">
        <f ca="1">_xll.BInterpol('Base CDI'!$H$4:$H$28,'Base CDI'!$J$4:$J$29,S3448,"Cubic","Extrapolate=Linear","MultiX=Average","Skip=True","Sort=True")</f>
        <v>14.693732004802733</v>
      </c>
      <c r="U3448" s="43">
        <f ca="1">_xll.BInterpol('Base CDI'!$H$4:$H$28,'Base CDI'!$I$4:$I$29,S3448,"Cubic","Extrapolate=Linear","MultiX=Average","Skip=True","Sort=True")</f>
        <v>14.772566672271667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49155</v>
      </c>
      <c r="T3449" s="43">
        <f ca="1">_xll.BInterpol('Base CDI'!$H$4:$H$28,'Base CDI'!$J$4:$J$29,S3449,"Cubic","Extrapolate=Linear","MultiX=Average","Skip=True","Sort=True")</f>
        <v>14.693635694230222</v>
      </c>
      <c r="U3449" s="43">
        <f ca="1">_xll.BInterpol('Base CDI'!$H$4:$H$28,'Base CDI'!$I$4:$I$29,S3449,"Cubic","Extrapolate=Linear","MultiX=Average","Skip=True","Sort=True")</f>
        <v>14.772446258545218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49156</v>
      </c>
      <c r="T3450" s="43">
        <f ca="1">_xll.BInterpol('Base CDI'!$H$4:$H$28,'Base CDI'!$J$4:$J$29,S3450,"Cubic","Extrapolate=Linear","MultiX=Average","Skip=True","Sort=True")</f>
        <v>14.693539259532175</v>
      </c>
      <c r="U3450" s="43">
        <f ca="1">_xll.BInterpol('Base CDI'!$H$4:$H$28,'Base CDI'!$I$4:$I$29,S3450,"Cubic","Extrapolate=Linear","MultiX=Average","Skip=True","Sort=True")</f>
        <v>14.77232556858619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49157</v>
      </c>
      <c r="T3451" s="43">
        <f ca="1">_xll.BInterpol('Base CDI'!$H$4:$H$28,'Base CDI'!$J$4:$J$29,S3451,"Cubic","Extrapolate=Linear","MultiX=Average","Skip=True","Sort=True")</f>
        <v>14.693442700564441</v>
      </c>
      <c r="U3451" s="43">
        <f ca="1">_xll.BInterpol('Base CDI'!$H$4:$H$28,'Base CDI'!$I$4:$I$29,S3451,"Cubic","Extrapolate=Linear","MultiX=Average","Skip=True","Sort=True")</f>
        <v>14.772204601953666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49158</v>
      </c>
      <c r="T3452" s="43">
        <f ca="1">_xll.BInterpol('Base CDI'!$H$4:$H$28,'Base CDI'!$J$4:$J$29,S3452,"Cubic","Extrapolate=Linear","MultiX=Average","Skip=True","Sort=True")</f>
        <v>14.693346017182876</v>
      </c>
      <c r="U3452" s="43">
        <f ca="1">_xll.BInterpol('Base CDI'!$H$4:$H$28,'Base CDI'!$I$4:$I$29,S3452,"Cubic","Extrapolate=Linear","MultiX=Average","Skip=True","Sort=True")</f>
        <v>14.772083358206729</v>
      </c>
    </row>
    <row r="3453" spans="16:21" x14ac:dyDescent="0.25">
      <c r="P3453" s="10">
        <v>39538</v>
      </c>
      <c r="Q3453">
        <v>18.57103</v>
      </c>
      <c r="S3453" s="42">
        <f t="shared" ca="1" si="58"/>
        <v>49159</v>
      </c>
      <c r="T3453" s="43">
        <f ca="1">_xll.BInterpol('Base CDI'!$H$4:$H$28,'Base CDI'!$J$4:$J$29,S3453,"Cubic","Extrapolate=Linear","MultiX=Average","Skip=True","Sort=True")</f>
        <v>14.69324920924333</v>
      </c>
      <c r="U3453" s="43">
        <f ca="1">_xll.BInterpol('Base CDI'!$H$4:$H$28,'Base CDI'!$I$4:$I$29,S3453,"Cubic","Extrapolate=Linear","MultiX=Average","Skip=True","Sort=True")</f>
        <v>14.77196183690446</v>
      </c>
    </row>
    <row r="3454" spans="16:21" x14ac:dyDescent="0.25">
      <c r="P3454" s="10">
        <v>39539</v>
      </c>
      <c r="Q3454">
        <v>18.57883</v>
      </c>
      <c r="S3454" s="42">
        <f t="shared" ca="1" si="58"/>
        <v>49160</v>
      </c>
      <c r="T3454" s="43">
        <f ca="1">_xll.BInterpol('Base CDI'!$H$4:$H$28,'Base CDI'!$J$4:$J$29,S3454,"Cubic","Extrapolate=Linear","MultiX=Average","Skip=True","Sort=True")</f>
        <v>14.693152276601657</v>
      </c>
      <c r="U3454" s="43">
        <f ca="1">_xll.BInterpol('Base CDI'!$H$4:$H$28,'Base CDI'!$I$4:$I$29,S3454,"Cubic","Extrapolate=Linear","MultiX=Average","Skip=True","Sort=True")</f>
        <v>14.771840037605941</v>
      </c>
    </row>
    <row r="3455" spans="16:21" x14ac:dyDescent="0.25">
      <c r="P3455" s="10">
        <v>39540</v>
      </c>
      <c r="Q3455">
        <v>18.58661</v>
      </c>
      <c r="S3455" s="42">
        <f t="shared" ca="1" si="58"/>
        <v>49161</v>
      </c>
      <c r="T3455" s="43">
        <f ca="1">_xll.BInterpol('Base CDI'!$H$4:$H$28,'Base CDI'!$J$4:$J$29,S3455,"Cubic","Extrapolate=Linear","MultiX=Average","Skip=True","Sort=True")</f>
        <v>14.693055219113708</v>
      </c>
      <c r="U3455" s="43">
        <f ca="1">_xll.BInterpol('Base CDI'!$H$4:$H$28,'Base CDI'!$I$4:$I$29,S3455,"Cubic","Extrapolate=Linear","MultiX=Average","Skip=True","Sort=True")</f>
        <v>14.771717959870255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49162</v>
      </c>
      <c r="T3456" s="43">
        <f ca="1">_xll.BInterpol('Base CDI'!$H$4:$H$28,'Base CDI'!$J$4:$J$29,S3456,"Cubic","Extrapolate=Linear","MultiX=Average","Skip=True","Sort=True")</f>
        <v>14.692958036635336</v>
      </c>
      <c r="U3456" s="43">
        <f ca="1">_xll.BInterpol('Base CDI'!$H$4:$H$28,'Base CDI'!$I$4:$I$29,S3456,"Cubic","Extrapolate=Linear","MultiX=Average","Skip=True","Sort=True")</f>
        <v>14.771595603256484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49163</v>
      </c>
      <c r="T3457" s="43">
        <f ca="1">_xll.BInterpol('Base CDI'!$H$4:$H$28,'Base CDI'!$J$4:$J$29,S3457,"Cubic","Extrapolate=Linear","MultiX=Average","Skip=True","Sort=True")</f>
        <v>14.692860729022394</v>
      </c>
      <c r="U3457" s="43">
        <f ca="1">_xll.BInterpol('Base CDI'!$H$4:$H$28,'Base CDI'!$I$4:$I$29,S3457,"Cubic","Extrapolate=Linear","MultiX=Average","Skip=True","Sort=True")</f>
        <v>14.771472967323712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49164</v>
      </c>
      <c r="T3458" s="43">
        <f ca="1">_xll.BInterpol('Base CDI'!$H$4:$H$28,'Base CDI'!$J$4:$J$29,S3458,"Cubic","Extrapolate=Linear","MultiX=Average","Skip=True","Sort=True")</f>
        <v>14.692763296130735</v>
      </c>
      <c r="U3458" s="43">
        <f ca="1">_xll.BInterpol('Base CDI'!$H$4:$H$28,'Base CDI'!$I$4:$I$29,S3458,"Cubic","Extrapolate=Linear","MultiX=Average","Skip=True","Sort=True")</f>
        <v>14.771350051631019</v>
      </c>
    </row>
    <row r="3459" spans="16:21" x14ac:dyDescent="0.25">
      <c r="P3459" s="10">
        <v>39546</v>
      </c>
      <c r="Q3459">
        <v>18.61778</v>
      </c>
      <c r="S3459" s="42">
        <f t="shared" ca="1" si="58"/>
        <v>49165</v>
      </c>
      <c r="T3459" s="43">
        <f ca="1">_xll.BInterpol('Base CDI'!$H$4:$H$28,'Base CDI'!$J$4:$J$29,S3459,"Cubic","Extrapolate=Linear","MultiX=Average","Skip=True","Sort=True")</f>
        <v>14.69266573781621</v>
      </c>
      <c r="U3459" s="43">
        <f ca="1">_xll.BInterpol('Base CDI'!$H$4:$H$28,'Base CDI'!$I$4:$I$29,S3459,"Cubic","Extrapolate=Linear","MultiX=Average","Skip=True","Sort=True")</f>
        <v>14.771226855737488</v>
      </c>
    </row>
    <row r="3460" spans="16:21" x14ac:dyDescent="0.25">
      <c r="P3460" s="10">
        <v>39547</v>
      </c>
      <c r="Q3460">
        <v>18.62557</v>
      </c>
      <c r="S3460" s="42">
        <f t="shared" ca="1" si="58"/>
        <v>49166</v>
      </c>
      <c r="T3460" s="43">
        <f ca="1">_xll.BInterpol('Base CDI'!$H$4:$H$28,'Base CDI'!$J$4:$J$29,S3460,"Cubic","Extrapolate=Linear","MultiX=Average","Skip=True","Sort=True")</f>
        <v>14.692568053934671</v>
      </c>
      <c r="U3460" s="43">
        <f ca="1">_xll.BInterpol('Base CDI'!$H$4:$H$28,'Base CDI'!$I$4:$I$29,S3460,"Cubic","Extrapolate=Linear","MultiX=Average","Skip=True","Sort=True")</f>
        <v>14.7711033792022</v>
      </c>
    </row>
    <row r="3461" spans="16:21" x14ac:dyDescent="0.25">
      <c r="P3461" s="10">
        <v>39548</v>
      </c>
      <c r="Q3461">
        <v>18.63335</v>
      </c>
      <c r="S3461" s="42">
        <f t="shared" ca="1" si="58"/>
        <v>49167</v>
      </c>
      <c r="T3461" s="43">
        <f ca="1">_xll.BInterpol('Base CDI'!$H$4:$H$28,'Base CDI'!$J$4:$J$29,S3461,"Cubic","Extrapolate=Linear","MultiX=Average","Skip=True","Sort=True")</f>
        <v>14.692470244341973</v>
      </c>
      <c r="U3461" s="43">
        <f ca="1">_xll.BInterpol('Base CDI'!$H$4:$H$28,'Base CDI'!$I$4:$I$29,S3461,"Cubic","Extrapolate=Linear","MultiX=Average","Skip=True","Sort=True")</f>
        <v>14.770979621584241</v>
      </c>
    </row>
    <row r="3462" spans="16:21" x14ac:dyDescent="0.25">
      <c r="P3462" s="10">
        <v>39549</v>
      </c>
      <c r="Q3462">
        <v>18.64114</v>
      </c>
      <c r="S3462" s="42">
        <f t="shared" ca="1" si="58"/>
        <v>49168</v>
      </c>
      <c r="T3462" s="43">
        <f ca="1">_xll.BInterpol('Base CDI'!$H$4:$H$28,'Base CDI'!$J$4:$J$29,S3462,"Cubic","Extrapolate=Linear","MultiX=Average","Skip=True","Sort=True")</f>
        <v>14.692372308893965</v>
      </c>
      <c r="U3462" s="43">
        <f ca="1">_xll.BInterpol('Base CDI'!$H$4:$H$28,'Base CDI'!$I$4:$I$29,S3462,"Cubic","Extrapolate=Linear","MultiX=Average","Skip=True","Sort=True")</f>
        <v>14.770855582442689</v>
      </c>
    </row>
    <row r="3463" spans="16:21" x14ac:dyDescent="0.25">
      <c r="P3463" s="10">
        <v>39552</v>
      </c>
      <c r="Q3463">
        <v>18.64893</v>
      </c>
      <c r="S3463" s="42">
        <f t="shared" ca="1" si="58"/>
        <v>49169</v>
      </c>
      <c r="T3463" s="43">
        <f ca="1">_xll.BInterpol('Base CDI'!$H$4:$H$28,'Base CDI'!$J$4:$J$29,S3463,"Cubic","Extrapolate=Linear","MultiX=Average","Skip=True","Sort=True")</f>
        <v>14.692274247446504</v>
      </c>
      <c r="U3463" s="43">
        <f ca="1">_xll.BInterpol('Base CDI'!$H$4:$H$28,'Base CDI'!$I$4:$I$29,S3463,"Cubic","Extrapolate=Linear","MultiX=Average","Skip=True","Sort=True")</f>
        <v>14.770731261336628</v>
      </c>
    </row>
    <row r="3464" spans="16:21" x14ac:dyDescent="0.25">
      <c r="P3464" s="10">
        <v>39553</v>
      </c>
      <c r="Q3464">
        <v>18.65673</v>
      </c>
      <c r="S3464" s="42">
        <f t="shared" ca="1" si="58"/>
        <v>49170</v>
      </c>
      <c r="T3464" s="43">
        <f ca="1">_xll.BInterpol('Base CDI'!$H$4:$H$28,'Base CDI'!$J$4:$J$29,S3464,"Cubic","Extrapolate=Linear","MultiX=Average","Skip=True","Sort=True")</f>
        <v>14.692176059855438</v>
      </c>
      <c r="U3464" s="43">
        <f ca="1">_xll.BInterpol('Base CDI'!$H$4:$H$28,'Base CDI'!$I$4:$I$29,S3464,"Cubic","Extrapolate=Linear","MultiX=Average","Skip=True","Sort=True")</f>
        <v>14.770606657825141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49171</v>
      </c>
      <c r="T3465" s="43">
        <f ca="1">_xll.BInterpol('Base CDI'!$H$4:$H$28,'Base CDI'!$J$4:$J$29,S3465,"Cubic","Extrapolate=Linear","MultiX=Average","Skip=True","Sort=True")</f>
        <v>14.692077745976622</v>
      </c>
      <c r="U3465" s="43">
        <f ca="1">_xll.BInterpol('Base CDI'!$H$4:$H$28,'Base CDI'!$I$4:$I$29,S3465,"Cubic","Extrapolate=Linear","MultiX=Average","Skip=True","Sort=True")</f>
        <v>14.77048177146731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49172</v>
      </c>
      <c r="T3466" s="43">
        <f ca="1">_xll.BInterpol('Base CDI'!$H$4:$H$28,'Base CDI'!$J$4:$J$29,S3466,"Cubic","Extrapolate=Linear","MultiX=Average","Skip=True","Sort=True")</f>
        <v>14.691979305665908</v>
      </c>
      <c r="U3466" s="43">
        <f ca="1">_xll.BInterpol('Base CDI'!$H$4:$H$28,'Base CDI'!$I$4:$I$29,S3466,"Cubic","Extrapolate=Linear","MultiX=Average","Skip=True","Sort=True")</f>
        <v>14.770356601822215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49173</v>
      </c>
      <c r="T3467" s="43">
        <f ca="1">_xll.BInterpol('Base CDI'!$H$4:$H$28,'Base CDI'!$J$4:$J$29,S3467,"Cubic","Extrapolate=Linear","MultiX=Average","Skip=True","Sort=True")</f>
        <v>14.691880738779149</v>
      </c>
      <c r="U3467" s="43">
        <f ca="1">_xll.BInterpol('Base CDI'!$H$4:$H$28,'Base CDI'!$I$4:$I$29,S3467,"Cubic","Extrapolate=Linear","MultiX=Average","Skip=True","Sort=True")</f>
        <v>14.770231148448941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49174</v>
      </c>
      <c r="T3468" s="43">
        <f ca="1">_xll.BInterpol('Base CDI'!$H$4:$H$28,'Base CDI'!$J$4:$J$29,S3468,"Cubic","Extrapolate=Linear","MultiX=Average","Skip=True","Sort=True")</f>
        <v>14.691782045172197</v>
      </c>
      <c r="U3468" s="43">
        <f ca="1">_xll.BInterpol('Base CDI'!$H$4:$H$28,'Base CDI'!$I$4:$I$29,S3468,"Cubic","Extrapolate=Linear","MultiX=Average","Skip=True","Sort=True")</f>
        <v>14.770105410906568</v>
      </c>
    </row>
    <row r="3469" spans="16:21" x14ac:dyDescent="0.25">
      <c r="P3469" s="10">
        <v>39561</v>
      </c>
      <c r="Q3469">
        <v>18.6968</v>
      </c>
      <c r="S3469" s="42">
        <f t="shared" ca="1" si="59"/>
        <v>49175</v>
      </c>
      <c r="T3469" s="43">
        <f ca="1">_xll.BInterpol('Base CDI'!$H$4:$H$28,'Base CDI'!$J$4:$J$29,S3469,"Cubic","Extrapolate=Linear","MultiX=Average","Skip=True","Sort=True")</f>
        <v>14.691683224700903</v>
      </c>
      <c r="U3469" s="43">
        <f ca="1">_xll.BInterpol('Base CDI'!$H$4:$H$28,'Base CDI'!$I$4:$I$29,S3469,"Cubic","Extrapolate=Linear","MultiX=Average","Skip=True","Sort=True")</f>
        <v>14.769979388754182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49176</v>
      </c>
      <c r="T3470" s="43">
        <f ca="1">_xll.BInterpol('Base CDI'!$H$4:$H$28,'Base CDI'!$J$4:$J$29,S3470,"Cubic","Extrapolate=Linear","MultiX=Average","Skip=True","Sort=True")</f>
        <v>14.691584277221121</v>
      </c>
      <c r="U3470" s="43">
        <f ca="1">_xll.BInterpol('Base CDI'!$H$4:$H$28,'Base CDI'!$I$4:$I$29,S3470,"Cubic","Extrapolate=Linear","MultiX=Average","Skip=True","Sort=True")</f>
        <v>14.769853081550862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49177</v>
      </c>
      <c r="T3471" s="43">
        <f ca="1">_xll.BInterpol('Base CDI'!$H$4:$H$28,'Base CDI'!$J$4:$J$29,S3471,"Cubic","Extrapolate=Linear","MultiX=Average","Skip=True","Sort=True")</f>
        <v>14.691485202588703</v>
      </c>
      <c r="U3471" s="43">
        <f ca="1">_xll.BInterpol('Base CDI'!$H$4:$H$28,'Base CDI'!$I$4:$I$29,S3471,"Cubic","Extrapolate=Linear","MultiX=Average","Skip=True","Sort=True")</f>
        <v>14.769726488855691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49178</v>
      </c>
      <c r="T3472" s="43">
        <f ca="1">_xll.BInterpol('Base CDI'!$H$4:$H$28,'Base CDI'!$J$4:$J$29,S3472,"Cubic","Extrapolate=Linear","MultiX=Average","Skip=True","Sort=True")</f>
        <v>14.691386000659502</v>
      </c>
      <c r="U3472" s="43">
        <f ca="1">_xll.BInterpol('Base CDI'!$H$4:$H$28,'Base CDI'!$I$4:$I$29,S3472,"Cubic","Extrapolate=Linear","MultiX=Average","Skip=True","Sort=True")</f>
        <v>14.76959961022775</v>
      </c>
    </row>
    <row r="3473" spans="16:21" x14ac:dyDescent="0.25">
      <c r="P3473" s="10">
        <v>39567</v>
      </c>
      <c r="Q3473">
        <v>18.72935</v>
      </c>
      <c r="S3473" s="42">
        <f t="shared" ca="1" si="59"/>
        <v>49179</v>
      </c>
      <c r="T3473" s="43">
        <f ca="1">_xll.BInterpol('Base CDI'!$H$4:$H$28,'Base CDI'!$J$4:$J$29,S3473,"Cubic","Extrapolate=Linear","MultiX=Average","Skip=True","Sort=True")</f>
        <v>14.691286671289371</v>
      </c>
      <c r="U3473" s="43">
        <f ca="1">_xll.BInterpol('Base CDI'!$H$4:$H$28,'Base CDI'!$I$4:$I$29,S3473,"Cubic","Extrapolate=Linear","MultiX=Average","Skip=True","Sort=True")</f>
        <v>14.769472445226125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49180</v>
      </c>
      <c r="T3474" s="43">
        <f ca="1">_xll.BInterpol('Base CDI'!$H$4:$H$28,'Base CDI'!$J$4:$J$29,S3474,"Cubic","Extrapolate=Linear","MultiX=Average","Skip=True","Sort=True")</f>
        <v>14.69118721433416</v>
      </c>
      <c r="U3474" s="43">
        <f ca="1">_xll.BInterpol('Base CDI'!$H$4:$H$28,'Base CDI'!$I$4:$I$29,S3474,"Cubic","Extrapolate=Linear","MultiX=Average","Skip=True","Sort=True")</f>
        <v>14.769344993409893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49181</v>
      </c>
      <c r="T3475" s="43">
        <f ca="1">_xll.BInterpol('Base CDI'!$H$4:$H$28,'Base CDI'!$J$4:$J$29,S3475,"Cubic","Extrapolate=Linear","MultiX=Average","Skip=True","Sort=True")</f>
        <v>14.691087629649724</v>
      </c>
      <c r="U3475" s="43">
        <f ca="1">_xll.BInterpol('Base CDI'!$H$4:$H$28,'Base CDI'!$I$4:$I$29,S3475,"Cubic","Extrapolate=Linear","MultiX=Average","Skip=True","Sort=True")</f>
        <v>14.769217254338141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49182</v>
      </c>
      <c r="T3476" s="43">
        <f ca="1">_xll.BInterpol('Base CDI'!$H$4:$H$28,'Base CDI'!$J$4:$J$29,S3476,"Cubic","Extrapolate=Linear","MultiX=Average","Skip=True","Sort=True")</f>
        <v>14.690987917091915</v>
      </c>
      <c r="U3476" s="43">
        <f ca="1">_xll.BInterpol('Base CDI'!$H$4:$H$28,'Base CDI'!$I$4:$I$29,S3476,"Cubic","Extrapolate=Linear","MultiX=Average","Skip=True","Sort=True")</f>
        <v>14.76908922756995</v>
      </c>
    </row>
    <row r="3477" spans="16:21" x14ac:dyDescent="0.25">
      <c r="P3477" s="10">
        <v>39574</v>
      </c>
      <c r="Q3477">
        <v>18.76193</v>
      </c>
      <c r="S3477" s="42">
        <f t="shared" ca="1" si="59"/>
        <v>49183</v>
      </c>
      <c r="T3477" s="43">
        <f ca="1">_xll.BInterpol('Base CDI'!$H$4:$H$28,'Base CDI'!$J$4:$J$29,S3477,"Cubic","Extrapolate=Linear","MultiX=Average","Skip=True","Sort=True")</f>
        <v>14.690888076516584</v>
      </c>
      <c r="U3477" s="43">
        <f ca="1">_xll.BInterpol('Base CDI'!$H$4:$H$28,'Base CDI'!$I$4:$I$29,S3477,"Cubic","Extrapolate=Linear","MultiX=Average","Skip=True","Sort=True")</f>
        <v>14.768960912664401</v>
      </c>
    </row>
    <row r="3478" spans="16:21" x14ac:dyDescent="0.25">
      <c r="P3478" s="10">
        <v>39575</v>
      </c>
      <c r="Q3478">
        <v>18.77007</v>
      </c>
      <c r="S3478" s="42">
        <f t="shared" ca="1" si="59"/>
        <v>49184</v>
      </c>
      <c r="T3478" s="43">
        <f ca="1">_xll.BInterpol('Base CDI'!$H$4:$H$28,'Base CDI'!$J$4:$J$29,S3478,"Cubic","Extrapolate=Linear","MultiX=Average","Skip=True","Sort=True")</f>
        <v>14.690788107779586</v>
      </c>
      <c r="U3478" s="43">
        <f ca="1">_xll.BInterpol('Base CDI'!$H$4:$H$28,'Base CDI'!$I$4:$I$29,S3478,"Cubic","Extrapolate=Linear","MultiX=Average","Skip=True","Sort=True")</f>
        <v>14.768832309180576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49185</v>
      </c>
      <c r="T3479" s="43">
        <f ca="1">_xll.BInterpol('Base CDI'!$H$4:$H$28,'Base CDI'!$J$4:$J$29,S3479,"Cubic","Extrapolate=Linear","MultiX=Average","Skip=True","Sort=True")</f>
        <v>14.690688010736771</v>
      </c>
      <c r="U3479" s="43">
        <f ca="1">_xll.BInterpol('Base CDI'!$H$4:$H$28,'Base CDI'!$I$4:$I$29,S3479,"Cubic","Extrapolate=Linear","MultiX=Average","Skip=True","Sort=True")</f>
        <v>14.768703416677559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49186</v>
      </c>
      <c r="T3480" s="43">
        <f ca="1">_xll.BInterpol('Base CDI'!$H$4:$H$28,'Base CDI'!$J$4:$J$29,S3480,"Cubic","Extrapolate=Linear","MultiX=Average","Skip=True","Sort=True")</f>
        <v>14.690587785243991</v>
      </c>
      <c r="U3480" s="43">
        <f ca="1">_xll.BInterpol('Base CDI'!$H$4:$H$28,'Base CDI'!$I$4:$I$29,S3480,"Cubic","Extrapolate=Linear","MultiX=Average","Skip=True","Sort=True")</f>
        <v>14.76857423471443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49187</v>
      </c>
      <c r="T3481" s="43">
        <f ca="1">_xll.BInterpol('Base CDI'!$H$4:$H$28,'Base CDI'!$J$4:$J$29,S3481,"Cubic","Extrapolate=Linear","MultiX=Average","Skip=True","Sort=True")</f>
        <v>14.690487431157102</v>
      </c>
      <c r="U3481" s="43">
        <f ca="1">_xll.BInterpol('Base CDI'!$H$4:$H$28,'Base CDI'!$I$4:$I$29,S3481,"Cubic","Extrapolate=Linear","MultiX=Average","Skip=True","Sort=True")</f>
        <v>14.768444762850274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49188</v>
      </c>
      <c r="T3482" s="43">
        <f ca="1">_xll.BInterpol('Base CDI'!$H$4:$H$28,'Base CDI'!$J$4:$J$29,S3482,"Cubic","Extrapolate=Linear","MultiX=Average","Skip=True","Sort=True")</f>
        <v>14.690386948331954</v>
      </c>
      <c r="U3482" s="43">
        <f ca="1">_xll.BInterpol('Base CDI'!$H$4:$H$28,'Base CDI'!$I$4:$I$29,S3482,"Cubic","Extrapolate=Linear","MultiX=Average","Skip=True","Sort=True")</f>
        <v>14.768315000644172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49189</v>
      </c>
      <c r="T3483" s="43">
        <f ca="1">_xll.BInterpol('Base CDI'!$H$4:$H$28,'Base CDI'!$J$4:$J$29,S3483,"Cubic","Extrapolate=Linear","MultiX=Average","Skip=True","Sort=True")</f>
        <v>14.6902863366244</v>
      </c>
      <c r="U3483" s="43">
        <f ca="1">_xll.BInterpol('Base CDI'!$H$4:$H$28,'Base CDI'!$I$4:$I$29,S3483,"Cubic","Extrapolate=Linear","MultiX=Average","Skip=True","Sort=True")</f>
        <v>14.768184947655206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49190</v>
      </c>
      <c r="T3484" s="43">
        <f ca="1">_xll.BInterpol('Base CDI'!$H$4:$H$28,'Base CDI'!$J$4:$J$29,S3484,"Cubic","Extrapolate=Linear","MultiX=Average","Skip=True","Sort=True")</f>
        <v>14.690185595890291</v>
      </c>
      <c r="U3484" s="43">
        <f ca="1">_xll.BInterpol('Base CDI'!$H$4:$H$28,'Base CDI'!$I$4:$I$29,S3484,"Cubic","Extrapolate=Linear","MultiX=Average","Skip=True","Sort=True")</f>
        <v>14.768054603442458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49191</v>
      </c>
      <c r="T3485" s="43">
        <f ca="1">_xll.BInterpol('Base CDI'!$H$4:$H$28,'Base CDI'!$J$4:$J$29,S3485,"Cubic","Extrapolate=Linear","MultiX=Average","Skip=True","Sort=True")</f>
        <v>14.690084725985482</v>
      </c>
      <c r="U3485" s="43">
        <f ca="1">_xll.BInterpol('Base CDI'!$H$4:$H$28,'Base CDI'!$I$4:$I$29,S3485,"Cubic","Extrapolate=Linear","MultiX=Average","Skip=True","Sort=True")</f>
        <v>14.767923967565011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49192</v>
      </c>
      <c r="T3486" s="43">
        <f ca="1">_xll.BInterpol('Base CDI'!$H$4:$H$28,'Base CDI'!$J$4:$J$29,S3486,"Cubic","Extrapolate=Linear","MultiX=Average","Skip=True","Sort=True")</f>
        <v>14.689983726765824</v>
      </c>
      <c r="U3486" s="43">
        <f ca="1">_xll.BInterpol('Base CDI'!$H$4:$H$28,'Base CDI'!$I$4:$I$29,S3486,"Cubic","Extrapolate=Linear","MultiX=Average","Skip=True","Sort=True")</f>
        <v>14.767793039581946</v>
      </c>
    </row>
    <row r="3487" spans="16:21" x14ac:dyDescent="0.25">
      <c r="P3487" s="10">
        <v>39588</v>
      </c>
      <c r="Q3487">
        <v>18.84347</v>
      </c>
      <c r="S3487" s="42">
        <f t="shared" ca="1" si="59"/>
        <v>49193</v>
      </c>
      <c r="T3487" s="43">
        <f ca="1">_xll.BInterpol('Base CDI'!$H$4:$H$28,'Base CDI'!$J$4:$J$29,S3487,"Cubic","Extrapolate=Linear","MultiX=Average","Skip=True","Sort=True")</f>
        <v>14.68988259808717</v>
      </c>
      <c r="U3487" s="43">
        <f ca="1">_xll.BInterpol('Base CDI'!$H$4:$H$28,'Base CDI'!$I$4:$I$29,S3487,"Cubic","Extrapolate=Linear","MultiX=Average","Skip=True","Sort=True")</f>
        <v>14.767661819052346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49194</v>
      </c>
      <c r="T3488" s="43">
        <f ca="1">_xll.BInterpol('Base CDI'!$H$4:$H$28,'Base CDI'!$J$4:$J$29,S3488,"Cubic","Extrapolate=Linear","MultiX=Average","Skip=True","Sort=True")</f>
        <v>14.689781339805371</v>
      </c>
      <c r="U3488" s="43">
        <f ca="1">_xll.BInterpol('Base CDI'!$H$4:$H$28,'Base CDI'!$I$4:$I$29,S3488,"Cubic","Extrapolate=Linear","MultiX=Average","Skip=True","Sort=True")</f>
        <v>14.767530305535296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49195</v>
      </c>
      <c r="T3489" s="43">
        <f ca="1">_xll.BInterpol('Base CDI'!$H$4:$H$28,'Base CDI'!$J$4:$J$29,S3489,"Cubic","Extrapolate=Linear","MultiX=Average","Skip=True","Sort=True")</f>
        <v>14.689679951776281</v>
      </c>
      <c r="U3489" s="43">
        <f ca="1">_xll.BInterpol('Base CDI'!$H$4:$H$28,'Base CDI'!$I$4:$I$29,S3489,"Cubic","Extrapolate=Linear","MultiX=Average","Skip=True","Sort=True")</f>
        <v>14.767398498589873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49196</v>
      </c>
      <c r="T3490" s="43">
        <f ca="1">_xll.BInterpol('Base CDI'!$H$4:$H$28,'Base CDI'!$J$4:$J$29,S3490,"Cubic","Extrapolate=Linear","MultiX=Average","Skip=True","Sort=True")</f>
        <v>14.689578433855752</v>
      </c>
      <c r="U3490" s="43">
        <f ca="1">_xll.BInterpol('Base CDI'!$H$4:$H$28,'Base CDI'!$I$4:$I$29,S3490,"Cubic","Extrapolate=Linear","MultiX=Average","Skip=True","Sort=True")</f>
        <v>14.767266397775163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49197</v>
      </c>
      <c r="T3491" s="43">
        <f ca="1">_xll.BInterpol('Base CDI'!$H$4:$H$28,'Base CDI'!$J$4:$J$29,S3491,"Cubic","Extrapolate=Linear","MultiX=Average","Skip=True","Sort=True")</f>
        <v>14.689476785899638</v>
      </c>
      <c r="U3491" s="43">
        <f ca="1">_xll.BInterpol('Base CDI'!$H$4:$H$28,'Base CDI'!$I$4:$I$29,S3491,"Cubic","Extrapolate=Linear","MultiX=Average","Skip=True","Sort=True")</f>
        <v>14.767134002650248</v>
      </c>
    </row>
    <row r="3492" spans="16:21" x14ac:dyDescent="0.25">
      <c r="P3492" s="10">
        <v>39596</v>
      </c>
      <c r="Q3492">
        <v>18.88438</v>
      </c>
      <c r="S3492" s="42">
        <f t="shared" ca="1" si="59"/>
        <v>49198</v>
      </c>
      <c r="T3492" s="43">
        <f ca="1">_xll.BInterpol('Base CDI'!$H$4:$H$28,'Base CDI'!$J$4:$J$29,S3492,"Cubic","Extrapolate=Linear","MultiX=Average","Skip=True","Sort=True")</f>
        <v>14.68937500776379</v>
      </c>
      <c r="U3492" s="43">
        <f ca="1">_xll.BInterpol('Base CDI'!$H$4:$H$28,'Base CDI'!$I$4:$I$29,S3492,"Cubic","Extrapolate=Linear","MultiX=Average","Skip=True","Sort=True")</f>
        <v>14.767001312774209</v>
      </c>
    </row>
    <row r="3493" spans="16:21" x14ac:dyDescent="0.25">
      <c r="P3493" s="10">
        <v>39597</v>
      </c>
      <c r="Q3493">
        <v>18.89256</v>
      </c>
      <c r="S3493" s="42">
        <f t="shared" ca="1" si="59"/>
        <v>49199</v>
      </c>
      <c r="T3493" s="43">
        <f ca="1">_xll.BInterpol('Base CDI'!$H$4:$H$28,'Base CDI'!$J$4:$J$29,S3493,"Cubic","Extrapolate=Linear","MultiX=Average","Skip=True","Sort=True")</f>
        <v>14.689273099304058</v>
      </c>
      <c r="U3493" s="43">
        <f ca="1">_xll.BInterpol('Base CDI'!$H$4:$H$28,'Base CDI'!$I$4:$I$29,S3493,"Cubic","Extrapolate=Linear","MultiX=Average","Skip=True","Sort=True")</f>
        <v>14.766868327706128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49200</v>
      </c>
      <c r="T3494" s="43">
        <f ca="1">_xll.BInterpol('Base CDI'!$H$4:$H$28,'Base CDI'!$J$4:$J$29,S3494,"Cubic","Extrapolate=Linear","MultiX=Average","Skip=True","Sort=True")</f>
        <v>14.689171060376299</v>
      </c>
      <c r="U3494" s="43">
        <f ca="1">_xll.BInterpol('Base CDI'!$H$4:$H$28,'Base CDI'!$I$4:$I$29,S3494,"Cubic","Extrapolate=Linear","MultiX=Average","Skip=True","Sort=True")</f>
        <v>14.766735047005088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49201</v>
      </c>
      <c r="T3495" s="43">
        <f ca="1">_xll.BInterpol('Base CDI'!$H$4:$H$28,'Base CDI'!$J$4:$J$29,S3495,"Cubic","Extrapolate=Linear","MultiX=Average","Skip=True","Sort=True")</f>
        <v>14.689068890836364</v>
      </c>
      <c r="U3495" s="43">
        <f ca="1">_xll.BInterpol('Base CDI'!$H$4:$H$28,'Base CDI'!$I$4:$I$29,S3495,"Cubic","Extrapolate=Linear","MultiX=Average","Skip=True","Sort=True")</f>
        <v>14.766601470230173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49202</v>
      </c>
      <c r="T3496" s="43">
        <f ca="1">_xll.BInterpol('Base CDI'!$H$4:$H$28,'Base CDI'!$J$4:$J$29,S3496,"Cubic","Extrapolate=Linear","MultiX=Average","Skip=True","Sort=True")</f>
        <v>14.688966590540103</v>
      </c>
      <c r="U3496" s="43">
        <f ca="1">_xll.BInterpol('Base CDI'!$H$4:$H$28,'Base CDI'!$I$4:$I$29,S3496,"Cubic","Extrapolate=Linear","MultiX=Average","Skip=True","Sort=True")</f>
        <v>14.766467596940462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49203</v>
      </c>
      <c r="T3497" s="43">
        <f ca="1">_xll.BInterpol('Base CDI'!$H$4:$H$28,'Base CDI'!$J$4:$J$29,S3497,"Cubic","Extrapolate=Linear","MultiX=Average","Skip=True","Sort=True")</f>
        <v>14.688864159343371</v>
      </c>
      <c r="U3497" s="43">
        <f ca="1">_xll.BInterpol('Base CDI'!$H$4:$H$28,'Base CDI'!$I$4:$I$29,S3497,"Cubic","Extrapolate=Linear","MultiX=Average","Skip=True","Sort=True")</f>
        <v>14.76633342669504</v>
      </c>
    </row>
    <row r="3498" spans="16:21" x14ac:dyDescent="0.25">
      <c r="P3498" s="10">
        <v>39604</v>
      </c>
      <c r="Q3498">
        <v>18.93355</v>
      </c>
      <c r="S3498" s="42">
        <f t="shared" ca="1" si="59"/>
        <v>49204</v>
      </c>
      <c r="T3498" s="43">
        <f ca="1">_xll.BInterpol('Base CDI'!$H$4:$H$28,'Base CDI'!$J$4:$J$29,S3498,"Cubic","Extrapolate=Linear","MultiX=Average","Skip=True","Sort=True")</f>
        <v>14.688761597102021</v>
      </c>
      <c r="U3498" s="43">
        <f ca="1">_xll.BInterpol('Base CDI'!$H$4:$H$28,'Base CDI'!$I$4:$I$29,S3498,"Cubic","Extrapolate=Linear","MultiX=Average","Skip=True","Sort=True")</f>
        <v>14.766198959052986</v>
      </c>
    </row>
    <row r="3499" spans="16:21" x14ac:dyDescent="0.25">
      <c r="P3499" s="10">
        <v>39605</v>
      </c>
      <c r="Q3499">
        <v>18.94209</v>
      </c>
      <c r="S3499" s="42">
        <f t="shared" ca="1" si="59"/>
        <v>49205</v>
      </c>
      <c r="T3499" s="43">
        <f ca="1">_xll.BInterpol('Base CDI'!$H$4:$H$28,'Base CDI'!$J$4:$J$29,S3499,"Cubic","Extrapolate=Linear","MultiX=Average","Skip=True","Sort=True")</f>
        <v>14.688658903671902</v>
      </c>
      <c r="U3499" s="43">
        <f ca="1">_xll.BInterpol('Base CDI'!$H$4:$H$28,'Base CDI'!$I$4:$I$29,S3499,"Cubic","Extrapolate=Linear","MultiX=Average","Skip=True","Sort=True")</f>
        <v>14.766064193573385</v>
      </c>
    </row>
    <row r="3500" spans="16:21" x14ac:dyDescent="0.25">
      <c r="P3500" s="10">
        <v>39608</v>
      </c>
      <c r="Q3500">
        <v>18.95063</v>
      </c>
      <c r="S3500" s="42">
        <f t="shared" ca="1" si="59"/>
        <v>49206</v>
      </c>
      <c r="T3500" s="43">
        <f ca="1">_xll.BInterpol('Base CDI'!$H$4:$H$28,'Base CDI'!$J$4:$J$29,S3500,"Cubic","Extrapolate=Linear","MultiX=Average","Skip=True","Sort=True")</f>
        <v>14.688556078908871</v>
      </c>
      <c r="U3500" s="43">
        <f ca="1">_xll.BInterpol('Base CDI'!$H$4:$H$28,'Base CDI'!$I$4:$I$29,S3500,"Cubic","Extrapolate=Linear","MultiX=Average","Skip=True","Sort=True")</f>
        <v>14.765929129815319</v>
      </c>
    </row>
    <row r="3501" spans="16:21" x14ac:dyDescent="0.25">
      <c r="P3501" s="10">
        <v>39609</v>
      </c>
      <c r="Q3501">
        <v>18.95918</v>
      </c>
      <c r="S3501" s="42">
        <f t="shared" ca="1" si="59"/>
        <v>49207</v>
      </c>
      <c r="T3501" s="43">
        <f ca="1">_xll.BInterpol('Base CDI'!$H$4:$H$28,'Base CDI'!$J$4:$J$29,S3501,"Cubic","Extrapolate=Linear","MultiX=Average","Skip=True","Sort=True")</f>
        <v>14.688453122668777</v>
      </c>
      <c r="U3501" s="43">
        <f ca="1">_xll.BInterpol('Base CDI'!$H$4:$H$28,'Base CDI'!$I$4:$I$29,S3501,"Cubic","Extrapolate=Linear","MultiX=Average","Skip=True","Sort=True")</f>
        <v>14.76579376733787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49208</v>
      </c>
      <c r="T3502" s="43">
        <f ca="1">_xll.BInterpol('Base CDI'!$H$4:$H$28,'Base CDI'!$J$4:$J$29,S3502,"Cubic","Extrapolate=Linear","MultiX=Average","Skip=True","Sort=True")</f>
        <v>14.688350034807474</v>
      </c>
      <c r="U3502" s="43">
        <f ca="1">_xll.BInterpol('Base CDI'!$H$4:$H$28,'Base CDI'!$I$4:$I$29,S3502,"Cubic","Extrapolate=Linear","MultiX=Average","Skip=True","Sort=True")</f>
        <v>14.765658105700119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49209</v>
      </c>
      <c r="T3503" s="43">
        <f ca="1">_xll.BInterpol('Base CDI'!$H$4:$H$28,'Base CDI'!$J$4:$J$29,S3503,"Cubic","Extrapolate=Linear","MultiX=Average","Skip=True","Sort=True")</f>
        <v>14.688246815180815</v>
      </c>
      <c r="U3503" s="43">
        <f ca="1">_xll.BInterpol('Base CDI'!$H$4:$H$28,'Base CDI'!$I$4:$I$29,S3503,"Cubic","Extrapolate=Linear","MultiX=Average","Skip=True","Sort=True")</f>
        <v>14.765522144461151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49210</v>
      </c>
      <c r="T3504" s="43">
        <f ca="1">_xll.BInterpol('Base CDI'!$H$4:$H$28,'Base CDI'!$J$4:$J$29,S3504,"Cubic","Extrapolate=Linear","MultiX=Average","Skip=True","Sort=True")</f>
        <v>14.688143463644652</v>
      </c>
      <c r="U3504" s="43">
        <f ca="1">_xll.BInterpol('Base CDI'!$H$4:$H$28,'Base CDI'!$I$4:$I$29,S3504,"Cubic","Extrapolate=Linear","MultiX=Average","Skip=True","Sort=True")</f>
        <v>14.765385883180045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49211</v>
      </c>
      <c r="T3505" s="43">
        <f ca="1">_xll.BInterpol('Base CDI'!$H$4:$H$28,'Base CDI'!$J$4:$J$29,S3505,"Cubic","Extrapolate=Linear","MultiX=Average","Skip=True","Sort=True")</f>
        <v>14.688039980054835</v>
      </c>
      <c r="U3505" s="43">
        <f ca="1">_xll.BInterpol('Base CDI'!$H$4:$H$28,'Base CDI'!$I$4:$I$29,S3505,"Cubic","Extrapolate=Linear","MultiX=Average","Skip=True","Sort=True")</f>
        <v>14.765249321415887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49212</v>
      </c>
      <c r="T3506" s="43">
        <f ca="1">_xll.BInterpol('Base CDI'!$H$4:$H$28,'Base CDI'!$J$4:$J$29,S3506,"Cubic","Extrapolate=Linear","MultiX=Average","Skip=True","Sort=True")</f>
        <v>14.68793636426722</v>
      </c>
      <c r="U3506" s="43">
        <f ca="1">_xll.BInterpol('Base CDI'!$H$4:$H$28,'Base CDI'!$I$4:$I$29,S3506,"Cubic","Extrapolate=Linear","MultiX=Average","Skip=True","Sort=True")</f>
        <v>14.765112458727755</v>
      </c>
    </row>
    <row r="3507" spans="16:21" x14ac:dyDescent="0.25">
      <c r="P3507" s="10">
        <v>39617</v>
      </c>
      <c r="Q3507">
        <v>19.0107</v>
      </c>
      <c r="S3507" s="42">
        <f t="shared" ca="1" si="59"/>
        <v>49213</v>
      </c>
      <c r="T3507" s="43">
        <f ca="1">_xll.BInterpol('Base CDI'!$H$4:$H$28,'Base CDI'!$J$4:$J$29,S3507,"Cubic","Extrapolate=Linear","MultiX=Average","Skip=True","Sort=True")</f>
        <v>14.687832616137657</v>
      </c>
      <c r="U3507" s="43">
        <f ca="1">_xll.BInterpol('Base CDI'!$H$4:$H$28,'Base CDI'!$I$4:$I$29,S3507,"Cubic","Extrapolate=Linear","MultiX=Average","Skip=True","Sort=True")</f>
        <v>14.764975294674734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49214</v>
      </c>
      <c r="T3508" s="43">
        <f ca="1">_xll.BInterpol('Base CDI'!$H$4:$H$28,'Base CDI'!$J$4:$J$29,S3508,"Cubic","Extrapolate=Linear","MultiX=Average","Skip=True","Sort=True")</f>
        <v>14.687728735522001</v>
      </c>
      <c r="U3508" s="43">
        <f ca="1">_xll.BInterpol('Base CDI'!$H$4:$H$28,'Base CDI'!$I$4:$I$29,S3508,"Cubic","Extrapolate=Linear","MultiX=Average","Skip=True","Sort=True")</f>
        <v>14.764837828815905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49215</v>
      </c>
      <c r="T3509" s="43">
        <f ca="1">_xll.BInterpol('Base CDI'!$H$4:$H$28,'Base CDI'!$J$4:$J$29,S3509,"Cubic","Extrapolate=Linear","MultiX=Average","Skip=True","Sort=True")</f>
        <v>14.687624722276102</v>
      </c>
      <c r="U3509" s="43">
        <f ca="1">_xll.BInterpol('Base CDI'!$H$4:$H$28,'Base CDI'!$I$4:$I$29,S3509,"Cubic","Extrapolate=Linear","MultiX=Average","Skip=True","Sort=True")</f>
        <v>14.764700060710352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49216</v>
      </c>
      <c r="T3510" s="43">
        <f ca="1">_xll.BInterpol('Base CDI'!$H$4:$H$28,'Base CDI'!$J$4:$J$29,S3510,"Cubic","Extrapolate=Linear","MultiX=Average","Skip=True","Sort=True")</f>
        <v>14.687520576255814</v>
      </c>
      <c r="U3510" s="43">
        <f ca="1">_xll.BInterpol('Base CDI'!$H$4:$H$28,'Base CDI'!$I$4:$I$29,S3510,"Cubic","Extrapolate=Linear","MultiX=Average","Skip=True","Sort=True")</f>
        <v>14.764561989917155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49217</v>
      </c>
      <c r="T3511" s="43">
        <f ca="1">_xll.BInterpol('Base CDI'!$H$4:$H$28,'Base CDI'!$J$4:$J$29,S3511,"Cubic","Extrapolate=Linear","MultiX=Average","Skip=True","Sort=True")</f>
        <v>14.687416297316988</v>
      </c>
      <c r="U3511" s="43">
        <f ca="1">_xll.BInterpol('Base CDI'!$H$4:$H$28,'Base CDI'!$I$4:$I$29,S3511,"Cubic","Extrapolate=Linear","MultiX=Average","Skip=True","Sort=True")</f>
        <v>14.764423615995398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49218</v>
      </c>
      <c r="T3512" s="43">
        <f ca="1">_xll.BInterpol('Base CDI'!$H$4:$H$28,'Base CDI'!$J$4:$J$29,S3512,"Cubic","Extrapolate=Linear","MultiX=Average","Skip=True","Sort=True")</f>
        <v>14.687311885315479</v>
      </c>
      <c r="U3512" s="43">
        <f ca="1">_xll.BInterpol('Base CDI'!$H$4:$H$28,'Base CDI'!$I$4:$I$29,S3512,"Cubic","Extrapolate=Linear","MultiX=Average","Skip=True","Sort=True")</f>
        <v>14.764284938504161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49219</v>
      </c>
      <c r="T3513" s="43">
        <f ca="1">_xll.BInterpol('Base CDI'!$H$4:$H$28,'Base CDI'!$J$4:$J$29,S3513,"Cubic","Extrapolate=Linear","MultiX=Average","Skip=True","Sort=True")</f>
        <v>14.687207340107136</v>
      </c>
      <c r="U3513" s="43">
        <f ca="1">_xll.BInterpol('Base CDI'!$H$4:$H$28,'Base CDI'!$I$4:$I$29,S3513,"Cubic","Extrapolate=Linear","MultiX=Average","Skip=True","Sort=True")</f>
        <v>14.764145957002532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49220</v>
      </c>
      <c r="T3514" s="43">
        <f ca="1">_xll.BInterpol('Base CDI'!$H$4:$H$28,'Base CDI'!$J$4:$J$29,S3514,"Cubic","Extrapolate=Linear","MultiX=Average","Skip=True","Sort=True")</f>
        <v>14.687102661547815</v>
      </c>
      <c r="U3514" s="43">
        <f ca="1">_xll.BInterpol('Base CDI'!$H$4:$H$28,'Base CDI'!$I$4:$I$29,S3514,"Cubic","Extrapolate=Linear","MultiX=Average","Skip=True","Sort=True")</f>
        <v>14.764006671049586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49221</v>
      </c>
      <c r="T3515" s="43">
        <f ca="1">_xll.BInterpol('Base CDI'!$H$4:$H$28,'Base CDI'!$J$4:$J$29,S3515,"Cubic","Extrapolate=Linear","MultiX=Average","Skip=True","Sort=True")</f>
        <v>14.686997849493366</v>
      </c>
      <c r="U3515" s="43">
        <f ca="1">_xll.BInterpol('Base CDI'!$H$4:$H$28,'Base CDI'!$I$4:$I$29,S3515,"Cubic","Extrapolate=Linear","MultiX=Average","Skip=True","Sort=True")</f>
        <v>14.763867080204408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49222</v>
      </c>
      <c r="T3516" s="43">
        <f ca="1">_xll.BInterpol('Base CDI'!$H$4:$H$28,'Base CDI'!$J$4:$J$29,S3516,"Cubic","Extrapolate=Linear","MultiX=Average","Skip=True","Sort=True")</f>
        <v>14.686892903799642</v>
      </c>
      <c r="U3516" s="43">
        <f ca="1">_xll.BInterpol('Base CDI'!$H$4:$H$28,'Base CDI'!$I$4:$I$29,S3516,"Cubic","Extrapolate=Linear","MultiX=Average","Skip=True","Sort=True")</f>
        <v>14.763727184026083</v>
      </c>
    </row>
    <row r="3517" spans="16:21" x14ac:dyDescent="0.25">
      <c r="P3517" s="10">
        <v>39631</v>
      </c>
      <c r="Q3517">
        <v>19.09695</v>
      </c>
      <c r="S3517" s="42">
        <f t="shared" ca="1" si="59"/>
        <v>49223</v>
      </c>
      <c r="T3517" s="43">
        <f ca="1">_xll.BInterpol('Base CDI'!$H$4:$H$28,'Base CDI'!$J$4:$J$29,S3517,"Cubic","Extrapolate=Linear","MultiX=Average","Skip=True","Sort=True")</f>
        <v>14.686787824322497</v>
      </c>
      <c r="U3517" s="43">
        <f ca="1">_xll.BInterpol('Base CDI'!$H$4:$H$28,'Base CDI'!$I$4:$I$29,S3517,"Cubic","Extrapolate=Linear","MultiX=Average","Skip=True","Sort=True")</f>
        <v>14.763586982073688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49224</v>
      </c>
      <c r="T3518" s="43">
        <f ca="1">_xll.BInterpol('Base CDI'!$H$4:$H$28,'Base CDI'!$J$4:$J$29,S3518,"Cubic","Extrapolate=Linear","MultiX=Average","Skip=True","Sort=True")</f>
        <v>14.686682610917781</v>
      </c>
      <c r="U3518" s="43">
        <f ca="1">_xll.BInterpol('Base CDI'!$H$4:$H$28,'Base CDI'!$I$4:$I$29,S3518,"Cubic","Extrapolate=Linear","MultiX=Average","Skip=True","Sort=True")</f>
        <v>14.76344647390631</v>
      </c>
    </row>
    <row r="3519" spans="16:21" x14ac:dyDescent="0.25">
      <c r="P3519" s="10">
        <v>39633</v>
      </c>
      <c r="Q3519">
        <v>19.11429</v>
      </c>
      <c r="S3519" s="42">
        <f t="shared" ca="1" si="59"/>
        <v>49225</v>
      </c>
      <c r="T3519" s="43">
        <f ca="1">_xll.BInterpol('Base CDI'!$H$4:$H$28,'Base CDI'!$J$4:$J$29,S3519,"Cubic","Extrapolate=Linear","MultiX=Average","Skip=True","Sort=True")</f>
        <v>14.686577263441349</v>
      </c>
      <c r="U3519" s="43">
        <f ca="1">_xll.BInterpol('Base CDI'!$H$4:$H$28,'Base CDI'!$I$4:$I$29,S3519,"Cubic","Extrapolate=Linear","MultiX=Average","Skip=True","Sort=True")</f>
        <v>14.763305659083029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49226</v>
      </c>
      <c r="T3520" s="43">
        <f ca="1">_xll.BInterpol('Base CDI'!$H$4:$H$28,'Base CDI'!$J$4:$J$29,S3520,"Cubic","Extrapolate=Linear","MultiX=Average","Skip=True","Sort=True")</f>
        <v>14.68647178174905</v>
      </c>
      <c r="U3520" s="43">
        <f ca="1">_xll.BInterpol('Base CDI'!$H$4:$H$28,'Base CDI'!$I$4:$I$29,S3520,"Cubic","Extrapolate=Linear","MultiX=Average","Skip=True","Sort=True")</f>
        <v>14.763164537162929</v>
      </c>
    </row>
    <row r="3521" spans="16:21" x14ac:dyDescent="0.25">
      <c r="P3521" s="10">
        <v>39637</v>
      </c>
      <c r="Q3521">
        <v>19.13165</v>
      </c>
      <c r="S3521" s="42">
        <f t="shared" ca="1" si="59"/>
        <v>49227</v>
      </c>
      <c r="T3521" s="43">
        <f ca="1">_xll.BInterpol('Base CDI'!$H$4:$H$28,'Base CDI'!$J$4:$J$29,S3521,"Cubic","Extrapolate=Linear","MultiX=Average","Skip=True","Sort=True")</f>
        <v>14.686366165696739</v>
      </c>
      <c r="U3521" s="43">
        <f ca="1">_xll.BInterpol('Base CDI'!$H$4:$H$28,'Base CDI'!$I$4:$I$29,S3521,"Cubic","Extrapolate=Linear","MultiX=Average","Skip=True","Sort=True")</f>
        <v>14.76302310770509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49228</v>
      </c>
      <c r="T3522" s="43">
        <f ca="1">_xll.BInterpol('Base CDI'!$H$4:$H$28,'Base CDI'!$J$4:$J$29,S3522,"Cubic","Extrapolate=Linear","MultiX=Average","Skip=True","Sort=True")</f>
        <v>14.68626041514027</v>
      </c>
      <c r="U3522" s="43">
        <f ca="1">_xll.BInterpol('Base CDI'!$H$4:$H$28,'Base CDI'!$I$4:$I$29,S3522,"Cubic","Extrapolate=Linear","MultiX=Average","Skip=True","Sort=True")</f>
        <v>14.762881370268595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49229</v>
      </c>
      <c r="T3523" s="43">
        <f ca="1">_xll.BInterpol('Base CDI'!$H$4:$H$28,'Base CDI'!$J$4:$J$29,S3523,"Cubic","Extrapolate=Linear","MultiX=Average","Skip=True","Sort=True")</f>
        <v>14.686154529935491</v>
      </c>
      <c r="U3523" s="43">
        <f ca="1">_xll.BInterpol('Base CDI'!$H$4:$H$28,'Base CDI'!$I$4:$I$29,S3523,"Cubic","Extrapolate=Linear","MultiX=Average","Skip=True","Sort=True")</f>
        <v>14.762739324412525</v>
      </c>
    </row>
    <row r="3524" spans="16:21" x14ac:dyDescent="0.25">
      <c r="P3524" s="10">
        <v>39640</v>
      </c>
      <c r="Q3524">
        <v>19.15774</v>
      </c>
      <c r="S3524" s="42">
        <f t="shared" ca="1" si="59"/>
        <v>49230</v>
      </c>
      <c r="T3524" s="43">
        <f ca="1">_xll.BInterpol('Base CDI'!$H$4:$H$28,'Base CDI'!$J$4:$J$29,S3524,"Cubic","Extrapolate=Linear","MultiX=Average","Skip=True","Sort=True")</f>
        <v>14.686048509938258</v>
      </c>
      <c r="U3524" s="43">
        <f ca="1">_xll.BInterpol('Base CDI'!$H$4:$H$28,'Base CDI'!$I$4:$I$29,S3524,"Cubic","Extrapolate=Linear","MultiX=Average","Skip=True","Sort=True")</f>
        <v>14.762596969695966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49231</v>
      </c>
      <c r="T3525" s="43">
        <f ca="1">_xll.BInterpol('Base CDI'!$H$4:$H$28,'Base CDI'!$J$4:$J$29,S3525,"Cubic","Extrapolate=Linear","MultiX=Average","Skip=True","Sort=True")</f>
        <v>14.685942355004425</v>
      </c>
      <c r="U3525" s="43">
        <f ca="1">_xll.BInterpol('Base CDI'!$H$4:$H$28,'Base CDI'!$I$4:$I$29,S3525,"Cubic","Extrapolate=Linear","MultiX=Average","Skip=True","Sort=True")</f>
        <v>14.762454305677997</v>
      </c>
    </row>
    <row r="3526" spans="16:21" x14ac:dyDescent="0.25">
      <c r="P3526" s="10">
        <v>39644</v>
      </c>
      <c r="Q3526">
        <v>19.17512</v>
      </c>
      <c r="S3526" s="42">
        <f t="shared" ca="1" si="59"/>
        <v>49232</v>
      </c>
      <c r="T3526" s="43">
        <f ca="1">_xll.BInterpol('Base CDI'!$H$4:$H$28,'Base CDI'!$J$4:$J$29,S3526,"Cubic","Extrapolate=Linear","MultiX=Average","Skip=True","Sort=True")</f>
        <v>14.685836064989839</v>
      </c>
      <c r="U3526" s="43">
        <f ca="1">_xll.BInterpol('Base CDI'!$H$4:$H$28,'Base CDI'!$I$4:$I$29,S3526,"Cubic","Extrapolate=Linear","MultiX=Average","Skip=True","Sort=True")</f>
        <v>14.762311331917701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49233</v>
      </c>
      <c r="T3527" s="43">
        <f ca="1">_xll.BInterpol('Base CDI'!$H$4:$H$28,'Base CDI'!$J$4:$J$29,S3527,"Cubic","Extrapolate=Linear","MultiX=Average","Skip=True","Sort=True")</f>
        <v>14.685729639750356</v>
      </c>
      <c r="U3527" s="43">
        <f ca="1">_xll.BInterpol('Base CDI'!$H$4:$H$28,'Base CDI'!$I$4:$I$29,S3527,"Cubic","Extrapolate=Linear","MultiX=Average","Skip=True","Sort=True")</f>
        <v>14.762168047974161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49234</v>
      </c>
      <c r="T3528" s="43">
        <f ca="1">_xll.BInterpol('Base CDI'!$H$4:$H$28,'Base CDI'!$J$4:$J$29,S3528,"Cubic","Extrapolate=Linear","MultiX=Average","Skip=True","Sort=True")</f>
        <v>14.685623079141829</v>
      </c>
      <c r="U3528" s="43">
        <f ca="1">_xll.BInterpol('Base CDI'!$H$4:$H$28,'Base CDI'!$I$4:$I$29,S3528,"Cubic","Extrapolate=Linear","MultiX=Average","Skip=True","Sort=True")</f>
        <v>14.762024453406459</v>
      </c>
    </row>
    <row r="3529" spans="16:21" x14ac:dyDescent="0.25">
      <c r="P3529" s="10">
        <v>39647</v>
      </c>
      <c r="Q3529">
        <v>19.20119</v>
      </c>
      <c r="S3529" s="42">
        <f t="shared" ca="1" si="59"/>
        <v>49235</v>
      </c>
      <c r="T3529" s="43">
        <f ca="1">_xll.BInterpol('Base CDI'!$H$4:$H$28,'Base CDI'!$J$4:$J$29,S3529,"Cubic","Extrapolate=Linear","MultiX=Average","Skip=True","Sort=True")</f>
        <v>14.685516383020108</v>
      </c>
      <c r="U3529" s="43">
        <f ca="1">_xll.BInterpol('Base CDI'!$H$4:$H$28,'Base CDI'!$I$4:$I$29,S3529,"Cubic","Extrapolate=Linear","MultiX=Average","Skip=True","Sort=True")</f>
        <v>14.761880547773677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49236</v>
      </c>
      <c r="T3530" s="43">
        <f ca="1">_xll.BInterpol('Base CDI'!$H$4:$H$28,'Base CDI'!$J$4:$J$29,S3530,"Cubic","Extrapolate=Linear","MultiX=Average","Skip=True","Sort=True")</f>
        <v>14.685409551241047</v>
      </c>
      <c r="U3530" s="43">
        <f ca="1">_xll.BInterpol('Base CDI'!$H$4:$H$28,'Base CDI'!$I$4:$I$29,S3530,"Cubic","Extrapolate=Linear","MultiX=Average","Skip=True","Sort=True")</f>
        <v>14.761736330634896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49237</v>
      </c>
      <c r="T3531" s="43">
        <f ca="1">_xll.BInterpol('Base CDI'!$H$4:$H$28,'Base CDI'!$J$4:$J$29,S3531,"Cubic","Extrapolate=Linear","MultiX=Average","Skip=True","Sort=True")</f>
        <v>14.685302583660498</v>
      </c>
      <c r="U3531" s="43">
        <f ca="1">_xll.BInterpol('Base CDI'!$H$4:$H$28,'Base CDI'!$I$4:$I$29,S3531,"Cubic","Extrapolate=Linear","MultiX=Average","Skip=True","Sort=True")</f>
        <v>14.761591801549201</v>
      </c>
    </row>
    <row r="3532" spans="16:21" x14ac:dyDescent="0.25">
      <c r="P3532" s="10">
        <v>39652</v>
      </c>
      <c r="Q3532">
        <v>19.22729</v>
      </c>
      <c r="S3532" s="42">
        <f t="shared" ca="1" si="60"/>
        <v>49238</v>
      </c>
      <c r="T3532" s="43">
        <f ca="1">_xll.BInterpol('Base CDI'!$H$4:$H$28,'Base CDI'!$J$4:$J$29,S3532,"Cubic","Extrapolate=Linear","MultiX=Average","Skip=True","Sort=True")</f>
        <v>14.685195480134315</v>
      </c>
      <c r="U3532" s="43">
        <f ca="1">_xll.BInterpol('Base CDI'!$H$4:$H$28,'Base CDI'!$I$4:$I$29,S3532,"Cubic","Extrapolate=Linear","MultiX=Average","Skip=True","Sort=True")</f>
        <v>14.761446960075672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49239</v>
      </c>
      <c r="T3533" s="43">
        <f ca="1">_xll.BInterpol('Base CDI'!$H$4:$H$28,'Base CDI'!$J$4:$J$29,S3533,"Cubic","Extrapolate=Linear","MultiX=Average","Skip=True","Sort=True")</f>
        <v>14.685088240518349</v>
      </c>
      <c r="U3533" s="43">
        <f ca="1">_xll.BInterpol('Base CDI'!$H$4:$H$28,'Base CDI'!$I$4:$I$29,S3533,"Cubic","Extrapolate=Linear","MultiX=Average","Skip=True","Sort=True")</f>
        <v>14.761301805773392</v>
      </c>
    </row>
    <row r="3534" spans="16:21" x14ac:dyDescent="0.25">
      <c r="P3534" s="10">
        <v>39654</v>
      </c>
      <c r="Q3534">
        <v>19.24521</v>
      </c>
      <c r="S3534" s="42">
        <f t="shared" ca="1" si="60"/>
        <v>49240</v>
      </c>
      <c r="T3534" s="43">
        <f ca="1">_xll.BInterpol('Base CDI'!$H$4:$H$28,'Base CDI'!$J$4:$J$29,S3534,"Cubic","Extrapolate=Linear","MultiX=Average","Skip=True","Sort=True")</f>
        <v>14.684980864668452</v>
      </c>
      <c r="U3534" s="43">
        <f ca="1">_xll.BInterpol('Base CDI'!$H$4:$H$28,'Base CDI'!$I$4:$I$29,S3534,"Cubic","Extrapolate=Linear","MultiX=Average","Skip=True","Sort=True")</f>
        <v>14.761156338201443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49241</v>
      </c>
      <c r="T3535" s="43">
        <f ca="1">_xll.BInterpol('Base CDI'!$H$4:$H$28,'Base CDI'!$J$4:$J$29,S3535,"Cubic","Extrapolate=Linear","MultiX=Average","Skip=True","Sort=True")</f>
        <v>14.684873352440476</v>
      </c>
      <c r="U3535" s="43">
        <f ca="1">_xll.BInterpol('Base CDI'!$H$4:$H$28,'Base CDI'!$I$4:$I$29,S3535,"Cubic","Extrapolate=Linear","MultiX=Average","Skip=True","Sort=True")</f>
        <v>14.76101055691891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49242</v>
      </c>
      <c r="T3536" s="43">
        <f ca="1">_xll.BInterpol('Base CDI'!$H$4:$H$28,'Base CDI'!$J$4:$J$29,S3536,"Cubic","Extrapolate=Linear","MultiX=Average","Skip=True","Sort=True")</f>
        <v>14.684765703690276</v>
      </c>
      <c r="U3536" s="43">
        <f ca="1">_xll.BInterpol('Base CDI'!$H$4:$H$28,'Base CDI'!$I$4:$I$29,S3536,"Cubic","Extrapolate=Linear","MultiX=Average","Skip=True","Sort=True")</f>
        <v>14.76086446148487</v>
      </c>
    </row>
    <row r="3537" spans="16:21" x14ac:dyDescent="0.25">
      <c r="P3537" s="10">
        <v>39659</v>
      </c>
      <c r="Q3537">
        <v>19.2729</v>
      </c>
      <c r="S3537" s="42">
        <f t="shared" ca="1" si="60"/>
        <v>49243</v>
      </c>
      <c r="T3537" s="43">
        <f ca="1">_xll.BInterpol('Base CDI'!$H$4:$H$28,'Base CDI'!$J$4:$J$29,S3537,"Cubic","Extrapolate=Linear","MultiX=Average","Skip=True","Sort=True")</f>
        <v>14.684657918273704</v>
      </c>
      <c r="U3537" s="43">
        <f ca="1">_xll.BInterpol('Base CDI'!$H$4:$H$28,'Base CDI'!$I$4:$I$29,S3537,"Cubic","Extrapolate=Linear","MultiX=Average","Skip=True","Sort=True")</f>
        <v>14.76071805145841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49244</v>
      </c>
      <c r="T3538" s="43">
        <f ca="1">_xll.BInterpol('Base CDI'!$H$4:$H$28,'Base CDI'!$J$4:$J$29,S3538,"Cubic","Extrapolate=Linear","MultiX=Average","Skip=True","Sort=True")</f>
        <v>14.684549996046611</v>
      </c>
      <c r="U3538" s="43">
        <f ca="1">_xll.BInterpol('Base CDI'!$H$4:$H$28,'Base CDI'!$I$4:$I$29,S3538,"Cubic","Extrapolate=Linear","MultiX=Average","Skip=True","Sort=True")</f>
        <v>14.760571326398608</v>
      </c>
    </row>
    <row r="3539" spans="16:21" x14ac:dyDescent="0.25">
      <c r="P3539" s="10">
        <v>39661</v>
      </c>
      <c r="Q3539">
        <v>19.29139</v>
      </c>
      <c r="S3539" s="42">
        <f t="shared" ca="1" si="60"/>
        <v>49245</v>
      </c>
      <c r="T3539" s="43">
        <f ca="1">_xll.BInterpol('Base CDI'!$H$4:$H$28,'Base CDI'!$J$4:$J$29,S3539,"Cubic","Extrapolate=Linear","MultiX=Average","Skip=True","Sort=True")</f>
        <v>14.684441936864848</v>
      </c>
      <c r="U3539" s="43">
        <f ca="1">_xll.BInterpol('Base CDI'!$H$4:$H$28,'Base CDI'!$I$4:$I$29,S3539,"Cubic","Extrapolate=Linear","MultiX=Average","Skip=True","Sort=True")</f>
        <v>14.76042428586455</v>
      </c>
    </row>
    <row r="3540" spans="16:21" x14ac:dyDescent="0.25">
      <c r="P3540" s="10">
        <v>39664</v>
      </c>
      <c r="Q3540">
        <v>19.30067</v>
      </c>
      <c r="S3540" s="42">
        <f t="shared" ca="1" si="60"/>
        <v>49246</v>
      </c>
      <c r="T3540" s="43">
        <f ca="1">_xll.BInterpol('Base CDI'!$H$4:$H$28,'Base CDI'!$J$4:$J$29,S3540,"Cubic","Extrapolate=Linear","MultiX=Average","Skip=True","Sort=True")</f>
        <v>14.684333740584272</v>
      </c>
      <c r="U3540" s="43">
        <f ca="1">_xll.BInterpol('Base CDI'!$H$4:$H$28,'Base CDI'!$I$4:$I$29,S3540,"Cubic","Extrapolate=Linear","MultiX=Average","Skip=True","Sort=True")</f>
        <v>14.760276929415317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49247</v>
      </c>
      <c r="T3541" s="43">
        <f ca="1">_xll.BInterpol('Base CDI'!$H$4:$H$28,'Base CDI'!$J$4:$J$29,S3541,"Cubic","Extrapolate=Linear","MultiX=Average","Skip=True","Sort=True")</f>
        <v>14.684225407060733</v>
      </c>
      <c r="U3541" s="43">
        <f ca="1">_xll.BInterpol('Base CDI'!$H$4:$H$28,'Base CDI'!$I$4:$I$29,S3541,"Cubic","Extrapolate=Linear","MultiX=Average","Skip=True","Sort=True")</f>
        <v>14.760129256609991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49248</v>
      </c>
      <c r="T3542" s="43">
        <f ca="1">_xll.BInterpol('Base CDI'!$H$4:$H$28,'Base CDI'!$J$4:$J$29,S3542,"Cubic","Extrapolate=Linear","MultiX=Average","Skip=True","Sort=True")</f>
        <v>14.684116936150081</v>
      </c>
      <c r="U3542" s="43">
        <f ca="1">_xll.BInterpol('Base CDI'!$H$4:$H$28,'Base CDI'!$I$4:$I$29,S3542,"Cubic","Extrapolate=Linear","MultiX=Average","Skip=True","Sort=True")</f>
        <v>14.759981267007655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49249</v>
      </c>
      <c r="T3543" s="43">
        <f ca="1">_xll.BInterpol('Base CDI'!$H$4:$H$28,'Base CDI'!$J$4:$J$29,S3543,"Cubic","Extrapolate=Linear","MultiX=Average","Skip=True","Sort=True")</f>
        <v>14.684008327708174</v>
      </c>
      <c r="U3543" s="43">
        <f ca="1">_xll.BInterpol('Base CDI'!$H$4:$H$28,'Base CDI'!$I$4:$I$29,S3543,"Cubic","Extrapolate=Linear","MultiX=Average","Skip=True","Sort=True")</f>
        <v>14.75983296016739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49250</v>
      </c>
      <c r="T3544" s="43">
        <f ca="1">_xll.BInterpol('Base CDI'!$H$4:$H$28,'Base CDI'!$J$4:$J$29,S3544,"Cubic","Extrapolate=Linear","MultiX=Average","Skip=True","Sort=True")</f>
        <v>14.683899581590859</v>
      </c>
      <c r="U3544" s="43">
        <f ca="1">_xll.BInterpol('Base CDI'!$H$4:$H$28,'Base CDI'!$I$4:$I$29,S3544,"Cubic","Extrapolate=Linear","MultiX=Average","Skip=True","Sort=True")</f>
        <v>14.759684335648279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49251</v>
      </c>
      <c r="T3545" s="43">
        <f ca="1">_xll.BInterpol('Base CDI'!$H$4:$H$28,'Base CDI'!$J$4:$J$29,S3545,"Cubic","Extrapolate=Linear","MultiX=Average","Skip=True","Sort=True")</f>
        <v>14.683790697653992</v>
      </c>
      <c r="U3545" s="43">
        <f ca="1">_xll.BInterpol('Base CDI'!$H$4:$H$28,'Base CDI'!$I$4:$I$29,S3545,"Cubic","Extrapolate=Linear","MultiX=Average","Skip=True","Sort=True")</f>
        <v>14.759535393009404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49252</v>
      </c>
      <c r="T3546" s="43">
        <f ca="1">_xll.BInterpol('Base CDI'!$H$4:$H$28,'Base CDI'!$J$4:$J$29,S3546,"Cubic","Extrapolate=Linear","MultiX=Average","Skip=True","Sort=True")</f>
        <v>14.683681675753425</v>
      </c>
      <c r="U3546" s="43">
        <f ca="1">_xll.BInterpol('Base CDI'!$H$4:$H$28,'Base CDI'!$I$4:$I$29,S3546,"Cubic","Extrapolate=Linear","MultiX=Average","Skip=True","Sort=True")</f>
        <v>14.759386131809846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49253</v>
      </c>
      <c r="T3547" s="43">
        <f ca="1">_xll.BInterpol('Base CDI'!$H$4:$H$28,'Base CDI'!$J$4:$J$29,S3547,"Cubic","Extrapolate=Linear","MultiX=Average","Skip=True","Sort=True")</f>
        <v>14.683572515745007</v>
      </c>
      <c r="U3547" s="43">
        <f ca="1">_xll.BInterpol('Base CDI'!$H$4:$H$28,'Base CDI'!$I$4:$I$29,S3547,"Cubic","Extrapolate=Linear","MultiX=Average","Skip=True","Sort=True")</f>
        <v>14.759236551608691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49254</v>
      </c>
      <c r="T3548" s="43">
        <f ca="1">_xll.BInterpol('Base CDI'!$H$4:$H$28,'Base CDI'!$J$4:$J$29,S3548,"Cubic","Extrapolate=Linear","MultiX=Average","Skip=True","Sort=True")</f>
        <v>14.683463217484595</v>
      </c>
      <c r="U3548" s="43">
        <f ca="1">_xll.BInterpol('Base CDI'!$H$4:$H$28,'Base CDI'!$I$4:$I$29,S3548,"Cubic","Extrapolate=Linear","MultiX=Average","Skip=True","Sort=True")</f>
        <v>14.759086651965017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49255</v>
      </c>
      <c r="T3549" s="43">
        <f ca="1">_xll.BInterpol('Base CDI'!$H$4:$H$28,'Base CDI'!$J$4:$J$29,S3549,"Cubic","Extrapolate=Linear","MultiX=Average","Skip=True","Sort=True")</f>
        <v>14.683353780828041</v>
      </c>
      <c r="U3549" s="43">
        <f ca="1">_xll.BInterpol('Base CDI'!$H$4:$H$28,'Base CDI'!$I$4:$I$29,S3549,"Cubic","Extrapolate=Linear","MultiX=Average","Skip=True","Sort=True")</f>
        <v>14.75893643243791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49256</v>
      </c>
      <c r="T3550" s="43">
        <f ca="1">_xll.BInterpol('Base CDI'!$H$4:$H$28,'Base CDI'!$J$4:$J$29,S3550,"Cubic","Extrapolate=Linear","MultiX=Average","Skip=True","Sort=True")</f>
        <v>14.683244205631194</v>
      </c>
      <c r="U3550" s="43">
        <f ca="1">_xll.BInterpol('Base CDI'!$H$4:$H$28,'Base CDI'!$I$4:$I$29,S3550,"Cubic","Extrapolate=Linear","MultiX=Average","Skip=True","Sort=True")</f>
        <v>14.758785892586449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49257</v>
      </c>
      <c r="T3551" s="43">
        <f ca="1">_xll.BInterpol('Base CDI'!$H$4:$H$28,'Base CDI'!$J$4:$J$29,S3551,"Cubic","Extrapolate=Linear","MultiX=Average","Skip=True","Sort=True")</f>
        <v>14.683134491749909</v>
      </c>
      <c r="U3551" s="43">
        <f ca="1">_xll.BInterpol('Base CDI'!$H$4:$H$28,'Base CDI'!$I$4:$I$29,S3551,"Cubic","Extrapolate=Linear","MultiX=Average","Skip=True","Sort=True")</f>
        <v>14.758635031969717</v>
      </c>
    </row>
    <row r="3552" spans="16:21" x14ac:dyDescent="0.25">
      <c r="P3552" s="10">
        <v>39680</v>
      </c>
      <c r="Q3552">
        <v>19.41217</v>
      </c>
      <c r="S3552" s="42">
        <f t="shared" ca="1" si="60"/>
        <v>49258</v>
      </c>
      <c r="T3552" s="43">
        <f ca="1">_xll.BInterpol('Base CDI'!$H$4:$H$28,'Base CDI'!$J$4:$J$29,S3552,"Cubic","Extrapolate=Linear","MultiX=Average","Skip=True","Sort=True")</f>
        <v>14.68302463904004</v>
      </c>
      <c r="U3552" s="43">
        <f ca="1">_xll.BInterpol('Base CDI'!$H$4:$H$28,'Base CDI'!$I$4:$I$29,S3552,"Cubic","Extrapolate=Linear","MultiX=Average","Skip=True","Sort=True")</f>
        <v>14.758483850146799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49259</v>
      </c>
      <c r="T3553" s="43">
        <f ca="1">_xll.BInterpol('Base CDI'!$H$4:$H$28,'Base CDI'!$J$4:$J$29,S3553,"Cubic","Extrapolate=Linear","MultiX=Average","Skip=True","Sort=True")</f>
        <v>14.682914647357435</v>
      </c>
      <c r="U3553" s="43">
        <f ca="1">_xll.BInterpol('Base CDI'!$H$4:$H$28,'Base CDI'!$I$4:$I$29,S3553,"Cubic","Extrapolate=Linear","MultiX=Average","Skip=True","Sort=True")</f>
        <v>14.758332346676774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49260</v>
      </c>
      <c r="T3554" s="43">
        <f ca="1">_xll.BInterpol('Base CDI'!$H$4:$H$28,'Base CDI'!$J$4:$J$29,S3554,"Cubic","Extrapolate=Linear","MultiX=Average","Skip=True","Sort=True")</f>
        <v>14.682804516557951</v>
      </c>
      <c r="U3554" s="43">
        <f ca="1">_xll.BInterpol('Base CDI'!$H$4:$H$28,'Base CDI'!$I$4:$I$29,S3554,"Cubic","Extrapolate=Linear","MultiX=Average","Skip=True","Sort=True")</f>
        <v>14.758180521118726</v>
      </c>
    </row>
    <row r="3555" spans="16:21" x14ac:dyDescent="0.25">
      <c r="P3555" s="10">
        <v>39685</v>
      </c>
      <c r="Q3555">
        <v>19.44013</v>
      </c>
      <c r="S3555" s="42">
        <f t="shared" ca="1" si="60"/>
        <v>49261</v>
      </c>
      <c r="T3555" s="43">
        <f ca="1">_xll.BInterpol('Base CDI'!$H$4:$H$28,'Base CDI'!$J$4:$J$29,S3555,"Cubic","Extrapolate=Linear","MultiX=Average","Skip=True","Sort=True")</f>
        <v>14.682694246497437</v>
      </c>
      <c r="U3555" s="43">
        <f ca="1">_xll.BInterpol('Base CDI'!$H$4:$H$28,'Base CDI'!$I$4:$I$29,S3555,"Cubic","Extrapolate=Linear","MultiX=Average","Skip=True","Sort=True")</f>
        <v>14.758028373031737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49262</v>
      </c>
      <c r="T3556" s="43">
        <f ca="1">_xll.BInterpol('Base CDI'!$H$4:$H$28,'Base CDI'!$J$4:$J$29,S3556,"Cubic","Extrapolate=Linear","MultiX=Average","Skip=True","Sort=True")</f>
        <v>14.682583837031748</v>
      </c>
      <c r="U3556" s="43">
        <f ca="1">_xll.BInterpol('Base CDI'!$H$4:$H$28,'Base CDI'!$I$4:$I$29,S3556,"Cubic","Extrapolate=Linear","MultiX=Average","Skip=True","Sort=True")</f>
        <v>14.757875901974888</v>
      </c>
    </row>
    <row r="3557" spans="16:21" x14ac:dyDescent="0.25">
      <c r="P3557" s="10">
        <v>39687</v>
      </c>
      <c r="Q3557">
        <v>19.45879</v>
      </c>
      <c r="S3557" s="42">
        <f t="shared" ca="1" si="60"/>
        <v>49263</v>
      </c>
      <c r="T3557" s="43">
        <f ca="1">_xll.BInterpol('Base CDI'!$H$4:$H$28,'Base CDI'!$J$4:$J$29,S3557,"Cubic","Extrapolate=Linear","MultiX=Average","Skip=True","Sort=True")</f>
        <v>14.682473288016736</v>
      </c>
      <c r="U3557" s="43">
        <f ca="1">_xll.BInterpol('Base CDI'!$H$4:$H$28,'Base CDI'!$I$4:$I$29,S3557,"Cubic","Extrapolate=Linear","MultiX=Average","Skip=True","Sort=True")</f>
        <v>14.757723107507262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49264</v>
      </c>
      <c r="T3558" s="43">
        <f ca="1">_xll.BInterpol('Base CDI'!$H$4:$H$28,'Base CDI'!$J$4:$J$29,S3558,"Cubic","Extrapolate=Linear","MultiX=Average","Skip=True","Sort=True")</f>
        <v>14.682362599308252</v>
      </c>
      <c r="U3558" s="43">
        <f ca="1">_xll.BInterpol('Base CDI'!$H$4:$H$28,'Base CDI'!$I$4:$I$29,S3558,"Cubic","Extrapolate=Linear","MultiX=Average","Skip=True","Sort=True")</f>
        <v>14.757569989187942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49265</v>
      </c>
      <c r="T3559" s="43">
        <f ca="1">_xll.BInterpol('Base CDI'!$H$4:$H$28,'Base CDI'!$J$4:$J$29,S3559,"Cubic","Extrapolate=Linear","MultiX=Average","Skip=True","Sort=True")</f>
        <v>14.68225177076215</v>
      </c>
      <c r="U3559" s="43">
        <f ca="1">_xll.BInterpol('Base CDI'!$H$4:$H$28,'Base CDI'!$I$4:$I$29,S3559,"Cubic","Extrapolate=Linear","MultiX=Average","Skip=True","Sort=True")</f>
        <v>14.75741654657601</v>
      </c>
    </row>
    <row r="3560" spans="16:21" x14ac:dyDescent="0.25">
      <c r="P3560" s="10">
        <v>39692</v>
      </c>
      <c r="Q3560">
        <v>19.48678</v>
      </c>
      <c r="S3560" s="42">
        <f t="shared" ca="1" si="60"/>
        <v>49266</v>
      </c>
      <c r="T3560" s="43">
        <f ca="1">_xll.BInterpol('Base CDI'!$H$4:$H$28,'Base CDI'!$J$4:$J$29,S3560,"Cubic","Extrapolate=Linear","MultiX=Average","Skip=True","Sort=True")</f>
        <v>14.682140802234281</v>
      </c>
      <c r="U3560" s="43">
        <f ca="1">_xll.BInterpol('Base CDI'!$H$4:$H$28,'Base CDI'!$I$4:$I$29,S3560,"Cubic","Extrapolate=Linear","MultiX=Average","Skip=True","Sort=True")</f>
        <v>14.757262779230548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49267</v>
      </c>
      <c r="T3561" s="43">
        <f ca="1">_xll.BInterpol('Base CDI'!$H$4:$H$28,'Base CDI'!$J$4:$J$29,S3561,"Cubic","Extrapolate=Linear","MultiX=Average","Skip=True","Sort=True")</f>
        <v>14.682029693580498</v>
      </c>
      <c r="U3561" s="43">
        <f ca="1">_xll.BInterpol('Base CDI'!$H$4:$H$28,'Base CDI'!$I$4:$I$29,S3561,"Cubic","Extrapolate=Linear","MultiX=Average","Skip=True","Sort=True")</f>
        <v>14.757108686710637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49268</v>
      </c>
      <c r="T3562" s="43">
        <f ca="1">_xll.BInterpol('Base CDI'!$H$4:$H$28,'Base CDI'!$J$4:$J$29,S3562,"Cubic","Extrapolate=Linear","MultiX=Average","Skip=True","Sort=True")</f>
        <v>14.681918444656656</v>
      </c>
      <c r="U3562" s="43">
        <f ca="1">_xll.BInterpol('Base CDI'!$H$4:$H$28,'Base CDI'!$I$4:$I$29,S3562,"Cubic","Extrapolate=Linear","MultiX=Average","Skip=True","Sort=True")</f>
        <v>14.756954268575363</v>
      </c>
    </row>
    <row r="3563" spans="16:21" x14ac:dyDescent="0.25">
      <c r="P3563" s="10">
        <v>39695</v>
      </c>
      <c r="Q3563">
        <v>19.51484</v>
      </c>
      <c r="S3563" s="42">
        <f t="shared" ca="1" si="60"/>
        <v>49269</v>
      </c>
      <c r="T3563" s="43">
        <f ca="1">_xll.BInterpol('Base CDI'!$H$4:$H$28,'Base CDI'!$J$4:$J$29,S3563,"Cubic","Extrapolate=Linear","MultiX=Average","Skip=True","Sort=True")</f>
        <v>14.681807055318602</v>
      </c>
      <c r="U3563" s="43">
        <f ca="1">_xll.BInterpol('Base CDI'!$H$4:$H$28,'Base CDI'!$I$4:$I$29,S3563,"Cubic","Extrapolate=Linear","MultiX=Average","Skip=True","Sort=True")</f>
        <v>14.756799524383803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49270</v>
      </c>
      <c r="T3564" s="43">
        <f ca="1">_xll.BInterpol('Base CDI'!$H$4:$H$28,'Base CDI'!$J$4:$J$29,S3564,"Cubic","Extrapolate=Linear","MultiX=Average","Skip=True","Sort=True")</f>
        <v>14.681695525422194</v>
      </c>
      <c r="U3564" s="43">
        <f ca="1">_xll.BInterpol('Base CDI'!$H$4:$H$28,'Base CDI'!$I$4:$I$29,S3564,"Cubic","Extrapolate=Linear","MultiX=Average","Skip=True","Sort=True")</f>
        <v>14.756644453695044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49271</v>
      </c>
      <c r="T3565" s="43">
        <f ca="1">_xll.BInterpol('Base CDI'!$H$4:$H$28,'Base CDI'!$J$4:$J$29,S3565,"Cubic","Extrapolate=Linear","MultiX=Average","Skip=True","Sort=True")</f>
        <v>14.681583854823282</v>
      </c>
      <c r="U3565" s="43">
        <f ca="1">_xll.BInterpol('Base CDI'!$H$4:$H$28,'Base CDI'!$I$4:$I$29,S3565,"Cubic","Extrapolate=Linear","MultiX=Average","Skip=True","Sort=True")</f>
        <v>14.756489056068165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49272</v>
      </c>
      <c r="T3566" s="43">
        <f ca="1">_xll.BInterpol('Base CDI'!$H$4:$H$28,'Base CDI'!$J$4:$J$29,S3566,"Cubic","Extrapolate=Linear","MultiX=Average","Skip=True","Sort=True")</f>
        <v>14.681472043377719</v>
      </c>
      <c r="U3566" s="43">
        <f ca="1">_xll.BInterpol('Base CDI'!$H$4:$H$28,'Base CDI'!$I$4:$I$29,S3566,"Cubic","Extrapolate=Linear","MultiX=Average","Skip=True","Sort=True")</f>
        <v>14.756333331062251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49273</v>
      </c>
      <c r="T3567" s="43">
        <f ca="1">_xll.BInterpol('Base CDI'!$H$4:$H$28,'Base CDI'!$J$4:$J$29,S3567,"Cubic","Extrapolate=Linear","MultiX=Average","Skip=True","Sort=True")</f>
        <v>14.681360090941356</v>
      </c>
      <c r="U3567" s="43">
        <f ca="1">_xll.BInterpol('Base CDI'!$H$4:$H$28,'Base CDI'!$I$4:$I$29,S3567,"Cubic","Extrapolate=Linear","MultiX=Average","Skip=True","Sort=True")</f>
        <v>14.756177278236382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49274</v>
      </c>
      <c r="T3568" s="43">
        <f ca="1">_xll.BInterpol('Base CDI'!$H$4:$H$28,'Base CDI'!$J$4:$J$29,S3568,"Cubic","Extrapolate=Linear","MultiX=Average","Skip=True","Sort=True")</f>
        <v>14.681247997370047</v>
      </c>
      <c r="U3568" s="43">
        <f ca="1">_xll.BInterpol('Base CDI'!$H$4:$H$28,'Base CDI'!$I$4:$I$29,S3568,"Cubic","Extrapolate=Linear","MultiX=Average","Skip=True","Sort=True")</f>
        <v>14.756020897149641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49275</v>
      </c>
      <c r="T3569" s="43">
        <f ca="1">_xll.BInterpol('Base CDI'!$H$4:$H$28,'Base CDI'!$J$4:$J$29,S3569,"Cubic","Extrapolate=Linear","MultiX=Average","Skip=True","Sort=True")</f>
        <v>14.681135762519643</v>
      </c>
      <c r="U3569" s="43">
        <f ca="1">_xll.BInterpol('Base CDI'!$H$4:$H$28,'Base CDI'!$I$4:$I$29,S3569,"Cubic","Extrapolate=Linear","MultiX=Average","Skip=True","Sort=True")</f>
        <v>14.75586418736111</v>
      </c>
    </row>
    <row r="3570" spans="16:21" x14ac:dyDescent="0.25">
      <c r="P3570" s="10">
        <v>39706</v>
      </c>
      <c r="Q3570">
        <v>19.58154</v>
      </c>
      <c r="S3570" s="42">
        <f t="shared" ca="1" si="60"/>
        <v>49276</v>
      </c>
      <c r="T3570" s="43">
        <f ca="1">_xll.BInterpol('Base CDI'!$H$4:$H$28,'Base CDI'!$J$4:$J$29,S3570,"Cubic","Extrapolate=Linear","MultiX=Average","Skip=True","Sort=True")</f>
        <v>14.681023386246</v>
      </c>
      <c r="U3570" s="43">
        <f ca="1">_xll.BInterpol('Base CDI'!$H$4:$H$28,'Base CDI'!$I$4:$I$29,S3570,"Cubic","Extrapolate=Linear","MultiX=Average","Skip=True","Sort=True")</f>
        <v>14.755707148429872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49277</v>
      </c>
      <c r="T3571" s="43">
        <f ca="1">_xll.BInterpol('Base CDI'!$H$4:$H$28,'Base CDI'!$J$4:$J$29,S3571,"Cubic","Extrapolate=Linear","MultiX=Average","Skip=True","Sort=True")</f>
        <v>14.680910868404967</v>
      </c>
      <c r="U3571" s="43">
        <f ca="1">_xll.BInterpol('Base CDI'!$H$4:$H$28,'Base CDI'!$I$4:$I$29,S3571,"Cubic","Extrapolate=Linear","MultiX=Average","Skip=True","Sort=True")</f>
        <v>14.755549779915009</v>
      </c>
    </row>
    <row r="3572" spans="16:21" x14ac:dyDescent="0.25">
      <c r="P3572" s="10">
        <v>39708</v>
      </c>
      <c r="Q3572">
        <v>19.60136</v>
      </c>
      <c r="S3572" s="42">
        <f t="shared" ca="1" si="60"/>
        <v>49278</v>
      </c>
      <c r="T3572" s="43">
        <f ca="1">_xll.BInterpol('Base CDI'!$H$4:$H$28,'Base CDI'!$J$4:$J$29,S3572,"Cubic","Extrapolate=Linear","MultiX=Average","Skip=True","Sort=True")</f>
        <v>14.680798208852396</v>
      </c>
      <c r="U3572" s="43">
        <f ca="1">_xll.BInterpol('Base CDI'!$H$4:$H$28,'Base CDI'!$I$4:$I$29,S3572,"Cubic","Extrapolate=Linear","MultiX=Average","Skip=True","Sort=True")</f>
        <v>14.755392081375602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49279</v>
      </c>
      <c r="T3573" s="43">
        <f ca="1">_xll.BInterpol('Base CDI'!$H$4:$H$28,'Base CDI'!$J$4:$J$29,S3573,"Cubic","Extrapolate=Linear","MultiX=Average","Skip=True","Sort=True")</f>
        <v>14.680685407444143</v>
      </c>
      <c r="U3573" s="43">
        <f ca="1">_xll.BInterpol('Base CDI'!$H$4:$H$28,'Base CDI'!$I$4:$I$29,S3573,"Cubic","Extrapolate=Linear","MultiX=Average","Skip=True","Sort=True")</f>
        <v>14.755234052370735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49280</v>
      </c>
      <c r="T3574" s="43">
        <f ca="1">_xll.BInterpol('Base CDI'!$H$4:$H$28,'Base CDI'!$J$4:$J$29,S3574,"Cubic","Extrapolate=Linear","MultiX=Average","Skip=True","Sort=True")</f>
        <v>14.680572464036057</v>
      </c>
      <c r="U3574" s="43">
        <f ca="1">_xll.BInterpol('Base CDI'!$H$4:$H$28,'Base CDI'!$I$4:$I$29,S3574,"Cubic","Extrapolate=Linear","MultiX=Average","Skip=True","Sort=True")</f>
        <v>14.75507569245949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49281</v>
      </c>
      <c r="T3575" s="43">
        <f ca="1">_xll.BInterpol('Base CDI'!$H$4:$H$28,'Base CDI'!$J$4:$J$29,S3575,"Cubic","Extrapolate=Linear","MultiX=Average","Skip=True","Sort=True")</f>
        <v>14.680459378483992</v>
      </c>
      <c r="U3575" s="43">
        <f ca="1">_xll.BInterpol('Base CDI'!$H$4:$H$28,'Base CDI'!$I$4:$I$29,S3575,"Cubic","Extrapolate=Linear","MultiX=Average","Skip=True","Sort=True")</f>
        <v>14.754917001200949</v>
      </c>
    </row>
    <row r="3576" spans="16:21" x14ac:dyDescent="0.25">
      <c r="P3576" s="10">
        <v>39714</v>
      </c>
      <c r="Q3576">
        <v>19.64114</v>
      </c>
      <c r="S3576" s="42">
        <f t="shared" ca="1" si="60"/>
        <v>49282</v>
      </c>
      <c r="T3576" s="43">
        <f ca="1">_xll.BInterpol('Base CDI'!$H$4:$H$28,'Base CDI'!$J$4:$J$29,S3576,"Cubic","Extrapolate=Linear","MultiX=Average","Skip=True","Sort=True")</f>
        <v>14.680346150643802</v>
      </c>
      <c r="U3576" s="43">
        <f ca="1">_xll.BInterpol('Base CDI'!$H$4:$H$28,'Base CDI'!$I$4:$I$29,S3576,"Cubic","Extrapolate=Linear","MultiX=Average","Skip=True","Sort=True")</f>
        <v>14.754757978154194</v>
      </c>
    </row>
    <row r="3577" spans="16:21" x14ac:dyDescent="0.25">
      <c r="P3577" s="10">
        <v>39715</v>
      </c>
      <c r="Q3577">
        <v>19.65109</v>
      </c>
      <c r="S3577" s="42">
        <f t="shared" ca="1" si="60"/>
        <v>49283</v>
      </c>
      <c r="T3577" s="43">
        <f ca="1">_xll.BInterpol('Base CDI'!$H$4:$H$28,'Base CDI'!$J$4:$J$29,S3577,"Cubic","Extrapolate=Linear","MultiX=Average","Skip=True","Sort=True")</f>
        <v>14.680232780371336</v>
      </c>
      <c r="U3577" s="43">
        <f ca="1">_xll.BInterpol('Base CDI'!$H$4:$H$28,'Base CDI'!$I$4:$I$29,S3577,"Cubic","Extrapolate=Linear","MultiX=Average","Skip=True","Sort=True")</f>
        <v>14.754598622878307</v>
      </c>
    </row>
    <row r="3578" spans="16:21" x14ac:dyDescent="0.25">
      <c r="P3578" s="10">
        <v>39716</v>
      </c>
      <c r="Q3578">
        <v>19.66103</v>
      </c>
      <c r="S3578" s="42">
        <f t="shared" ca="1" si="60"/>
        <v>49284</v>
      </c>
      <c r="T3578" s="43">
        <f ca="1">_xll.BInterpol('Base CDI'!$H$4:$H$28,'Base CDI'!$J$4:$J$29,S3578,"Cubic","Extrapolate=Linear","MultiX=Average","Skip=True","Sort=True")</f>
        <v>14.680119267522448</v>
      </c>
      <c r="U3578" s="43">
        <f ca="1">_xll.BInterpol('Base CDI'!$H$4:$H$28,'Base CDI'!$I$4:$I$29,S3578,"Cubic","Extrapolate=Linear","MultiX=Average","Skip=True","Sort=True")</f>
        <v>14.75443893493237</v>
      </c>
    </row>
    <row r="3579" spans="16:21" x14ac:dyDescent="0.25">
      <c r="P3579" s="10">
        <v>39717</v>
      </c>
      <c r="Q3579">
        <v>19.67098</v>
      </c>
      <c r="S3579" s="42">
        <f t="shared" ca="1" si="60"/>
        <v>49285</v>
      </c>
      <c r="T3579" s="43">
        <f ca="1">_xll.BInterpol('Base CDI'!$H$4:$H$28,'Base CDI'!$J$4:$J$29,S3579,"Cubic","Extrapolate=Linear","MultiX=Average","Skip=True","Sort=True")</f>
        <v>14.680005611952993</v>
      </c>
      <c r="U3579" s="43">
        <f ca="1">_xll.BInterpol('Base CDI'!$H$4:$H$28,'Base CDI'!$I$4:$I$29,S3579,"Cubic","Extrapolate=Linear","MultiX=Average","Skip=True","Sort=True")</f>
        <v>14.754278913875467</v>
      </c>
    </row>
    <row r="3580" spans="16:21" x14ac:dyDescent="0.25">
      <c r="P3580" s="10">
        <v>39720</v>
      </c>
      <c r="Q3580">
        <v>19.68094</v>
      </c>
      <c r="S3580" s="42">
        <f t="shared" ca="1" si="60"/>
        <v>49286</v>
      </c>
      <c r="T3580" s="43">
        <f ca="1">_xll.BInterpol('Base CDI'!$H$4:$H$28,'Base CDI'!$J$4:$J$29,S3580,"Cubic","Extrapolate=Linear","MultiX=Average","Skip=True","Sort=True")</f>
        <v>14.679891813518818</v>
      </c>
      <c r="U3580" s="43">
        <f ca="1">_xll.BInterpol('Base CDI'!$H$4:$H$28,'Base CDI'!$I$4:$I$29,S3580,"Cubic","Extrapolate=Linear","MultiX=Average","Skip=True","Sort=True")</f>
        <v>14.754118559266679</v>
      </c>
    </row>
    <row r="3581" spans="16:21" x14ac:dyDescent="0.25">
      <c r="P3581" s="10">
        <v>39721</v>
      </c>
      <c r="Q3581">
        <v>19.69089</v>
      </c>
      <c r="S3581" s="42">
        <f t="shared" ca="1" si="60"/>
        <v>49287</v>
      </c>
      <c r="T3581" s="43">
        <f ca="1">_xll.BInterpol('Base CDI'!$H$4:$H$28,'Base CDI'!$J$4:$J$29,S3581,"Cubic","Extrapolate=Linear","MultiX=Average","Skip=True","Sort=True")</f>
        <v>14.679777872075782</v>
      </c>
      <c r="U3581" s="43">
        <f ca="1">_xll.BInterpol('Base CDI'!$H$4:$H$28,'Base CDI'!$I$4:$I$29,S3581,"Cubic","Extrapolate=Linear","MultiX=Average","Skip=True","Sort=True")</f>
        <v>14.753957870665088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49288</v>
      </c>
      <c r="T3582" s="43">
        <f ca="1">_xll.BInterpol('Base CDI'!$H$4:$H$28,'Base CDI'!$J$4:$J$29,S3582,"Cubic","Extrapolate=Linear","MultiX=Average","Skip=True","Sort=True")</f>
        <v>14.679663787479731</v>
      </c>
      <c r="U3582" s="43">
        <f ca="1">_xll.BInterpol('Base CDI'!$H$4:$H$28,'Base CDI'!$I$4:$I$29,S3582,"Cubic","Extrapolate=Linear","MultiX=Average","Skip=True","Sort=True")</f>
        <v>14.753796847629777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49289</v>
      </c>
      <c r="T3583" s="43">
        <f ca="1">_xll.BInterpol('Base CDI'!$H$4:$H$28,'Base CDI'!$J$4:$J$29,S3583,"Cubic","Extrapolate=Linear","MultiX=Average","Skip=True","Sort=True")</f>
        <v>14.679549559586523</v>
      </c>
      <c r="U3583" s="43">
        <f ca="1">_xll.BInterpol('Base CDI'!$H$4:$H$28,'Base CDI'!$I$4:$I$29,S3583,"Cubic","Extrapolate=Linear","MultiX=Average","Skip=True","Sort=True")</f>
        <v>14.753635489719828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49290</v>
      </c>
      <c r="T3584" s="43">
        <f ca="1">_xll.BInterpol('Base CDI'!$H$4:$H$28,'Base CDI'!$J$4:$J$29,S3584,"Cubic","Extrapolate=Linear","MultiX=Average","Skip=True","Sort=True")</f>
        <v>14.679435188252008</v>
      </c>
      <c r="U3584" s="43">
        <f ca="1">_xll.BInterpol('Base CDI'!$H$4:$H$28,'Base CDI'!$I$4:$I$29,S3584,"Cubic","Extrapolate=Linear","MultiX=Average","Skip=True","Sort=True")</f>
        <v>14.753473796494323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49291</v>
      </c>
      <c r="T3585" s="43">
        <f ca="1">_xll.BInterpol('Base CDI'!$H$4:$H$28,'Base CDI'!$J$4:$J$29,S3585,"Cubic","Extrapolate=Linear","MultiX=Average","Skip=True","Sort=True")</f>
        <v>14.679320673332036</v>
      </c>
      <c r="U3585" s="43">
        <f ca="1">_xll.BInterpol('Base CDI'!$H$4:$H$28,'Base CDI'!$I$4:$I$29,S3585,"Cubic","Extrapolate=Linear","MultiX=Average","Skip=True","Sort=True")</f>
        <v>14.753311767512345</v>
      </c>
    </row>
    <row r="3586" spans="16:21" x14ac:dyDescent="0.25">
      <c r="P3586" s="10">
        <v>39728</v>
      </c>
      <c r="Q3586">
        <v>19.74089</v>
      </c>
      <c r="S3586" s="42">
        <f t="shared" ca="1" si="60"/>
        <v>49292</v>
      </c>
      <c r="T3586" s="43">
        <f ca="1">_xll.BInterpol('Base CDI'!$H$4:$H$28,'Base CDI'!$J$4:$J$29,S3586,"Cubic","Extrapolate=Linear","MultiX=Average","Skip=True","Sort=True")</f>
        <v>14.679206014682464</v>
      </c>
      <c r="U3586" s="43">
        <f ca="1">_xll.BInterpol('Base CDI'!$H$4:$H$28,'Base CDI'!$I$4:$I$29,S3586,"Cubic","Extrapolate=Linear","MultiX=Average","Skip=True","Sort=True")</f>
        <v>14.753149402332975</v>
      </c>
    </row>
    <row r="3587" spans="16:21" x14ac:dyDescent="0.25">
      <c r="P3587" s="10">
        <v>39729</v>
      </c>
      <c r="Q3587">
        <v>19.75095</v>
      </c>
      <c r="S3587" s="42">
        <f t="shared" ca="1" si="60"/>
        <v>49293</v>
      </c>
      <c r="T3587" s="43">
        <f ca="1">_xll.BInterpol('Base CDI'!$H$4:$H$28,'Base CDI'!$J$4:$J$29,S3587,"Cubic","Extrapolate=Linear","MultiX=Average","Skip=True","Sort=True")</f>
        <v>14.679091212159143</v>
      </c>
      <c r="U3587" s="43">
        <f ca="1">_xll.BInterpol('Base CDI'!$H$4:$H$28,'Base CDI'!$I$4:$I$29,S3587,"Cubic","Extrapolate=Linear","MultiX=Average","Skip=True","Sort=True")</f>
        <v>14.752986700515295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49294</v>
      </c>
      <c r="T3588" s="43">
        <f ca="1">_xll.BInterpol('Base CDI'!$H$4:$H$28,'Base CDI'!$J$4:$J$29,S3588,"Cubic","Extrapolate=Linear","MultiX=Average","Skip=True","Sort=True")</f>
        <v>14.678976265617925</v>
      </c>
      <c r="U3588" s="43">
        <f ca="1">_xll.BInterpol('Base CDI'!$H$4:$H$28,'Base CDI'!$I$4:$I$29,S3588,"Cubic","Extrapolate=Linear","MultiX=Average","Skip=True","Sort=True")</f>
        <v>14.75282366161839</v>
      </c>
    </row>
    <row r="3589" spans="16:21" x14ac:dyDescent="0.25">
      <c r="P3589" s="10">
        <v>39731</v>
      </c>
      <c r="Q3589">
        <v>19.77103</v>
      </c>
      <c r="S3589" s="42">
        <f t="shared" ca="1" si="60"/>
        <v>49295</v>
      </c>
      <c r="T3589" s="43">
        <f ca="1">_xll.BInterpol('Base CDI'!$H$4:$H$28,'Base CDI'!$J$4:$J$29,S3589,"Cubic","Extrapolate=Linear","MultiX=Average","Skip=True","Sort=True")</f>
        <v>14.678861174914662</v>
      </c>
      <c r="U3589" s="43">
        <f ca="1">_xll.BInterpol('Base CDI'!$H$4:$H$28,'Base CDI'!$I$4:$I$29,S3589,"Cubic","Extrapolate=Linear","MultiX=Average","Skip=True","Sort=True")</f>
        <v>14.752660285201339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49296</v>
      </c>
      <c r="T3590" s="43">
        <f ca="1">_xll.BInterpol('Base CDI'!$H$4:$H$28,'Base CDI'!$J$4:$J$29,S3590,"Cubic","Extrapolate=Linear","MultiX=Average","Skip=True","Sort=True")</f>
        <v>14.678745939905205</v>
      </c>
      <c r="U3590" s="43">
        <f ca="1">_xll.BInterpol('Base CDI'!$H$4:$H$28,'Base CDI'!$I$4:$I$29,S3590,"Cubic","Extrapolate=Linear","MultiX=Average","Skip=True","Sort=True")</f>
        <v>14.752496570823228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49297</v>
      </c>
      <c r="T3591" s="43">
        <f ca="1">_xll.BInterpol('Base CDI'!$H$4:$H$28,'Base CDI'!$J$4:$J$29,S3591,"Cubic","Extrapolate=Linear","MultiX=Average","Skip=True","Sort=True")</f>
        <v>14.678630560445411</v>
      </c>
      <c r="U3591" s="43">
        <f ca="1">_xll.BInterpol('Base CDI'!$H$4:$H$28,'Base CDI'!$I$4:$I$29,S3591,"Cubic","Extrapolate=Linear","MultiX=Average","Skip=True","Sort=True")</f>
        <v>14.752332518043135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49298</v>
      </c>
      <c r="T3592" s="43">
        <f ca="1">_xll.BInterpol('Base CDI'!$H$4:$H$28,'Base CDI'!$J$4:$J$29,S3592,"Cubic","Extrapolate=Linear","MultiX=Average","Skip=True","Sort=True")</f>
        <v>14.678515036391129</v>
      </c>
      <c r="U3592" s="43">
        <f ca="1">_xll.BInterpol('Base CDI'!$H$4:$H$28,'Base CDI'!$I$4:$I$29,S3592,"Cubic","Extrapolate=Linear","MultiX=Average","Skip=True","Sort=True")</f>
        <v>14.752168126420145</v>
      </c>
    </row>
    <row r="3593" spans="16:21" x14ac:dyDescent="0.25">
      <c r="P3593" s="10">
        <v>39737</v>
      </c>
      <c r="Q3593">
        <v>19.81129</v>
      </c>
      <c r="S3593" s="42">
        <f t="shared" ca="1" si="60"/>
        <v>49299</v>
      </c>
      <c r="T3593" s="43">
        <f ca="1">_xll.BInterpol('Base CDI'!$H$4:$H$28,'Base CDI'!$J$4:$J$29,S3593,"Cubic","Extrapolate=Linear","MultiX=Average","Skip=True","Sort=True")</f>
        <v>14.678399367598212</v>
      </c>
      <c r="U3593" s="43">
        <f ca="1">_xll.BInterpol('Base CDI'!$H$4:$H$28,'Base CDI'!$I$4:$I$29,S3593,"Cubic","Extrapolate=Linear","MultiX=Average","Skip=True","Sort=True")</f>
        <v>14.752003395513338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49300</v>
      </c>
      <c r="T3594" s="43">
        <f ca="1">_xll.BInterpol('Base CDI'!$H$4:$H$28,'Base CDI'!$J$4:$J$29,S3594,"Cubic","Extrapolate=Linear","MultiX=Average","Skip=True","Sort=True")</f>
        <v>14.678283553922512</v>
      </c>
      <c r="U3594" s="43">
        <f ca="1">_xll.BInterpol('Base CDI'!$H$4:$H$28,'Base CDI'!$I$4:$I$29,S3594,"Cubic","Extrapolate=Linear","MultiX=Average","Skip=True","Sort=True")</f>
        <v>14.751838324881799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49301</v>
      </c>
      <c r="T3595" s="43">
        <f ca="1">_xll.BInterpol('Base CDI'!$H$4:$H$28,'Base CDI'!$J$4:$J$29,S3595,"Cubic","Extrapolate=Linear","MultiX=Average","Skip=True","Sort=True")</f>
        <v>14.678167595219884</v>
      </c>
      <c r="U3595" s="43">
        <f ca="1">_xll.BInterpol('Base CDI'!$H$4:$H$28,'Base CDI'!$I$4:$I$29,S3595,"Cubic","Extrapolate=Linear","MultiX=Average","Skip=True","Sort=True")</f>
        <v>14.751672914084608</v>
      </c>
    </row>
    <row r="3596" spans="16:21" x14ac:dyDescent="0.25">
      <c r="P3596" s="10">
        <v>39742</v>
      </c>
      <c r="Q3596">
        <v>19.84151</v>
      </c>
      <c r="S3596" s="42">
        <f t="shared" ca="1" si="61"/>
        <v>49302</v>
      </c>
      <c r="T3596" s="43">
        <f ca="1">_xll.BInterpol('Base CDI'!$H$4:$H$28,'Base CDI'!$J$4:$J$29,S3596,"Cubic","Extrapolate=Linear","MultiX=Average","Skip=True","Sort=True")</f>
        <v>14.678051491346178</v>
      </c>
      <c r="U3596" s="43">
        <f ca="1">_xll.BInterpol('Base CDI'!$H$4:$H$28,'Base CDI'!$I$4:$I$29,S3596,"Cubic","Extrapolate=Linear","MultiX=Average","Skip=True","Sort=True")</f>
        <v>14.75150716268085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49303</v>
      </c>
      <c r="T3597" s="43">
        <f ca="1">_xll.BInterpol('Base CDI'!$H$4:$H$28,'Base CDI'!$J$4:$J$29,S3597,"Cubic","Extrapolate=Linear","MultiX=Average","Skip=True","Sort=True")</f>
        <v>14.677935242157247</v>
      </c>
      <c r="U3597" s="43">
        <f ca="1">_xll.BInterpol('Base CDI'!$H$4:$H$28,'Base CDI'!$I$4:$I$29,S3597,"Cubic","Extrapolate=Linear","MultiX=Average","Skip=True","Sort=True")</f>
        <v>14.751341070229605</v>
      </c>
    </row>
    <row r="3598" spans="16:21" x14ac:dyDescent="0.25">
      <c r="P3598" s="10">
        <v>39744</v>
      </c>
      <c r="Q3598">
        <v>19.86157</v>
      </c>
      <c r="S3598" s="42">
        <f t="shared" ca="1" si="61"/>
        <v>49304</v>
      </c>
      <c r="T3598" s="43">
        <f ca="1">_xll.BInterpol('Base CDI'!$H$4:$H$28,'Base CDI'!$J$4:$J$29,S3598,"Cubic","Extrapolate=Linear","MultiX=Average","Skip=True","Sort=True")</f>
        <v>14.677818847508943</v>
      </c>
      <c r="U3598" s="43">
        <f ca="1">_xll.BInterpol('Base CDI'!$H$4:$H$28,'Base CDI'!$I$4:$I$29,S3598,"Cubic","Extrapolate=Linear","MultiX=Average","Skip=True","Sort=True")</f>
        <v>14.751174636289955</v>
      </c>
    </row>
    <row r="3599" spans="16:21" x14ac:dyDescent="0.25">
      <c r="P3599" s="10">
        <v>39745</v>
      </c>
      <c r="Q3599">
        <v>19.87163</v>
      </c>
      <c r="S3599" s="42">
        <f t="shared" ca="1" si="61"/>
        <v>49305</v>
      </c>
      <c r="T3599" s="43">
        <f ca="1">_xll.BInterpol('Base CDI'!$H$4:$H$28,'Base CDI'!$J$4:$J$29,S3599,"Cubic","Extrapolate=Linear","MultiX=Average","Skip=True","Sort=True")</f>
        <v>14.677702307257119</v>
      </c>
      <c r="U3599" s="43">
        <f ca="1">_xll.BInterpol('Base CDI'!$H$4:$H$28,'Base CDI'!$I$4:$I$29,S3599,"Cubic","Extrapolate=Linear","MultiX=Average","Skip=True","Sort=True")</f>
        <v>14.751007860420984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49306</v>
      </c>
      <c r="T3600" s="43">
        <f ca="1">_xll.BInterpol('Base CDI'!$H$4:$H$28,'Base CDI'!$J$4:$J$29,S3600,"Cubic","Extrapolate=Linear","MultiX=Average","Skip=True","Sort=True")</f>
        <v>14.677585621257629</v>
      </c>
      <c r="U3600" s="43">
        <f ca="1">_xll.BInterpol('Base CDI'!$H$4:$H$28,'Base CDI'!$I$4:$I$29,S3600,"Cubic","Extrapolate=Linear","MultiX=Average","Skip=True","Sort=True")</f>
        <v>14.750840742181772</v>
      </c>
    </row>
    <row r="3601" spans="16:21" x14ac:dyDescent="0.25">
      <c r="P3601" s="10">
        <v>39749</v>
      </c>
      <c r="Q3601">
        <v>19.89179</v>
      </c>
      <c r="S3601" s="42">
        <f t="shared" ca="1" si="61"/>
        <v>49307</v>
      </c>
      <c r="T3601" s="43">
        <f ca="1">_xll.BInterpol('Base CDI'!$H$4:$H$28,'Base CDI'!$J$4:$J$29,S3601,"Cubic","Extrapolate=Linear","MultiX=Average","Skip=True","Sort=True")</f>
        <v>14.677468789366323</v>
      </c>
      <c r="U3601" s="43">
        <f ca="1">_xll.BInterpol('Base CDI'!$H$4:$H$28,'Base CDI'!$I$4:$I$29,S3601,"Cubic","Extrapolate=Linear","MultiX=Average","Skip=True","Sort=True")</f>
        <v>14.750673281131403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49308</v>
      </c>
      <c r="T3602" s="43">
        <f ca="1">_xll.BInterpol('Base CDI'!$H$4:$H$28,'Base CDI'!$J$4:$J$29,S3602,"Cubic","Extrapolate=Linear","MultiX=Average","Skip=True","Sort=True")</f>
        <v>14.677351811439054</v>
      </c>
      <c r="U3602" s="43">
        <f ca="1">_xll.BInterpol('Base CDI'!$H$4:$H$28,'Base CDI'!$I$4:$I$29,S3602,"Cubic","Extrapolate=Linear","MultiX=Average","Skip=True","Sort=True")</f>
        <v>14.750505476828961</v>
      </c>
    </row>
    <row r="3603" spans="16:21" x14ac:dyDescent="0.25">
      <c r="P3603" s="10">
        <v>39751</v>
      </c>
      <c r="Q3603">
        <v>19.91197</v>
      </c>
      <c r="S3603" s="42">
        <f t="shared" ca="1" si="61"/>
        <v>49309</v>
      </c>
      <c r="T3603" s="43">
        <f ca="1">_xll.BInterpol('Base CDI'!$H$4:$H$28,'Base CDI'!$J$4:$J$29,S3603,"Cubic","Extrapolate=Linear","MultiX=Average","Skip=True","Sort=True")</f>
        <v>14.677234687331676</v>
      </c>
      <c r="U3603" s="43">
        <f ca="1">_xll.BInterpol('Base CDI'!$H$4:$H$28,'Base CDI'!$I$4:$I$29,S3603,"Cubic","Extrapolate=Linear","MultiX=Average","Skip=True","Sort=True")</f>
        <v>14.750337328833524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49310</v>
      </c>
      <c r="T3604" s="43">
        <f ca="1">_xll.BInterpol('Base CDI'!$H$4:$H$28,'Base CDI'!$J$4:$J$29,S3604,"Cubic","Extrapolate=Linear","MultiX=Average","Skip=True","Sort=True")</f>
        <v>14.677117416900041</v>
      </c>
      <c r="U3604" s="43">
        <f ca="1">_xll.BInterpol('Base CDI'!$H$4:$H$28,'Base CDI'!$I$4:$I$29,S3604,"Cubic","Extrapolate=Linear","MultiX=Average","Skip=True","Sort=True")</f>
        <v>14.750168836704177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49311</v>
      </c>
      <c r="T3605" s="43">
        <f ca="1">_xll.BInterpol('Base CDI'!$H$4:$H$28,'Base CDI'!$J$4:$J$29,S3605,"Cubic","Extrapolate=Linear","MultiX=Average","Skip=True","Sort=True")</f>
        <v>14.677</v>
      </c>
      <c r="U3605" s="43">
        <f ca="1">_xll.BInterpol('Base CDI'!$H$4:$H$28,'Base CDI'!$I$4:$I$29,S3605,"Cubic","Extrapolate=Linear","MultiX=Average","Skip=True","Sort=True")</f>
        <v>14.75</v>
      </c>
    </row>
    <row r="3606" spans="16:21" x14ac:dyDescent="0.25">
      <c r="P3606" s="10">
        <v>39756</v>
      </c>
      <c r="Q3606">
        <v>19.94218</v>
      </c>
      <c r="S3606" s="42">
        <f t="shared" ca="1" si="61"/>
        <v>49312</v>
      </c>
      <c r="T3606" s="43">
        <f ca="1">_xll.BInterpol('Base CDI'!$H$4:$H$28,'Base CDI'!$J$4:$J$29,S3606,"Cubic","Extrapolate=Linear","MultiX=Average","Skip=True","Sort=True")</f>
        <v>14.676882436544858</v>
      </c>
      <c r="U3606" s="43">
        <f ca="1">_xll.BInterpol('Base CDI'!$H$4:$H$28,'Base CDI'!$I$4:$I$29,S3606,"Cubic","Extrapolate=Linear","MultiX=Average","Skip=True","Sort=True")</f>
        <v>14.749830818432228</v>
      </c>
    </row>
    <row r="3607" spans="16:21" x14ac:dyDescent="0.25">
      <c r="P3607" s="10">
        <v>39757</v>
      </c>
      <c r="Q3607">
        <v>19.95224</v>
      </c>
      <c r="S3607" s="42">
        <f t="shared" ca="1" si="61"/>
        <v>49313</v>
      </c>
      <c r="T3607" s="43">
        <f ca="1">_xll.BInterpol('Base CDI'!$H$4:$H$28,'Base CDI'!$J$4:$J$29,S3607,"Cubic","Extrapolate=Linear","MultiX=Average","Skip=True","Sort=True")</f>
        <v>14.676764726677728</v>
      </c>
      <c r="U3607" s="43">
        <f ca="1">_xll.BInterpol('Base CDI'!$H$4:$H$28,'Base CDI'!$I$4:$I$29,S3607,"Cubic","Extrapolate=Linear","MultiX=Average","Skip=True","Sort=True")</f>
        <v>14.749661292320686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49314</v>
      </c>
      <c r="T3608" s="43">
        <f ca="1">_xll.BInterpol('Base CDI'!$H$4:$H$28,'Base CDI'!$J$4:$J$29,S3608,"Cubic","Extrapolate=Linear","MultiX=Average","Skip=True","Sort=True")</f>
        <v>14.676646870599175</v>
      </c>
      <c r="U3608" s="43">
        <f ca="1">_xll.BInterpol('Base CDI'!$H$4:$H$28,'Base CDI'!$I$4:$I$29,S3608,"Cubic","Extrapolate=Linear","MultiX=Average","Skip=True","Sort=True")</f>
        <v>14.749491422137355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49315</v>
      </c>
      <c r="T3609" s="43">
        <f ca="1">_xll.BInterpol('Base CDI'!$H$4:$H$28,'Base CDI'!$J$4:$J$29,S3609,"Cubic","Extrapolate=Linear","MultiX=Average","Skip=True","Sort=True")</f>
        <v>14.676528868509761</v>
      </c>
      <c r="U3609" s="43">
        <f ca="1">_xll.BInterpol('Base CDI'!$H$4:$H$28,'Base CDI'!$I$4:$I$29,S3609,"Cubic","Extrapolate=Linear","MultiX=Average","Skip=True","Sort=True")</f>
        <v>14.74932120835421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49316</v>
      </c>
      <c r="T3610" s="43">
        <f ca="1">_xll.BInterpol('Base CDI'!$H$4:$H$28,'Base CDI'!$J$4:$J$29,S3610,"Cubic","Extrapolate=Linear","MultiX=Average","Skip=True","Sort=True")</f>
        <v>14.676410720610052</v>
      </c>
      <c r="U3610" s="43">
        <f ca="1">_xll.BInterpol('Base CDI'!$H$4:$H$28,'Base CDI'!$I$4:$I$29,S3610,"Cubic","Extrapolate=Linear","MultiX=Average","Skip=True","Sort=True")</f>
        <v>14.74915065144323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49317</v>
      </c>
      <c r="T3611" s="43">
        <f ca="1">_xll.BInterpol('Base CDI'!$H$4:$H$28,'Base CDI'!$J$4:$J$29,S3611,"Cubic","Extrapolate=Linear","MultiX=Average","Skip=True","Sort=True")</f>
        <v>14.676292427100615</v>
      </c>
      <c r="U3611" s="43">
        <f ca="1">_xll.BInterpol('Base CDI'!$H$4:$H$28,'Base CDI'!$I$4:$I$29,S3611,"Cubic","Extrapolate=Linear","MultiX=Average","Skip=True","Sort=True")</f>
        <v>14.748979751876393</v>
      </c>
    </row>
    <row r="3612" spans="16:21" x14ac:dyDescent="0.25">
      <c r="P3612" s="10">
        <v>39764</v>
      </c>
      <c r="Q3612">
        <v>20.00245</v>
      </c>
      <c r="S3612" s="42">
        <f t="shared" ca="1" si="61"/>
        <v>49318</v>
      </c>
      <c r="T3612" s="43">
        <f ca="1">_xll.BInterpol('Base CDI'!$H$4:$H$28,'Base CDI'!$J$4:$J$29,S3612,"Cubic","Extrapolate=Linear","MultiX=Average","Skip=True","Sort=True")</f>
        <v>14.676173988182008</v>
      </c>
      <c r="U3612" s="43">
        <f ca="1">_xll.BInterpol('Base CDI'!$H$4:$H$28,'Base CDI'!$I$4:$I$29,S3612,"Cubic","Extrapolate=Linear","MultiX=Average","Skip=True","Sort=True")</f>
        <v>14.748808510125677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49319</v>
      </c>
      <c r="T3613" s="43">
        <f ca="1">_xll.BInterpol('Base CDI'!$H$4:$H$28,'Base CDI'!$J$4:$J$29,S3613,"Cubic","Extrapolate=Linear","MultiX=Average","Skip=True","Sort=True")</f>
        <v>14.6760554040548</v>
      </c>
      <c r="U3613" s="43">
        <f ca="1">_xll.BInterpol('Base CDI'!$H$4:$H$28,'Base CDI'!$I$4:$I$29,S3613,"Cubic","Extrapolate=Linear","MultiX=Average","Skip=True","Sort=True")</f>
        <v>14.748636926663059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49320</v>
      </c>
      <c r="T3614" s="43">
        <f ca="1">_xll.BInterpol('Base CDI'!$H$4:$H$28,'Base CDI'!$J$4:$J$29,S3614,"Cubic","Extrapolate=Linear","MultiX=Average","Skip=True","Sort=True")</f>
        <v>14.675936674919555</v>
      </c>
      <c r="U3614" s="43">
        <f ca="1">_xll.BInterpol('Base CDI'!$H$4:$H$28,'Base CDI'!$I$4:$I$29,S3614,"Cubic","Extrapolate=Linear","MultiX=Average","Skip=True","Sort=True")</f>
        <v>14.748465001960515</v>
      </c>
    </row>
    <row r="3615" spans="16:21" x14ac:dyDescent="0.25">
      <c r="P3615" s="10">
        <v>39769</v>
      </c>
      <c r="Q3615">
        <v>20.03219</v>
      </c>
      <c r="S3615" s="42">
        <f t="shared" ca="1" si="61"/>
        <v>49321</v>
      </c>
      <c r="T3615" s="43">
        <f ca="1">_xll.BInterpol('Base CDI'!$H$4:$H$28,'Base CDI'!$J$4:$J$29,S3615,"Cubic","Extrapolate=Linear","MultiX=Average","Skip=True","Sort=True")</f>
        <v>14.675817800976837</v>
      </c>
      <c r="U3615" s="43">
        <f ca="1">_xll.BInterpol('Base CDI'!$H$4:$H$28,'Base CDI'!$I$4:$I$29,S3615,"Cubic","Extrapolate=Linear","MultiX=Average","Skip=True","Sort=True")</f>
        <v>14.748292736490027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49322</v>
      </c>
      <c r="T3616" s="43">
        <f ca="1">_xll.BInterpol('Base CDI'!$H$4:$H$28,'Base CDI'!$J$4:$J$29,S3616,"Cubic","Extrapolate=Linear","MultiX=Average","Skip=True","Sort=True")</f>
        <v>14.67569878242721</v>
      </c>
      <c r="U3616" s="43">
        <f ca="1">_xll.BInterpol('Base CDI'!$H$4:$H$28,'Base CDI'!$I$4:$I$29,S3616,"Cubic","Extrapolate=Linear","MultiX=Average","Skip=True","Sort=True")</f>
        <v>14.748120130723569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49323</v>
      </c>
      <c r="T3617" s="43">
        <f ca="1">_xll.BInterpol('Base CDI'!$H$4:$H$28,'Base CDI'!$J$4:$J$29,S3617,"Cubic","Extrapolate=Linear","MultiX=Average","Skip=True","Sort=True")</f>
        <v>14.675579619471238</v>
      </c>
      <c r="U3617" s="43">
        <f ca="1">_xll.BInterpol('Base CDI'!$H$4:$H$28,'Base CDI'!$I$4:$I$29,S3617,"Cubic","Extrapolate=Linear","MultiX=Average","Skip=True","Sort=True")</f>
        <v>14.747947185133121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49324</v>
      </c>
      <c r="T3618" s="43">
        <f ca="1">_xll.BInterpol('Base CDI'!$H$4:$H$28,'Base CDI'!$J$4:$J$29,S3618,"Cubic","Extrapolate=Linear","MultiX=Average","Skip=True","Sort=True")</f>
        <v>14.675460312309484</v>
      </c>
      <c r="U3618" s="43">
        <f ca="1">_xll.BInterpol('Base CDI'!$H$4:$H$28,'Base CDI'!$I$4:$I$29,S3618,"Cubic","Extrapolate=Linear","MultiX=Average","Skip=True","Sort=True")</f>
        <v>14.74777390019066</v>
      </c>
    </row>
    <row r="3619" spans="16:21" x14ac:dyDescent="0.25">
      <c r="P3619" s="10">
        <v>39773</v>
      </c>
      <c r="Q3619">
        <v>20.07132</v>
      </c>
      <c r="S3619" s="42">
        <f t="shared" ca="1" si="61"/>
        <v>49325</v>
      </c>
      <c r="T3619" s="43">
        <f ca="1">_xll.BInterpol('Base CDI'!$H$4:$H$28,'Base CDI'!$J$4:$J$29,S3619,"Cubic","Extrapolate=Linear","MultiX=Average","Skip=True","Sort=True")</f>
        <v>14.675340861142516</v>
      </c>
      <c r="U3619" s="43">
        <f ca="1">_xll.BInterpol('Base CDI'!$H$4:$H$28,'Base CDI'!$I$4:$I$29,S3619,"Cubic","Extrapolate=Linear","MultiX=Average","Skip=True","Sort=True")</f>
        <v>14.747600276368164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49326</v>
      </c>
      <c r="T3620" s="43">
        <f ca="1">_xll.BInterpol('Base CDI'!$H$4:$H$28,'Base CDI'!$J$4:$J$29,S3620,"Cubic","Extrapolate=Linear","MultiX=Average","Skip=True","Sort=True")</f>
        <v>14.675221266170897</v>
      </c>
      <c r="U3620" s="43">
        <f ca="1">_xll.BInterpol('Base CDI'!$H$4:$H$28,'Base CDI'!$I$4:$I$29,S3620,"Cubic","Extrapolate=Linear","MultiX=Average","Skip=True","Sort=True")</f>
        <v>14.747426314137611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49327</v>
      </c>
      <c r="T3621" s="43">
        <f ca="1">_xll.BInterpol('Base CDI'!$H$4:$H$28,'Base CDI'!$J$4:$J$29,S3621,"Cubic","Extrapolate=Linear","MultiX=Average","Skip=True","Sort=True")</f>
        <v>14.67510152759519</v>
      </c>
      <c r="U3621" s="43">
        <f ca="1">_xll.BInterpol('Base CDI'!$H$4:$H$28,'Base CDI'!$I$4:$I$29,S3621,"Cubic","Extrapolate=Linear","MultiX=Average","Skip=True","Sort=True")</f>
        <v>14.747252013970977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49328</v>
      </c>
      <c r="T3622" s="43">
        <f ca="1">_xll.BInterpol('Base CDI'!$H$4:$H$28,'Base CDI'!$J$4:$J$29,S3622,"Cubic","Extrapolate=Linear","MultiX=Average","Skip=True","Sort=True")</f>
        <v>14.674981645615961</v>
      </c>
      <c r="U3622" s="43">
        <f ca="1">_xll.BInterpol('Base CDI'!$H$4:$H$28,'Base CDI'!$I$4:$I$29,S3622,"Cubic","Extrapolate=Linear","MultiX=Average","Skip=True","Sort=True")</f>
        <v>14.747077376340242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49329</v>
      </c>
      <c r="T3623" s="43">
        <f ca="1">_xll.BInterpol('Base CDI'!$H$4:$H$28,'Base CDI'!$J$4:$J$29,S3623,"Cubic","Extrapolate=Linear","MultiX=Average","Skip=True","Sort=True")</f>
        <v>14.674861620433772</v>
      </c>
      <c r="U3623" s="43">
        <f ca="1">_xll.BInterpol('Base CDI'!$H$4:$H$28,'Base CDI'!$I$4:$I$29,S3623,"Cubic","Extrapolate=Linear","MultiX=Average","Skip=True","Sort=True")</f>
        <v>14.746902401717383</v>
      </c>
    </row>
    <row r="3624" spans="16:21" x14ac:dyDescent="0.25">
      <c r="P3624" s="10">
        <v>39780</v>
      </c>
      <c r="Q3624">
        <v>20.12058</v>
      </c>
      <c r="S3624" s="42">
        <f t="shared" ca="1" si="61"/>
        <v>49330</v>
      </c>
      <c r="T3624" s="43">
        <f ca="1">_xll.BInterpol('Base CDI'!$H$4:$H$28,'Base CDI'!$J$4:$J$29,S3624,"Cubic","Extrapolate=Linear","MultiX=Average","Skip=True","Sort=True")</f>
        <v>14.67474145224919</v>
      </c>
      <c r="U3624" s="43">
        <f ca="1">_xll.BInterpol('Base CDI'!$H$4:$H$28,'Base CDI'!$I$4:$I$29,S3624,"Cubic","Extrapolate=Linear","MultiX=Average","Skip=True","Sort=True")</f>
        <v>14.746727090574376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49331</v>
      </c>
      <c r="T3625" s="43">
        <f ca="1">_xll.BInterpol('Base CDI'!$H$4:$H$28,'Base CDI'!$J$4:$J$29,S3625,"Cubic","Extrapolate=Linear","MultiX=Average","Skip=True","Sort=True")</f>
        <v>14.674621141262779</v>
      </c>
      <c r="U3625" s="43">
        <f ca="1">_xll.BInterpol('Base CDI'!$H$4:$H$28,'Base CDI'!$I$4:$I$29,S3625,"Cubic","Extrapolate=Linear","MultiX=Average","Skip=True","Sort=True")</f>
        <v>14.746551443383202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49332</v>
      </c>
      <c r="T3626" s="43">
        <f ca="1">_xll.BInterpol('Base CDI'!$H$4:$H$28,'Base CDI'!$J$4:$J$29,S3626,"Cubic","Extrapolate=Linear","MultiX=Average","Skip=True","Sort=True")</f>
        <v>14.674500687675103</v>
      </c>
      <c r="U3626" s="43">
        <f ca="1">_xll.BInterpol('Base CDI'!$H$4:$H$28,'Base CDI'!$I$4:$I$29,S3626,"Cubic","Extrapolate=Linear","MultiX=Average","Skip=True","Sort=True")</f>
        <v>14.746375460615837</v>
      </c>
    </row>
    <row r="3627" spans="16:21" x14ac:dyDescent="0.25">
      <c r="P3627" s="10">
        <v>39785</v>
      </c>
      <c r="Q3627">
        <v>20.1508</v>
      </c>
      <c r="S3627" s="42">
        <f t="shared" ca="1" si="61"/>
        <v>49333</v>
      </c>
      <c r="T3627" s="43">
        <f ca="1">_xll.BInterpol('Base CDI'!$H$4:$H$28,'Base CDI'!$J$4:$J$29,S3627,"Cubic","Extrapolate=Linear","MultiX=Average","Skip=True","Sort=True")</f>
        <v>14.674380091686725</v>
      </c>
      <c r="U3627" s="43">
        <f ca="1">_xll.BInterpol('Base CDI'!$H$4:$H$28,'Base CDI'!$I$4:$I$29,S3627,"Cubic","Extrapolate=Linear","MultiX=Average","Skip=True","Sort=True")</f>
        <v>14.74619914274426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49334</v>
      </c>
      <c r="T3628" s="43">
        <f ca="1">_xll.BInterpol('Base CDI'!$H$4:$H$28,'Base CDI'!$J$4:$J$29,S3628,"Cubic","Extrapolate=Linear","MultiX=Average","Skip=True","Sort=True")</f>
        <v>14.67425935349821</v>
      </c>
      <c r="U3628" s="43">
        <f ca="1">_xll.BInterpol('Base CDI'!$H$4:$H$28,'Base CDI'!$I$4:$I$29,S3628,"Cubic","Extrapolate=Linear","MultiX=Average","Skip=True","Sort=True")</f>
        <v>14.746022490240446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49335</v>
      </c>
      <c r="T3629" s="43">
        <f ca="1">_xll.BInterpol('Base CDI'!$H$4:$H$28,'Base CDI'!$J$4:$J$29,S3629,"Cubic","Extrapolate=Linear","MultiX=Average","Skip=True","Sort=True")</f>
        <v>14.674138473310125</v>
      </c>
      <c r="U3629" s="43">
        <f ca="1">_xll.BInterpol('Base CDI'!$H$4:$H$28,'Base CDI'!$I$4:$I$29,S3629,"Cubic","Extrapolate=Linear","MultiX=Average","Skip=True","Sort=True")</f>
        <v>14.745845503576374</v>
      </c>
    </row>
    <row r="3630" spans="16:21" x14ac:dyDescent="0.25">
      <c r="P3630" s="10">
        <v>39790</v>
      </c>
      <c r="Q3630">
        <v>20.18113</v>
      </c>
      <c r="S3630" s="42">
        <f t="shared" ca="1" si="61"/>
        <v>49336</v>
      </c>
      <c r="T3630" s="43">
        <f ca="1">_xll.BInterpol('Base CDI'!$H$4:$H$28,'Base CDI'!$J$4:$J$29,S3630,"Cubic","Extrapolate=Linear","MultiX=Average","Skip=True","Sort=True")</f>
        <v>14.67401745132303</v>
      </c>
      <c r="U3630" s="43">
        <f ca="1">_xll.BInterpol('Base CDI'!$H$4:$H$28,'Base CDI'!$I$4:$I$29,S3630,"Cubic","Extrapolate=Linear","MultiX=Average","Skip=True","Sort=True")</f>
        <v>14.745668183224023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49337</v>
      </c>
      <c r="T3631" s="43">
        <f ca="1">_xll.BInterpol('Base CDI'!$H$4:$H$28,'Base CDI'!$J$4:$J$29,S3631,"Cubic","Extrapolate=Linear","MultiX=Average","Skip=True","Sort=True")</f>
        <v>14.673896287737492</v>
      </c>
      <c r="U3631" s="43">
        <f ca="1">_xll.BInterpol('Base CDI'!$H$4:$H$28,'Base CDI'!$I$4:$I$29,S3631,"Cubic","Extrapolate=Linear","MultiX=Average","Skip=True","Sort=True")</f>
        <v>14.74549052965537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49338</v>
      </c>
      <c r="T3632" s="43">
        <f ca="1">_xll.BInterpol('Base CDI'!$H$4:$H$28,'Base CDI'!$J$4:$J$29,S3632,"Cubic","Extrapolate=Linear","MultiX=Average","Skip=True","Sort=True")</f>
        <v>14.673774982754075</v>
      </c>
      <c r="U3632" s="43">
        <f ca="1">_xll.BInterpol('Base CDI'!$H$4:$H$28,'Base CDI'!$I$4:$I$29,S3632,"Cubic","Extrapolate=Linear","MultiX=Average","Skip=True","Sort=True")</f>
        <v>14.745312543342393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49339</v>
      </c>
      <c r="T3633" s="43">
        <f ca="1">_xll.BInterpol('Base CDI'!$H$4:$H$28,'Base CDI'!$J$4:$J$29,S3633,"Cubic","Extrapolate=Linear","MultiX=Average","Skip=True","Sort=True")</f>
        <v>14.673653536573344</v>
      </c>
      <c r="U3633" s="43">
        <f ca="1">_xll.BInterpol('Base CDI'!$H$4:$H$28,'Base CDI'!$I$4:$I$29,S3633,"Cubic","Extrapolate=Linear","MultiX=Average","Skip=True","Sort=True")</f>
        <v>14.745134224757068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49340</v>
      </c>
      <c r="T3634" s="43">
        <f ca="1">_xll.BInterpol('Base CDI'!$H$4:$H$28,'Base CDI'!$J$4:$J$29,S3634,"Cubic","Extrapolate=Linear","MultiX=Average","Skip=True","Sort=True")</f>
        <v>14.673531949395862</v>
      </c>
      <c r="U3634" s="43">
        <f ca="1">_xll.BInterpol('Base CDI'!$H$4:$H$28,'Base CDI'!$I$4:$I$29,S3634,"Cubic","Extrapolate=Linear","MultiX=Average","Skip=True","Sort=True")</f>
        <v>14.744955574371376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49341</v>
      </c>
      <c r="T3635" s="43">
        <f ca="1">_xll.BInterpol('Base CDI'!$H$4:$H$28,'Base CDI'!$J$4:$J$29,S3635,"Cubic","Extrapolate=Linear","MultiX=Average","Skip=True","Sort=True")</f>
        <v>14.673410221422195</v>
      </c>
      <c r="U3635" s="43">
        <f ca="1">_xll.BInterpol('Base CDI'!$H$4:$H$28,'Base CDI'!$I$4:$I$29,S3635,"Cubic","Extrapolate=Linear","MultiX=Average","Skip=True","Sort=True")</f>
        <v>14.744776592657292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49342</v>
      </c>
      <c r="T3636" s="43">
        <f ca="1">_xll.BInterpol('Base CDI'!$H$4:$H$28,'Base CDI'!$J$4:$J$29,S3636,"Cubic","Extrapolate=Linear","MultiX=Average","Skip=True","Sort=True")</f>
        <v>14.673288352852905</v>
      </c>
      <c r="U3636" s="43">
        <f ca="1">_xll.BInterpol('Base CDI'!$H$4:$H$28,'Base CDI'!$I$4:$I$29,S3636,"Cubic","Extrapolate=Linear","MultiX=Average","Skip=True","Sort=True")</f>
        <v>14.744597280086795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49343</v>
      </c>
      <c r="T3637" s="43">
        <f ca="1">_xll.BInterpol('Base CDI'!$H$4:$H$28,'Base CDI'!$J$4:$J$29,S3637,"Cubic","Extrapolate=Linear","MultiX=Average","Skip=True","Sort=True")</f>
        <v>14.673166343888559</v>
      </c>
      <c r="U3637" s="43">
        <f ca="1">_xll.BInterpol('Base CDI'!$H$4:$H$28,'Base CDI'!$I$4:$I$29,S3637,"Cubic","Extrapolate=Linear","MultiX=Average","Skip=True","Sort=True")</f>
        <v>14.744417637131864</v>
      </c>
    </row>
    <row r="3638" spans="16:21" x14ac:dyDescent="0.25">
      <c r="P3638" s="10">
        <v>39800</v>
      </c>
      <c r="Q3638">
        <v>20.26221</v>
      </c>
      <c r="S3638" s="42">
        <f t="shared" ca="1" si="61"/>
        <v>49344</v>
      </c>
      <c r="T3638" s="43">
        <f ca="1">_xll.BInterpol('Base CDI'!$H$4:$H$28,'Base CDI'!$J$4:$J$29,S3638,"Cubic","Extrapolate=Linear","MultiX=Average","Skip=True","Sort=True")</f>
        <v>14.673044194729719</v>
      </c>
      <c r="U3638" s="43">
        <f ca="1">_xll.BInterpol('Base CDI'!$H$4:$H$28,'Base CDI'!$I$4:$I$29,S3638,"Cubic","Extrapolate=Linear","MultiX=Average","Skip=True","Sort=True")</f>
        <v>14.744237664264475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49345</v>
      </c>
      <c r="T3639" s="43">
        <f ca="1">_xll.BInterpol('Base CDI'!$H$4:$H$28,'Base CDI'!$J$4:$J$29,S3639,"Cubic","Extrapolate=Linear","MultiX=Average","Skip=True","Sort=True")</f>
        <v>14.672921905576951</v>
      </c>
      <c r="U3639" s="43">
        <f ca="1">_xll.BInterpol('Base CDI'!$H$4:$H$28,'Base CDI'!$I$4:$I$29,S3639,"Cubic","Extrapolate=Linear","MultiX=Average","Skip=True","Sort=True")</f>
        <v>14.744057361956603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49346</v>
      </c>
      <c r="T3640" s="43">
        <f ca="1">_xll.BInterpol('Base CDI'!$H$4:$H$28,'Base CDI'!$J$4:$J$29,S3640,"Cubic","Extrapolate=Linear","MultiX=Average","Skip=True","Sort=True")</f>
        <v>14.672799476630818</v>
      </c>
      <c r="U3640" s="43">
        <f ca="1">_xll.BInterpol('Base CDI'!$H$4:$H$28,'Base CDI'!$I$4:$I$29,S3640,"Cubic","Extrapolate=Linear","MultiX=Average","Skip=True","Sort=True")</f>
        <v>14.743876730680231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49347</v>
      </c>
      <c r="T3641" s="43">
        <f ca="1">_xll.BInterpol('Base CDI'!$H$4:$H$28,'Base CDI'!$J$4:$J$29,S3641,"Cubic","Extrapolate=Linear","MultiX=Average","Skip=True","Sort=True")</f>
        <v>14.672676908091887</v>
      </c>
      <c r="U3641" s="43">
        <f ca="1">_xll.BInterpol('Base CDI'!$H$4:$H$28,'Base CDI'!$I$4:$I$29,S3641,"Cubic","Extrapolate=Linear","MultiX=Average","Skip=True","Sort=True")</f>
        <v>14.743695770907335</v>
      </c>
    </row>
    <row r="3642" spans="16:21" x14ac:dyDescent="0.25">
      <c r="P3642" s="10">
        <v>39806</v>
      </c>
      <c r="Q3642">
        <v>20.30293</v>
      </c>
      <c r="S3642" s="42">
        <f t="shared" ca="1" si="61"/>
        <v>49348</v>
      </c>
      <c r="T3642" s="43">
        <f ca="1">_xll.BInterpol('Base CDI'!$H$4:$H$28,'Base CDI'!$J$4:$J$29,S3642,"Cubic","Extrapolate=Linear","MultiX=Average","Skip=True","Sort=True")</f>
        <v>14.67255420016072</v>
      </c>
      <c r="U3642" s="43">
        <f ca="1">_xll.BInterpol('Base CDI'!$H$4:$H$28,'Base CDI'!$I$4:$I$29,S3642,"Cubic","Extrapolate=Linear","MultiX=Average","Skip=True","Sort=True")</f>
        <v>14.743514483109893</v>
      </c>
    </row>
    <row r="3643" spans="16:21" x14ac:dyDescent="0.25">
      <c r="P3643" s="10">
        <v>39808</v>
      </c>
      <c r="Q3643">
        <v>20.31315</v>
      </c>
      <c r="S3643" s="42">
        <f t="shared" ca="1" si="61"/>
        <v>49349</v>
      </c>
      <c r="T3643" s="43">
        <f ca="1">_xll.BInterpol('Base CDI'!$H$4:$H$28,'Base CDI'!$J$4:$J$29,S3643,"Cubic","Extrapolate=Linear","MultiX=Average","Skip=True","Sort=True")</f>
        <v>14.672431353037881</v>
      </c>
      <c r="U3643" s="43">
        <f ca="1">_xll.BInterpol('Base CDI'!$H$4:$H$28,'Base CDI'!$I$4:$I$29,S3643,"Cubic","Extrapolate=Linear","MultiX=Average","Skip=True","Sort=True")</f>
        <v>14.743332867759881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49350</v>
      </c>
      <c r="T3644" s="43">
        <f ca="1">_xll.BInterpol('Base CDI'!$H$4:$H$28,'Base CDI'!$J$4:$J$29,S3644,"Cubic","Extrapolate=Linear","MultiX=Average","Skip=True","Sort=True")</f>
        <v>14.672308366923936</v>
      </c>
      <c r="U3644" s="43">
        <f ca="1">_xll.BInterpol('Base CDI'!$H$4:$H$28,'Base CDI'!$I$4:$I$29,S3644,"Cubic","Extrapolate=Linear","MultiX=Average","Skip=True","Sort=True")</f>
        <v>14.743150925329278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49351</v>
      </c>
      <c r="T3645" s="43">
        <f ca="1">_xll.BInterpol('Base CDI'!$H$4:$H$28,'Base CDI'!$J$4:$J$29,S3645,"Cubic","Extrapolate=Linear","MultiX=Average","Skip=True","Sort=True")</f>
        <v>14.672185242019449</v>
      </c>
      <c r="U3645" s="43">
        <f ca="1">_xll.BInterpol('Base CDI'!$H$4:$H$28,'Base CDI'!$I$4:$I$29,S3645,"Cubic","Extrapolate=Linear","MultiX=Average","Skip=True","Sort=True")</f>
        <v>14.742968656290062</v>
      </c>
    </row>
    <row r="3646" spans="16:21" x14ac:dyDescent="0.25">
      <c r="P3646" s="10">
        <v>39813</v>
      </c>
      <c r="Q3646">
        <v>20.34395</v>
      </c>
      <c r="S3646" s="42">
        <f t="shared" ca="1" si="61"/>
        <v>49352</v>
      </c>
      <c r="T3646" s="43">
        <f ca="1">_xll.BInterpol('Base CDI'!$H$4:$H$28,'Base CDI'!$J$4:$J$29,S3646,"Cubic","Extrapolate=Linear","MultiX=Average","Skip=True","Sort=True")</f>
        <v>14.672061978524985</v>
      </c>
      <c r="U3646" s="43">
        <f ca="1">_xll.BInterpol('Base CDI'!$H$4:$H$28,'Base CDI'!$I$4:$I$29,S3646,"Cubic","Extrapolate=Linear","MultiX=Average","Skip=True","Sort=True")</f>
        <v>14.742786061114209</v>
      </c>
    </row>
    <row r="3647" spans="16:21" x14ac:dyDescent="0.25">
      <c r="P3647" s="10">
        <v>39815</v>
      </c>
      <c r="Q3647">
        <v>20.35426</v>
      </c>
      <c r="S3647" s="42">
        <f t="shared" ca="1" si="61"/>
        <v>49353</v>
      </c>
      <c r="T3647" s="43">
        <f ca="1">_xll.BInterpol('Base CDI'!$H$4:$H$28,'Base CDI'!$J$4:$J$29,S3647,"Cubic","Extrapolate=Linear","MultiX=Average","Skip=True","Sort=True")</f>
        <v>14.671938576641105</v>
      </c>
      <c r="U3647" s="43">
        <f ca="1">_xll.BInterpol('Base CDI'!$H$4:$H$28,'Base CDI'!$I$4:$I$29,S3647,"Cubic","Extrapolate=Linear","MultiX=Average","Skip=True","Sort=True")</f>
        <v>14.742603140273701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49354</v>
      </c>
      <c r="T3648" s="43">
        <f ca="1">_xll.BInterpol('Base CDI'!$H$4:$H$28,'Base CDI'!$J$4:$J$29,S3648,"Cubic","Extrapolate=Linear","MultiX=Average","Skip=True","Sort=True")</f>
        <v>14.671815036568377</v>
      </c>
      <c r="U3648" s="43">
        <f ca="1">_xll.BInterpol('Base CDI'!$H$4:$H$28,'Base CDI'!$I$4:$I$29,S3648,"Cubic","Extrapolate=Linear","MultiX=Average","Skip=True","Sort=True")</f>
        <v>14.742419894240511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49355</v>
      </c>
      <c r="T3649" s="43">
        <f ca="1">_xll.BInterpol('Base CDI'!$H$4:$H$28,'Base CDI'!$J$4:$J$29,S3649,"Cubic","Extrapolate=Linear","MultiX=Average","Skip=True","Sort=True")</f>
        <v>14.671691358507365</v>
      </c>
      <c r="U3649" s="43">
        <f ca="1">_xll.BInterpol('Base CDI'!$H$4:$H$28,'Base CDI'!$I$4:$I$29,S3649,"Cubic","Extrapolate=Linear","MultiX=Average","Skip=True","Sort=True")</f>
        <v>14.742236323486619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49356</v>
      </c>
      <c r="T3650" s="43">
        <f ca="1">_xll.BInterpol('Base CDI'!$H$4:$H$28,'Base CDI'!$J$4:$J$29,S3650,"Cubic","Extrapolate=Linear","MultiX=Average","Skip=True","Sort=True")</f>
        <v>14.671567542658632</v>
      </c>
      <c r="U3650" s="43">
        <f ca="1">_xll.BInterpol('Base CDI'!$H$4:$H$28,'Base CDI'!$I$4:$I$29,S3650,"Cubic","Extrapolate=Linear","MultiX=Average","Skip=True","Sort=True")</f>
        <v>14.742052428484003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49357</v>
      </c>
      <c r="T3651" s="43">
        <f ca="1">_xll.BInterpol('Base CDI'!$H$4:$H$28,'Base CDI'!$J$4:$J$29,S3651,"Cubic","Extrapolate=Linear","MultiX=Average","Skip=True","Sort=True")</f>
        <v>14.671443589222742</v>
      </c>
      <c r="U3651" s="43">
        <f ca="1">_xll.BInterpol('Base CDI'!$H$4:$H$28,'Base CDI'!$I$4:$I$29,S3651,"Cubic","Extrapolate=Linear","MultiX=Average","Skip=True","Sort=True")</f>
        <v>14.74186820970464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49358</v>
      </c>
      <c r="T3652" s="43">
        <f ca="1">_xll.BInterpol('Base CDI'!$H$4:$H$28,'Base CDI'!$J$4:$J$29,S3652,"Cubic","Extrapolate=Linear","MultiX=Average","Skip=True","Sort=True")</f>
        <v>14.671319498400262</v>
      </c>
      <c r="U3652" s="43">
        <f ca="1">_xll.BInterpol('Base CDI'!$H$4:$H$28,'Base CDI'!$I$4:$I$29,S3652,"Cubic","Extrapolate=Linear","MultiX=Average","Skip=True","Sort=True")</f>
        <v>14.741683667620507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49359</v>
      </c>
      <c r="T3653" s="43">
        <f ca="1">_xll.BInterpol('Base CDI'!$H$4:$H$28,'Base CDI'!$J$4:$J$29,S3653,"Cubic","Extrapolate=Linear","MultiX=Average","Skip=True","Sort=True")</f>
        <v>14.671195270391753</v>
      </c>
      <c r="U3653" s="43">
        <f ca="1">_xll.BInterpol('Base CDI'!$H$4:$H$28,'Base CDI'!$I$4:$I$29,S3653,"Cubic","Extrapolate=Linear","MultiX=Average","Skip=True","Sort=True")</f>
        <v>14.741498802703584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49360</v>
      </c>
      <c r="T3654" s="43">
        <f ca="1">_xll.BInterpol('Base CDI'!$H$4:$H$28,'Base CDI'!$J$4:$J$29,S3654,"Cubic","Extrapolate=Linear","MultiX=Average","Skip=True","Sort=True")</f>
        <v>14.671070905397782</v>
      </c>
      <c r="U3654" s="43">
        <f ca="1">_xll.BInterpol('Base CDI'!$H$4:$H$28,'Base CDI'!$I$4:$I$29,S3654,"Cubic","Extrapolate=Linear","MultiX=Average","Skip=True","Sort=True")</f>
        <v>14.741313615425847</v>
      </c>
    </row>
    <row r="3655" spans="16:21" x14ac:dyDescent="0.25">
      <c r="P3655" s="10">
        <v>39827</v>
      </c>
      <c r="Q3655">
        <v>20.43684</v>
      </c>
      <c r="S3655" s="42">
        <f t="shared" ca="1" si="61"/>
        <v>49361</v>
      </c>
      <c r="T3655" s="43">
        <f ca="1">_xll.BInterpol('Base CDI'!$H$4:$H$28,'Base CDI'!$J$4:$J$29,S3655,"Cubic","Extrapolate=Linear","MultiX=Average","Skip=True","Sort=True")</f>
        <v>14.670946403618911</v>
      </c>
      <c r="U3655" s="43">
        <f ca="1">_xll.BInterpol('Base CDI'!$H$4:$H$28,'Base CDI'!$I$4:$I$29,S3655,"Cubic","Extrapolate=Linear","MultiX=Average","Skip=True","Sort=True")</f>
        <v>14.741128106259275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49362</v>
      </c>
      <c r="T3656" s="43">
        <f ca="1">_xll.BInterpol('Base CDI'!$H$4:$H$28,'Base CDI'!$J$4:$J$29,S3656,"Cubic","Extrapolate=Linear","MultiX=Average","Skip=True","Sort=True")</f>
        <v>14.670821765255708</v>
      </c>
      <c r="U3656" s="43">
        <f ca="1">_xll.BInterpol('Base CDI'!$H$4:$H$28,'Base CDI'!$I$4:$I$29,S3656,"Cubic","Extrapolate=Linear","MultiX=Average","Skip=True","Sort=True")</f>
        <v>14.740942275675845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49363</v>
      </c>
      <c r="T3657" s="43">
        <f ca="1">_xll.BInterpol('Base CDI'!$H$4:$H$28,'Base CDI'!$J$4:$J$29,S3657,"Cubic","Extrapolate=Linear","MultiX=Average","Skip=True","Sort=True")</f>
        <v>14.670696990508734</v>
      </c>
      <c r="U3657" s="43">
        <f ca="1">_xll.BInterpol('Base CDI'!$H$4:$H$28,'Base CDI'!$I$4:$I$29,S3657,"Cubic","Extrapolate=Linear","MultiX=Average","Skip=True","Sort=True")</f>
        <v>14.740756124147534</v>
      </c>
    </row>
    <row r="3658" spans="16:21" x14ac:dyDescent="0.25">
      <c r="P3658" s="10">
        <v>39832</v>
      </c>
      <c r="Q3658">
        <v>20.46791</v>
      </c>
      <c r="S3658" s="42">
        <f t="shared" ca="1" si="61"/>
        <v>49364</v>
      </c>
      <c r="T3658" s="43">
        <f ca="1">_xll.BInterpol('Base CDI'!$H$4:$H$28,'Base CDI'!$J$4:$J$29,S3658,"Cubic","Extrapolate=Linear","MultiX=Average","Skip=True","Sort=True")</f>
        <v>14.670572079578553</v>
      </c>
      <c r="U3658" s="43">
        <f ca="1">_xll.BInterpol('Base CDI'!$H$4:$H$28,'Base CDI'!$I$4:$I$29,S3658,"Cubic","Extrapolate=Linear","MultiX=Average","Skip=True","Sort=True")</f>
        <v>14.740569652146322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49365</v>
      </c>
      <c r="T3659" s="43">
        <f ca="1">_xll.BInterpol('Base CDI'!$H$4:$H$28,'Base CDI'!$J$4:$J$29,S3659,"Cubic","Extrapolate=Linear","MultiX=Average","Skip=True","Sort=True")</f>
        <v>14.670447032665733</v>
      </c>
      <c r="U3659" s="43">
        <f ca="1">_xll.BInterpol('Base CDI'!$H$4:$H$28,'Base CDI'!$I$4:$I$29,S3659,"Cubic","Extrapolate=Linear","MultiX=Average","Skip=True","Sort=True")</f>
        <v>14.740382860144184</v>
      </c>
    </row>
    <row r="3660" spans="16:21" x14ac:dyDescent="0.25">
      <c r="P3660" s="10">
        <v>39834</v>
      </c>
      <c r="Q3660">
        <v>20.48837</v>
      </c>
      <c r="S3660" s="42">
        <f t="shared" ca="1" si="62"/>
        <v>49366</v>
      </c>
      <c r="T3660" s="43">
        <f ca="1">_xll.BInterpol('Base CDI'!$H$4:$H$28,'Base CDI'!$J$4:$J$29,S3660,"Cubic","Extrapolate=Linear","MultiX=Average","Skip=True","Sort=True")</f>
        <v>14.670321849970836</v>
      </c>
      <c r="U3660" s="43">
        <f ca="1">_xll.BInterpol('Base CDI'!$H$4:$H$28,'Base CDI'!$I$4:$I$29,S3660,"Cubic","Extrapolate=Linear","MultiX=Average","Skip=True","Sort=True")</f>
        <v>14.7401957486131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49367</v>
      </c>
      <c r="T3661" s="43">
        <f ca="1">_xll.BInterpol('Base CDI'!$H$4:$H$28,'Base CDI'!$J$4:$J$29,S3661,"Cubic","Extrapolate=Linear","MultiX=Average","Skip=True","Sort=True")</f>
        <v>14.670196531694426</v>
      </c>
      <c r="U3661" s="43">
        <f ca="1">_xll.BInterpol('Base CDI'!$H$4:$H$28,'Base CDI'!$I$4:$I$29,S3661,"Cubic","Extrapolate=Linear","MultiX=Average","Skip=True","Sort=True")</f>
        <v>14.740008318025046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49368</v>
      </c>
      <c r="T3662" s="43">
        <f ca="1">_xll.BInterpol('Base CDI'!$H$4:$H$28,'Base CDI'!$J$4:$J$29,S3662,"Cubic","Extrapolate=Linear","MultiX=Average","Skip=True","Sort=True")</f>
        <v>14.670071078037068</v>
      </c>
      <c r="U3662" s="43">
        <f ca="1">_xll.BInterpol('Base CDI'!$H$4:$H$28,'Base CDI'!$I$4:$I$29,S3662,"Cubic","Extrapolate=Linear","MultiX=Average","Skip=True","Sort=True")</f>
        <v>14.739820568852002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49369</v>
      </c>
      <c r="T3663" s="43">
        <f ca="1">_xll.BInterpol('Base CDI'!$H$4:$H$28,'Base CDI'!$J$4:$J$29,S3663,"Cubic","Extrapolate=Linear","MultiX=Average","Skip=True","Sort=True")</f>
        <v>14.669945489199327</v>
      </c>
      <c r="U3663" s="43">
        <f ca="1">_xll.BInterpol('Base CDI'!$H$4:$H$28,'Base CDI'!$I$4:$I$29,S3663,"Cubic","Extrapolate=Linear","MultiX=Average","Skip=True","Sort=True")</f>
        <v>14.739632501565943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49370</v>
      </c>
      <c r="T3664" s="43">
        <f ca="1">_xll.BInterpol('Base CDI'!$H$4:$H$28,'Base CDI'!$J$4:$J$29,S3664,"Cubic","Extrapolate=Linear","MultiX=Average","Skip=True","Sort=True")</f>
        <v>14.669819765381765</v>
      </c>
      <c r="U3664" s="43">
        <f ca="1">_xll.BInterpol('Base CDI'!$H$4:$H$28,'Base CDI'!$I$4:$I$29,S3664,"Cubic","Extrapolate=Linear","MultiX=Average","Skip=True","Sort=True")</f>
        <v>14.739444116638849</v>
      </c>
    </row>
    <row r="3665" spans="16:21" x14ac:dyDescent="0.25">
      <c r="P3665" s="10">
        <v>39841</v>
      </c>
      <c r="Q3665">
        <v>20.53744</v>
      </c>
      <c r="S3665" s="42">
        <f t="shared" ca="1" si="62"/>
        <v>49371</v>
      </c>
      <c r="T3665" s="43">
        <f ca="1">_xll.BInterpol('Base CDI'!$H$4:$H$28,'Base CDI'!$J$4:$J$29,S3665,"Cubic","Extrapolate=Linear","MultiX=Average","Skip=True","Sort=True")</f>
        <v>14.66969390678495</v>
      </c>
      <c r="U3665" s="43">
        <f ca="1">_xll.BInterpol('Base CDI'!$H$4:$H$28,'Base CDI'!$I$4:$I$29,S3665,"Cubic","Extrapolate=Linear","MultiX=Average","Skip=True","Sort=True")</f>
        <v>14.739255414542697</v>
      </c>
    </row>
    <row r="3666" spans="16:21" x14ac:dyDescent="0.25">
      <c r="P3666" s="10">
        <v>39842</v>
      </c>
      <c r="Q3666">
        <v>20.54712</v>
      </c>
      <c r="S3666" s="42">
        <f t="shared" ca="1" si="62"/>
        <v>49372</v>
      </c>
      <c r="T3666" s="43">
        <f ca="1">_xll.BInterpol('Base CDI'!$H$4:$H$28,'Base CDI'!$J$4:$J$29,S3666,"Cubic","Extrapolate=Linear","MultiX=Average","Skip=True","Sort=True")</f>
        <v>14.669567913609443</v>
      </c>
      <c r="U3666" s="43">
        <f ca="1">_xll.BInterpol('Base CDI'!$H$4:$H$28,'Base CDI'!$I$4:$I$29,S3666,"Cubic","Extrapolate=Linear","MultiX=Average","Skip=True","Sort=True")</f>
        <v>14.739066395749465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49373</v>
      </c>
      <c r="T3667" s="43">
        <f ca="1">_xll.BInterpol('Base CDI'!$H$4:$H$28,'Base CDI'!$J$4:$J$29,S3667,"Cubic","Extrapolate=Linear","MultiX=Average","Skip=True","Sort=True")</f>
        <v>14.66944178605581</v>
      </c>
      <c r="U3667" s="43">
        <f ca="1">_xll.BInterpol('Base CDI'!$H$4:$H$28,'Base CDI'!$I$4:$I$29,S3667,"Cubic","Extrapolate=Linear","MultiX=Average","Skip=True","Sort=True")</f>
        <v>14.738877060731129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49374</v>
      </c>
      <c r="T3668" s="43">
        <f ca="1">_xll.BInterpol('Base CDI'!$H$4:$H$28,'Base CDI'!$J$4:$J$29,S3668,"Cubic","Extrapolate=Linear","MultiX=Average","Skip=True","Sort=True")</f>
        <v>14.669315524324617</v>
      </c>
      <c r="U3668" s="43">
        <f ca="1">_xll.BInterpol('Base CDI'!$H$4:$H$28,'Base CDI'!$I$4:$I$29,S3668,"Cubic","Extrapolate=Linear","MultiX=Average","Skip=True","Sort=True")</f>
        <v>14.73868740995967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49375</v>
      </c>
      <c r="T3669" s="43">
        <f ca="1">_xll.BInterpol('Base CDI'!$H$4:$H$28,'Base CDI'!$J$4:$J$29,S3669,"Cubic","Extrapolate=Linear","MultiX=Average","Skip=True","Sort=True")</f>
        <v>14.669189128616424</v>
      </c>
      <c r="U3669" s="43">
        <f ca="1">_xll.BInterpol('Base CDI'!$H$4:$H$28,'Base CDI'!$I$4:$I$29,S3669,"Cubic","Extrapolate=Linear","MultiX=Average","Skip=True","Sort=True")</f>
        <v>14.738497443907063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49376</v>
      </c>
      <c r="T3670" s="43">
        <f ca="1">_xll.BInterpol('Base CDI'!$H$4:$H$28,'Base CDI'!$J$4:$J$29,S3670,"Cubic","Extrapolate=Linear","MultiX=Average","Skip=True","Sort=True")</f>
        <v>14.669062599131799</v>
      </c>
      <c r="U3670" s="43">
        <f ca="1">_xll.BInterpol('Base CDI'!$H$4:$H$28,'Base CDI'!$I$4:$I$29,S3670,"Cubic","Extrapolate=Linear","MultiX=Average","Skip=True","Sort=True")</f>
        <v>14.738307163045288</v>
      </c>
    </row>
    <row r="3671" spans="16:21" x14ac:dyDescent="0.25">
      <c r="P3671" s="10">
        <v>39849</v>
      </c>
      <c r="Q3671">
        <v>20.59564</v>
      </c>
      <c r="S3671" s="42">
        <f t="shared" ca="1" si="62"/>
        <v>49377</v>
      </c>
      <c r="T3671" s="43">
        <f ca="1">_xll.BInterpol('Base CDI'!$H$4:$H$28,'Base CDI'!$J$4:$J$29,S3671,"Cubic","Extrapolate=Linear","MultiX=Average","Skip=True","Sort=True")</f>
        <v>14.668935936071305</v>
      </c>
      <c r="U3671" s="43">
        <f ca="1">_xll.BInterpol('Base CDI'!$H$4:$H$28,'Base CDI'!$I$4:$I$29,S3671,"Cubic","Extrapolate=Linear","MultiX=Average","Skip=True","Sort=True")</f>
        <v>14.738116567846321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49378</v>
      </c>
      <c r="T3672" s="43">
        <f ca="1">_xll.BInterpol('Base CDI'!$H$4:$H$28,'Base CDI'!$J$4:$J$29,S3672,"Cubic","Extrapolate=Linear","MultiX=Average","Skip=True","Sort=True")</f>
        <v>14.668809139635506</v>
      </c>
      <c r="U3672" s="43">
        <f ca="1">_xll.BInterpol('Base CDI'!$H$4:$H$28,'Base CDI'!$I$4:$I$29,S3672,"Cubic","Extrapolate=Linear","MultiX=Average","Skip=True","Sort=True")</f>
        <v>14.737925658782141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49379</v>
      </c>
      <c r="T3673" s="43">
        <f ca="1">_xll.BInterpol('Base CDI'!$H$4:$H$28,'Base CDI'!$J$4:$J$29,S3673,"Cubic","Extrapolate=Linear","MultiX=Average","Skip=True","Sort=True")</f>
        <v>14.668682210024969</v>
      </c>
      <c r="U3673" s="43">
        <f ca="1">_xll.BInterpol('Base CDI'!$H$4:$H$28,'Base CDI'!$I$4:$I$29,S3673,"Cubic","Extrapolate=Linear","MultiX=Average","Skip=True","Sort=True")</f>
        <v>14.737734436324724</v>
      </c>
    </row>
    <row r="3674" spans="16:21" x14ac:dyDescent="0.25">
      <c r="P3674" s="10">
        <v>39854</v>
      </c>
      <c r="Q3674">
        <v>20.62482</v>
      </c>
      <c r="S3674" s="42">
        <f t="shared" ca="1" si="62"/>
        <v>49380</v>
      </c>
      <c r="T3674" s="43">
        <f ca="1">_xll.BInterpol('Base CDI'!$H$4:$H$28,'Base CDI'!$J$4:$J$29,S3674,"Cubic","Extrapolate=Linear","MultiX=Average","Skip=True","Sort=True")</f>
        <v>14.668555147440255</v>
      </c>
      <c r="U3674" s="43">
        <f ca="1">_xll.BInterpol('Base CDI'!$H$4:$H$28,'Base CDI'!$I$4:$I$29,S3674,"Cubic","Extrapolate=Linear","MultiX=Average","Skip=True","Sort=True")</f>
        <v>14.737542900946048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49381</v>
      </c>
      <c r="T3675" s="43">
        <f ca="1">_xll.BInterpol('Base CDI'!$H$4:$H$28,'Base CDI'!$J$4:$J$29,S3675,"Cubic","Extrapolate=Linear","MultiX=Average","Skip=True","Sort=True")</f>
        <v>14.668427952081929</v>
      </c>
      <c r="U3675" s="43">
        <f ca="1">_xll.BInterpol('Base CDI'!$H$4:$H$28,'Base CDI'!$I$4:$I$29,S3675,"Cubic","Extrapolate=Linear","MultiX=Average","Skip=True","Sort=True")</f>
        <v>14.737351053118093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49382</v>
      </c>
      <c r="T3676" s="43">
        <f ca="1">_xll.BInterpol('Base CDI'!$H$4:$H$28,'Base CDI'!$J$4:$J$29,S3676,"Cubic","Extrapolate=Linear","MultiX=Average","Skip=True","Sort=True")</f>
        <v>14.668300624150557</v>
      </c>
      <c r="U3676" s="43">
        <f ca="1">_xll.BInterpol('Base CDI'!$H$4:$H$28,'Base CDI'!$I$4:$I$29,S3676,"Cubic","Extrapolate=Linear","MultiX=Average","Skip=True","Sort=True")</f>
        <v>14.737158893312834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49383</v>
      </c>
      <c r="T3677" s="43">
        <f ca="1">_xll.BInterpol('Base CDI'!$H$4:$H$28,'Base CDI'!$J$4:$J$29,S3677,"Cubic","Extrapolate=Linear","MultiX=Average","Skip=True","Sort=True")</f>
        <v>14.668173163846703</v>
      </c>
      <c r="U3677" s="43">
        <f ca="1">_xll.BInterpol('Base CDI'!$H$4:$H$28,'Base CDI'!$I$4:$I$29,S3677,"Cubic","Extrapolate=Linear","MultiX=Average","Skip=True","Sort=True")</f>
        <v>14.736966422002252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49384</v>
      </c>
      <c r="T3678" s="43">
        <f ca="1">_xll.BInterpol('Base CDI'!$H$4:$H$28,'Base CDI'!$J$4:$J$29,S3678,"Cubic","Extrapolate=Linear","MultiX=Average","Skip=True","Sort=True")</f>
        <v>14.66804557137093</v>
      </c>
      <c r="U3678" s="43">
        <f ca="1">_xll.BInterpol('Base CDI'!$H$4:$H$28,'Base CDI'!$I$4:$I$29,S3678,"Cubic","Extrapolate=Linear","MultiX=Average","Skip=True","Sort=True")</f>
        <v>14.736773639658322</v>
      </c>
    </row>
    <row r="3679" spans="16:21" x14ac:dyDescent="0.25">
      <c r="P3679" s="10">
        <v>39861</v>
      </c>
      <c r="Q3679">
        <v>20.67353</v>
      </c>
      <c r="S3679" s="42">
        <f t="shared" ca="1" si="62"/>
        <v>49385</v>
      </c>
      <c r="T3679" s="43">
        <f ca="1">_xll.BInterpol('Base CDI'!$H$4:$H$28,'Base CDI'!$J$4:$J$29,S3679,"Cubic","Extrapolate=Linear","MultiX=Average","Skip=True","Sort=True")</f>
        <v>14.667917846923805</v>
      </c>
      <c r="U3679" s="43">
        <f ca="1">_xll.BInterpol('Base CDI'!$H$4:$H$28,'Base CDI'!$I$4:$I$29,S3679,"Cubic","Extrapolate=Linear","MultiX=Average","Skip=True","Sort=True")</f>
        <v>14.736580546753023</v>
      </c>
    </row>
    <row r="3680" spans="16:21" x14ac:dyDescent="0.25">
      <c r="P3680" s="10">
        <v>39862</v>
      </c>
      <c r="Q3680">
        <v>20.68328</v>
      </c>
      <c r="S3680" s="42">
        <f t="shared" ca="1" si="62"/>
        <v>49386</v>
      </c>
      <c r="T3680" s="43">
        <f ca="1">_xll.BInterpol('Base CDI'!$H$4:$H$28,'Base CDI'!$J$4:$J$29,S3680,"Cubic","Extrapolate=Linear","MultiX=Average","Skip=True","Sort=True")</f>
        <v>14.667789990705888</v>
      </c>
      <c r="U3680" s="43">
        <f ca="1">_xll.BInterpol('Base CDI'!$H$4:$H$28,'Base CDI'!$I$4:$I$29,S3680,"Cubic","Extrapolate=Linear","MultiX=Average","Skip=True","Sort=True")</f>
        <v>14.736387143758332</v>
      </c>
    </row>
    <row r="3681" spans="16:21" x14ac:dyDescent="0.25">
      <c r="P3681" s="10">
        <v>39863</v>
      </c>
      <c r="Q3681">
        <v>20.69304</v>
      </c>
      <c r="S3681" s="42">
        <f t="shared" ca="1" si="62"/>
        <v>49387</v>
      </c>
      <c r="T3681" s="43">
        <f ca="1">_xll.BInterpol('Base CDI'!$H$4:$H$28,'Base CDI'!$J$4:$J$29,S3681,"Cubic","Extrapolate=Linear","MultiX=Average","Skip=True","Sort=True")</f>
        <v>14.667662002917748</v>
      </c>
      <c r="U3681" s="43">
        <f ca="1">_xll.BInterpol('Base CDI'!$H$4:$H$28,'Base CDI'!$I$4:$I$29,S3681,"Cubic","Extrapolate=Linear","MultiX=Average","Skip=True","Sort=True")</f>
        <v>14.736193431146228</v>
      </c>
    </row>
    <row r="3682" spans="16:21" x14ac:dyDescent="0.25">
      <c r="P3682" s="10">
        <v>39864</v>
      </c>
      <c r="Q3682">
        <v>20.7028</v>
      </c>
      <c r="S3682" s="42">
        <f t="shared" ca="1" si="62"/>
        <v>49388</v>
      </c>
      <c r="T3682" s="43">
        <f ca="1">_xll.BInterpol('Base CDI'!$H$4:$H$28,'Base CDI'!$J$4:$J$29,S3682,"Cubic","Extrapolate=Linear","MultiX=Average","Skip=True","Sort=True")</f>
        <v>14.667533883759946</v>
      </c>
      <c r="U3682" s="43">
        <f ca="1">_xll.BInterpol('Base CDI'!$H$4:$H$28,'Base CDI'!$I$4:$I$29,S3682,"Cubic","Extrapolate=Linear","MultiX=Average","Skip=True","Sort=True")</f>
        <v>14.735999409388688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49389</v>
      </c>
      <c r="T3683" s="43">
        <f ca="1">_xll.BInterpol('Base CDI'!$H$4:$H$28,'Base CDI'!$J$4:$J$29,S3683,"Cubic","Extrapolate=Linear","MultiX=Average","Skip=True","Sort=True")</f>
        <v>14.667405633433047</v>
      </c>
      <c r="U3683" s="43">
        <f ca="1">_xll.BInterpol('Base CDI'!$H$4:$H$28,'Base CDI'!$I$4:$I$29,S3683,"Cubic","Extrapolate=Linear","MultiX=Average","Skip=True","Sort=True")</f>
        <v>14.735805078957689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49390</v>
      </c>
      <c r="T3684" s="43">
        <f ca="1">_xll.BInterpol('Base CDI'!$H$4:$H$28,'Base CDI'!$J$4:$J$29,S3684,"Cubic","Extrapolate=Linear","MultiX=Average","Skip=True","Sort=True")</f>
        <v>14.667277252137618</v>
      </c>
      <c r="U3684" s="43">
        <f ca="1">_xll.BInterpol('Base CDI'!$H$4:$H$28,'Base CDI'!$I$4:$I$29,S3684,"Cubic","Extrapolate=Linear","MultiX=Average","Skip=True","Sort=True")</f>
        <v>14.735610440325209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49391</v>
      </c>
      <c r="T3685" s="43">
        <f ca="1">_xll.BInterpol('Base CDI'!$H$4:$H$28,'Base CDI'!$J$4:$J$29,S3685,"Cubic","Extrapolate=Linear","MultiX=Average","Skip=True","Sort=True")</f>
        <v>14.66714874007422</v>
      </c>
      <c r="U3685" s="43">
        <f ca="1">_xll.BInterpol('Base CDI'!$H$4:$H$28,'Base CDI'!$I$4:$I$29,S3685,"Cubic","Extrapolate=Linear","MultiX=Average","Skip=True","Sort=True")</f>
        <v>14.735415493963227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49392</v>
      </c>
      <c r="T3686" s="43">
        <f ca="1">_xll.BInterpol('Base CDI'!$H$4:$H$28,'Base CDI'!$J$4:$J$29,S3686,"Cubic","Extrapolate=Linear","MultiX=Average","Skip=True","Sort=True")</f>
        <v>14.66702009744342</v>
      </c>
      <c r="U3686" s="43">
        <f ca="1">_xll.BInterpol('Base CDI'!$H$4:$H$28,'Base CDI'!$I$4:$I$29,S3686,"Cubic","Extrapolate=Linear","MultiX=Average","Skip=True","Sort=True")</f>
        <v>14.73522024034372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49393</v>
      </c>
      <c r="T3687" s="43">
        <f ca="1">_xll.BInterpol('Base CDI'!$H$4:$H$28,'Base CDI'!$J$4:$J$29,S3687,"Cubic","Extrapolate=Linear","MultiX=Average","Skip=True","Sort=True")</f>
        <v>14.66689132444578</v>
      </c>
      <c r="U3687" s="43">
        <f ca="1">_xll.BInterpol('Base CDI'!$H$4:$H$28,'Base CDI'!$I$4:$I$29,S3687,"Cubic","Extrapolate=Linear","MultiX=Average","Skip=True","Sort=True")</f>
        <v>14.735024679938666</v>
      </c>
    </row>
    <row r="3688" spans="16:21" x14ac:dyDescent="0.25">
      <c r="P3688" s="10">
        <v>39876</v>
      </c>
      <c r="Q3688">
        <v>20.76145</v>
      </c>
      <c r="S3688" s="42">
        <f t="shared" ca="1" si="62"/>
        <v>49394</v>
      </c>
      <c r="T3688" s="43">
        <f ca="1">_xll.BInterpol('Base CDI'!$H$4:$H$28,'Base CDI'!$J$4:$J$29,S3688,"Cubic","Extrapolate=Linear","MultiX=Average","Skip=True","Sort=True")</f>
        <v>14.666762421281865</v>
      </c>
      <c r="U3688" s="43">
        <f ca="1">_xll.BInterpol('Base CDI'!$H$4:$H$28,'Base CDI'!$I$4:$I$29,S3688,"Cubic","Extrapolate=Linear","MultiX=Average","Skip=True","Sort=True")</f>
        <v>14.734828813220043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49395</v>
      </c>
      <c r="T3689" s="43">
        <f ca="1">_xll.BInterpol('Base CDI'!$H$4:$H$28,'Base CDI'!$J$4:$J$29,S3689,"Cubic","Extrapolate=Linear","MultiX=Average","Skip=True","Sort=True")</f>
        <v>14.666633388152242</v>
      </c>
      <c r="U3689" s="43">
        <f ca="1">_xll.BInterpol('Base CDI'!$H$4:$H$28,'Base CDI'!$I$4:$I$29,S3689,"Cubic","Extrapolate=Linear","MultiX=Average","Skip=True","Sort=True")</f>
        <v>14.734632640659827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49396</v>
      </c>
      <c r="T3690" s="43">
        <f ca="1">_xll.BInterpol('Base CDI'!$H$4:$H$28,'Base CDI'!$J$4:$J$29,S3690,"Cubic","Extrapolate=Linear","MultiX=Average","Skip=True","Sort=True")</f>
        <v>14.666504225257471</v>
      </c>
      <c r="U3690" s="43">
        <f ca="1">_xll.BInterpol('Base CDI'!$H$4:$H$28,'Base CDI'!$I$4:$I$29,S3690,"Cubic","Extrapolate=Linear","MultiX=Average","Skip=True","Sort=True")</f>
        <v>14.734436162729999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49397</v>
      </c>
      <c r="T3691" s="43">
        <f ca="1">_xll.BInterpol('Base CDI'!$H$4:$H$28,'Base CDI'!$J$4:$J$29,S3691,"Cubic","Extrapolate=Linear","MultiX=Average","Skip=True","Sort=True")</f>
        <v>14.666374932798119</v>
      </c>
      <c r="U3691" s="43">
        <f ca="1">_xll.BInterpol('Base CDI'!$H$4:$H$28,'Base CDI'!$I$4:$I$29,S3691,"Cubic","Extrapolate=Linear","MultiX=Average","Skip=True","Sort=True")</f>
        <v>14.734239379902533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49398</v>
      </c>
      <c r="T3692" s="43">
        <f ca="1">_xll.BInterpol('Base CDI'!$H$4:$H$28,'Base CDI'!$J$4:$J$29,S3692,"Cubic","Extrapolate=Linear","MultiX=Average","Skip=True","Sort=True")</f>
        <v>14.666245510974752</v>
      </c>
      <c r="U3692" s="43">
        <f ca="1">_xll.BInterpol('Base CDI'!$H$4:$H$28,'Base CDI'!$I$4:$I$29,S3692,"Cubic","Extrapolate=Linear","MultiX=Average","Skip=True","Sort=True")</f>
        <v>14.734042292649409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49399</v>
      </c>
      <c r="T3693" s="43">
        <f ca="1">_xll.BInterpol('Base CDI'!$H$4:$H$28,'Base CDI'!$J$4:$J$29,S3693,"Cubic","Extrapolate=Linear","MultiX=Average","Skip=True","Sort=True")</f>
        <v>14.66611595998793</v>
      </c>
      <c r="U3693" s="43">
        <f ca="1">_xll.BInterpol('Base CDI'!$H$4:$H$28,'Base CDI'!$I$4:$I$29,S3693,"Cubic","Extrapolate=Linear","MultiX=Average","Skip=True","Sort=True")</f>
        <v>14.733844901442605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49400</v>
      </c>
      <c r="T3694" s="43">
        <f ca="1">_xll.BInterpol('Base CDI'!$H$4:$H$28,'Base CDI'!$J$4:$J$29,S3694,"Cubic","Extrapolate=Linear","MultiX=Average","Skip=True","Sort=True")</f>
        <v>14.66598628003822</v>
      </c>
      <c r="U3694" s="43">
        <f ca="1">_xll.BInterpol('Base CDI'!$H$4:$H$28,'Base CDI'!$I$4:$I$29,S3694,"Cubic","Extrapolate=Linear","MultiX=Average","Skip=True","Sort=True")</f>
        <v>14.733647206754098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49401</v>
      </c>
      <c r="T3695" s="43">
        <f ca="1">_xll.BInterpol('Base CDI'!$H$4:$H$28,'Base CDI'!$J$4:$J$29,S3695,"Cubic","Extrapolate=Linear","MultiX=Average","Skip=True","Sort=True")</f>
        <v>14.665856471326189</v>
      </c>
      <c r="U3695" s="43">
        <f ca="1">_xll.BInterpol('Base CDI'!$H$4:$H$28,'Base CDI'!$I$4:$I$29,S3695,"Cubic","Extrapolate=Linear","MultiX=Average","Skip=True","Sort=True")</f>
        <v>14.733449209055866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49402</v>
      </c>
      <c r="T3696" s="43">
        <f ca="1">_xll.BInterpol('Base CDI'!$H$4:$H$28,'Base CDI'!$J$4:$J$29,S3696,"Cubic","Extrapolate=Linear","MultiX=Average","Skip=True","Sort=True")</f>
        <v>14.665726534052395</v>
      </c>
      <c r="U3696" s="43">
        <f ca="1">_xll.BInterpol('Base CDI'!$H$4:$H$28,'Base CDI'!$I$4:$I$29,S3696,"Cubic","Extrapolate=Linear","MultiX=Average","Skip=True","Sort=True")</f>
        <v>14.733250908819887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49403</v>
      </c>
      <c r="T3697" s="43">
        <f ca="1">_xll.BInterpol('Base CDI'!$H$4:$H$28,'Base CDI'!$J$4:$J$29,S3697,"Cubic","Extrapolate=Linear","MultiX=Average","Skip=True","Sort=True")</f>
        <v>14.665596468417407</v>
      </c>
      <c r="U3697" s="43">
        <f ca="1">_xll.BInterpol('Base CDI'!$H$4:$H$28,'Base CDI'!$I$4:$I$29,S3697,"Cubic","Extrapolate=Linear","MultiX=Average","Skip=True","Sort=True")</f>
        <v>14.733052306518138</v>
      </c>
    </row>
    <row r="3698" spans="16:21" x14ac:dyDescent="0.25">
      <c r="P3698" s="10">
        <v>39890</v>
      </c>
      <c r="Q3698">
        <v>20.85501</v>
      </c>
      <c r="S3698" s="42">
        <f t="shared" ca="1" si="62"/>
        <v>49404</v>
      </c>
      <c r="T3698" s="43">
        <f ca="1">_xll.BInterpol('Base CDI'!$H$4:$H$28,'Base CDI'!$J$4:$J$29,S3698,"Cubic","Extrapolate=Linear","MultiX=Average","Skip=True","Sort=True")</f>
        <v>14.665466274621789</v>
      </c>
      <c r="U3698" s="43">
        <f ca="1">_xll.BInterpol('Base CDI'!$H$4:$H$28,'Base CDI'!$I$4:$I$29,S3698,"Cubic","Extrapolate=Linear","MultiX=Average","Skip=True","Sort=True")</f>
        <v>14.732853402622597</v>
      </c>
    </row>
    <row r="3699" spans="16:21" x14ac:dyDescent="0.25">
      <c r="P3699" s="10">
        <v>39891</v>
      </c>
      <c r="Q3699">
        <v>20.86373</v>
      </c>
      <c r="S3699" s="42">
        <f t="shared" ca="1" si="62"/>
        <v>49405</v>
      </c>
      <c r="T3699" s="43">
        <f ca="1">_xll.BInterpol('Base CDI'!$H$4:$H$28,'Base CDI'!$J$4:$J$29,S3699,"Cubic","Extrapolate=Linear","MultiX=Average","Skip=True","Sort=True")</f>
        <v>14.665335952866103</v>
      </c>
      <c r="U3699" s="43">
        <f ca="1">_xll.BInterpol('Base CDI'!$H$4:$H$28,'Base CDI'!$I$4:$I$29,S3699,"Cubic","Extrapolate=Linear","MultiX=Average","Skip=True","Sort=True")</f>
        <v>14.732654197605241</v>
      </c>
    </row>
    <row r="3700" spans="16:21" x14ac:dyDescent="0.25">
      <c r="P3700" s="10">
        <v>39892</v>
      </c>
      <c r="Q3700">
        <v>20.87247</v>
      </c>
      <c r="S3700" s="42">
        <f t="shared" ca="1" si="62"/>
        <v>49406</v>
      </c>
      <c r="T3700" s="43">
        <f ca="1">_xll.BInterpol('Base CDI'!$H$4:$H$28,'Base CDI'!$J$4:$J$29,S3700,"Cubic","Extrapolate=Linear","MultiX=Average","Skip=True","Sort=True")</f>
        <v>14.665205503350915</v>
      </c>
      <c r="U3700" s="43">
        <f ca="1">_xll.BInterpol('Base CDI'!$H$4:$H$28,'Base CDI'!$I$4:$I$29,S3700,"Cubic","Extrapolate=Linear","MultiX=Average","Skip=True","Sort=True")</f>
        <v>14.732454691938051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49407</v>
      </c>
      <c r="T3701" s="43">
        <f ca="1">_xll.BInterpol('Base CDI'!$H$4:$H$28,'Base CDI'!$J$4:$J$29,S3701,"Cubic","Extrapolate=Linear","MultiX=Average","Skip=True","Sort=True")</f>
        <v>14.665074926276791</v>
      </c>
      <c r="U3701" s="43">
        <f ca="1">_xll.BInterpol('Base CDI'!$H$4:$H$28,'Base CDI'!$I$4:$I$29,S3701,"Cubic","Extrapolate=Linear","MultiX=Average","Skip=True","Sort=True")</f>
        <v>14.732254886093001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49408</v>
      </c>
      <c r="T3702" s="43">
        <f ca="1">_xll.BInterpol('Base CDI'!$H$4:$H$28,'Base CDI'!$J$4:$J$29,S3702,"Cubic","Extrapolate=Linear","MultiX=Average","Skip=True","Sort=True")</f>
        <v>14.664944221844292</v>
      </c>
      <c r="U3702" s="43">
        <f ca="1">_xll.BInterpol('Base CDI'!$H$4:$H$28,'Base CDI'!$I$4:$I$29,S3702,"Cubic","Extrapolate=Linear","MultiX=Average","Skip=True","Sort=True")</f>
        <v>14.73205478054207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49409</v>
      </c>
      <c r="T3703" s="43">
        <f ca="1">_xll.BInterpol('Base CDI'!$H$4:$H$28,'Base CDI'!$J$4:$J$29,S3703,"Cubic","Extrapolate=Linear","MultiX=Average","Skip=True","Sort=True")</f>
        <v>14.664813390253984</v>
      </c>
      <c r="U3703" s="43">
        <f ca="1">_xll.BInterpol('Base CDI'!$H$4:$H$28,'Base CDI'!$I$4:$I$29,S3703,"Cubic","Extrapolate=Linear","MultiX=Average","Skip=True","Sort=True")</f>
        <v>14.731854375757237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49410</v>
      </c>
      <c r="T3704" s="43">
        <f ca="1">_xll.BInterpol('Base CDI'!$H$4:$H$28,'Base CDI'!$J$4:$J$29,S3704,"Cubic","Extrapolate=Linear","MultiX=Average","Skip=True","Sort=True")</f>
        <v>14.664682431706433</v>
      </c>
      <c r="U3704" s="43">
        <f ca="1">_xll.BInterpol('Base CDI'!$H$4:$H$28,'Base CDI'!$I$4:$I$29,S3704,"Cubic","Extrapolate=Linear","MultiX=Average","Skip=True","Sort=True")</f>
        <v>14.731653672210479</v>
      </c>
    </row>
    <row r="3705" spans="16:21" x14ac:dyDescent="0.25">
      <c r="P3705" s="10">
        <v>39899</v>
      </c>
      <c r="Q3705">
        <v>20.9162</v>
      </c>
      <c r="S3705" s="42">
        <f t="shared" ca="1" si="62"/>
        <v>49411</v>
      </c>
      <c r="T3705" s="43">
        <f ca="1">_xll.BInterpol('Base CDI'!$H$4:$H$28,'Base CDI'!$J$4:$J$29,S3705,"Cubic","Extrapolate=Linear","MultiX=Average","Skip=True","Sort=True")</f>
        <v>14.664551346402201</v>
      </c>
      <c r="U3705" s="43">
        <f ca="1">_xll.BInterpol('Base CDI'!$H$4:$H$28,'Base CDI'!$I$4:$I$29,S3705,"Cubic","Extrapolate=Linear","MultiX=Average","Skip=True","Sort=True")</f>
        <v>14.731452670373773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49412</v>
      </c>
      <c r="T3706" s="43">
        <f ca="1">_xll.BInterpol('Base CDI'!$H$4:$H$28,'Base CDI'!$J$4:$J$29,S3706,"Cubic","Extrapolate=Linear","MultiX=Average","Skip=True","Sort=True")</f>
        <v>14.664420134541853</v>
      </c>
      <c r="U3706" s="43">
        <f ca="1">_xll.BInterpol('Base CDI'!$H$4:$H$28,'Base CDI'!$I$4:$I$29,S3706,"Cubic","Extrapolate=Linear","MultiX=Average","Skip=True","Sort=True")</f>
        <v>14.731251370719097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49413</v>
      </c>
      <c r="T3707" s="43">
        <f ca="1">_xll.BInterpol('Base CDI'!$H$4:$H$28,'Base CDI'!$J$4:$J$29,S3707,"Cubic","Extrapolate=Linear","MultiX=Average","Skip=True","Sort=True")</f>
        <v>14.664288796325952</v>
      </c>
      <c r="U3707" s="43">
        <f ca="1">_xll.BInterpol('Base CDI'!$H$4:$H$28,'Base CDI'!$I$4:$I$29,S3707,"Cubic","Extrapolate=Linear","MultiX=Average","Skip=True","Sort=True")</f>
        <v>14.73104977371843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49414</v>
      </c>
      <c r="T3708" s="43">
        <f ca="1">_xll.BInterpol('Base CDI'!$H$4:$H$28,'Base CDI'!$J$4:$J$29,S3708,"Cubic","Extrapolate=Linear","MultiX=Average","Skip=True","Sort=True")</f>
        <v>14.664157331955066</v>
      </c>
      <c r="U3708" s="43">
        <f ca="1">_xll.BInterpol('Base CDI'!$H$4:$H$28,'Base CDI'!$I$4:$I$29,S3708,"Cubic","Extrapolate=Linear","MultiX=Average","Skip=True","Sort=True")</f>
        <v>14.730847879843749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49415</v>
      </c>
      <c r="T3709" s="43">
        <f ca="1">_xll.BInterpol('Base CDI'!$H$4:$H$28,'Base CDI'!$J$4:$J$29,S3709,"Cubic","Extrapolate=Linear","MultiX=Average","Skip=True","Sort=True")</f>
        <v>14.664025741629757</v>
      </c>
      <c r="U3709" s="43">
        <f ca="1">_xll.BInterpol('Base CDI'!$H$4:$H$28,'Base CDI'!$I$4:$I$29,S3709,"Cubic","Extrapolate=Linear","MultiX=Average","Skip=True","Sort=True")</f>
        <v>14.73064568956703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49416</v>
      </c>
      <c r="T3710" s="43">
        <f ca="1">_xll.BInterpol('Base CDI'!$H$4:$H$28,'Base CDI'!$J$4:$J$29,S3710,"Cubic","Extrapolate=Linear","MultiX=Average","Skip=True","Sort=True")</f>
        <v>14.663894025550588</v>
      </c>
      <c r="U3710" s="43">
        <f ca="1">_xll.BInterpol('Base CDI'!$H$4:$H$28,'Base CDI'!$I$4:$I$29,S3710,"Cubic","Extrapolate=Linear","MultiX=Average","Skip=True","Sort=True")</f>
        <v>14.730443203360254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49417</v>
      </c>
      <c r="T3711" s="43">
        <f ca="1">_xll.BInterpol('Base CDI'!$H$4:$H$28,'Base CDI'!$J$4:$J$29,S3711,"Cubic","Extrapolate=Linear","MultiX=Average","Skip=True","Sort=True")</f>
        <v>14.663762183918127</v>
      </c>
      <c r="U3711" s="43">
        <f ca="1">_xll.BInterpol('Base CDI'!$H$4:$H$28,'Base CDI'!$I$4:$I$29,S3711,"Cubic","Extrapolate=Linear","MultiX=Average","Skip=True","Sort=True")</f>
        <v>14.730240421695395</v>
      </c>
    </row>
    <row r="3712" spans="16:21" x14ac:dyDescent="0.25">
      <c r="P3712" s="10">
        <v>39910</v>
      </c>
      <c r="Q3712">
        <v>20.97747</v>
      </c>
      <c r="S3712" s="42">
        <f t="shared" ca="1" si="62"/>
        <v>49418</v>
      </c>
      <c r="T3712" s="43">
        <f ca="1">_xll.BInterpol('Base CDI'!$H$4:$H$28,'Base CDI'!$J$4:$J$29,S3712,"Cubic","Extrapolate=Linear","MultiX=Average","Skip=True","Sort=True")</f>
        <v>14.663630216932935</v>
      </c>
      <c r="U3712" s="43">
        <f ca="1">_xll.BInterpol('Base CDI'!$H$4:$H$28,'Base CDI'!$I$4:$I$29,S3712,"Cubic","Extrapolate=Linear","MultiX=Average","Skip=True","Sort=True")</f>
        <v>14.730037345044435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49419</v>
      </c>
      <c r="T3713" s="43">
        <f ca="1">_xll.BInterpol('Base CDI'!$H$4:$H$28,'Base CDI'!$J$4:$J$29,S3713,"Cubic","Extrapolate=Linear","MultiX=Average","Skip=True","Sort=True")</f>
        <v>14.663498124795577</v>
      </c>
      <c r="U3713" s="43">
        <f ca="1">_xll.BInterpol('Base CDI'!$H$4:$H$28,'Base CDI'!$I$4:$I$29,S3713,"Cubic","Extrapolate=Linear","MultiX=Average","Skip=True","Sort=True")</f>
        <v>14.72983397387935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49420</v>
      </c>
      <c r="T3714" s="43">
        <f ca="1">_xll.BInterpol('Base CDI'!$H$4:$H$28,'Base CDI'!$J$4:$J$29,S3714,"Cubic","Extrapolate=Linear","MultiX=Average","Skip=True","Sort=True")</f>
        <v>14.66336590770662</v>
      </c>
      <c r="U3714" s="43">
        <f ca="1">_xll.BInterpol('Base CDI'!$H$4:$H$28,'Base CDI'!$I$4:$I$29,S3714,"Cubic","Extrapolate=Linear","MultiX=Average","Skip=True","Sort=True")</f>
        <v>14.729630308672116</v>
      </c>
    </row>
    <row r="3715" spans="16:21" x14ac:dyDescent="0.25">
      <c r="P3715" s="10">
        <v>39916</v>
      </c>
      <c r="Q3715">
        <v>21.00384</v>
      </c>
      <c r="S3715" s="42">
        <f t="shared" ca="1" si="62"/>
        <v>49421</v>
      </c>
      <c r="T3715" s="43">
        <f ca="1">_xll.BInterpol('Base CDI'!$H$4:$H$28,'Base CDI'!$J$4:$J$29,S3715,"Cubic","Extrapolate=Linear","MultiX=Average","Skip=True","Sort=True")</f>
        <v>14.663233565866625</v>
      </c>
      <c r="U3715" s="43">
        <f ca="1">_xll.BInterpol('Base CDI'!$H$4:$H$28,'Base CDI'!$I$4:$I$29,S3715,"Cubic","Extrapolate=Linear","MultiX=Average","Skip=True","Sort=True")</f>
        <v>14.729426349894712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49422</v>
      </c>
      <c r="T3716" s="43">
        <f ca="1">_xll.BInterpol('Base CDI'!$H$4:$H$28,'Base CDI'!$J$4:$J$29,S3716,"Cubic","Extrapolate=Linear","MultiX=Average","Skip=True","Sort=True")</f>
        <v>14.663101099476158</v>
      </c>
      <c r="U3716" s="43">
        <f ca="1">_xll.BInterpol('Base CDI'!$H$4:$H$28,'Base CDI'!$I$4:$I$29,S3716,"Cubic","Extrapolate=Linear","MultiX=Average","Skip=True","Sort=True")</f>
        <v>14.729222098019118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49423</v>
      </c>
      <c r="T3717" s="43">
        <f ca="1">_xll.BInterpol('Base CDI'!$H$4:$H$28,'Base CDI'!$J$4:$J$29,S3717,"Cubic","Extrapolate=Linear","MultiX=Average","Skip=True","Sort=True")</f>
        <v>14.662968508735784</v>
      </c>
      <c r="U3717" s="43">
        <f ca="1">_xll.BInterpol('Base CDI'!$H$4:$H$28,'Base CDI'!$I$4:$I$29,S3717,"Cubic","Extrapolate=Linear","MultiX=Average","Skip=True","Sort=True")</f>
        <v>14.729017553517309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49424</v>
      </c>
      <c r="T3718" s="43">
        <f ca="1">_xll.BInterpol('Base CDI'!$H$4:$H$28,'Base CDI'!$J$4:$J$29,S3718,"Cubic","Extrapolate=Linear","MultiX=Average","Skip=True","Sort=True")</f>
        <v>14.662835793846066</v>
      </c>
      <c r="U3718" s="43">
        <f ca="1">_xll.BInterpol('Base CDI'!$H$4:$H$28,'Base CDI'!$I$4:$I$29,S3718,"Cubic","Extrapolate=Linear","MultiX=Average","Skip=True","Sort=True")</f>
        <v>14.728812716861263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49425</v>
      </c>
      <c r="T3719" s="43">
        <f ca="1">_xll.BInterpol('Base CDI'!$H$4:$H$28,'Base CDI'!$J$4:$J$29,S3719,"Cubic","Extrapolate=Linear","MultiX=Average","Skip=True","Sort=True")</f>
        <v>14.662702955007569</v>
      </c>
      <c r="U3719" s="43">
        <f ca="1">_xll.BInterpol('Base CDI'!$H$4:$H$28,'Base CDI'!$I$4:$I$29,S3719,"Cubic","Extrapolate=Linear","MultiX=Average","Skip=True","Sort=True")</f>
        <v>14.728607588522959</v>
      </c>
    </row>
    <row r="3720" spans="16:21" x14ac:dyDescent="0.25">
      <c r="P3720" s="10">
        <v>39923</v>
      </c>
      <c r="Q3720">
        <v>21.04766</v>
      </c>
      <c r="S3720" s="42">
        <f t="shared" ca="1" si="62"/>
        <v>49426</v>
      </c>
      <c r="T3720" s="43">
        <f ca="1">_xll.BInterpol('Base CDI'!$H$4:$H$28,'Base CDI'!$J$4:$J$29,S3720,"Cubic","Extrapolate=Linear","MultiX=Average","Skip=True","Sort=True")</f>
        <v>14.662569992420858</v>
      </c>
      <c r="U3720" s="43">
        <f ca="1">_xll.BInterpol('Base CDI'!$H$4:$H$28,'Base CDI'!$I$4:$I$29,S3720,"Cubic","Extrapolate=Linear","MultiX=Average","Skip=True","Sort=True")</f>
        <v>14.728402168974373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49427</v>
      </c>
      <c r="T3721" s="43">
        <f ca="1">_xll.BInterpol('Base CDI'!$H$4:$H$28,'Base CDI'!$J$4:$J$29,S3721,"Cubic","Extrapolate=Linear","MultiX=Average","Skip=True","Sort=True")</f>
        <v>14.662436906286496</v>
      </c>
      <c r="U3721" s="43">
        <f ca="1">_xll.BInterpol('Base CDI'!$H$4:$H$28,'Base CDI'!$I$4:$I$29,S3721,"Cubic","Extrapolate=Linear","MultiX=Average","Skip=True","Sort=True")</f>
        <v>14.728196458687483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49428</v>
      </c>
      <c r="T3722" s="43">
        <f ca="1">_xll.BInterpol('Base CDI'!$H$4:$H$28,'Base CDI'!$J$4:$J$29,S3722,"Cubic","Extrapolate=Linear","MultiX=Average","Skip=True","Sort=True")</f>
        <v>14.662303696805047</v>
      </c>
      <c r="U3722" s="43">
        <f ca="1">_xll.BInterpol('Base CDI'!$H$4:$H$28,'Base CDI'!$I$4:$I$29,S3722,"Cubic","Extrapolate=Linear","MultiX=Average","Skip=True","Sort=True")</f>
        <v>14.72799045813427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49429</v>
      </c>
      <c r="T3723" s="43">
        <f ca="1">_xll.BInterpol('Base CDI'!$H$4:$H$28,'Base CDI'!$J$4:$J$29,S3723,"Cubic","Extrapolate=Linear","MultiX=Average","Skip=True","Sort=True")</f>
        <v>14.662170364177078</v>
      </c>
      <c r="U3723" s="43">
        <f ca="1">_xll.BInterpol('Base CDI'!$H$4:$H$28,'Base CDI'!$I$4:$I$29,S3723,"Cubic","Extrapolate=Linear","MultiX=Average","Skip=True","Sort=True")</f>
        <v>14.727784167786707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49430</v>
      </c>
      <c r="T3724" s="43">
        <f ca="1">_xll.BInterpol('Base CDI'!$H$4:$H$28,'Base CDI'!$J$4:$J$29,S3724,"Cubic","Extrapolate=Linear","MultiX=Average","Skip=True","Sort=True")</f>
        <v>14.662036908603151</v>
      </c>
      <c r="U3724" s="43">
        <f ca="1">_xll.BInterpol('Base CDI'!$H$4:$H$28,'Base CDI'!$I$4:$I$29,S3724,"Cubic","Extrapolate=Linear","MultiX=Average","Skip=True","Sort=True")</f>
        <v>14.727577588116775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49431</v>
      </c>
      <c r="T3725" s="43">
        <f ca="1">_xll.BInterpol('Base CDI'!$H$4:$H$28,'Base CDI'!$J$4:$J$29,S3725,"Cubic","Extrapolate=Linear","MultiX=Average","Skip=True","Sort=True")</f>
        <v>14.661903330283831</v>
      </c>
      <c r="U3725" s="43">
        <f ca="1">_xll.BInterpol('Base CDI'!$H$4:$H$28,'Base CDI'!$I$4:$I$29,S3725,"Cubic","Extrapolate=Linear","MultiX=Average","Skip=True","Sort=True")</f>
        <v>14.727370719596452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49432</v>
      </c>
      <c r="T3726" s="43">
        <f ca="1">_xll.BInterpol('Base CDI'!$H$4:$H$28,'Base CDI'!$J$4:$J$29,S3726,"Cubic","Extrapolate=Linear","MultiX=Average","Skip=True","Sort=True")</f>
        <v>14.661769629419682</v>
      </c>
      <c r="U3726" s="43">
        <f ca="1">_xll.BInterpol('Base CDI'!$H$4:$H$28,'Base CDI'!$I$4:$I$29,S3726,"Cubic","Extrapolate=Linear","MultiX=Average","Skip=True","Sort=True")</f>
        <v>14.727163562697713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49433</v>
      </c>
      <c r="T3727" s="43">
        <f ca="1">_xll.BInterpol('Base CDI'!$H$4:$H$28,'Base CDI'!$J$4:$J$29,S3727,"Cubic","Extrapolate=Linear","MultiX=Average","Skip=True","Sort=True")</f>
        <v>14.661635806211269</v>
      </c>
      <c r="U3727" s="43">
        <f ca="1">_xll.BInterpol('Base CDI'!$H$4:$H$28,'Base CDI'!$I$4:$I$29,S3727,"Cubic","Extrapolate=Linear","MultiX=Average","Skip=True","Sort=True")</f>
        <v>14.726956117892538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49434</v>
      </c>
      <c r="T3728" s="43">
        <f ca="1">_xll.BInterpol('Base CDI'!$H$4:$H$28,'Base CDI'!$J$4:$J$29,S3728,"Cubic","Extrapolate=Linear","MultiX=Average","Skip=True","Sort=True")</f>
        <v>14.661501860859158</v>
      </c>
      <c r="U3728" s="43">
        <f ca="1">_xll.BInterpol('Base CDI'!$H$4:$H$28,'Base CDI'!$I$4:$I$29,S3728,"Cubic","Extrapolate=Linear","MultiX=Average","Skip=True","Sort=True")</f>
        <v>14.726748385652906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49435</v>
      </c>
      <c r="T3729" s="43">
        <f ca="1">_xll.BInterpol('Base CDI'!$H$4:$H$28,'Base CDI'!$J$4:$J$29,S3729,"Cubic","Extrapolate=Linear","MultiX=Average","Skip=True","Sort=True")</f>
        <v>14.66136779356391</v>
      </c>
      <c r="U3729" s="43">
        <f ca="1">_xll.BInterpol('Base CDI'!$H$4:$H$28,'Base CDI'!$I$4:$I$29,S3729,"Cubic","Extrapolate=Linear","MultiX=Average","Skip=True","Sort=True")</f>
        <v>14.72654036645079</v>
      </c>
    </row>
    <row r="3730" spans="16:21" x14ac:dyDescent="0.25">
      <c r="P3730" s="10">
        <v>39939</v>
      </c>
      <c r="Q3730">
        <v>21.13353</v>
      </c>
      <c r="S3730" s="42">
        <f t="shared" ca="1" si="63"/>
        <v>49436</v>
      </c>
      <c r="T3730" s="43">
        <f ca="1">_xll.BInterpol('Base CDI'!$H$4:$H$28,'Base CDI'!$J$4:$J$29,S3730,"Cubic","Extrapolate=Linear","MultiX=Average","Skip=True","Sort=True")</f>
        <v>14.661233604526091</v>
      </c>
      <c r="U3730" s="43">
        <f ca="1">_xll.BInterpol('Base CDI'!$H$4:$H$28,'Base CDI'!$I$4:$I$29,S3730,"Cubic","Extrapolate=Linear","MultiX=Average","Skip=True","Sort=True")</f>
        <v>14.726332060758173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49437</v>
      </c>
      <c r="T3731" s="43">
        <f ca="1">_xll.BInterpol('Base CDI'!$H$4:$H$28,'Base CDI'!$J$4:$J$29,S3731,"Cubic","Extrapolate=Linear","MultiX=Average","Skip=True","Sort=True")</f>
        <v>14.661099293946265</v>
      </c>
      <c r="U3731" s="43">
        <f ca="1">_xll.BInterpol('Base CDI'!$H$4:$H$28,'Base CDI'!$I$4:$I$29,S3731,"Cubic","Extrapolate=Linear","MultiX=Average","Skip=True","Sort=True")</f>
        <v>14.726123469047028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49438</v>
      </c>
      <c r="T3732" s="43">
        <f ca="1">_xll.BInterpol('Base CDI'!$H$4:$H$28,'Base CDI'!$J$4:$J$29,S3732,"Cubic","Extrapolate=Linear","MultiX=Average","Skip=True","Sort=True")</f>
        <v>14.660964862024997</v>
      </c>
      <c r="U3732" s="43">
        <f ca="1">_xll.BInterpol('Base CDI'!$H$4:$H$28,'Base CDI'!$I$4:$I$29,S3732,"Cubic","Extrapolate=Linear","MultiX=Average","Skip=True","Sort=True")</f>
        <v>14.725914591789337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49439</v>
      </c>
      <c r="T3733" s="43">
        <f ca="1">_xll.BInterpol('Base CDI'!$H$4:$H$28,'Base CDI'!$J$4:$J$29,S3733,"Cubic","Extrapolate=Linear","MultiX=Average","Skip=True","Sort=True")</f>
        <v>14.660830308962851</v>
      </c>
      <c r="U3733" s="43">
        <f ca="1">_xll.BInterpol('Base CDI'!$H$4:$H$28,'Base CDI'!$I$4:$I$29,S3733,"Cubic","Extrapolate=Linear","MultiX=Average","Skip=True","Sort=True")</f>
        <v>14.725705429457076</v>
      </c>
    </row>
    <row r="3734" spans="16:21" x14ac:dyDescent="0.25">
      <c r="P3734" s="10">
        <v>39945</v>
      </c>
      <c r="Q3734">
        <v>21.16591</v>
      </c>
      <c r="S3734" s="42">
        <f t="shared" ca="1" si="63"/>
        <v>49440</v>
      </c>
      <c r="T3734" s="43">
        <f ca="1">_xll.BInterpol('Base CDI'!$H$4:$H$28,'Base CDI'!$J$4:$J$29,S3734,"Cubic","Extrapolate=Linear","MultiX=Average","Skip=True","Sort=True")</f>
        <v>14.660695634960391</v>
      </c>
      <c r="U3734" s="43">
        <f ca="1">_xll.BInterpol('Base CDI'!$H$4:$H$28,'Base CDI'!$I$4:$I$29,S3734,"Cubic","Extrapolate=Linear","MultiX=Average","Skip=True","Sort=True")</f>
        <v>14.725495982522222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49441</v>
      </c>
      <c r="T3735" s="43">
        <f ca="1">_xll.BInterpol('Base CDI'!$H$4:$H$28,'Base CDI'!$J$4:$J$29,S3735,"Cubic","Extrapolate=Linear","MultiX=Average","Skip=True","Sort=True")</f>
        <v>14.660560840218183</v>
      </c>
      <c r="U3735" s="43">
        <f ca="1">_xll.BInterpol('Base CDI'!$H$4:$H$28,'Base CDI'!$I$4:$I$29,S3735,"Cubic","Extrapolate=Linear","MultiX=Average","Skip=True","Sort=True")</f>
        <v>14.725286251456755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49442</v>
      </c>
      <c r="T3736" s="43">
        <f ca="1">_xll.BInterpol('Base CDI'!$H$4:$H$28,'Base CDI'!$J$4:$J$29,S3736,"Cubic","Extrapolate=Linear","MultiX=Average","Skip=True","Sort=True")</f>
        <v>14.660425924936789</v>
      </c>
      <c r="U3736" s="43">
        <f ca="1">_xll.BInterpol('Base CDI'!$H$4:$H$28,'Base CDI'!$I$4:$I$29,S3736,"Cubic","Extrapolate=Linear","MultiX=Average","Skip=True","Sort=True")</f>
        <v>14.725076236732649</v>
      </c>
    </row>
    <row r="3737" spans="16:21" x14ac:dyDescent="0.25">
      <c r="P3737" s="10">
        <v>39948</v>
      </c>
      <c r="Q3737">
        <v>21.19022</v>
      </c>
      <c r="S3737" s="42">
        <f t="shared" ca="1" si="63"/>
        <v>49443</v>
      </c>
      <c r="T3737" s="43">
        <f ca="1">_xll.BInterpol('Base CDI'!$H$4:$H$28,'Base CDI'!$J$4:$J$29,S3737,"Cubic","Extrapolate=Linear","MultiX=Average","Skip=True","Sort=True")</f>
        <v>14.660290889316775</v>
      </c>
      <c r="U3737" s="43">
        <f ca="1">_xll.BInterpol('Base CDI'!$H$4:$H$28,'Base CDI'!$I$4:$I$29,S3737,"Cubic","Extrapolate=Linear","MultiX=Average","Skip=True","Sort=True")</f>
        <v>14.724865938821885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49444</v>
      </c>
      <c r="T3738" s="43">
        <f ca="1">_xll.BInterpol('Base CDI'!$H$4:$H$28,'Base CDI'!$J$4:$J$29,S3738,"Cubic","Extrapolate=Linear","MultiX=Average","Skip=True","Sort=True")</f>
        <v>14.660155733558705</v>
      </c>
      <c r="U3738" s="43">
        <f ca="1">_xll.BInterpol('Base CDI'!$H$4:$H$28,'Base CDI'!$I$4:$I$29,S3738,"Cubic","Extrapolate=Linear","MultiX=Average","Skip=True","Sort=True")</f>
        <v>14.72465535819644</v>
      </c>
    </row>
    <row r="3739" spans="16:21" x14ac:dyDescent="0.25">
      <c r="P3739" s="10">
        <v>39952</v>
      </c>
      <c r="Q3739">
        <v>21.20645</v>
      </c>
      <c r="S3739" s="42">
        <f t="shared" ca="1" si="63"/>
        <v>49445</v>
      </c>
      <c r="T3739" s="43">
        <f ca="1">_xll.BInterpol('Base CDI'!$H$4:$H$28,'Base CDI'!$J$4:$J$29,S3739,"Cubic","Extrapolate=Linear","MultiX=Average","Skip=True","Sort=True")</f>
        <v>14.660020457863144</v>
      </c>
      <c r="U3739" s="43">
        <f ca="1">_xll.BInterpol('Base CDI'!$H$4:$H$28,'Base CDI'!$I$4:$I$29,S3739,"Cubic","Extrapolate=Linear","MultiX=Average","Skip=True","Sort=True")</f>
        <v>14.724444495328292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49446</v>
      </c>
      <c r="T3740" s="43">
        <f ca="1">_xll.BInterpol('Base CDI'!$H$4:$H$28,'Base CDI'!$J$4:$J$29,S3740,"Cubic","Extrapolate=Linear","MultiX=Average","Skip=True","Sort=True")</f>
        <v>14.659885062430654</v>
      </c>
      <c r="U3740" s="43">
        <f ca="1">_xll.BInterpol('Base CDI'!$H$4:$H$28,'Base CDI'!$I$4:$I$29,S3740,"Cubic","Extrapolate=Linear","MultiX=Average","Skip=True","Sort=True")</f>
        <v>14.724233350689419</v>
      </c>
    </row>
    <row r="3741" spans="16:21" x14ac:dyDescent="0.25">
      <c r="P3741" s="10">
        <v>39954</v>
      </c>
      <c r="Q3741">
        <v>21.2227</v>
      </c>
      <c r="S3741" s="42">
        <f t="shared" ca="1" si="63"/>
        <v>49447</v>
      </c>
      <c r="T3741" s="43">
        <f ca="1">_xll.BInterpol('Base CDI'!$H$4:$H$28,'Base CDI'!$J$4:$J$29,S3741,"Cubic","Extrapolate=Linear","MultiX=Average","Skip=True","Sort=True")</f>
        <v>14.659749547461802</v>
      </c>
      <c r="U3741" s="43">
        <f ca="1">_xll.BInterpol('Base CDI'!$H$4:$H$28,'Base CDI'!$I$4:$I$29,S3741,"Cubic","Extrapolate=Linear","MultiX=Average","Skip=True","Sort=True")</f>
        <v>14.724021924751796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49448</v>
      </c>
      <c r="T3742" s="43">
        <f ca="1">_xll.BInterpol('Base CDI'!$H$4:$H$28,'Base CDI'!$J$4:$J$29,S3742,"Cubic","Extrapolate=Linear","MultiX=Average","Skip=True","Sort=True")</f>
        <v>14.65961391315715</v>
      </c>
      <c r="U3742" s="43">
        <f ca="1">_xll.BInterpol('Base CDI'!$H$4:$H$28,'Base CDI'!$I$4:$I$29,S3742,"Cubic","Extrapolate=Linear","MultiX=Average","Skip=True","Sort=True")</f>
        <v>14.723810217987404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49449</v>
      </c>
      <c r="T3743" s="43">
        <f ca="1">_xll.BInterpol('Base CDI'!$H$4:$H$28,'Base CDI'!$J$4:$J$29,S3743,"Cubic","Extrapolate=Linear","MultiX=Average","Skip=True","Sort=True")</f>
        <v>14.659478159717265</v>
      </c>
      <c r="U3743" s="43">
        <f ca="1">_xll.BInterpol('Base CDI'!$H$4:$H$28,'Base CDI'!$I$4:$I$29,S3743,"Cubic","Extrapolate=Linear","MultiX=Average","Skip=True","Sort=True")</f>
        <v>14.72359823086822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49450</v>
      </c>
      <c r="T3744" s="43">
        <f ca="1">_xll.BInterpol('Base CDI'!$H$4:$H$28,'Base CDI'!$J$4:$J$29,S3744,"Cubic","Extrapolate=Linear","MultiX=Average","Skip=True","Sort=True")</f>
        <v>14.65934228734271</v>
      </c>
      <c r="U3744" s="43">
        <f ca="1">_xll.BInterpol('Base CDI'!$H$4:$H$28,'Base CDI'!$I$4:$I$29,S3744,"Cubic","Extrapolate=Linear","MultiX=Average","Skip=True","Sort=True")</f>
        <v>14.723385963866221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49451</v>
      </c>
      <c r="T3745" s="43">
        <f ca="1">_xll.BInterpol('Base CDI'!$H$4:$H$28,'Base CDI'!$J$4:$J$29,S3745,"Cubic","Extrapolate=Linear","MultiX=Average","Skip=True","Sort=True")</f>
        <v>14.65920629623405</v>
      </c>
      <c r="U3745" s="43">
        <f ca="1">_xll.BInterpol('Base CDI'!$H$4:$H$28,'Base CDI'!$I$4:$I$29,S3745,"Cubic","Extrapolate=Linear","MultiX=Average","Skip=True","Sort=True")</f>
        <v>14.723173417453385</v>
      </c>
    </row>
    <row r="3746" spans="16:21" x14ac:dyDescent="0.25">
      <c r="P3746" s="10">
        <v>39961</v>
      </c>
      <c r="Q3746">
        <v>21.26304</v>
      </c>
      <c r="S3746" s="42">
        <f t="shared" ca="1" si="63"/>
        <v>49452</v>
      </c>
      <c r="T3746" s="43">
        <f ca="1">_xll.BInterpol('Base CDI'!$H$4:$H$28,'Base CDI'!$J$4:$J$29,S3746,"Cubic","Extrapolate=Linear","MultiX=Average","Skip=True","Sort=True")</f>
        <v>14.659070186591848</v>
      </c>
      <c r="U3746" s="43">
        <f ca="1">_xll.BInterpol('Base CDI'!$H$4:$H$28,'Base CDI'!$I$4:$I$29,S3746,"Cubic","Extrapolate=Linear","MultiX=Average","Skip=True","Sort=True")</f>
        <v>14.722960592101689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49453</v>
      </c>
      <c r="T3747" s="43">
        <f ca="1">_xll.BInterpol('Base CDI'!$H$4:$H$28,'Base CDI'!$J$4:$J$29,S3747,"Cubic","Extrapolate=Linear","MultiX=Average","Skip=True","Sort=True")</f>
        <v>14.65893395861667</v>
      </c>
      <c r="U3747" s="43">
        <f ca="1">_xll.BInterpol('Base CDI'!$H$4:$H$28,'Base CDI'!$I$4:$I$29,S3747,"Cubic","Extrapolate=Linear","MultiX=Average","Skip=True","Sort=True")</f>
        <v>14.722747488283114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49454</v>
      </c>
      <c r="T3748" s="43">
        <f ca="1">_xll.BInterpol('Base CDI'!$H$4:$H$28,'Base CDI'!$J$4:$J$29,S3748,"Cubic","Extrapolate=Linear","MultiX=Average","Skip=True","Sort=True")</f>
        <v>14.658797612509078</v>
      </c>
      <c r="U3748" s="43">
        <f ca="1">_xll.BInterpol('Base CDI'!$H$4:$H$28,'Base CDI'!$I$4:$I$29,S3748,"Cubic","Extrapolate=Linear","MultiX=Average","Skip=True","Sort=True")</f>
        <v>14.722534106469633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49455</v>
      </c>
      <c r="T3749" s="43">
        <f ca="1">_xll.BInterpol('Base CDI'!$H$4:$H$28,'Base CDI'!$J$4:$J$29,S3749,"Cubic","Extrapolate=Linear","MultiX=Average","Skip=True","Sort=True")</f>
        <v>14.658661148469639</v>
      </c>
      <c r="U3749" s="43">
        <f ca="1">_xll.BInterpol('Base CDI'!$H$4:$H$28,'Base CDI'!$I$4:$I$29,S3749,"Cubic","Extrapolate=Linear","MultiX=Average","Skip=True","Sort=True")</f>
        <v>14.722320447133228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49456</v>
      </c>
      <c r="T3750" s="43">
        <f ca="1">_xll.BInterpol('Base CDI'!$H$4:$H$28,'Base CDI'!$J$4:$J$29,S3750,"Cubic","Extrapolate=Linear","MultiX=Average","Skip=True","Sort=True")</f>
        <v>14.658524566698917</v>
      </c>
      <c r="U3750" s="43">
        <f ca="1">_xll.BInterpol('Base CDI'!$H$4:$H$28,'Base CDI'!$I$4:$I$29,S3750,"Cubic","Extrapolate=Linear","MultiX=Average","Skip=True","Sort=True")</f>
        <v>14.722106510745874</v>
      </c>
    </row>
    <row r="3751" spans="16:21" x14ac:dyDescent="0.25">
      <c r="P3751" s="10">
        <v>39968</v>
      </c>
      <c r="Q3751">
        <v>21.30349</v>
      </c>
      <c r="S3751" s="42">
        <f t="shared" ca="1" si="63"/>
        <v>49457</v>
      </c>
      <c r="T3751" s="43">
        <f ca="1">_xll.BInterpol('Base CDI'!$H$4:$H$28,'Base CDI'!$J$4:$J$29,S3751,"Cubic","Extrapolate=Linear","MultiX=Average","Skip=True","Sort=True")</f>
        <v>14.658387867397474</v>
      </c>
      <c r="U3751" s="43">
        <f ca="1">_xll.BInterpol('Base CDI'!$H$4:$H$28,'Base CDI'!$I$4:$I$29,S3751,"Cubic","Extrapolate=Linear","MultiX=Average","Skip=True","Sort=True")</f>
        <v>14.721892297779551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49458</v>
      </c>
      <c r="T3752" s="43">
        <f ca="1">_xll.BInterpol('Base CDI'!$H$4:$H$28,'Base CDI'!$J$4:$J$29,S3752,"Cubic","Extrapolate=Linear","MultiX=Average","Skip=True","Sort=True")</f>
        <v>14.658251050765877</v>
      </c>
      <c r="U3752" s="43">
        <f ca="1">_xll.BInterpol('Base CDI'!$H$4:$H$28,'Base CDI'!$I$4:$I$29,S3752,"Cubic","Extrapolate=Linear","MultiX=Average","Skip=True","Sort=True")</f>
        <v>14.721677808706234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49459</v>
      </c>
      <c r="T3753" s="43">
        <f ca="1">_xll.BInterpol('Base CDI'!$H$4:$H$28,'Base CDI'!$J$4:$J$29,S3753,"Cubic","Extrapolate=Linear","MultiX=Average","Skip=True","Sort=True")</f>
        <v>14.65811411700469</v>
      </c>
      <c r="U3753" s="43">
        <f ca="1">_xll.BInterpol('Base CDI'!$H$4:$H$28,'Base CDI'!$I$4:$I$29,S3753,"Cubic","Extrapolate=Linear","MultiX=Average","Skip=True","Sort=True")</f>
        <v>14.721463043997904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49460</v>
      </c>
      <c r="T3754" s="43">
        <f ca="1">_xll.BInterpol('Base CDI'!$H$4:$H$28,'Base CDI'!$J$4:$J$29,S3754,"Cubic","Extrapolate=Linear","MultiX=Average","Skip=True","Sort=True")</f>
        <v>14.657977066314475</v>
      </c>
      <c r="U3754" s="43">
        <f ca="1">_xll.BInterpol('Base CDI'!$H$4:$H$28,'Base CDI'!$I$4:$I$29,S3754,"Cubic","Extrapolate=Linear","MultiX=Average","Skip=True","Sort=True")</f>
        <v>14.721248004126535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49461</v>
      </c>
      <c r="T3755" s="43">
        <f ca="1">_xll.BInterpol('Base CDI'!$H$4:$H$28,'Base CDI'!$J$4:$J$29,S3755,"Cubic","Extrapolate=Linear","MultiX=Average","Skip=True","Sort=True")</f>
        <v>14.6578398988958</v>
      </c>
      <c r="U3755" s="43">
        <f ca="1">_xll.BInterpol('Base CDI'!$H$4:$H$28,'Base CDI'!$I$4:$I$29,S3755,"Cubic","Extrapolate=Linear","MultiX=Average","Skip=True","Sort=True")</f>
        <v>14.721032689564108</v>
      </c>
    </row>
    <row r="3756" spans="16:21" x14ac:dyDescent="0.25">
      <c r="P3756" s="10">
        <v>39976</v>
      </c>
      <c r="Q3756">
        <v>21.34385</v>
      </c>
      <c r="S3756" s="42">
        <f t="shared" ca="1" si="63"/>
        <v>49462</v>
      </c>
      <c r="T3756" s="43">
        <f ca="1">_xll.BInterpol('Base CDI'!$H$4:$H$28,'Base CDI'!$J$4:$J$29,S3756,"Cubic","Extrapolate=Linear","MultiX=Average","Skip=True","Sort=True")</f>
        <v>14.657702614949226</v>
      </c>
      <c r="U3756" s="43">
        <f ca="1">_xll.BInterpol('Base CDI'!$H$4:$H$28,'Base CDI'!$I$4:$I$29,S3756,"Cubic","Extrapolate=Linear","MultiX=Average","Skip=True","Sort=True")</f>
        <v>14.7208171007826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49463</v>
      </c>
      <c r="T3757" s="43">
        <f ca="1">_xll.BInterpol('Base CDI'!$H$4:$H$28,'Base CDI'!$J$4:$J$29,S3757,"Cubic","Extrapolate=Linear","MultiX=Average","Skip=True","Sort=True")</f>
        <v>14.657565214675319</v>
      </c>
      <c r="U3757" s="43">
        <f ca="1">_xll.BInterpol('Base CDI'!$H$4:$H$28,'Base CDI'!$I$4:$I$29,S3757,"Cubic","Extrapolate=Linear","MultiX=Average","Skip=True","Sort=True")</f>
        <v>14.720601238253987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49464</v>
      </c>
      <c r="T3758" s="43">
        <f ca="1">_xll.BInterpol('Base CDI'!$H$4:$H$28,'Base CDI'!$J$4:$J$29,S3758,"Cubic","Extrapolate=Linear","MultiX=Average","Skip=True","Sort=True")</f>
        <v>14.657427698274644</v>
      </c>
      <c r="U3758" s="43">
        <f ca="1">_xll.BInterpol('Base CDI'!$H$4:$H$28,'Base CDI'!$I$4:$I$29,S3758,"Cubic","Extrapolate=Linear","MultiX=Average","Skip=True","Sort=True")</f>
        <v>14.720385102450249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49465</v>
      </c>
      <c r="T3759" s="43">
        <f ca="1">_xll.BInterpol('Base CDI'!$H$4:$H$28,'Base CDI'!$J$4:$J$29,S3759,"Cubic","Extrapolate=Linear","MultiX=Average","Skip=True","Sort=True")</f>
        <v>14.657290065947764</v>
      </c>
      <c r="U3759" s="43">
        <f ca="1">_xll.BInterpol('Base CDI'!$H$4:$H$28,'Base CDI'!$I$4:$I$29,S3759,"Cubic","Extrapolate=Linear","MultiX=Average","Skip=True","Sort=True")</f>
        <v>14.720168693843362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49466</v>
      </c>
      <c r="T3760" s="43">
        <f ca="1">_xll.BInterpol('Base CDI'!$H$4:$H$28,'Base CDI'!$J$4:$J$29,S3760,"Cubic","Extrapolate=Linear","MultiX=Average","Skip=True","Sort=True")</f>
        <v>14.657152317895244</v>
      </c>
      <c r="U3760" s="43">
        <f ca="1">_xll.BInterpol('Base CDI'!$H$4:$H$28,'Base CDI'!$I$4:$I$29,S3760,"Cubic","Extrapolate=Linear","MultiX=Average","Skip=True","Sort=True")</f>
        <v>14.719952012905306</v>
      </c>
    </row>
    <row r="3761" spans="16:21" x14ac:dyDescent="0.25">
      <c r="P3761" s="10">
        <v>39983</v>
      </c>
      <c r="Q3761">
        <v>21.38045</v>
      </c>
      <c r="S3761" s="42">
        <f t="shared" ca="1" si="63"/>
        <v>49467</v>
      </c>
      <c r="T3761" s="43">
        <f ca="1">_xll.BInterpol('Base CDI'!$H$4:$H$28,'Base CDI'!$J$4:$J$29,S3761,"Cubic","Extrapolate=Linear","MultiX=Average","Skip=True","Sort=True")</f>
        <v>14.657014454317649</v>
      </c>
      <c r="U3761" s="43">
        <f ca="1">_xll.BInterpol('Base CDI'!$H$4:$H$28,'Base CDI'!$I$4:$I$29,S3761,"Cubic","Extrapolate=Linear","MultiX=Average","Skip=True","Sort=True")</f>
        <v>14.719735060108057</v>
      </c>
    </row>
    <row r="3762" spans="16:21" x14ac:dyDescent="0.25">
      <c r="P3762" s="10">
        <v>39986</v>
      </c>
      <c r="Q3762">
        <v>21.38777</v>
      </c>
      <c r="S3762" s="42">
        <f t="shared" ca="1" si="63"/>
        <v>49468</v>
      </c>
      <c r="T3762" s="43">
        <f ca="1">_xll.BInterpol('Base CDI'!$H$4:$H$28,'Base CDI'!$J$4:$J$29,S3762,"Cubic","Extrapolate=Linear","MultiX=Average","Skip=True","Sort=True")</f>
        <v>14.656876475415542</v>
      </c>
      <c r="U3762" s="43">
        <f ca="1">_xll.BInterpol('Base CDI'!$H$4:$H$28,'Base CDI'!$I$4:$I$29,S3762,"Cubic","Extrapolate=Linear","MultiX=Average","Skip=True","Sort=True")</f>
        <v>14.719517835923593</v>
      </c>
    </row>
    <row r="3763" spans="16:21" x14ac:dyDescent="0.25">
      <c r="P3763" s="10">
        <v>39987</v>
      </c>
      <c r="Q3763">
        <v>21.39507</v>
      </c>
      <c r="S3763" s="42">
        <f t="shared" ca="1" si="63"/>
        <v>49469</v>
      </c>
      <c r="T3763" s="43">
        <f ca="1">_xll.BInterpol('Base CDI'!$H$4:$H$28,'Base CDI'!$J$4:$J$29,S3763,"Cubic","Extrapolate=Linear","MultiX=Average","Skip=True","Sort=True")</f>
        <v>14.65673838138949</v>
      </c>
      <c r="U3763" s="43">
        <f ca="1">_xll.BInterpol('Base CDI'!$H$4:$H$28,'Base CDI'!$I$4:$I$29,S3763,"Cubic","Extrapolate=Linear","MultiX=Average","Skip=True","Sort=True")</f>
        <v>14.719300340823892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49470</v>
      </c>
      <c r="T3764" s="43">
        <f ca="1">_xll.BInterpol('Base CDI'!$H$4:$H$28,'Base CDI'!$J$4:$J$29,S3764,"Cubic","Extrapolate=Linear","MultiX=Average","Skip=True","Sort=True")</f>
        <v>14.656600172440053</v>
      </c>
      <c r="U3764" s="43">
        <f ca="1">_xll.BInterpol('Base CDI'!$H$4:$H$28,'Base CDI'!$I$4:$I$29,S3764,"Cubic","Extrapolate=Linear","MultiX=Average","Skip=True","Sort=True")</f>
        <v>14.719082575280932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49471</v>
      </c>
      <c r="T3765" s="43">
        <f ca="1">_xll.BInterpol('Base CDI'!$H$4:$H$28,'Base CDI'!$J$4:$J$29,S3765,"Cubic","Extrapolate=Linear","MultiX=Average","Skip=True","Sort=True")</f>
        <v>14.656461848767799</v>
      </c>
      <c r="U3765" s="43">
        <f ca="1">_xll.BInterpol('Base CDI'!$H$4:$H$28,'Base CDI'!$I$4:$I$29,S3765,"Cubic","Extrapolate=Linear","MultiX=Average","Skip=True","Sort=True")</f>
        <v>14.71886453976669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49472</v>
      </c>
      <c r="T3766" s="43">
        <f ca="1">_xll.BInterpol('Base CDI'!$H$4:$H$28,'Base CDI'!$J$4:$J$29,S3766,"Cubic","Extrapolate=Linear","MultiX=Average","Skip=True","Sort=True")</f>
        <v>14.65632341057329</v>
      </c>
      <c r="U3766" s="43">
        <f ca="1">_xll.BInterpol('Base CDI'!$H$4:$H$28,'Base CDI'!$I$4:$I$29,S3766,"Cubic","Extrapolate=Linear","MultiX=Average","Skip=True","Sort=True")</f>
        <v>14.718646234753145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49473</v>
      </c>
      <c r="T3767" s="43">
        <f ca="1">_xll.BInterpol('Base CDI'!$H$4:$H$28,'Base CDI'!$J$4:$J$29,S3767,"Cubic","Extrapolate=Linear","MultiX=Average","Skip=True","Sort=True")</f>
        <v>14.656184858057093</v>
      </c>
      <c r="U3767" s="43">
        <f ca="1">_xll.BInterpol('Base CDI'!$H$4:$H$28,'Base CDI'!$I$4:$I$29,S3767,"Cubic","Extrapolate=Linear","MultiX=Average","Skip=True","Sort=True")</f>
        <v>14.718427660712273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49474</v>
      </c>
      <c r="T3768" s="43">
        <f ca="1">_xll.BInterpol('Base CDI'!$H$4:$H$28,'Base CDI'!$J$4:$J$29,S3768,"Cubic","Extrapolate=Linear","MultiX=Average","Skip=True","Sort=True")</f>
        <v>14.656046191419771</v>
      </c>
      <c r="U3768" s="43">
        <f ca="1">_xll.BInterpol('Base CDI'!$H$4:$H$28,'Base CDI'!$I$4:$I$29,S3768,"Cubic","Extrapolate=Linear","MultiX=Average","Skip=True","Sort=True")</f>
        <v>14.718208818116052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49475</v>
      </c>
      <c r="T3769" s="43">
        <f ca="1">_xll.BInterpol('Base CDI'!$H$4:$H$28,'Base CDI'!$J$4:$J$29,S3769,"Cubic","Extrapolate=Linear","MultiX=Average","Skip=True","Sort=True")</f>
        <v>14.655907410861886</v>
      </c>
      <c r="U3769" s="43">
        <f ca="1">_xll.BInterpol('Base CDI'!$H$4:$H$28,'Base CDI'!$I$4:$I$29,S3769,"Cubic","Extrapolate=Linear","MultiX=Average","Skip=True","Sort=True")</f>
        <v>14.717989707436463</v>
      </c>
    </row>
    <row r="3770" spans="16:21" x14ac:dyDescent="0.25">
      <c r="P3770" s="10">
        <v>39996</v>
      </c>
      <c r="Q3770">
        <v>21.44651</v>
      </c>
      <c r="S3770" s="42">
        <f t="shared" ca="1" si="63"/>
        <v>49476</v>
      </c>
      <c r="T3770" s="43">
        <f ca="1">_xll.BInterpol('Base CDI'!$H$4:$H$28,'Base CDI'!$J$4:$J$29,S3770,"Cubic","Extrapolate=Linear","MultiX=Average","Skip=True","Sort=True")</f>
        <v>14.655768516584006</v>
      </c>
      <c r="U3770" s="43">
        <f ca="1">_xll.BInterpol('Base CDI'!$H$4:$H$28,'Base CDI'!$I$4:$I$29,S3770,"Cubic","Extrapolate=Linear","MultiX=Average","Skip=True","Sort=True")</f>
        <v>14.717770329145479</v>
      </c>
    </row>
    <row r="3771" spans="16:21" x14ac:dyDescent="0.25">
      <c r="P3771" s="10">
        <v>39997</v>
      </c>
      <c r="Q3771">
        <v>21.45393</v>
      </c>
      <c r="S3771" s="42">
        <f t="shared" ca="1" si="63"/>
        <v>49477</v>
      </c>
      <c r="T3771" s="43">
        <f ca="1">_xll.BInterpol('Base CDI'!$H$4:$H$28,'Base CDI'!$J$4:$J$29,S3771,"Cubic","Extrapolate=Linear","MultiX=Average","Skip=True","Sort=True")</f>
        <v>14.655629508786696</v>
      </c>
      <c r="U3771" s="43">
        <f ca="1">_xll.BInterpol('Base CDI'!$H$4:$H$28,'Base CDI'!$I$4:$I$29,S3771,"Cubic","Extrapolate=Linear","MultiX=Average","Skip=True","Sort=True")</f>
        <v>14.71755068371508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49478</v>
      </c>
      <c r="T3772" s="43">
        <f ca="1">_xll.BInterpol('Base CDI'!$H$4:$H$28,'Base CDI'!$J$4:$J$29,S3772,"Cubic","Extrapolate=Linear","MultiX=Average","Skip=True","Sort=True")</f>
        <v>14.655490387670515</v>
      </c>
      <c r="U3772" s="43">
        <f ca="1">_xll.BInterpol('Base CDI'!$H$4:$H$28,'Base CDI'!$I$4:$I$29,S3772,"Cubic","Extrapolate=Linear","MultiX=Average","Skip=True","Sort=True")</f>
        <v>14.717330771617245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49479</v>
      </c>
      <c r="T3773" s="43">
        <f ca="1">_xll.BInterpol('Base CDI'!$H$4:$H$28,'Base CDI'!$J$4:$J$29,S3773,"Cubic","Extrapolate=Linear","MultiX=Average","Skip=True","Sort=True")</f>
        <v>14.655351153436033</v>
      </c>
      <c r="U3773" s="43">
        <f ca="1">_xll.BInterpol('Base CDI'!$H$4:$H$28,'Base CDI'!$I$4:$I$29,S3773,"Cubic","Extrapolate=Linear","MultiX=Average","Skip=True","Sort=True")</f>
        <v>14.717110593323952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49480</v>
      </c>
      <c r="T3774" s="43">
        <f ca="1">_xll.BInterpol('Base CDI'!$H$4:$H$28,'Base CDI'!$J$4:$J$29,S3774,"Cubic","Extrapolate=Linear","MultiX=Average","Skip=True","Sort=True")</f>
        <v>14.655211806283811</v>
      </c>
      <c r="U3774" s="43">
        <f ca="1">_xll.BInterpol('Base CDI'!$H$4:$H$28,'Base CDI'!$I$4:$I$29,S3774,"Cubic","Extrapolate=Linear","MultiX=Average","Skip=True","Sort=True")</f>
        <v>14.716890149307176</v>
      </c>
    </row>
    <row r="3775" spans="16:21" x14ac:dyDescent="0.25">
      <c r="P3775" s="10">
        <v>40003</v>
      </c>
      <c r="Q3775">
        <v>21.48358</v>
      </c>
      <c r="S3775" s="42">
        <f t="shared" ca="1" si="63"/>
        <v>49481</v>
      </c>
      <c r="T3775" s="43">
        <f ca="1">_xll.BInterpol('Base CDI'!$H$4:$H$28,'Base CDI'!$J$4:$J$29,S3775,"Cubic","Extrapolate=Linear","MultiX=Average","Skip=True","Sort=True")</f>
        <v>14.655072346414416</v>
      </c>
      <c r="U3775" s="43">
        <f ca="1">_xll.BInterpol('Base CDI'!$H$4:$H$28,'Base CDI'!$I$4:$I$29,S3775,"Cubic","Extrapolate=Linear","MultiX=Average","Skip=True","Sort=True")</f>
        <v>14.716669440038896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49482</v>
      </c>
      <c r="T3776" s="43">
        <f ca="1">_xll.BInterpol('Base CDI'!$H$4:$H$28,'Base CDI'!$J$4:$J$29,S3776,"Cubic","Extrapolate=Linear","MultiX=Average","Skip=True","Sort=True")</f>
        <v>14.654932774028408</v>
      </c>
      <c r="U3776" s="43">
        <f ca="1">_xll.BInterpol('Base CDI'!$H$4:$H$28,'Base CDI'!$I$4:$I$29,S3776,"Cubic","Extrapolate=Linear","MultiX=Average","Skip=True","Sort=True")</f>
        <v>14.716448465991089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49483</v>
      </c>
      <c r="T3777" s="43">
        <f ca="1">_xll.BInterpol('Base CDI'!$H$4:$H$28,'Base CDI'!$J$4:$J$29,S3777,"Cubic","Extrapolate=Linear","MultiX=Average","Skip=True","Sort=True")</f>
        <v>14.654793089326358</v>
      </c>
      <c r="U3777" s="43">
        <f ca="1">_xll.BInterpol('Base CDI'!$H$4:$H$28,'Base CDI'!$I$4:$I$29,S3777,"Cubic","Extrapolate=Linear","MultiX=Average","Skip=True","Sort=True")</f>
        <v>14.716227227635734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49484</v>
      </c>
      <c r="T3778" s="43">
        <f ca="1">_xll.BInterpol('Base CDI'!$H$4:$H$28,'Base CDI'!$J$4:$J$29,S3778,"Cubic","Extrapolate=Linear","MultiX=Average","Skip=True","Sort=True")</f>
        <v>14.654653292508824</v>
      </c>
      <c r="U3778" s="43">
        <f ca="1">_xll.BInterpol('Base CDI'!$H$4:$H$28,'Base CDI'!$I$4:$I$29,S3778,"Cubic","Extrapolate=Linear","MultiX=Average","Skip=True","Sort=True")</f>
        <v>14.716005725444809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49485</v>
      </c>
      <c r="T3779" s="43">
        <f ca="1">_xll.BInterpol('Base CDI'!$H$4:$H$28,'Base CDI'!$J$4:$J$29,S3779,"Cubic","Extrapolate=Linear","MultiX=Average","Skip=True","Sort=True")</f>
        <v>14.654513383776372</v>
      </c>
      <c r="U3779" s="43">
        <f ca="1">_xll.BInterpol('Base CDI'!$H$4:$H$28,'Base CDI'!$I$4:$I$29,S3779,"Cubic","Extrapolate=Linear","MultiX=Average","Skip=True","Sort=True")</f>
        <v>14.71578395989029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49486</v>
      </c>
      <c r="T3780" s="43">
        <f ca="1">_xll.BInterpol('Base CDI'!$H$4:$H$28,'Base CDI'!$J$4:$J$29,S3780,"Cubic","Extrapolate=Linear","MultiX=Average","Skip=True","Sort=True")</f>
        <v>14.654373363329571</v>
      </c>
      <c r="U3780" s="43">
        <f ca="1">_xll.BInterpol('Base CDI'!$H$4:$H$28,'Base CDI'!$I$4:$I$29,S3780,"Cubic","Extrapolate=Linear","MultiX=Average","Skip=True","Sort=True")</f>
        <v>14.715561931444157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49487</v>
      </c>
      <c r="T3781" s="43">
        <f ca="1">_xll.BInterpol('Base CDI'!$H$4:$H$28,'Base CDI'!$J$4:$J$29,S3781,"Cubic","Extrapolate=Linear","MultiX=Average","Skip=True","Sort=True")</f>
        <v>14.654233231368979</v>
      </c>
      <c r="U3781" s="43">
        <f ca="1">_xll.BInterpol('Base CDI'!$H$4:$H$28,'Base CDI'!$I$4:$I$29,S3781,"Cubic","Extrapolate=Linear","MultiX=Average","Skip=True","Sort=True")</f>
        <v>14.715339640578387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49488</v>
      </c>
      <c r="T3782" s="43">
        <f ca="1">_xll.BInterpol('Base CDI'!$H$4:$H$28,'Base CDI'!$J$4:$J$29,S3782,"Cubic","Extrapolate=Linear","MultiX=Average","Skip=True","Sort=True")</f>
        <v>14.654092988095163</v>
      </c>
      <c r="U3782" s="43">
        <f ca="1">_xll.BInterpol('Base CDI'!$H$4:$H$28,'Base CDI'!$I$4:$I$29,S3782,"Cubic","Extrapolate=Linear","MultiX=Average","Skip=True","Sort=True")</f>
        <v>14.715117087764957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49489</v>
      </c>
      <c r="T3783" s="43">
        <f ca="1">_xll.BInterpol('Base CDI'!$H$4:$H$28,'Base CDI'!$J$4:$J$29,S3783,"Cubic","Extrapolate=Linear","MultiX=Average","Skip=True","Sort=True")</f>
        <v>14.653952633708688</v>
      </c>
      <c r="U3783" s="43">
        <f ca="1">_xll.BInterpol('Base CDI'!$H$4:$H$28,'Base CDI'!$I$4:$I$29,S3783,"Cubic","Extrapolate=Linear","MultiX=Average","Skip=True","Sort=True")</f>
        <v>14.714894273475846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49490</v>
      </c>
      <c r="T3784" s="43">
        <f ca="1">_xll.BInterpol('Base CDI'!$H$4:$H$28,'Base CDI'!$J$4:$J$29,S3784,"Cubic","Extrapolate=Linear","MultiX=Average","Skip=True","Sort=True")</f>
        <v>14.653812168410118</v>
      </c>
      <c r="U3784" s="43">
        <f ca="1">_xll.BInterpol('Base CDI'!$H$4:$H$28,'Base CDI'!$I$4:$I$29,S3784,"Cubic","Extrapolate=Linear","MultiX=Average","Skip=True","Sort=True")</f>
        <v>14.71467119818303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49491</v>
      </c>
      <c r="T3785" s="43">
        <f ca="1">_xll.BInterpol('Base CDI'!$H$4:$H$28,'Base CDI'!$J$4:$J$29,S3785,"Cubic","Extrapolate=Linear","MultiX=Average","Skip=True","Sort=True")</f>
        <v>14.653671592400016</v>
      </c>
      <c r="U3785" s="43">
        <f ca="1">_xll.BInterpol('Base CDI'!$H$4:$H$28,'Base CDI'!$I$4:$I$29,S3785,"Cubic","Extrapolate=Linear","MultiX=Average","Skip=True","Sort=True")</f>
        <v>14.714447862358487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49492</v>
      </c>
      <c r="T3786" s="43">
        <f ca="1">_xll.BInterpol('Base CDI'!$H$4:$H$28,'Base CDI'!$J$4:$J$29,S3786,"Cubic","Extrapolate=Linear","MultiX=Average","Skip=True","Sort=True")</f>
        <v>14.653530905878949</v>
      </c>
      <c r="U3786" s="43">
        <f ca="1">_xll.BInterpol('Base CDI'!$H$4:$H$28,'Base CDI'!$I$4:$I$29,S3786,"Cubic","Extrapolate=Linear","MultiX=Average","Skip=True","Sort=True")</f>
        <v>14.714224266474197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49493</v>
      </c>
      <c r="T3787" s="43">
        <f ca="1">_xll.BInterpol('Base CDI'!$H$4:$H$28,'Base CDI'!$J$4:$J$29,S3787,"Cubic","Extrapolate=Linear","MultiX=Average","Skip=True","Sort=True")</f>
        <v>14.653390109047479</v>
      </c>
      <c r="U3787" s="43">
        <f ca="1">_xll.BInterpol('Base CDI'!$H$4:$H$28,'Base CDI'!$I$4:$I$29,S3787,"Cubic","Extrapolate=Linear","MultiX=Average","Skip=True","Sort=True")</f>
        <v>14.714000411002136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49494</v>
      </c>
      <c r="T3788" s="43">
        <f ca="1">_xll.BInterpol('Base CDI'!$H$4:$H$28,'Base CDI'!$J$4:$J$29,S3788,"Cubic","Extrapolate=Linear","MultiX=Average","Skip=True","Sort=True")</f>
        <v>14.653249202106172</v>
      </c>
      <c r="U3788" s="43">
        <f ca="1">_xll.BInterpol('Base CDI'!$H$4:$H$28,'Base CDI'!$I$4:$I$29,S3788,"Cubic","Extrapolate=Linear","MultiX=Average","Skip=True","Sort=True")</f>
        <v>14.713776296414283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49495</v>
      </c>
      <c r="T3789" s="43">
        <f ca="1">_xll.BInterpol('Base CDI'!$H$4:$H$28,'Base CDI'!$J$4:$J$29,S3789,"Cubic","Extrapolate=Linear","MultiX=Average","Skip=True","Sort=True")</f>
        <v>14.65310818525559</v>
      </c>
      <c r="U3789" s="43">
        <f ca="1">_xll.BInterpol('Base CDI'!$H$4:$H$28,'Base CDI'!$I$4:$I$29,S3789,"Cubic","Extrapolate=Linear","MultiX=Average","Skip=True","Sort=True")</f>
        <v>14.713551923182612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49496</v>
      </c>
      <c r="T3790" s="43">
        <f ca="1">_xll.BInterpol('Base CDI'!$H$4:$H$28,'Base CDI'!$J$4:$J$29,S3790,"Cubic","Extrapolate=Linear","MultiX=Average","Skip=True","Sort=True")</f>
        <v>14.652967058696301</v>
      </c>
      <c r="U3790" s="43">
        <f ca="1">_xll.BInterpol('Base CDI'!$H$4:$H$28,'Base CDI'!$I$4:$I$29,S3790,"Cubic","Extrapolate=Linear","MultiX=Average","Skip=True","Sort=True")</f>
        <v>14.713327291779105</v>
      </c>
    </row>
    <row r="3791" spans="16:21" x14ac:dyDescent="0.25">
      <c r="P3791" s="10">
        <v>40025</v>
      </c>
      <c r="Q3791">
        <v>21.60014</v>
      </c>
      <c r="S3791" s="42">
        <f t="shared" ca="1" si="64"/>
        <v>49497</v>
      </c>
      <c r="T3791" s="43">
        <f ca="1">_xll.BInterpol('Base CDI'!$H$4:$H$28,'Base CDI'!$J$4:$J$29,S3791,"Cubic","Extrapolate=Linear","MultiX=Average","Skip=True","Sort=True")</f>
        <v>14.652825822628866</v>
      </c>
      <c r="U3791" s="43">
        <f ca="1">_xll.BInterpol('Base CDI'!$H$4:$H$28,'Base CDI'!$I$4:$I$29,S3791,"Cubic","Extrapolate=Linear","MultiX=Average","Skip=True","Sort=True")</f>
        <v>14.713102402675739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49498</v>
      </c>
      <c r="T3792" s="43">
        <f ca="1">_xll.BInterpol('Base CDI'!$H$4:$H$28,'Base CDI'!$J$4:$J$29,S3792,"Cubic","Extrapolate=Linear","MultiX=Average","Skip=True","Sort=True")</f>
        <v>14.652684477253851</v>
      </c>
      <c r="U3792" s="43">
        <f ca="1">_xll.BInterpol('Base CDI'!$H$4:$H$28,'Base CDI'!$I$4:$I$29,S3792,"Cubic","Extrapolate=Linear","MultiX=Average","Skip=True","Sort=True")</f>
        <v>14.712877256344491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49499</v>
      </c>
      <c r="T3793" s="43">
        <f ca="1">_xll.BInterpol('Base CDI'!$H$4:$H$28,'Base CDI'!$J$4:$J$29,S3793,"Cubic","Extrapolate=Linear","MultiX=Average","Skip=True","Sort=True")</f>
        <v>14.652543022771821</v>
      </c>
      <c r="U3793" s="43">
        <f ca="1">_xll.BInterpol('Base CDI'!$H$4:$H$28,'Base CDI'!$I$4:$I$29,S3793,"Cubic","Extrapolate=Linear","MultiX=Average","Skip=True","Sort=True")</f>
        <v>14.71265185325734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49500</v>
      </c>
      <c r="T3794" s="43">
        <f ca="1">_xll.BInterpol('Base CDI'!$H$4:$H$28,'Base CDI'!$J$4:$J$29,S3794,"Cubic","Extrapolate=Linear","MultiX=Average","Skip=True","Sort=True")</f>
        <v>14.65240145938334</v>
      </c>
      <c r="U3794" s="43">
        <f ca="1">_xll.BInterpol('Base CDI'!$H$4:$H$28,'Base CDI'!$I$4:$I$29,S3794,"Cubic","Extrapolate=Linear","MultiX=Average","Skip=True","Sort=True")</f>
        <v>14.712426193886261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49501</v>
      </c>
      <c r="T3795" s="43">
        <f ca="1">_xll.BInterpol('Base CDI'!$H$4:$H$28,'Base CDI'!$J$4:$J$29,S3795,"Cubic","Extrapolate=Linear","MultiX=Average","Skip=True","Sort=True")</f>
        <v>14.652259787288969</v>
      </c>
      <c r="U3795" s="43">
        <f ca="1">_xll.BInterpol('Base CDI'!$H$4:$H$28,'Base CDI'!$I$4:$I$29,S3795,"Cubic","Extrapolate=Linear","MultiX=Average","Skip=True","Sort=True")</f>
        <v>14.712200278703234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49502</v>
      </c>
      <c r="T3796" s="43">
        <f ca="1">_xll.BInterpol('Base CDI'!$H$4:$H$28,'Base CDI'!$J$4:$J$29,S3796,"Cubic","Extrapolate=Linear","MultiX=Average","Skip=True","Sort=True")</f>
        <v>14.652118006689278</v>
      </c>
      <c r="U3796" s="43">
        <f ca="1">_xll.BInterpol('Base CDI'!$H$4:$H$28,'Base CDI'!$I$4:$I$29,S3796,"Cubic","Extrapolate=Linear","MultiX=Average","Skip=True","Sort=True")</f>
        <v>14.711974108180234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49503</v>
      </c>
      <c r="T3797" s="43">
        <f ca="1">_xll.BInterpol('Base CDI'!$H$4:$H$28,'Base CDI'!$J$4:$J$29,S3797,"Cubic","Extrapolate=Linear","MultiX=Average","Skip=True","Sort=True")</f>
        <v>14.651976117784827</v>
      </c>
      <c r="U3797" s="43">
        <f ca="1">_xll.BInterpol('Base CDI'!$H$4:$H$28,'Base CDI'!$I$4:$I$29,S3797,"Cubic","Extrapolate=Linear","MultiX=Average","Skip=True","Sort=True")</f>
        <v>14.711747682789245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49504</v>
      </c>
      <c r="T3798" s="43">
        <f ca="1">_xll.BInterpol('Base CDI'!$H$4:$H$28,'Base CDI'!$J$4:$J$29,S3798,"Cubic","Extrapolate=Linear","MultiX=Average","Skip=True","Sort=True")</f>
        <v>14.651834120776183</v>
      </c>
      <c r="U3798" s="43">
        <f ca="1">_xll.BInterpol('Base CDI'!$H$4:$H$28,'Base CDI'!$I$4:$I$29,S3798,"Cubic","Extrapolate=Linear","MultiX=Average","Skip=True","Sort=True")</f>
        <v>14.711521003002238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49505</v>
      </c>
      <c r="T3799" s="43">
        <f ca="1">_xll.BInterpol('Base CDI'!$H$4:$H$28,'Base CDI'!$J$4:$J$29,S3799,"Cubic","Extrapolate=Linear","MultiX=Average","Skip=True","Sort=True")</f>
        <v>14.651692015863908</v>
      </c>
      <c r="U3799" s="43">
        <f ca="1">_xll.BInterpol('Base CDI'!$H$4:$H$28,'Base CDI'!$I$4:$I$29,S3799,"Cubic","Extrapolate=Linear","MultiX=Average","Skip=True","Sort=True")</f>
        <v>14.711294069291194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49506</v>
      </c>
      <c r="T3800" s="43">
        <f ca="1">_xll.BInterpol('Base CDI'!$H$4:$H$28,'Base CDI'!$J$4:$J$29,S3800,"Cubic","Extrapolate=Linear","MultiX=Average","Skip=True","Sort=True")</f>
        <v>14.651549803248569</v>
      </c>
      <c r="U3800" s="43">
        <f ca="1">_xll.BInterpol('Base CDI'!$H$4:$H$28,'Base CDI'!$I$4:$I$29,S3800,"Cubic","Extrapolate=Linear","MultiX=Average","Skip=True","Sort=True")</f>
        <v>14.71106688212809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49507</v>
      </c>
      <c r="T3801" s="43">
        <f ca="1">_xll.BInterpol('Base CDI'!$H$4:$H$28,'Base CDI'!$J$4:$J$29,S3801,"Cubic","Extrapolate=Linear","MultiX=Average","Skip=True","Sort=True")</f>
        <v>14.651407483130727</v>
      </c>
      <c r="U3801" s="43">
        <f ca="1">_xll.BInterpol('Base CDI'!$H$4:$H$28,'Base CDI'!$I$4:$I$29,S3801,"Cubic","Extrapolate=Linear","MultiX=Average","Skip=True","Sort=True")</f>
        <v>14.710839441984904</v>
      </c>
    </row>
    <row r="3802" spans="16:21" x14ac:dyDescent="0.25">
      <c r="P3802" s="10">
        <v>40042</v>
      </c>
      <c r="Q3802">
        <v>21.67822</v>
      </c>
      <c r="S3802" s="42">
        <f t="shared" ca="1" si="64"/>
        <v>49508</v>
      </c>
      <c r="T3802" s="43">
        <f ca="1">_xll.BInterpol('Base CDI'!$H$4:$H$28,'Base CDI'!$J$4:$J$29,S3802,"Cubic","Extrapolate=Linear","MultiX=Average","Skip=True","Sort=True")</f>
        <v>14.651265055710951</v>
      </c>
      <c r="U3802" s="43">
        <f ca="1">_xll.BInterpol('Base CDI'!$H$4:$H$28,'Base CDI'!$I$4:$I$29,S3802,"Cubic","Extrapolate=Linear","MultiX=Average","Skip=True","Sort=True")</f>
        <v>14.710611749333614</v>
      </c>
    </row>
    <row r="3803" spans="16:21" x14ac:dyDescent="0.25">
      <c r="P3803" s="10">
        <v>40043</v>
      </c>
      <c r="Q3803">
        <v>21.68534</v>
      </c>
      <c r="S3803" s="42">
        <f t="shared" ca="1" si="64"/>
        <v>49509</v>
      </c>
      <c r="T3803" s="43">
        <f ca="1">_xll.BInterpol('Base CDI'!$H$4:$H$28,'Base CDI'!$J$4:$J$29,S3803,"Cubic","Extrapolate=Linear","MultiX=Average","Skip=True","Sort=True")</f>
        <v>14.651122521189802</v>
      </c>
      <c r="U3803" s="43">
        <f ca="1">_xll.BInterpol('Base CDI'!$H$4:$H$28,'Base CDI'!$I$4:$I$29,S3803,"Cubic","Extrapolate=Linear","MultiX=Average","Skip=True","Sort=True")</f>
        <v>14.710383804646197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49510</v>
      </c>
      <c r="T3804" s="43">
        <f ca="1">_xll.BInterpol('Base CDI'!$H$4:$H$28,'Base CDI'!$J$4:$J$29,S3804,"Cubic","Extrapolate=Linear","MultiX=Average","Skip=True","Sort=True")</f>
        <v>14.650979879767844</v>
      </c>
      <c r="U3804" s="43">
        <f ca="1">_xll.BInterpol('Base CDI'!$H$4:$H$28,'Base CDI'!$I$4:$I$29,S3804,"Cubic","Extrapolate=Linear","MultiX=Average","Skip=True","Sort=True")</f>
        <v>14.710155608394633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49511</v>
      </c>
      <c r="T3805" s="43">
        <f ca="1">_xll.BInterpol('Base CDI'!$H$4:$H$28,'Base CDI'!$J$4:$J$29,S3805,"Cubic","Extrapolate=Linear","MultiX=Average","Skip=True","Sort=True")</f>
        <v>14.650837131645643</v>
      </c>
      <c r="U3805" s="43">
        <f ca="1">_xll.BInterpol('Base CDI'!$H$4:$H$28,'Base CDI'!$I$4:$I$29,S3805,"Cubic","Extrapolate=Linear","MultiX=Average","Skip=True","Sort=True")</f>
        <v>14.709927161050896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49512</v>
      </c>
      <c r="T3806" s="43">
        <f ca="1">_xll.BInterpol('Base CDI'!$H$4:$H$28,'Base CDI'!$J$4:$J$29,S3806,"Cubic","Extrapolate=Linear","MultiX=Average","Skip=True","Sort=True")</f>
        <v>14.650694277023764</v>
      </c>
      <c r="U3806" s="43">
        <f ca="1">_xll.BInterpol('Base CDI'!$H$4:$H$28,'Base CDI'!$I$4:$I$29,S3806,"Cubic","Extrapolate=Linear","MultiX=Average","Skip=True","Sort=True")</f>
        <v>14.709698463086967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49513</v>
      </c>
      <c r="T3807" s="43">
        <f ca="1">_xll.BInterpol('Base CDI'!$H$4:$H$28,'Base CDI'!$J$4:$J$29,S3807,"Cubic","Extrapolate=Linear","MultiX=Average","Skip=True","Sort=True")</f>
        <v>14.650551316102769</v>
      </c>
      <c r="U3807" s="43">
        <f ca="1">_xll.BInterpol('Base CDI'!$H$4:$H$28,'Base CDI'!$I$4:$I$29,S3807,"Cubic","Extrapolate=Linear","MultiX=Average","Skip=True","Sort=True")</f>
        <v>14.709469514974822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49514</v>
      </c>
      <c r="T3808" s="43">
        <f ca="1">_xll.BInterpol('Base CDI'!$H$4:$H$28,'Base CDI'!$J$4:$J$29,S3808,"Cubic","Extrapolate=Linear","MultiX=Average","Skip=True","Sort=True")</f>
        <v>14.650408249083224</v>
      </c>
      <c r="U3808" s="43">
        <f ca="1">_xll.BInterpol('Base CDI'!$H$4:$H$28,'Base CDI'!$I$4:$I$29,S3808,"Cubic","Extrapolate=Linear","MultiX=Average","Skip=True","Sort=True")</f>
        <v>14.70924031718644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49515</v>
      </c>
      <c r="T3809" s="43">
        <f ca="1">_xll.BInterpol('Base CDI'!$H$4:$H$28,'Base CDI'!$J$4:$J$29,S3809,"Cubic","Extrapolate=Linear","MultiX=Average","Skip=True","Sort=True")</f>
        <v>14.650265076165692</v>
      </c>
      <c r="U3809" s="43">
        <f ca="1">_xll.BInterpol('Base CDI'!$H$4:$H$28,'Base CDI'!$I$4:$I$29,S3809,"Cubic","Extrapolate=Linear","MultiX=Average","Skip=True","Sort=True")</f>
        <v>14.709010870193799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49516</v>
      </c>
      <c r="T3810" s="43">
        <f ca="1">_xll.BInterpol('Base CDI'!$H$4:$H$28,'Base CDI'!$J$4:$J$29,S3810,"Cubic","Extrapolate=Linear","MultiX=Average","Skip=True","Sort=True")</f>
        <v>14.650121797550739</v>
      </c>
      <c r="U3810" s="43">
        <f ca="1">_xll.BInterpol('Base CDI'!$H$4:$H$28,'Base CDI'!$I$4:$I$29,S3810,"Cubic","Extrapolate=Linear","MultiX=Average","Skip=True","Sort=True")</f>
        <v>14.708781174468873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49517</v>
      </c>
      <c r="T3811" s="43">
        <f ca="1">_xll.BInterpol('Base CDI'!$H$4:$H$28,'Base CDI'!$J$4:$J$29,S3811,"Cubic","Extrapolate=Linear","MultiX=Average","Skip=True","Sort=True")</f>
        <v>14.649978413438928</v>
      </c>
      <c r="U3811" s="43">
        <f ca="1">_xll.BInterpol('Base CDI'!$H$4:$H$28,'Base CDI'!$I$4:$I$29,S3811,"Cubic","Extrapolate=Linear","MultiX=Average","Skip=True","Sort=True")</f>
        <v>14.708551230483645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49518</v>
      </c>
      <c r="T3812" s="43">
        <f ca="1">_xll.BInterpol('Base CDI'!$H$4:$H$28,'Base CDI'!$J$4:$J$29,S3812,"Cubic","Extrapolate=Linear","MultiX=Average","Skip=True","Sort=True")</f>
        <v>14.649834924030825</v>
      </c>
      <c r="U3812" s="43">
        <f ca="1">_xll.BInterpol('Base CDI'!$H$4:$H$28,'Base CDI'!$I$4:$I$29,S3812,"Cubic","Extrapolate=Linear","MultiX=Average","Skip=True","Sort=True")</f>
        <v>14.708321038710091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49519</v>
      </c>
      <c r="T3813" s="43">
        <f ca="1">_xll.BInterpol('Base CDI'!$H$4:$H$28,'Base CDI'!$J$4:$J$29,S3813,"Cubic","Extrapolate=Linear","MultiX=Average","Skip=True","Sort=True")</f>
        <v>14.649691329526995</v>
      </c>
      <c r="U3813" s="43">
        <f ca="1">_xll.BInterpol('Base CDI'!$H$4:$H$28,'Base CDI'!$I$4:$I$29,S3813,"Cubic","Extrapolate=Linear","MultiX=Average","Skip=True","Sort=True")</f>
        <v>14.708090599620187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49520</v>
      </c>
      <c r="T3814" s="43">
        <f ca="1">_xll.BInterpol('Base CDI'!$H$4:$H$28,'Base CDI'!$J$4:$J$29,S3814,"Cubic","Extrapolate=Linear","MultiX=Average","Skip=True","Sort=True")</f>
        <v>14.649547630127998</v>
      </c>
      <c r="U3814" s="43">
        <f ca="1">_xll.BInterpol('Base CDI'!$H$4:$H$28,'Base CDI'!$I$4:$I$29,S3814,"Cubic","Extrapolate=Linear","MultiX=Average","Skip=True","Sort=True")</f>
        <v>14.707859913685912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49521</v>
      </c>
      <c r="T3815" s="43">
        <f ca="1">_xll.BInterpol('Base CDI'!$H$4:$H$28,'Base CDI'!$J$4:$J$29,S3815,"Cubic","Extrapolate=Linear","MultiX=Average","Skip=True","Sort=True")</f>
        <v>14.649403826034403</v>
      </c>
      <c r="U3815" s="43">
        <f ca="1">_xll.BInterpol('Base CDI'!$H$4:$H$28,'Base CDI'!$I$4:$I$29,S3815,"Cubic","Extrapolate=Linear","MultiX=Average","Skip=True","Sort=True")</f>
        <v>14.707628981379242</v>
      </c>
    </row>
    <row r="3816" spans="16:21" x14ac:dyDescent="0.25">
      <c r="P3816" s="10">
        <v>40060</v>
      </c>
      <c r="Q3816">
        <v>21.77805</v>
      </c>
      <c r="S3816" s="42">
        <f t="shared" ca="1" si="64"/>
        <v>49522</v>
      </c>
      <c r="T3816" s="43">
        <f ca="1">_xll.BInterpol('Base CDI'!$H$4:$H$28,'Base CDI'!$J$4:$J$29,S3816,"Cubic","Extrapolate=Linear","MultiX=Average","Skip=True","Sort=True")</f>
        <v>14.649259917446772</v>
      </c>
      <c r="U3816" s="43">
        <f ca="1">_xll.BInterpol('Base CDI'!$H$4:$H$28,'Base CDI'!$I$4:$I$29,S3816,"Cubic","Extrapolate=Linear","MultiX=Average","Skip=True","Sort=True")</f>
        <v>14.707397803172158</v>
      </c>
    </row>
    <row r="3817" spans="16:21" x14ac:dyDescent="0.25">
      <c r="P3817" s="10">
        <v>40064</v>
      </c>
      <c r="Q3817">
        <v>21.7852</v>
      </c>
      <c r="S3817" s="42">
        <f t="shared" ca="1" si="64"/>
        <v>49523</v>
      </c>
      <c r="T3817" s="43">
        <f ca="1">_xll.BInterpol('Base CDI'!$H$4:$H$28,'Base CDI'!$J$4:$J$29,S3817,"Cubic","Extrapolate=Linear","MultiX=Average","Skip=True","Sort=True")</f>
        <v>14.64911590456567</v>
      </c>
      <c r="U3817" s="43">
        <f ca="1">_xll.BInterpol('Base CDI'!$H$4:$H$28,'Base CDI'!$I$4:$I$29,S3817,"Cubic","Extrapolate=Linear","MultiX=Average","Skip=True","Sort=True")</f>
        <v>14.707166379536638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49524</v>
      </c>
      <c r="T3818" s="43">
        <f ca="1">_xll.BInterpol('Base CDI'!$H$4:$H$28,'Base CDI'!$J$4:$J$29,S3818,"Cubic","Extrapolate=Linear","MultiX=Average","Skip=True","Sort=True")</f>
        <v>14.648971787591661</v>
      </c>
      <c r="U3818" s="43">
        <f ca="1">_xll.BInterpol('Base CDI'!$H$4:$H$28,'Base CDI'!$I$4:$I$29,S3818,"Cubic","Extrapolate=Linear","MultiX=Average","Skip=True","Sort=True")</f>
        <v>14.706934710944656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49525</v>
      </c>
      <c r="T3819" s="43">
        <f ca="1">_xll.BInterpol('Base CDI'!$H$4:$H$28,'Base CDI'!$J$4:$J$29,S3819,"Cubic","Extrapolate=Linear","MultiX=Average","Skip=True","Sort=True")</f>
        <v>14.648827566725309</v>
      </c>
      <c r="U3819" s="43">
        <f ca="1">_xll.BInterpol('Base CDI'!$H$4:$H$28,'Base CDI'!$I$4:$I$29,S3819,"Cubic","Extrapolate=Linear","MultiX=Average","Skip=True","Sort=True")</f>
        <v>14.706702797868191</v>
      </c>
    </row>
    <row r="3820" spans="16:21" x14ac:dyDescent="0.25">
      <c r="P3820" s="10">
        <v>40067</v>
      </c>
      <c r="Q3820">
        <v>21.80667</v>
      </c>
      <c r="S3820" s="42">
        <f t="shared" ca="1" si="64"/>
        <v>49526</v>
      </c>
      <c r="T3820" s="43">
        <f ca="1">_xll.BInterpol('Base CDI'!$H$4:$H$28,'Base CDI'!$J$4:$J$29,S3820,"Cubic","Extrapolate=Linear","MultiX=Average","Skip=True","Sort=True")</f>
        <v>14.648683242167181</v>
      </c>
      <c r="U3820" s="43">
        <f ca="1">_xll.BInterpol('Base CDI'!$H$4:$H$28,'Base CDI'!$I$4:$I$29,S3820,"Cubic","Extrapolate=Linear","MultiX=Average","Skip=True","Sort=True")</f>
        <v>14.706470640779223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49527</v>
      </c>
      <c r="T3821" s="43">
        <f ca="1">_xll.BInterpol('Base CDI'!$H$4:$H$28,'Base CDI'!$J$4:$J$29,S3821,"Cubic","Extrapolate=Linear","MultiX=Average","Skip=True","Sort=True")</f>
        <v>14.648538814117838</v>
      </c>
      <c r="U3821" s="43">
        <f ca="1">_xll.BInterpol('Base CDI'!$H$4:$H$28,'Base CDI'!$I$4:$I$29,S3821,"Cubic","Extrapolate=Linear","MultiX=Average","Skip=True","Sort=True")</f>
        <v>14.706238240149728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49528</v>
      </c>
      <c r="T3822" s="43">
        <f ca="1">_xll.BInterpol('Base CDI'!$H$4:$H$28,'Base CDI'!$J$4:$J$29,S3822,"Cubic","Extrapolate=Linear","MultiX=Average","Skip=True","Sort=True")</f>
        <v>14.648394282777845</v>
      </c>
      <c r="U3822" s="43">
        <f ca="1">_xll.BInterpol('Base CDI'!$H$4:$H$28,'Base CDI'!$I$4:$I$29,S3822,"Cubic","Extrapolate=Linear","MultiX=Average","Skip=True","Sort=True")</f>
        <v>14.706005596451684</v>
      </c>
    </row>
    <row r="3823" spans="16:21" x14ac:dyDescent="0.25">
      <c r="P3823" s="10">
        <v>40072</v>
      </c>
      <c r="Q3823">
        <v>21.82816</v>
      </c>
      <c r="S3823" s="42">
        <f t="shared" ca="1" si="64"/>
        <v>49529</v>
      </c>
      <c r="T3823" s="43">
        <f ca="1">_xll.BInterpol('Base CDI'!$H$4:$H$28,'Base CDI'!$J$4:$J$29,S3823,"Cubic","Extrapolate=Linear","MultiX=Average","Skip=True","Sort=True")</f>
        <v>14.648249648347768</v>
      </c>
      <c r="U3823" s="43">
        <f ca="1">_xll.BInterpol('Base CDI'!$H$4:$H$28,'Base CDI'!$I$4:$I$29,S3823,"Cubic","Extrapolate=Linear","MultiX=Average","Skip=True","Sort=True")</f>
        <v>14.705772710157069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49530</v>
      </c>
      <c r="T3824" s="43">
        <f ca="1">_xll.BInterpol('Base CDI'!$H$4:$H$28,'Base CDI'!$J$4:$J$29,S3824,"Cubic","Extrapolate=Linear","MultiX=Average","Skip=True","Sort=True")</f>
        <v>14.648104911028172</v>
      </c>
      <c r="U3824" s="43">
        <f ca="1">_xll.BInterpol('Base CDI'!$H$4:$H$28,'Base CDI'!$I$4:$I$29,S3824,"Cubic","Extrapolate=Linear","MultiX=Average","Skip=True","Sort=True")</f>
        <v>14.705539581737861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49531</v>
      </c>
      <c r="T3825" s="43">
        <f ca="1">_xll.BInterpol('Base CDI'!$H$4:$H$28,'Base CDI'!$J$4:$J$29,S3825,"Cubic","Extrapolate=Linear","MultiX=Average","Skip=True","Sort=True")</f>
        <v>14.647960071019618</v>
      </c>
      <c r="U3825" s="43">
        <f ca="1">_xll.BInterpol('Base CDI'!$H$4:$H$28,'Base CDI'!$I$4:$I$29,S3825,"Cubic","Extrapolate=Linear","MultiX=Average","Skip=True","Sort=True")</f>
        <v>14.705306211666036</v>
      </c>
    </row>
    <row r="3826" spans="16:21" x14ac:dyDescent="0.25">
      <c r="P3826" s="10">
        <v>40077</v>
      </c>
      <c r="Q3826">
        <v>21.84967</v>
      </c>
      <c r="S3826" s="42">
        <f t="shared" ca="1" si="64"/>
        <v>49532</v>
      </c>
      <c r="T3826" s="43">
        <f ca="1">_xll.BInterpol('Base CDI'!$H$4:$H$28,'Base CDI'!$J$4:$J$29,S3826,"Cubic","Extrapolate=Linear","MultiX=Average","Skip=True","Sort=True")</f>
        <v>14.647815128522673</v>
      </c>
      <c r="U3826" s="43">
        <f ca="1">_xll.BInterpol('Base CDI'!$H$4:$H$28,'Base CDI'!$I$4:$I$29,S3826,"Cubic","Extrapolate=Linear","MultiX=Average","Skip=True","Sort=True")</f>
        <v>14.705072600413574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49533</v>
      </c>
      <c r="T3827" s="43">
        <f ca="1">_xll.BInterpol('Base CDI'!$H$4:$H$28,'Base CDI'!$J$4:$J$29,S3827,"Cubic","Extrapolate=Linear","MultiX=Average","Skip=True","Sort=True")</f>
        <v>14.6476700837379</v>
      </c>
      <c r="U3827" s="43">
        <f ca="1">_xll.BInterpol('Base CDI'!$H$4:$H$28,'Base CDI'!$I$4:$I$29,S3827,"Cubic","Extrapolate=Linear","MultiX=Average","Skip=True","Sort=True")</f>
        <v>14.704838748452453</v>
      </c>
    </row>
    <row r="3828" spans="16:21" x14ac:dyDescent="0.25">
      <c r="P3828" s="10">
        <v>40079</v>
      </c>
      <c r="Q3828">
        <v>21.86403</v>
      </c>
      <c r="S3828" s="42">
        <f t="shared" ca="1" si="64"/>
        <v>49534</v>
      </c>
      <c r="T3828" s="43">
        <f ca="1">_xll.BInterpol('Base CDI'!$H$4:$H$28,'Base CDI'!$J$4:$J$29,S3828,"Cubic","Extrapolate=Linear","MultiX=Average","Skip=True","Sort=True")</f>
        <v>14.647524936865864</v>
      </c>
      <c r="U3828" s="43">
        <f ca="1">_xll.BInterpol('Base CDI'!$H$4:$H$28,'Base CDI'!$I$4:$I$29,S3828,"Cubic","Extrapolate=Linear","MultiX=Average","Skip=True","Sort=True")</f>
        <v>14.704604656254649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49535</v>
      </c>
      <c r="T3829" s="43">
        <f ca="1">_xll.BInterpol('Base CDI'!$H$4:$H$28,'Base CDI'!$J$4:$J$29,S3829,"Cubic","Extrapolate=Linear","MultiX=Average","Skip=True","Sort=True")</f>
        <v>14.647379688107129</v>
      </c>
      <c r="U3829" s="43">
        <f ca="1">_xll.BInterpol('Base CDI'!$H$4:$H$28,'Base CDI'!$I$4:$I$29,S3829,"Cubic","Extrapolate=Linear","MultiX=Average","Skip=True","Sort=True")</f>
        <v>14.704370324292139</v>
      </c>
    </row>
    <row r="3830" spans="16:21" x14ac:dyDescent="0.25">
      <c r="P3830" s="10">
        <v>40081</v>
      </c>
      <c r="Q3830">
        <v>21.87839</v>
      </c>
      <c r="S3830" s="42">
        <f t="shared" ca="1" si="64"/>
        <v>49536</v>
      </c>
      <c r="T3830" s="43">
        <f ca="1">_xll.BInterpol('Base CDI'!$H$4:$H$28,'Base CDI'!$J$4:$J$29,S3830,"Cubic","Extrapolate=Linear","MultiX=Average","Skip=True","Sort=True")</f>
        <v>14.64723433766226</v>
      </c>
      <c r="U3830" s="43">
        <f ca="1">_xll.BInterpol('Base CDI'!$H$4:$H$28,'Base CDI'!$I$4:$I$29,S3830,"Cubic","Extrapolate=Linear","MultiX=Average","Skip=True","Sort=True")</f>
        <v>14.704135753036903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49537</v>
      </c>
      <c r="T3831" s="43">
        <f ca="1">_xll.BInterpol('Base CDI'!$H$4:$H$28,'Base CDI'!$J$4:$J$29,S3831,"Cubic","Extrapolate=Linear","MultiX=Average","Skip=True","Sort=True")</f>
        <v>14.647088885731822</v>
      </c>
      <c r="U3831" s="43">
        <f ca="1">_xll.BInterpol('Base CDI'!$H$4:$H$28,'Base CDI'!$I$4:$I$29,S3831,"Cubic","Extrapolate=Linear","MultiX=Average","Skip=True","Sort=True")</f>
        <v>14.703900942960917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49538</v>
      </c>
      <c r="T3832" s="43">
        <f ca="1">_xll.BInterpol('Base CDI'!$H$4:$H$28,'Base CDI'!$J$4:$J$29,S3832,"Cubic","Extrapolate=Linear","MultiX=Average","Skip=True","Sort=True")</f>
        <v>14.646943332516377</v>
      </c>
      <c r="U3832" s="43">
        <f ca="1">_xll.BInterpol('Base CDI'!$H$4:$H$28,'Base CDI'!$I$4:$I$29,S3832,"Cubic","Extrapolate=Linear","MultiX=Average","Skip=True","Sort=True")</f>
        <v>14.703665894536162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49539</v>
      </c>
      <c r="T3833" s="43">
        <f ca="1">_xll.BInterpol('Base CDI'!$H$4:$H$28,'Base CDI'!$J$4:$J$29,S3833,"Cubic","Extrapolate=Linear","MultiX=Average","Skip=True","Sort=True")</f>
        <v>14.646797678216492</v>
      </c>
      <c r="U3833" s="43">
        <f ca="1">_xll.BInterpol('Base CDI'!$H$4:$H$28,'Base CDI'!$I$4:$I$29,S3833,"Cubic","Extrapolate=Linear","MultiX=Average","Skip=True","Sort=True")</f>
        <v>14.703430608234612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49540</v>
      </c>
      <c r="T3834" s="43">
        <f ca="1">_xll.BInterpol('Base CDI'!$H$4:$H$28,'Base CDI'!$J$4:$J$29,S3834,"Cubic","Extrapolate=Linear","MultiX=Average","Skip=True","Sort=True")</f>
        <v>14.64665192303273</v>
      </c>
      <c r="U3834" s="43">
        <f ca="1">_xll.BInterpol('Base CDI'!$H$4:$H$28,'Base CDI'!$I$4:$I$29,S3834,"Cubic","Extrapolate=Linear","MultiX=Average","Skip=True","Sort=True")</f>
        <v>14.703195084528247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49541</v>
      </c>
      <c r="T3835" s="43">
        <f ca="1">_xll.BInterpol('Base CDI'!$H$4:$H$28,'Base CDI'!$J$4:$J$29,S3835,"Cubic","Extrapolate=Linear","MultiX=Average","Skip=True","Sort=True")</f>
        <v>14.646506067165655</v>
      </c>
      <c r="U3835" s="43">
        <f ca="1">_xll.BInterpol('Base CDI'!$H$4:$H$28,'Base CDI'!$I$4:$I$29,S3835,"Cubic","Extrapolate=Linear","MultiX=Average","Skip=True","Sort=True")</f>
        <v>14.702959323889043</v>
      </c>
    </row>
    <row r="3836" spans="16:21" x14ac:dyDescent="0.25">
      <c r="P3836" s="10">
        <v>40091</v>
      </c>
      <c r="Q3836">
        <v>21.92146</v>
      </c>
      <c r="S3836" s="42">
        <f t="shared" ca="1" si="64"/>
        <v>49542</v>
      </c>
      <c r="T3836" s="43">
        <f ca="1">_xll.BInterpol('Base CDI'!$H$4:$H$28,'Base CDI'!$J$4:$J$29,S3836,"Cubic","Extrapolate=Linear","MultiX=Average","Skip=True","Sort=True")</f>
        <v>14.646360110815833</v>
      </c>
      <c r="U3836" s="43">
        <f ca="1">_xll.BInterpol('Base CDI'!$H$4:$H$28,'Base CDI'!$I$4:$I$29,S3836,"Cubic","Extrapolate=Linear","MultiX=Average","Skip=True","Sort=True")</f>
        <v>14.702723326788979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49543</v>
      </c>
      <c r="T3837" s="43">
        <f ca="1">_xll.BInterpol('Base CDI'!$H$4:$H$28,'Base CDI'!$J$4:$J$29,S3837,"Cubic","Extrapolate=Linear","MultiX=Average","Skip=True","Sort=True")</f>
        <v>14.646214054183826</v>
      </c>
      <c r="U3837" s="43">
        <f ca="1">_xll.BInterpol('Base CDI'!$H$4:$H$28,'Base CDI'!$I$4:$I$29,S3837,"Cubic","Extrapolate=Linear","MultiX=Average","Skip=True","Sort=True")</f>
        <v>14.702487093700032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49544</v>
      </c>
      <c r="T3838" s="43">
        <f ca="1">_xll.BInterpol('Base CDI'!$H$4:$H$28,'Base CDI'!$J$4:$J$29,S3838,"Cubic","Extrapolate=Linear","MultiX=Average","Skip=True","Sort=True")</f>
        <v>14.6460678974702</v>
      </c>
      <c r="U3838" s="43">
        <f ca="1">_xll.BInterpol('Base CDI'!$H$4:$H$28,'Base CDI'!$I$4:$I$29,S3838,"Cubic","Extrapolate=Linear","MultiX=Average","Skip=True","Sort=True")</f>
        <v>14.702250625094182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49545</v>
      </c>
      <c r="T3839" s="43">
        <f ca="1">_xll.BInterpol('Base CDI'!$H$4:$H$28,'Base CDI'!$J$4:$J$29,S3839,"Cubic","Extrapolate=Linear","MultiX=Average","Skip=True","Sort=True")</f>
        <v>14.645921640875518</v>
      </c>
      <c r="U3839" s="43">
        <f ca="1">_xll.BInterpol('Base CDI'!$H$4:$H$28,'Base CDI'!$I$4:$I$29,S3839,"Cubic","Extrapolate=Linear","MultiX=Average","Skip=True","Sort=True")</f>
        <v>14.702013921443404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49546</v>
      </c>
      <c r="T3840" s="43">
        <f ca="1">_xll.BInterpol('Base CDI'!$H$4:$H$28,'Base CDI'!$J$4:$J$29,S3840,"Cubic","Extrapolate=Linear","MultiX=Average","Skip=True","Sort=True")</f>
        <v>14.645775284600347</v>
      </c>
      <c r="U3840" s="43">
        <f ca="1">_xll.BInterpol('Base CDI'!$H$4:$H$28,'Base CDI'!$I$4:$I$29,S3840,"Cubic","Extrapolate=Linear","MultiX=Average","Skip=True","Sort=True")</f>
        <v>14.701776983219677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49547</v>
      </c>
      <c r="T3841" s="43">
        <f ca="1">_xll.BInterpol('Base CDI'!$H$4:$H$28,'Base CDI'!$J$4:$J$29,S3841,"Cubic","Extrapolate=Linear","MultiX=Average","Skip=True","Sort=True")</f>
        <v>14.645628828845249</v>
      </c>
      <c r="U3841" s="43">
        <f ca="1">_xll.BInterpol('Base CDI'!$H$4:$H$28,'Base CDI'!$I$4:$I$29,S3841,"Cubic","Extrapolate=Linear","MultiX=Average","Skip=True","Sort=True")</f>
        <v>14.701539810894978</v>
      </c>
    </row>
    <row r="3842" spans="16:21" x14ac:dyDescent="0.25">
      <c r="P3842" s="10">
        <v>40100</v>
      </c>
      <c r="Q3842">
        <v>21.96463</v>
      </c>
      <c r="S3842" s="42">
        <f t="shared" ca="1" si="64"/>
        <v>49548</v>
      </c>
      <c r="T3842" s="43">
        <f ca="1">_xll.BInterpol('Base CDI'!$H$4:$H$28,'Base CDI'!$J$4:$J$29,S3842,"Cubic","Extrapolate=Linear","MultiX=Average","Skip=True","Sort=True")</f>
        <v>14.645482273810789</v>
      </c>
      <c r="U3842" s="43">
        <f ca="1">_xll.BInterpol('Base CDI'!$H$4:$H$28,'Base CDI'!$I$4:$I$29,S3842,"Cubic","Extrapolate=Linear","MultiX=Average","Skip=True","Sort=True")</f>
        <v>14.701302404941288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49549</v>
      </c>
      <c r="T3843" s="43">
        <f ca="1">_xll.BInterpol('Base CDI'!$H$4:$H$28,'Base CDI'!$J$4:$J$29,S3843,"Cubic","Extrapolate=Linear","MultiX=Average","Skip=True","Sort=True")</f>
        <v>14.645335619697532</v>
      </c>
      <c r="U3843" s="43">
        <f ca="1">_xll.BInterpol('Base CDI'!$H$4:$H$28,'Base CDI'!$I$4:$I$29,S3843,"Cubic","Extrapolate=Linear","MultiX=Average","Skip=True","Sort=True")</f>
        <v>14.70106476583058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49550</v>
      </c>
      <c r="T3844" s="43">
        <f ca="1">_xll.BInterpol('Base CDI'!$H$4:$H$28,'Base CDI'!$J$4:$J$29,S3844,"Cubic","Extrapolate=Linear","MultiX=Average","Skip=True","Sort=True")</f>
        <v>14.645188866706041</v>
      </c>
      <c r="U3844" s="43">
        <f ca="1">_xll.BInterpol('Base CDI'!$H$4:$H$28,'Base CDI'!$I$4:$I$29,S3844,"Cubic","Extrapolate=Linear","MultiX=Average","Skip=True","Sort=True")</f>
        <v>14.700826894034833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49551</v>
      </c>
      <c r="T3845" s="43">
        <f ca="1">_xll.BInterpol('Base CDI'!$H$4:$H$28,'Base CDI'!$J$4:$J$29,S3845,"Cubic","Extrapolate=Linear","MultiX=Average","Skip=True","Sort=True")</f>
        <v>14.645042015036882</v>
      </c>
      <c r="U3845" s="43">
        <f ca="1">_xll.BInterpol('Base CDI'!$H$4:$H$28,'Base CDI'!$I$4:$I$29,S3845,"Cubic","Extrapolate=Linear","MultiX=Average","Skip=True","Sort=True")</f>
        <v>14.700588790026027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49552</v>
      </c>
      <c r="T3846" s="43">
        <f ca="1">_xll.BInterpol('Base CDI'!$H$4:$H$28,'Base CDI'!$J$4:$J$29,S3846,"Cubic","Extrapolate=Linear","MultiX=Average","Skip=True","Sort=True")</f>
        <v>14.644895064890617</v>
      </c>
      <c r="U3846" s="43">
        <f ca="1">_xll.BInterpol('Base CDI'!$H$4:$H$28,'Base CDI'!$I$4:$I$29,S3846,"Cubic","Extrapolate=Linear","MultiX=Average","Skip=True","Sort=True")</f>
        <v>14.700350454276139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49553</v>
      </c>
      <c r="T3847" s="43">
        <f ca="1">_xll.BInterpol('Base CDI'!$H$4:$H$28,'Base CDI'!$J$4:$J$29,S3847,"Cubic","Extrapolate=Linear","MultiX=Average","Skip=True","Sort=True")</f>
        <v>14.644748016467814</v>
      </c>
      <c r="U3847" s="43">
        <f ca="1">_xll.BInterpol('Base CDI'!$H$4:$H$28,'Base CDI'!$I$4:$I$29,S3847,"Cubic","Extrapolate=Linear","MultiX=Average","Skip=True","Sort=True")</f>
        <v>14.700111887257144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49554</v>
      </c>
      <c r="T3848" s="43">
        <f ca="1">_xll.BInterpol('Base CDI'!$H$4:$H$28,'Base CDI'!$J$4:$J$29,S3848,"Cubic","Extrapolate=Linear","MultiX=Average","Skip=True","Sort=True")</f>
        <v>14.644600869969034</v>
      </c>
      <c r="U3848" s="43">
        <f ca="1">_xll.BInterpol('Base CDI'!$H$4:$H$28,'Base CDI'!$I$4:$I$29,S3848,"Cubic","Extrapolate=Linear","MultiX=Average","Skip=True","Sort=True")</f>
        <v>14.699873089441024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49555</v>
      </c>
      <c r="T3849" s="43">
        <f ca="1">_xll.BInterpol('Base CDI'!$H$4:$H$28,'Base CDI'!$J$4:$J$29,S3849,"Cubic","Extrapolate=Linear","MultiX=Average","Skip=True","Sort=True")</f>
        <v>14.644453625594844</v>
      </c>
      <c r="U3849" s="43">
        <f ca="1">_xll.BInterpol('Base CDI'!$H$4:$H$28,'Base CDI'!$I$4:$I$29,S3849,"Cubic","Extrapolate=Linear","MultiX=Average","Skip=True","Sort=True")</f>
        <v>14.699634061299752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49556</v>
      </c>
      <c r="T3850" s="43">
        <f ca="1">_xll.BInterpol('Base CDI'!$H$4:$H$28,'Base CDI'!$J$4:$J$29,S3850,"Cubic","Extrapolate=Linear","MultiX=Average","Skip=True","Sort=True")</f>
        <v>14.644306283545806</v>
      </c>
      <c r="U3850" s="43">
        <f ca="1">_xll.BInterpol('Base CDI'!$H$4:$H$28,'Base CDI'!$I$4:$I$29,S3850,"Cubic","Extrapolate=Linear","MultiX=Average","Skip=True","Sort=True")</f>
        <v>14.699394803305312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49557</v>
      </c>
      <c r="T3851" s="43">
        <f ca="1">_xll.BInterpol('Base CDI'!$H$4:$H$28,'Base CDI'!$J$4:$J$29,S3851,"Cubic","Extrapolate=Linear","MultiX=Average","Skip=True","Sort=True")</f>
        <v>14.644158844022485</v>
      </c>
      <c r="U3851" s="43">
        <f ca="1">_xll.BInterpol('Base CDI'!$H$4:$H$28,'Base CDI'!$I$4:$I$29,S3851,"Cubic","Extrapolate=Linear","MultiX=Average","Skip=True","Sort=True")</f>
        <v>14.699155315929676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49558</v>
      </c>
      <c r="T3852" s="43">
        <f ca="1">_xll.BInterpol('Base CDI'!$H$4:$H$28,'Base CDI'!$J$4:$J$29,S3852,"Cubic","Extrapolate=Linear","MultiX=Average","Skip=True","Sort=True")</f>
        <v>14.644011307225448</v>
      </c>
      <c r="U3852" s="43">
        <f ca="1">_xll.BInterpol('Base CDI'!$H$4:$H$28,'Base CDI'!$I$4:$I$29,S3852,"Cubic","Extrapolate=Linear","MultiX=Average","Skip=True","Sort=True")</f>
        <v>14.698915599644826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49559</v>
      </c>
      <c r="T3853" s="43">
        <f ca="1">_xll.BInterpol('Base CDI'!$H$4:$H$28,'Base CDI'!$J$4:$J$29,S3853,"Cubic","Extrapolate=Linear","MultiX=Average","Skip=True","Sort=True")</f>
        <v>14.643863673355254</v>
      </c>
      <c r="U3853" s="43">
        <f ca="1">_xll.BInterpol('Base CDI'!$H$4:$H$28,'Base CDI'!$I$4:$I$29,S3853,"Cubic","Extrapolate=Linear","MultiX=Average","Skip=True","Sort=True")</f>
        <v>14.698675654922736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49560</v>
      </c>
      <c r="T3854" s="43">
        <f ca="1">_xll.BInterpol('Base CDI'!$H$4:$H$28,'Base CDI'!$J$4:$J$29,S3854,"Cubic","Extrapolate=Linear","MultiX=Average","Skip=True","Sort=True")</f>
        <v>14.643715942612472</v>
      </c>
      <c r="U3854" s="43">
        <f ca="1">_xll.BInterpol('Base CDI'!$H$4:$H$28,'Base CDI'!$I$4:$I$29,S3854,"Cubic","Extrapolate=Linear","MultiX=Average","Skip=True","Sort=True")</f>
        <v>14.698435482235386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49561</v>
      </c>
      <c r="T3855" s="43">
        <f ca="1">_xll.BInterpol('Base CDI'!$H$4:$H$28,'Base CDI'!$J$4:$J$29,S3855,"Cubic","Extrapolate=Linear","MultiX=Average","Skip=True","Sort=True")</f>
        <v>14.643568115197665</v>
      </c>
      <c r="U3855" s="43">
        <f ca="1">_xll.BInterpol('Base CDI'!$H$4:$H$28,'Base CDI'!$I$4:$I$29,S3855,"Cubic","Extrapolate=Linear","MultiX=Average","Skip=True","Sort=True")</f>
        <v>14.698195082054752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49562</v>
      </c>
      <c r="T3856" s="43">
        <f ca="1">_xll.BInterpol('Base CDI'!$H$4:$H$28,'Base CDI'!$J$4:$J$29,S3856,"Cubic","Extrapolate=Linear","MultiX=Average","Skip=True","Sort=True")</f>
        <v>14.643420191311398</v>
      </c>
      <c r="U3856" s="43">
        <f ca="1">_xll.BInterpol('Base CDI'!$H$4:$H$28,'Base CDI'!$I$4:$I$29,S3856,"Cubic","Extrapolate=Linear","MultiX=Average","Skip=True","Sort=True")</f>
        <v>14.697954454852816</v>
      </c>
    </row>
    <row r="3857" spans="16:21" x14ac:dyDescent="0.25">
      <c r="P3857" s="10">
        <v>40122</v>
      </c>
      <c r="Q3857">
        <v>22.073</v>
      </c>
      <c r="S3857" s="42">
        <f t="shared" ca="1" si="65"/>
        <v>49563</v>
      </c>
      <c r="T3857" s="43">
        <f ca="1">_xll.BInterpol('Base CDI'!$H$4:$H$28,'Base CDI'!$J$4:$J$29,S3857,"Cubic","Extrapolate=Linear","MultiX=Average","Skip=True","Sort=True")</f>
        <v>14.643272171154234</v>
      </c>
      <c r="U3857" s="43">
        <f ca="1">_xll.BInterpol('Base CDI'!$H$4:$H$28,'Base CDI'!$I$4:$I$29,S3857,"Cubic","Extrapolate=Linear","MultiX=Average","Skip=True","Sort=True")</f>
        <v>14.697713601101551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49564</v>
      </c>
      <c r="T3858" s="43">
        <f ca="1">_xll.BInterpol('Base CDI'!$H$4:$H$28,'Base CDI'!$J$4:$J$29,S3858,"Cubic","Extrapolate=Linear","MultiX=Average","Skip=True","Sort=True")</f>
        <v>14.643124054926737</v>
      </c>
      <c r="U3858" s="43">
        <f ca="1">_xll.BInterpol('Base CDI'!$H$4:$H$28,'Base CDI'!$I$4:$I$29,S3858,"Cubic","Extrapolate=Linear","MultiX=Average","Skip=True","Sort=True")</f>
        <v>14.697472521272937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49565</v>
      </c>
      <c r="T3859" s="43">
        <f ca="1">_xll.BInterpol('Base CDI'!$H$4:$H$28,'Base CDI'!$J$4:$J$29,S3859,"Cubic","Extrapolate=Linear","MultiX=Average","Skip=True","Sort=True")</f>
        <v>14.642975842829474</v>
      </c>
      <c r="U3859" s="43">
        <f ca="1">_xll.BInterpol('Base CDI'!$H$4:$H$28,'Base CDI'!$I$4:$I$29,S3859,"Cubic","Extrapolate=Linear","MultiX=Average","Skip=True","Sort=True")</f>
        <v>14.697231215838951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49566</v>
      </c>
      <c r="T3860" s="43">
        <f ca="1">_xll.BInterpol('Base CDI'!$H$4:$H$28,'Base CDI'!$J$4:$J$29,S3860,"Cubic","Extrapolate=Linear","MultiX=Average","Skip=True","Sort=True")</f>
        <v>14.642827535063006</v>
      </c>
      <c r="U3860" s="43">
        <f ca="1">_xll.BInterpol('Base CDI'!$H$4:$H$28,'Base CDI'!$I$4:$I$29,S3860,"Cubic","Extrapolate=Linear","MultiX=Average","Skip=True","Sort=True")</f>
        <v>14.696989685271571</v>
      </c>
    </row>
    <row r="3861" spans="16:21" x14ac:dyDescent="0.25">
      <c r="P3861" s="10">
        <v>40128</v>
      </c>
      <c r="Q3861">
        <v>22.10202</v>
      </c>
      <c r="S3861" s="42">
        <f t="shared" ca="1" si="65"/>
        <v>49567</v>
      </c>
      <c r="T3861" s="43">
        <f ca="1">_xll.BInterpol('Base CDI'!$H$4:$H$28,'Base CDI'!$J$4:$J$29,S3861,"Cubic","Extrapolate=Linear","MultiX=Average","Skip=True","Sort=True")</f>
        <v>14.642679131827899</v>
      </c>
      <c r="U3861" s="43">
        <f ca="1">_xll.BInterpol('Base CDI'!$H$4:$H$28,'Base CDI'!$I$4:$I$29,S3861,"Cubic","Extrapolate=Linear","MultiX=Average","Skip=True","Sort=True")</f>
        <v>14.696747930042775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49568</v>
      </c>
      <c r="T3862" s="43">
        <f ca="1">_xll.BInterpol('Base CDI'!$H$4:$H$28,'Base CDI'!$J$4:$J$29,S3862,"Cubic","Extrapolate=Linear","MultiX=Average","Skip=True","Sort=True")</f>
        <v>14.64253063332472</v>
      </c>
      <c r="U3862" s="43">
        <f ca="1">_xll.BInterpol('Base CDI'!$H$4:$H$28,'Base CDI'!$I$4:$I$29,S3862,"Cubic","Extrapolate=Linear","MultiX=Average","Skip=True","Sort=True")</f>
        <v>14.696505950624541</v>
      </c>
    </row>
    <row r="3863" spans="16:21" x14ac:dyDescent="0.25">
      <c r="P3863" s="10">
        <v>40130</v>
      </c>
      <c r="Q3863">
        <v>22.11655</v>
      </c>
      <c r="S3863" s="42">
        <f t="shared" ca="1" si="65"/>
        <v>49569</v>
      </c>
      <c r="T3863" s="43">
        <f ca="1">_xll.BInterpol('Base CDI'!$H$4:$H$28,'Base CDI'!$J$4:$J$29,S3863,"Cubic","Extrapolate=Linear","MultiX=Average","Skip=True","Sort=True")</f>
        <v>14.642382039754029</v>
      </c>
      <c r="U3863" s="43">
        <f ca="1">_xll.BInterpol('Base CDI'!$H$4:$H$28,'Base CDI'!$I$4:$I$29,S3863,"Cubic","Extrapolate=Linear","MultiX=Average","Skip=True","Sort=True")</f>
        <v>14.696263747488846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49570</v>
      </c>
      <c r="T3864" s="43">
        <f ca="1">_xll.BInterpol('Base CDI'!$H$4:$H$28,'Base CDI'!$J$4:$J$29,S3864,"Cubic","Extrapolate=Linear","MultiX=Average","Skip=True","Sort=True")</f>
        <v>14.642233351316392</v>
      </c>
      <c r="U3864" s="43">
        <f ca="1">_xll.BInterpol('Base CDI'!$H$4:$H$28,'Base CDI'!$I$4:$I$29,S3864,"Cubic","Extrapolate=Linear","MultiX=Average","Skip=True","Sort=True")</f>
        <v>14.696021321107668</v>
      </c>
    </row>
    <row r="3865" spans="16:21" x14ac:dyDescent="0.25">
      <c r="P3865" s="10">
        <v>40134</v>
      </c>
      <c r="Q3865">
        <v>22.13109</v>
      </c>
      <c r="S3865" s="42">
        <f t="shared" ca="1" si="65"/>
        <v>49571</v>
      </c>
      <c r="T3865" s="43">
        <f ca="1">_xll.BInterpol('Base CDI'!$H$4:$H$28,'Base CDI'!$J$4:$J$29,S3865,"Cubic","Extrapolate=Linear","MultiX=Average","Skip=True","Sort=True")</f>
        <v>14.642084568212374</v>
      </c>
      <c r="U3865" s="43">
        <f ca="1">_xll.BInterpol('Base CDI'!$H$4:$H$28,'Base CDI'!$I$4:$I$29,S3865,"Cubic","Extrapolate=Linear","MultiX=Average","Skip=True","Sort=True")</f>
        <v>14.695778671952986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49572</v>
      </c>
      <c r="T3866" s="43">
        <f ca="1">_xll.BInterpol('Base CDI'!$H$4:$H$28,'Base CDI'!$J$4:$J$29,S3866,"Cubic","Extrapolate=Linear","MultiX=Average","Skip=True","Sort=True")</f>
        <v>14.641935690642539</v>
      </c>
      <c r="U3866" s="43">
        <f ca="1">_xll.BInterpol('Base CDI'!$H$4:$H$28,'Base CDI'!$I$4:$I$29,S3866,"Cubic","Extrapolate=Linear","MultiX=Average","Skip=True","Sort=True")</f>
        <v>14.695535800496776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49573</v>
      </c>
      <c r="T3867" s="43">
        <f ca="1">_xll.BInterpol('Base CDI'!$H$4:$H$28,'Base CDI'!$J$4:$J$29,S3867,"Cubic","Extrapolate=Linear","MultiX=Average","Skip=True","Sort=True")</f>
        <v>14.641786718807451</v>
      </c>
      <c r="U3867" s="43">
        <f ca="1">_xll.BInterpol('Base CDI'!$H$4:$H$28,'Base CDI'!$I$4:$I$29,S3867,"Cubic","Extrapolate=Linear","MultiX=Average","Skip=True","Sort=True")</f>
        <v>14.695292707211017</v>
      </c>
    </row>
    <row r="3868" spans="16:21" x14ac:dyDescent="0.25">
      <c r="P3868" s="10">
        <v>40137</v>
      </c>
      <c r="Q3868">
        <v>22.15288</v>
      </c>
      <c r="S3868" s="42">
        <f t="shared" ca="1" si="65"/>
        <v>49574</v>
      </c>
      <c r="T3868" s="43">
        <f ca="1">_xll.BInterpol('Base CDI'!$H$4:$H$28,'Base CDI'!$J$4:$J$29,S3868,"Cubic","Extrapolate=Linear","MultiX=Average","Skip=True","Sort=True")</f>
        <v>14.641637652907674</v>
      </c>
      <c r="U3868" s="43">
        <f ca="1">_xll.BInterpol('Base CDI'!$H$4:$H$28,'Base CDI'!$I$4:$I$29,S3868,"Cubic","Extrapolate=Linear","MultiX=Average","Skip=True","Sort=True")</f>
        <v>14.695049392567686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49575</v>
      </c>
      <c r="T3869" s="43">
        <f ca="1">_xll.BInterpol('Base CDI'!$H$4:$H$28,'Base CDI'!$J$4:$J$29,S3869,"Cubic","Extrapolate=Linear","MultiX=Average","Skip=True","Sort=True")</f>
        <v>14.641488493143774</v>
      </c>
      <c r="U3869" s="43">
        <f ca="1">_xll.BInterpol('Base CDI'!$H$4:$H$28,'Base CDI'!$I$4:$I$29,S3869,"Cubic","Extrapolate=Linear","MultiX=Average","Skip=True","Sort=True")</f>
        <v>14.694805857038762</v>
      </c>
    </row>
    <row r="3870" spans="16:21" x14ac:dyDescent="0.25">
      <c r="P3870" s="10">
        <v>40141</v>
      </c>
      <c r="Q3870">
        <v>22.16742</v>
      </c>
      <c r="S3870" s="42">
        <f t="shared" ca="1" si="65"/>
        <v>49576</v>
      </c>
      <c r="T3870" s="43">
        <f ca="1">_xll.BInterpol('Base CDI'!$H$4:$H$28,'Base CDI'!$J$4:$J$29,S3870,"Cubic","Extrapolate=Linear","MultiX=Average","Skip=True","Sort=True")</f>
        <v>14.641339239716315</v>
      </c>
      <c r="U3870" s="43">
        <f ca="1">_xll.BInterpol('Base CDI'!$H$4:$H$28,'Base CDI'!$I$4:$I$29,S3870,"Cubic","Extrapolate=Linear","MultiX=Average","Skip=True","Sort=True")</f>
        <v>14.694562101096221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49577</v>
      </c>
      <c r="T3871" s="43">
        <f ca="1">_xll.BInterpol('Base CDI'!$H$4:$H$28,'Base CDI'!$J$4:$J$29,S3871,"Cubic","Extrapolate=Linear","MultiX=Average","Skip=True","Sort=True")</f>
        <v>14.641189892825858</v>
      </c>
      <c r="U3871" s="43">
        <f ca="1">_xll.BInterpol('Base CDI'!$H$4:$H$28,'Base CDI'!$I$4:$I$29,S3871,"Cubic","Extrapolate=Linear","MultiX=Average","Skip=True","Sort=True")</f>
        <v>14.694318125212041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49578</v>
      </c>
      <c r="T3872" s="43">
        <f ca="1">_xll.BInterpol('Base CDI'!$H$4:$H$28,'Base CDI'!$J$4:$J$29,S3872,"Cubic","Extrapolate=Linear","MultiX=Average","Skip=True","Sort=True")</f>
        <v>14.641040452672973</v>
      </c>
      <c r="U3872" s="43">
        <f ca="1">_xll.BInterpol('Base CDI'!$H$4:$H$28,'Base CDI'!$I$4:$I$29,S3872,"Cubic","Extrapolate=Linear","MultiX=Average","Skip=True","Sort=True")</f>
        <v>14.694073929858201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49579</v>
      </c>
      <c r="T3873" s="43">
        <f ca="1">_xll.BInterpol('Base CDI'!$H$4:$H$28,'Base CDI'!$J$4:$J$29,S3873,"Cubic","Extrapolate=Linear","MultiX=Average","Skip=True","Sort=True")</f>
        <v>14.64089091945822</v>
      </c>
      <c r="U3873" s="43">
        <f ca="1">_xll.BInterpol('Base CDI'!$H$4:$H$28,'Base CDI'!$I$4:$I$29,S3873,"Cubic","Extrapolate=Linear","MultiX=Average","Skip=True","Sort=True")</f>
        <v>14.693829515506676</v>
      </c>
    </row>
    <row r="3874" spans="16:21" x14ac:dyDescent="0.25">
      <c r="P3874" s="10">
        <v>40147</v>
      </c>
      <c r="Q3874">
        <v>22.19659</v>
      </c>
      <c r="S3874" s="42">
        <f t="shared" ca="1" si="65"/>
        <v>49580</v>
      </c>
      <c r="T3874" s="43">
        <f ca="1">_xll.BInterpol('Base CDI'!$H$4:$H$28,'Base CDI'!$J$4:$J$29,S3874,"Cubic","Extrapolate=Linear","MultiX=Average","Skip=True","Sort=True")</f>
        <v>14.640741293382167</v>
      </c>
      <c r="U3874" s="43">
        <f ca="1">_xll.BInterpol('Base CDI'!$H$4:$H$28,'Base CDI'!$I$4:$I$29,S3874,"Cubic","Extrapolate=Linear","MultiX=Average","Skip=True","Sort=True")</f>
        <v>14.693584882629448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49581</v>
      </c>
      <c r="T3875" s="43">
        <f ca="1">_xll.BInterpol('Base CDI'!$H$4:$H$28,'Base CDI'!$J$4:$J$29,S3875,"Cubic","Extrapolate=Linear","MultiX=Average","Skip=True","Sort=True")</f>
        <v>14.640591574645374</v>
      </c>
      <c r="U3875" s="43">
        <f ca="1">_xll.BInterpol('Base CDI'!$H$4:$H$28,'Base CDI'!$I$4:$I$29,S3875,"Cubic","Extrapolate=Linear","MultiX=Average","Skip=True","Sort=True")</f>
        <v>14.693340031698492</v>
      </c>
    </row>
    <row r="3876" spans="16:21" x14ac:dyDescent="0.25">
      <c r="P3876" s="10">
        <v>40149</v>
      </c>
      <c r="Q3876">
        <v>22.21114</v>
      </c>
      <c r="S3876" s="42">
        <f t="shared" ca="1" si="65"/>
        <v>49582</v>
      </c>
      <c r="T3876" s="43">
        <f ca="1">_xll.BInterpol('Base CDI'!$H$4:$H$28,'Base CDI'!$J$4:$J$29,S3876,"Cubic","Extrapolate=Linear","MultiX=Average","Skip=True","Sort=True")</f>
        <v>14.640441763448408</v>
      </c>
      <c r="U3876" s="43">
        <f ca="1">_xll.BInterpol('Base CDI'!$H$4:$H$28,'Base CDI'!$I$4:$I$29,S3876,"Cubic","Extrapolate=Linear","MultiX=Average","Skip=True","Sort=True")</f>
        <v>14.693094963185787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49583</v>
      </c>
      <c r="T3877" s="43">
        <f ca="1">_xll.BInterpol('Base CDI'!$H$4:$H$28,'Base CDI'!$J$4:$J$29,S3877,"Cubic","Extrapolate=Linear","MultiX=Average","Skip=True","Sort=True")</f>
        <v>14.640291859991834</v>
      </c>
      <c r="U3877" s="43">
        <f ca="1">_xll.BInterpol('Base CDI'!$H$4:$H$28,'Base CDI'!$I$4:$I$29,S3877,"Cubic","Extrapolate=Linear","MultiX=Average","Skip=True","Sort=True")</f>
        <v>14.692849677563309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49584</v>
      </c>
      <c r="T3878" s="43">
        <f ca="1">_xll.BInterpol('Base CDI'!$H$4:$H$28,'Base CDI'!$J$4:$J$29,S3878,"Cubic","Extrapolate=Linear","MultiX=Average","Skip=True","Sort=True")</f>
        <v>14.640141864476213</v>
      </c>
      <c r="U3878" s="43">
        <f ca="1">_xll.BInterpol('Base CDI'!$H$4:$H$28,'Base CDI'!$I$4:$I$29,S3878,"Cubic","Extrapolate=Linear","MultiX=Average","Skip=True","Sort=True")</f>
        <v>14.692604175303039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49585</v>
      </c>
      <c r="T3879" s="43">
        <f ca="1">_xll.BInterpol('Base CDI'!$H$4:$H$28,'Base CDI'!$J$4:$J$29,S3879,"Cubic","Extrapolate=Linear","MultiX=Average","Skip=True","Sort=True")</f>
        <v>14.639991777102114</v>
      </c>
      <c r="U3879" s="43">
        <f ca="1">_xll.BInterpol('Base CDI'!$H$4:$H$28,'Base CDI'!$I$4:$I$29,S3879,"Cubic","Extrapolate=Linear","MultiX=Average","Skip=True","Sort=True")</f>
        <v>14.692358456876951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49586</v>
      </c>
      <c r="T3880" s="43">
        <f ca="1">_xll.BInterpol('Base CDI'!$H$4:$H$28,'Base CDI'!$J$4:$J$29,S3880,"Cubic","Extrapolate=Linear","MultiX=Average","Skip=True","Sort=True")</f>
        <v>14.639841598070097</v>
      </c>
      <c r="U3880" s="43">
        <f ca="1">_xll.BInterpol('Base CDI'!$H$4:$H$28,'Base CDI'!$I$4:$I$29,S3880,"Cubic","Extrapolate=Linear","MultiX=Average","Skip=True","Sort=True")</f>
        <v>14.692112522757023</v>
      </c>
    </row>
    <row r="3881" spans="16:21" x14ac:dyDescent="0.25">
      <c r="P3881" s="10">
        <v>40156</v>
      </c>
      <c r="Q3881">
        <v>22.24757</v>
      </c>
      <c r="S3881" s="42">
        <f t="shared" ca="1" si="65"/>
        <v>49587</v>
      </c>
      <c r="T3881" s="43">
        <f ca="1">_xll.BInterpol('Base CDI'!$H$4:$H$28,'Base CDI'!$J$4:$J$29,S3881,"Cubic","Extrapolate=Linear","MultiX=Average","Skip=True","Sort=True")</f>
        <v>14.639691327580731</v>
      </c>
      <c r="U3881" s="43">
        <f ca="1">_xll.BInterpol('Base CDI'!$H$4:$H$28,'Base CDI'!$I$4:$I$29,S3881,"Cubic","Extrapolate=Linear","MultiX=Average","Skip=True","Sort=True")</f>
        <v>14.691866373415237</v>
      </c>
    </row>
    <row r="3882" spans="16:21" x14ac:dyDescent="0.25">
      <c r="P3882" s="10">
        <v>40157</v>
      </c>
      <c r="Q3882">
        <v>22.25488</v>
      </c>
      <c r="S3882" s="42">
        <f t="shared" ca="1" si="65"/>
        <v>49588</v>
      </c>
      <c r="T3882" s="43">
        <f ca="1">_xll.BInterpol('Base CDI'!$H$4:$H$28,'Base CDI'!$J$4:$J$29,S3882,"Cubic","Extrapolate=Linear","MultiX=Average","Skip=True","Sort=True")</f>
        <v>14.639540965834577</v>
      </c>
      <c r="U3882" s="43">
        <f ca="1">_xll.BInterpol('Base CDI'!$H$4:$H$28,'Base CDI'!$I$4:$I$29,S3882,"Cubic","Extrapolate=Linear","MultiX=Average","Skip=True","Sort=True")</f>
        <v>14.691620009323566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49589</v>
      </c>
      <c r="T3883" s="43">
        <f ca="1">_xll.BInterpol('Base CDI'!$H$4:$H$28,'Base CDI'!$J$4:$J$29,S3883,"Cubic","Extrapolate=Linear","MultiX=Average","Skip=True","Sort=True")</f>
        <v>14.639390513032199</v>
      </c>
      <c r="U3883" s="43">
        <f ca="1">_xll.BInterpol('Base CDI'!$H$4:$H$28,'Base CDI'!$I$4:$I$29,S3883,"Cubic","Extrapolate=Linear","MultiX=Average","Skip=True","Sort=True")</f>
        <v>14.691373430953991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49590</v>
      </c>
      <c r="T3884" s="43">
        <f ca="1">_xll.BInterpol('Base CDI'!$H$4:$H$28,'Base CDI'!$J$4:$J$29,S3884,"Cubic","Extrapolate=Linear","MultiX=Average","Skip=True","Sort=True")</f>
        <v>14.639239969374163</v>
      </c>
      <c r="U3884" s="43">
        <f ca="1">_xll.BInterpol('Base CDI'!$H$4:$H$28,'Base CDI'!$I$4:$I$29,S3884,"Cubic","Extrapolate=Linear","MultiX=Average","Skip=True","Sort=True")</f>
        <v>14.691126638778488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49591</v>
      </c>
      <c r="T3885" s="43">
        <f ca="1">_xll.BInterpol('Base CDI'!$H$4:$H$28,'Base CDI'!$J$4:$J$29,S3885,"Cubic","Extrapolate=Linear","MultiX=Average","Skip=True","Sort=True")</f>
        <v>14.639089335061033</v>
      </c>
      <c r="U3885" s="43">
        <f ca="1">_xll.BInterpol('Base CDI'!$H$4:$H$28,'Base CDI'!$I$4:$I$29,S3885,"Cubic","Extrapolate=Linear","MultiX=Average","Skip=True","Sort=True")</f>
        <v>14.690879633269036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49592</v>
      </c>
      <c r="T3886" s="43">
        <f ca="1">_xll.BInterpol('Base CDI'!$H$4:$H$28,'Base CDI'!$J$4:$J$29,S3886,"Cubic","Extrapolate=Linear","MultiX=Average","Skip=True","Sort=True")</f>
        <v>14.638938610293373</v>
      </c>
      <c r="U3886" s="43">
        <f ca="1">_xll.BInterpol('Base CDI'!$H$4:$H$28,'Base CDI'!$I$4:$I$29,S3886,"Cubic","Extrapolate=Linear","MultiX=Average","Skip=True","Sort=True")</f>
        <v>14.69063241489761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49593</v>
      </c>
      <c r="T3887" s="43">
        <f ca="1">_xll.BInterpol('Base CDI'!$H$4:$H$28,'Base CDI'!$J$4:$J$29,S3887,"Cubic","Extrapolate=Linear","MultiX=Average","Skip=True","Sort=True")</f>
        <v>14.638787795271748</v>
      </c>
      <c r="U3887" s="43">
        <f ca="1">_xll.BInterpol('Base CDI'!$H$4:$H$28,'Base CDI'!$I$4:$I$29,S3887,"Cubic","Extrapolate=Linear","MultiX=Average","Skip=True","Sort=True")</f>
        <v>14.690384984136191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49594</v>
      </c>
      <c r="T3888" s="43">
        <f ca="1">_xll.BInterpol('Base CDI'!$H$4:$H$28,'Base CDI'!$J$4:$J$29,S3888,"Cubic","Extrapolate=Linear","MultiX=Average","Skip=True","Sort=True")</f>
        <v>14.638636890196723</v>
      </c>
      <c r="U3888" s="43">
        <f ca="1">_xll.BInterpol('Base CDI'!$H$4:$H$28,'Base CDI'!$I$4:$I$29,S3888,"Cubic","Extrapolate=Linear","MultiX=Average","Skip=True","Sort=True")</f>
        <v>14.690137341456756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49595</v>
      </c>
      <c r="T3889" s="43">
        <f ca="1">_xll.BInterpol('Base CDI'!$H$4:$H$28,'Base CDI'!$J$4:$J$29,S3889,"Cubic","Extrapolate=Linear","MultiX=Average","Skip=True","Sort=True")</f>
        <v>14.638485895268859</v>
      </c>
      <c r="U3889" s="43">
        <f ca="1">_xll.BInterpol('Base CDI'!$H$4:$H$28,'Base CDI'!$I$4:$I$29,S3889,"Cubic","Extrapolate=Linear","MultiX=Average","Skip=True","Sort=True")</f>
        <v>14.689889487331282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49596</v>
      </c>
      <c r="T3890" s="43">
        <f ca="1">_xll.BInterpol('Base CDI'!$H$4:$H$28,'Base CDI'!$J$4:$J$29,S3890,"Cubic","Extrapolate=Linear","MultiX=Average","Skip=True","Sort=True")</f>
        <v>14.638334810688725</v>
      </c>
      <c r="U3890" s="43">
        <f ca="1">_xll.BInterpol('Base CDI'!$H$4:$H$28,'Base CDI'!$I$4:$I$29,S3890,"Cubic","Extrapolate=Linear","MultiX=Average","Skip=True","Sort=True")</f>
        <v>14.689641422231748</v>
      </c>
    </row>
    <row r="3891" spans="16:21" x14ac:dyDescent="0.25">
      <c r="P3891" s="10">
        <v>40170</v>
      </c>
      <c r="Q3891">
        <v>22.32075</v>
      </c>
      <c r="S3891" s="42">
        <f t="shared" ca="1" si="65"/>
        <v>49597</v>
      </c>
      <c r="T3891" s="43">
        <f ca="1">_xll.BInterpol('Base CDI'!$H$4:$H$28,'Base CDI'!$J$4:$J$29,S3891,"Cubic","Extrapolate=Linear","MultiX=Average","Skip=True","Sort=True")</f>
        <v>14.638183636656882</v>
      </c>
      <c r="U3891" s="43">
        <f ca="1">_xll.BInterpol('Base CDI'!$H$4:$H$28,'Base CDI'!$I$4:$I$29,S3891,"Cubic","Extrapolate=Linear","MultiX=Average","Skip=True","Sort=True")</f>
        <v>14.689393146630129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49598</v>
      </c>
      <c r="T3892" s="43">
        <f ca="1">_xll.BInterpol('Base CDI'!$H$4:$H$28,'Base CDI'!$J$4:$J$29,S3892,"Cubic","Extrapolate=Linear","MultiX=Average","Skip=True","Sort=True")</f>
        <v>14.638032373373896</v>
      </c>
      <c r="U3892" s="43">
        <f ca="1">_xll.BInterpol('Base CDI'!$H$4:$H$28,'Base CDI'!$I$4:$I$29,S3892,"Cubic","Extrapolate=Linear","MultiX=Average","Skip=True","Sort=True")</f>
        <v>14.689144660998405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49599</v>
      </c>
      <c r="T3893" s="43">
        <f ca="1">_xll.BInterpol('Base CDI'!$H$4:$H$28,'Base CDI'!$J$4:$J$29,S3893,"Cubic","Extrapolate=Linear","MultiX=Average","Skip=True","Sort=True")</f>
        <v>14.637881021040331</v>
      </c>
      <c r="U3893" s="43">
        <f ca="1">_xll.BInterpol('Base CDI'!$H$4:$H$28,'Base CDI'!$I$4:$I$29,S3893,"Cubic","Extrapolate=Linear","MultiX=Average","Skip=True","Sort=True")</f>
        <v>14.688895965808555</v>
      </c>
    </row>
    <row r="3894" spans="16:21" x14ac:dyDescent="0.25">
      <c r="P3894" s="10">
        <v>40176</v>
      </c>
      <c r="Q3894">
        <v>22.34271</v>
      </c>
      <c r="S3894" s="42">
        <f t="shared" ca="1" si="65"/>
        <v>49600</v>
      </c>
      <c r="T3894" s="43">
        <f ca="1">_xll.BInterpol('Base CDI'!$H$4:$H$28,'Base CDI'!$J$4:$J$29,S3894,"Cubic","Extrapolate=Linear","MultiX=Average","Skip=True","Sort=True")</f>
        <v>14.637729579856749</v>
      </c>
      <c r="U3894" s="43">
        <f ca="1">_xll.BInterpol('Base CDI'!$H$4:$H$28,'Base CDI'!$I$4:$I$29,S3894,"Cubic","Extrapolate=Linear","MultiX=Average","Skip=True","Sort=True")</f>
        <v>14.688647061532553</v>
      </c>
    </row>
    <row r="3895" spans="16:21" x14ac:dyDescent="0.25">
      <c r="P3895" s="10">
        <v>40177</v>
      </c>
      <c r="Q3895">
        <v>22.35004</v>
      </c>
      <c r="S3895" s="42">
        <f t="shared" ca="1" si="65"/>
        <v>49601</v>
      </c>
      <c r="T3895" s="43">
        <f ca="1">_xll.BInterpol('Base CDI'!$H$4:$H$28,'Base CDI'!$J$4:$J$29,S3895,"Cubic","Extrapolate=Linear","MultiX=Average","Skip=True","Sort=True")</f>
        <v>14.63757805002372</v>
      </c>
      <c r="U3895" s="43">
        <f ca="1">_xll.BInterpol('Base CDI'!$H$4:$H$28,'Base CDI'!$I$4:$I$29,S3895,"Cubic","Extrapolate=Linear","MultiX=Average","Skip=True","Sort=True")</f>
        <v>14.688397948642381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49602</v>
      </c>
      <c r="T3896" s="43">
        <f ca="1">_xll.BInterpol('Base CDI'!$H$4:$H$28,'Base CDI'!$J$4:$J$29,S3896,"Cubic","Extrapolate=Linear","MultiX=Average","Skip=True","Sort=True")</f>
        <v>14.637426431741803</v>
      </c>
      <c r="U3896" s="43">
        <f ca="1">_xll.BInterpol('Base CDI'!$H$4:$H$28,'Base CDI'!$I$4:$I$29,S3896,"Cubic","Extrapolate=Linear","MultiX=Average","Skip=True","Sort=True")</f>
        <v>14.688148627610014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49603</v>
      </c>
      <c r="T3897" s="43">
        <f ca="1">_xll.BInterpol('Base CDI'!$H$4:$H$28,'Base CDI'!$J$4:$J$29,S3897,"Cubic","Extrapolate=Linear","MultiX=Average","Skip=True","Sort=True")</f>
        <v>14.637274725211565</v>
      </c>
      <c r="U3897" s="43">
        <f ca="1">_xll.BInterpol('Base CDI'!$H$4:$H$28,'Base CDI'!$I$4:$I$29,S3897,"Cubic","Extrapolate=Linear","MultiX=Average","Skip=True","Sort=True")</f>
        <v>14.68789909890743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49604</v>
      </c>
      <c r="T3898" s="43">
        <f ca="1">_xll.BInterpol('Base CDI'!$H$4:$H$28,'Base CDI'!$J$4:$J$29,S3898,"Cubic","Extrapolate=Linear","MultiX=Average","Skip=True","Sort=True")</f>
        <v>14.637122930633568</v>
      </c>
      <c r="U3898" s="43">
        <f ca="1">_xll.BInterpol('Base CDI'!$H$4:$H$28,'Base CDI'!$I$4:$I$29,S3898,"Cubic","Extrapolate=Linear","MultiX=Average","Skip=True","Sort=True")</f>
        <v>14.687649363006607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49605</v>
      </c>
      <c r="T3899" s="43">
        <f ca="1">_xll.BInterpol('Base CDI'!$H$4:$H$28,'Base CDI'!$J$4:$J$29,S3899,"Cubic","Extrapolate=Linear","MultiX=Average","Skip=True","Sort=True")</f>
        <v>14.63697104820838</v>
      </c>
      <c r="U3899" s="43">
        <f ca="1">_xll.BInterpol('Base CDI'!$H$4:$H$28,'Base CDI'!$I$4:$I$29,S3899,"Cubic","Extrapolate=Linear","MultiX=Average","Skip=True","Sort=True")</f>
        <v>14.687399420379522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49606</v>
      </c>
      <c r="T3900" s="43">
        <f ca="1">_xll.BInterpol('Base CDI'!$H$4:$H$28,'Base CDI'!$J$4:$J$29,S3900,"Cubic","Extrapolate=Linear","MultiX=Average","Skip=True","Sort=True")</f>
        <v>14.636819078136563</v>
      </c>
      <c r="U3900" s="43">
        <f ca="1">_xll.BInterpol('Base CDI'!$H$4:$H$28,'Base CDI'!$I$4:$I$29,S3900,"Cubic","Extrapolate=Linear","MultiX=Average","Skip=True","Sort=True")</f>
        <v>14.687149271498155</v>
      </c>
    </row>
    <row r="3901" spans="16:21" x14ac:dyDescent="0.25">
      <c r="P3901" s="10">
        <v>40186</v>
      </c>
      <c r="Q3901">
        <v>22.39395</v>
      </c>
      <c r="S3901" s="42">
        <f t="shared" ca="1" si="65"/>
        <v>49607</v>
      </c>
      <c r="T3901" s="43">
        <f ca="1">_xll.BInterpol('Base CDI'!$H$4:$H$28,'Base CDI'!$J$4:$J$29,S3901,"Cubic","Extrapolate=Linear","MultiX=Average","Skip=True","Sort=True")</f>
        <v>14.636667020618681</v>
      </c>
      <c r="U3901" s="43">
        <f ca="1">_xll.BInterpol('Base CDI'!$H$4:$H$28,'Base CDI'!$I$4:$I$29,S3901,"Cubic","Extrapolate=Linear","MultiX=Average","Skip=True","Sort=True")</f>
        <v>14.686898916834483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49608</v>
      </c>
      <c r="T3902" s="43">
        <f ca="1">_xll.BInterpol('Base CDI'!$H$4:$H$28,'Base CDI'!$J$4:$J$29,S3902,"Cubic","Extrapolate=Linear","MultiX=Average","Skip=True","Sort=True")</f>
        <v>14.636514875855299</v>
      </c>
      <c r="U3902" s="43">
        <f ca="1">_xll.BInterpol('Base CDI'!$H$4:$H$28,'Base CDI'!$I$4:$I$29,S3902,"Cubic","Extrapolate=Linear","MultiX=Average","Skip=True","Sort=True")</f>
        <v>14.686648356860482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49609</v>
      </c>
      <c r="T3903" s="43">
        <f ca="1">_xll.BInterpol('Base CDI'!$H$4:$H$28,'Base CDI'!$J$4:$J$29,S3903,"Cubic","Extrapolate=Linear","MultiX=Average","Skip=True","Sort=True")</f>
        <v>14.636362644046983</v>
      </c>
      <c r="U3903" s="43">
        <f ca="1">_xll.BInterpol('Base CDI'!$H$4:$H$28,'Base CDI'!$I$4:$I$29,S3903,"Cubic","Extrapolate=Linear","MultiX=Average","Skip=True","Sort=True")</f>
        <v>14.686397592048133</v>
      </c>
    </row>
    <row r="3904" spans="16:21" x14ac:dyDescent="0.25">
      <c r="P3904" s="10">
        <v>40191</v>
      </c>
      <c r="Q3904">
        <v>22.416</v>
      </c>
      <c r="S3904" s="42">
        <f t="shared" ca="1" si="65"/>
        <v>49610</v>
      </c>
      <c r="T3904" s="43">
        <f ca="1">_xll.BInterpol('Base CDI'!$H$4:$H$28,'Base CDI'!$J$4:$J$29,S3904,"Cubic","Extrapolate=Linear","MultiX=Average","Skip=True","Sort=True")</f>
        <v>14.636210325394295</v>
      </c>
      <c r="U3904" s="43">
        <f ca="1">_xll.BInterpol('Base CDI'!$H$4:$H$28,'Base CDI'!$I$4:$I$29,S3904,"Cubic","Extrapolate=Linear","MultiX=Average","Skip=True","Sort=True")</f>
        <v>14.68614662286941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49611</v>
      </c>
      <c r="T3905" s="43">
        <f ca="1">_xll.BInterpol('Base CDI'!$H$4:$H$28,'Base CDI'!$J$4:$J$29,S3905,"Cubic","Extrapolate=Linear","MultiX=Average","Skip=True","Sort=True")</f>
        <v>14.6360579200978</v>
      </c>
      <c r="U3905" s="43">
        <f ca="1">_xll.BInterpol('Base CDI'!$H$4:$H$28,'Base CDI'!$I$4:$I$29,S3905,"Cubic","Extrapolate=Linear","MultiX=Average","Skip=True","Sort=True")</f>
        <v>14.685895449796293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49612</v>
      </c>
      <c r="T3906" s="43">
        <f ca="1">_xll.BInterpol('Base CDI'!$H$4:$H$28,'Base CDI'!$J$4:$J$29,S3906,"Cubic","Extrapolate=Linear","MultiX=Average","Skip=True","Sort=True")</f>
        <v>14.635905428358063</v>
      </c>
      <c r="U3906" s="43">
        <f ca="1">_xll.BInterpol('Base CDI'!$H$4:$H$28,'Base CDI'!$I$4:$I$29,S3906,"Cubic","Extrapolate=Linear","MultiX=Average","Skip=True","Sort=True")</f>
        <v>14.685644073300759</v>
      </c>
    </row>
    <row r="3907" spans="16:21" x14ac:dyDescent="0.25">
      <c r="P3907" s="10">
        <v>40196</v>
      </c>
      <c r="Q3907">
        <v>22.43807</v>
      </c>
      <c r="S3907" s="42">
        <f t="shared" ca="1" si="65"/>
        <v>49613</v>
      </c>
      <c r="T3907" s="43">
        <f ca="1">_xll.BInterpol('Base CDI'!$H$4:$H$28,'Base CDI'!$J$4:$J$29,S3907,"Cubic","Extrapolate=Linear","MultiX=Average","Skip=True","Sort=True")</f>
        <v>14.635752850375649</v>
      </c>
      <c r="U3907" s="43">
        <f ca="1">_xll.BInterpol('Base CDI'!$H$4:$H$28,'Base CDI'!$I$4:$I$29,S3907,"Cubic","Extrapolate=Linear","MultiX=Average","Skip=True","Sort=True")</f>
        <v>14.685392493854787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49614</v>
      </c>
      <c r="T3908" s="43">
        <f ca="1">_xll.BInterpol('Base CDI'!$H$4:$H$28,'Base CDI'!$J$4:$J$29,S3908,"Cubic","Extrapolate=Linear","MultiX=Average","Skip=True","Sort=True")</f>
        <v>14.63560018635112</v>
      </c>
      <c r="U3908" s="43">
        <f ca="1">_xll.BInterpol('Base CDI'!$H$4:$H$28,'Base CDI'!$I$4:$I$29,S3908,"Cubic","Extrapolate=Linear","MultiX=Average","Skip=True","Sort=True")</f>
        <v>14.685140711930353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49615</v>
      </c>
      <c r="T3909" s="43">
        <f ca="1">_xll.BInterpol('Base CDI'!$H$4:$H$28,'Base CDI'!$J$4:$J$29,S3909,"Cubic","Extrapolate=Linear","MultiX=Average","Skip=True","Sort=True")</f>
        <v>14.635447436485041</v>
      </c>
      <c r="U3909" s="43">
        <f ca="1">_xll.BInterpol('Base CDI'!$H$4:$H$28,'Base CDI'!$I$4:$I$29,S3909,"Cubic","Extrapolate=Linear","MultiX=Average","Skip=True","Sort=True")</f>
        <v>14.684888727999436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49616</v>
      </c>
      <c r="T3910" s="43">
        <f ca="1">_xll.BInterpol('Base CDI'!$H$4:$H$28,'Base CDI'!$J$4:$J$29,S3910,"Cubic","Extrapolate=Linear","MultiX=Average","Skip=True","Sort=True")</f>
        <v>14.635294600977979</v>
      </c>
      <c r="U3910" s="43">
        <f ca="1">_xll.BInterpol('Base CDI'!$H$4:$H$28,'Base CDI'!$I$4:$I$29,S3910,"Cubic","Extrapolate=Linear","MultiX=Average","Skip=True","Sort=True")</f>
        <v>14.684636542534014</v>
      </c>
    </row>
    <row r="3911" spans="16:21" x14ac:dyDescent="0.25">
      <c r="P3911" s="10">
        <v>40200</v>
      </c>
      <c r="Q3911">
        <v>22.46752</v>
      </c>
      <c r="S3911" s="42">
        <f t="shared" ca="1" si="65"/>
        <v>49617</v>
      </c>
      <c r="T3911" s="43">
        <f ca="1">_xll.BInterpol('Base CDI'!$H$4:$H$28,'Base CDI'!$J$4:$J$29,S3911,"Cubic","Extrapolate=Linear","MultiX=Average","Skip=True","Sort=True")</f>
        <v>14.635141680030495</v>
      </c>
      <c r="U3911" s="43">
        <f ca="1">_xll.BInterpol('Base CDI'!$H$4:$H$28,'Base CDI'!$I$4:$I$29,S3911,"Cubic","Extrapolate=Linear","MultiX=Average","Skip=True","Sort=True")</f>
        <v>14.684384156006063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49618</v>
      </c>
      <c r="T3912" s="43">
        <f ca="1">_xll.BInterpol('Base CDI'!$H$4:$H$28,'Base CDI'!$J$4:$J$29,S3912,"Cubic","Extrapolate=Linear","MultiX=Average","Skip=True","Sort=True")</f>
        <v>14.634988673843155</v>
      </c>
      <c r="U3912" s="43">
        <f ca="1">_xll.BInterpol('Base CDI'!$H$4:$H$28,'Base CDI'!$I$4:$I$29,S3912,"Cubic","Extrapolate=Linear","MultiX=Average","Skip=True","Sort=True")</f>
        <v>14.684131568887562</v>
      </c>
    </row>
    <row r="3913" spans="16:21" x14ac:dyDescent="0.25">
      <c r="P3913" s="10">
        <v>40204</v>
      </c>
      <c r="Q3913">
        <v>22.48227</v>
      </c>
      <c r="S3913" s="42">
        <f t="shared" ca="1" si="65"/>
        <v>49619</v>
      </c>
      <c r="T3913" s="43">
        <f ca="1">_xll.BInterpol('Base CDI'!$H$4:$H$28,'Base CDI'!$J$4:$J$29,S3913,"Cubic","Extrapolate=Linear","MultiX=Average","Skip=True","Sort=True")</f>
        <v>14.634835582616525</v>
      </c>
      <c r="U3913" s="43">
        <f ca="1">_xll.BInterpol('Base CDI'!$H$4:$H$28,'Base CDI'!$I$4:$I$29,S3913,"Cubic","Extrapolate=Linear","MultiX=Average","Skip=True","Sort=True")</f>
        <v>14.683878781650488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49620</v>
      </c>
      <c r="T3914" s="43">
        <f ca="1">_xll.BInterpol('Base CDI'!$H$4:$H$28,'Base CDI'!$J$4:$J$29,S3914,"Cubic","Extrapolate=Linear","MultiX=Average","Skip=True","Sort=True")</f>
        <v>14.634682406551166</v>
      </c>
      <c r="U3914" s="43">
        <f ca="1">_xll.BInterpol('Base CDI'!$H$4:$H$28,'Base CDI'!$I$4:$I$29,S3914,"Cubic","Extrapolate=Linear","MultiX=Average","Skip=True","Sort=True")</f>
        <v>14.683625794766821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49621</v>
      </c>
      <c r="T3915" s="43">
        <f ca="1">_xll.BInterpol('Base CDI'!$H$4:$H$28,'Base CDI'!$J$4:$J$29,S3915,"Cubic","Extrapolate=Linear","MultiX=Average","Skip=True","Sort=True")</f>
        <v>14.634529145847644</v>
      </c>
      <c r="U3915" s="43">
        <f ca="1">_xll.BInterpol('Base CDI'!$H$4:$H$28,'Base CDI'!$I$4:$I$29,S3915,"Cubic","Extrapolate=Linear","MultiX=Average","Skip=True","Sort=True")</f>
        <v>14.683372608708536</v>
      </c>
    </row>
    <row r="3916" spans="16:21" x14ac:dyDescent="0.25">
      <c r="P3916" s="10">
        <v>40207</v>
      </c>
      <c r="Q3916">
        <v>22.50441</v>
      </c>
      <c r="S3916" s="42">
        <f t="shared" ca="1" si="66"/>
        <v>49622</v>
      </c>
      <c r="T3916" s="43">
        <f ca="1">_xll.BInterpol('Base CDI'!$H$4:$H$28,'Base CDI'!$J$4:$J$29,S3916,"Cubic","Extrapolate=Linear","MultiX=Average","Skip=True","Sort=True")</f>
        <v>14.634375800706524</v>
      </c>
      <c r="U3916" s="43">
        <f ca="1">_xll.BInterpol('Base CDI'!$H$4:$H$28,'Base CDI'!$I$4:$I$29,S3916,"Cubic","Extrapolate=Linear","MultiX=Average","Skip=True","Sort=True")</f>
        <v>14.683119223947614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49623</v>
      </c>
      <c r="T3917" s="43">
        <f ca="1">_xll.BInterpol('Base CDI'!$H$4:$H$28,'Base CDI'!$J$4:$J$29,S3917,"Cubic","Extrapolate=Linear","MultiX=Average","Skip=True","Sort=True")</f>
        <v>14.634222371328368</v>
      </c>
      <c r="U3917" s="43">
        <f ca="1">_xll.BInterpol('Base CDI'!$H$4:$H$28,'Base CDI'!$I$4:$I$29,S3917,"Cubic","Extrapolate=Linear","MultiX=Average","Skip=True","Sort=True")</f>
        <v>14.682865640956029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49624</v>
      </c>
      <c r="T3918" s="43">
        <f ca="1">_xll.BInterpol('Base CDI'!$H$4:$H$28,'Base CDI'!$J$4:$J$29,S3918,"Cubic","Extrapolate=Linear","MultiX=Average","Skip=True","Sort=True")</f>
        <v>14.634068857913743</v>
      </c>
      <c r="U3918" s="43">
        <f ca="1">_xll.BInterpol('Base CDI'!$H$4:$H$28,'Base CDI'!$I$4:$I$29,S3918,"Cubic","Extrapolate=Linear","MultiX=Average","Skip=True","Sort=True")</f>
        <v>14.68261186020576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49625</v>
      </c>
      <c r="T3919" s="43">
        <f ca="1">_xll.BInterpol('Base CDI'!$H$4:$H$28,'Base CDI'!$J$4:$J$29,S3919,"Cubic","Extrapolate=Linear","MultiX=Average","Skip=True","Sort=True")</f>
        <v>14.633915260663212</v>
      </c>
      <c r="U3919" s="43">
        <f ca="1">_xll.BInterpol('Base CDI'!$H$4:$H$28,'Base CDI'!$I$4:$I$29,S3919,"Cubic","Extrapolate=Linear","MultiX=Average","Skip=True","Sort=True")</f>
        <v>14.682357882168786</v>
      </c>
    </row>
    <row r="3920" spans="16:21" x14ac:dyDescent="0.25">
      <c r="P3920" s="10">
        <v>40213</v>
      </c>
      <c r="Q3920">
        <v>22.53398</v>
      </c>
      <c r="S3920" s="42">
        <f t="shared" ca="1" si="66"/>
        <v>49626</v>
      </c>
      <c r="T3920" s="43">
        <f ca="1">_xll.BInterpol('Base CDI'!$H$4:$H$28,'Base CDI'!$J$4:$J$29,S3920,"Cubic","Extrapolate=Linear","MultiX=Average","Skip=True","Sort=True")</f>
        <v>14.633761579777341</v>
      </c>
      <c r="U3920" s="43">
        <f ca="1">_xll.BInterpol('Base CDI'!$H$4:$H$28,'Base CDI'!$I$4:$I$29,S3920,"Cubic","Extrapolate=Linear","MultiX=Average","Skip=True","Sort=True")</f>
        <v>14.682103707317085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49627</v>
      </c>
      <c r="T3921" s="43">
        <f ca="1">_xll.BInterpol('Base CDI'!$H$4:$H$28,'Base CDI'!$J$4:$J$29,S3921,"Cubic","Extrapolate=Linear","MultiX=Average","Skip=True","Sort=True")</f>
        <v>14.633607815456692</v>
      </c>
      <c r="U3921" s="43">
        <f ca="1">_xll.BInterpol('Base CDI'!$H$4:$H$28,'Base CDI'!$I$4:$I$29,S3921,"Cubic","Extrapolate=Linear","MultiX=Average","Skip=True","Sort=True")</f>
        <v>14.681849336122632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49628</v>
      </c>
      <c r="T3922" s="43">
        <f ca="1">_xll.BInterpol('Base CDI'!$H$4:$H$28,'Base CDI'!$J$4:$J$29,S3922,"Cubic","Extrapolate=Linear","MultiX=Average","Skip=True","Sort=True")</f>
        <v>14.633453967901831</v>
      </c>
      <c r="U3922" s="43">
        <f ca="1">_xll.BInterpol('Base CDI'!$H$4:$H$28,'Base CDI'!$I$4:$I$29,S3922,"Cubic","Extrapolate=Linear","MultiX=Average","Skip=True","Sort=True")</f>
        <v>14.681594769057408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49629</v>
      </c>
      <c r="T3923" s="43">
        <f ca="1">_xll.BInterpol('Base CDI'!$H$4:$H$28,'Base CDI'!$J$4:$J$29,S3923,"Cubic","Extrapolate=Linear","MultiX=Average","Skip=True","Sort=True")</f>
        <v>14.633300037313321</v>
      </c>
      <c r="U3923" s="43">
        <f ca="1">_xll.BInterpol('Base CDI'!$H$4:$H$28,'Base CDI'!$I$4:$I$29,S3923,"Cubic","Extrapolate=Linear","MultiX=Average","Skip=True","Sort=True")</f>
        <v>14.681340006593389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49630</v>
      </c>
      <c r="T3924" s="43">
        <f ca="1">_xll.BInterpol('Base CDI'!$H$4:$H$28,'Base CDI'!$J$4:$J$29,S3924,"Cubic","Extrapolate=Linear","MultiX=Average","Skip=True","Sort=True")</f>
        <v>14.633146023891728</v>
      </c>
      <c r="U3924" s="43">
        <f ca="1">_xll.BInterpol('Base CDI'!$H$4:$H$28,'Base CDI'!$I$4:$I$29,S3924,"Cubic","Extrapolate=Linear","MultiX=Average","Skip=True","Sort=True")</f>
        <v>14.681085049202553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49631</v>
      </c>
      <c r="T3925" s="43">
        <f ca="1">_xll.BInterpol('Base CDI'!$H$4:$H$28,'Base CDI'!$J$4:$J$29,S3925,"Cubic","Extrapolate=Linear","MultiX=Average","Skip=True","Sort=True")</f>
        <v>14.632991927837615</v>
      </c>
      <c r="U3925" s="43">
        <f ca="1">_xll.BInterpol('Base CDI'!$H$4:$H$28,'Base CDI'!$I$4:$I$29,S3925,"Cubic","Extrapolate=Linear","MultiX=Average","Skip=True","Sort=True")</f>
        <v>14.680829897356878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49632</v>
      </c>
      <c r="T3926" s="43">
        <f ca="1">_xll.BInterpol('Base CDI'!$H$4:$H$28,'Base CDI'!$J$4:$J$29,S3926,"Cubic","Extrapolate=Linear","MultiX=Average","Skip=True","Sort=True")</f>
        <v>14.632837749351548</v>
      </c>
      <c r="U3926" s="43">
        <f ca="1">_xll.BInterpol('Base CDI'!$H$4:$H$28,'Base CDI'!$I$4:$I$29,S3926,"Cubic","Extrapolate=Linear","MultiX=Average","Skip=True","Sort=True")</f>
        <v>14.680574551528341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49633</v>
      </c>
      <c r="T3927" s="43">
        <f ca="1">_xll.BInterpol('Base CDI'!$H$4:$H$28,'Base CDI'!$J$4:$J$29,S3927,"Cubic","Extrapolate=Linear","MultiX=Average","Skip=True","Sort=True")</f>
        <v>14.63268348863409</v>
      </c>
      <c r="U3927" s="43">
        <f ca="1">_xll.BInterpol('Base CDI'!$H$4:$H$28,'Base CDI'!$I$4:$I$29,S3927,"Cubic","Extrapolate=Linear","MultiX=Average","Skip=True","Sort=True")</f>
        <v>14.680319012188921</v>
      </c>
    </row>
    <row r="3928" spans="16:21" x14ac:dyDescent="0.25">
      <c r="P3928" s="10">
        <v>40227</v>
      </c>
      <c r="Q3928">
        <v>22.5932</v>
      </c>
      <c r="S3928" s="42">
        <f t="shared" ca="1" si="66"/>
        <v>49634</v>
      </c>
      <c r="T3928" s="43">
        <f ca="1">_xll.BInterpol('Base CDI'!$H$4:$H$28,'Base CDI'!$J$4:$J$29,S3928,"Cubic","Extrapolate=Linear","MultiX=Average","Skip=True","Sort=True")</f>
        <v>14.632529145885805</v>
      </c>
      <c r="U3928" s="43">
        <f ca="1">_xll.BInterpol('Base CDI'!$H$4:$H$28,'Base CDI'!$I$4:$I$29,S3928,"Cubic","Extrapolate=Linear","MultiX=Average","Skip=True","Sort=True")</f>
        <v>14.680063279810595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49635</v>
      </c>
      <c r="T3929" s="43">
        <f ca="1">_xll.BInterpol('Base CDI'!$H$4:$H$28,'Base CDI'!$J$4:$J$29,S3929,"Cubic","Extrapolate=Linear","MultiX=Average","Skip=True","Sort=True")</f>
        <v>14.63237472130726</v>
      </c>
      <c r="U3929" s="43">
        <f ca="1">_xll.BInterpol('Base CDI'!$H$4:$H$28,'Base CDI'!$I$4:$I$29,S3929,"Cubic","Extrapolate=Linear","MultiX=Average","Skip=True","Sort=True")</f>
        <v>14.679807354865341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49636</v>
      </c>
      <c r="T3930" s="43">
        <f ca="1">_xll.BInterpol('Base CDI'!$H$4:$H$28,'Base CDI'!$J$4:$J$29,S3930,"Cubic","Extrapolate=Linear","MultiX=Average","Skip=True","Sort=True")</f>
        <v>14.632220215099014</v>
      </c>
      <c r="U3930" s="43">
        <f ca="1">_xll.BInterpol('Base CDI'!$H$4:$H$28,'Base CDI'!$I$4:$I$29,S3930,"Cubic","Extrapolate=Linear","MultiX=Average","Skip=True","Sort=True")</f>
        <v>14.679551237825136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49637</v>
      </c>
      <c r="T3931" s="43">
        <f ca="1">_xll.BInterpol('Base CDI'!$H$4:$H$28,'Base CDI'!$J$4:$J$29,S3931,"Cubic","Extrapolate=Linear","MultiX=Average","Skip=True","Sort=True")</f>
        <v>14.632065627461637</v>
      </c>
      <c r="U3931" s="43">
        <f ca="1">_xll.BInterpol('Base CDI'!$H$4:$H$28,'Base CDI'!$I$4:$I$29,S3931,"Cubic","Extrapolate=Linear","MultiX=Average","Skip=True","Sort=True")</f>
        <v>14.679294929161959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49638</v>
      </c>
      <c r="T3932" s="43">
        <f ca="1">_xll.BInterpol('Base CDI'!$H$4:$H$28,'Base CDI'!$J$4:$J$29,S3932,"Cubic","Extrapolate=Linear","MultiX=Average","Skip=True","Sort=True")</f>
        <v>14.631910958595691</v>
      </c>
      <c r="U3932" s="43">
        <f ca="1">_xll.BInterpol('Base CDI'!$H$4:$H$28,'Base CDI'!$I$4:$I$29,S3932,"Cubic","Extrapolate=Linear","MultiX=Average","Skip=True","Sort=True")</f>
        <v>14.679038429347786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49639</v>
      </c>
      <c r="T3933" s="43">
        <f ca="1">_xll.BInterpol('Base CDI'!$H$4:$H$28,'Base CDI'!$J$4:$J$29,S3933,"Cubic","Extrapolate=Linear","MultiX=Average","Skip=True","Sort=True")</f>
        <v>14.631756208701741</v>
      </c>
      <c r="U3933" s="43">
        <f ca="1">_xll.BInterpol('Base CDI'!$H$4:$H$28,'Base CDI'!$I$4:$I$29,S3933,"Cubic","Extrapolate=Linear","MultiX=Average","Skip=True","Sort=True")</f>
        <v>14.678781738854598</v>
      </c>
    </row>
    <row r="3934" spans="16:21" x14ac:dyDescent="0.25">
      <c r="P3934" s="10">
        <v>40235</v>
      </c>
      <c r="Q3934">
        <v>22.63776</v>
      </c>
      <c r="S3934" s="42">
        <f t="shared" ca="1" si="66"/>
        <v>49640</v>
      </c>
      <c r="T3934" s="43">
        <f ca="1">_xll.BInterpol('Base CDI'!$H$4:$H$28,'Base CDI'!$J$4:$J$29,S3934,"Cubic","Extrapolate=Linear","MultiX=Average","Skip=True","Sort=True")</f>
        <v>14.631601377980351</v>
      </c>
      <c r="U3934" s="43">
        <f ca="1">_xll.BInterpol('Base CDI'!$H$4:$H$28,'Base CDI'!$I$4:$I$29,S3934,"Cubic","Extrapolate=Linear","MultiX=Average","Skip=True","Sort=True")</f>
        <v>14.67852485815437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49641</v>
      </c>
      <c r="T3935" s="43">
        <f ca="1">_xll.BInterpol('Base CDI'!$H$4:$H$28,'Base CDI'!$J$4:$J$29,S3935,"Cubic","Extrapolate=Linear","MultiX=Average","Skip=True","Sort=True")</f>
        <v>14.631446466632084</v>
      </c>
      <c r="U3935" s="43">
        <f ca="1">_xll.BInterpol('Base CDI'!$H$4:$H$28,'Base CDI'!$I$4:$I$29,S3935,"Cubic","Extrapolate=Linear","MultiX=Average","Skip=True","Sort=True")</f>
        <v>14.678267787719079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49642</v>
      </c>
      <c r="T3936" s="43">
        <f ca="1">_xll.BInterpol('Base CDI'!$H$4:$H$28,'Base CDI'!$J$4:$J$29,S3936,"Cubic","Extrapolate=Linear","MultiX=Average","Skip=True","Sort=True")</f>
        <v>14.631291474857507</v>
      </c>
      <c r="U3936" s="43">
        <f ca="1">_xll.BInterpol('Base CDI'!$H$4:$H$28,'Base CDI'!$I$4:$I$29,S3936,"Cubic","Extrapolate=Linear","MultiX=Average","Skip=True","Sort=True")</f>
        <v>14.678010528020707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49643</v>
      </c>
      <c r="T3937" s="43">
        <f ca="1">_xll.BInterpol('Base CDI'!$H$4:$H$28,'Base CDI'!$J$4:$J$29,S3937,"Cubic","Extrapolate=Linear","MultiX=Average","Skip=True","Sort=True")</f>
        <v>14.631136402857182</v>
      </c>
      <c r="U3937" s="43">
        <f ca="1">_xll.BInterpol('Base CDI'!$H$4:$H$28,'Base CDI'!$I$4:$I$29,S3937,"Cubic","Extrapolate=Linear","MultiX=Average","Skip=True","Sort=True")</f>
        <v>14.677753079531227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49644</v>
      </c>
      <c r="T3938" s="43">
        <f ca="1">_xll.BInterpol('Base CDI'!$H$4:$H$28,'Base CDI'!$J$4:$J$29,S3938,"Cubic","Extrapolate=Linear","MultiX=Average","Skip=True","Sort=True")</f>
        <v>14.630981250831676</v>
      </c>
      <c r="U3938" s="43">
        <f ca="1">_xll.BInterpol('Base CDI'!$H$4:$H$28,'Base CDI'!$I$4:$I$29,S3938,"Cubic","Extrapolate=Linear","MultiX=Average","Skip=True","Sort=True")</f>
        <v>14.67749544272262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49645</v>
      </c>
      <c r="T3939" s="43">
        <f ca="1">_xll.BInterpol('Base CDI'!$H$4:$H$28,'Base CDI'!$J$4:$J$29,S3939,"Cubic","Extrapolate=Linear","MultiX=Average","Skip=True","Sort=True")</f>
        <v>14.63082601898155</v>
      </c>
      <c r="U3939" s="43">
        <f ca="1">_xll.BInterpol('Base CDI'!$H$4:$H$28,'Base CDI'!$I$4:$I$29,S3939,"Cubic","Extrapolate=Linear","MultiX=Average","Skip=True","Sort=True")</f>
        <v>14.677237618066862</v>
      </c>
    </row>
    <row r="3940" spans="16:21" x14ac:dyDescent="0.25">
      <c r="P3940" s="10">
        <v>40245</v>
      </c>
      <c r="Q3940">
        <v>22.68234</v>
      </c>
      <c r="S3940" s="42">
        <f t="shared" ca="1" si="66"/>
        <v>49646</v>
      </c>
      <c r="T3940" s="43">
        <f ca="1">_xll.BInterpol('Base CDI'!$H$4:$H$28,'Base CDI'!$J$4:$J$29,S3940,"Cubic","Extrapolate=Linear","MultiX=Average","Skip=True","Sort=True")</f>
        <v>14.63067070750737</v>
      </c>
      <c r="U3940" s="43">
        <f ca="1">_xll.BInterpol('Base CDI'!$H$4:$H$28,'Base CDI'!$I$4:$I$29,S3940,"Cubic","Extrapolate=Linear","MultiX=Average","Skip=True","Sort=True")</f>
        <v>14.67697960603593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49647</v>
      </c>
      <c r="T3941" s="43">
        <f ca="1">_xll.BInterpol('Base CDI'!$H$4:$H$28,'Base CDI'!$J$4:$J$29,S3941,"Cubic","Extrapolate=Linear","MultiX=Average","Skip=True","Sort=True")</f>
        <v>14.630515316609701</v>
      </c>
      <c r="U3941" s="43">
        <f ca="1">_xll.BInterpol('Base CDI'!$H$4:$H$28,'Base CDI'!$I$4:$I$29,S3941,"Cubic","Extrapolate=Linear","MultiX=Average","Skip=True","Sort=True")</f>
        <v>14.676721407101805</v>
      </c>
    </row>
    <row r="3942" spans="16:21" x14ac:dyDescent="0.25">
      <c r="P3942" s="10">
        <v>40247</v>
      </c>
      <c r="Q3942">
        <v>22.69725</v>
      </c>
      <c r="S3942" s="42">
        <f t="shared" ca="1" si="66"/>
        <v>49648</v>
      </c>
      <c r="T3942" s="43">
        <f ca="1">_xll.BInterpol('Base CDI'!$H$4:$H$28,'Base CDI'!$J$4:$J$29,S3942,"Cubic","Extrapolate=Linear","MultiX=Average","Skip=True","Sort=True")</f>
        <v>14.630359846489107</v>
      </c>
      <c r="U3942" s="43">
        <f ca="1">_xll.BInterpol('Base CDI'!$H$4:$H$28,'Base CDI'!$I$4:$I$29,S3942,"Cubic","Extrapolate=Linear","MultiX=Average","Skip=True","Sort=True")</f>
        <v>14.676463021736463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49649</v>
      </c>
      <c r="T3943" s="43">
        <f ca="1">_xll.BInterpol('Base CDI'!$H$4:$H$28,'Base CDI'!$J$4:$J$29,S3943,"Cubic","Extrapolate=Linear","MultiX=Average","Skip=True","Sort=True")</f>
        <v>14.630204297346152</v>
      </c>
      <c r="U3943" s="43">
        <f ca="1">_xll.BInterpol('Base CDI'!$H$4:$H$28,'Base CDI'!$I$4:$I$29,S3943,"Cubic","Extrapolate=Linear","MultiX=Average","Skip=True","Sort=True")</f>
        <v>14.67620445041188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49650</v>
      </c>
      <c r="T3944" s="43">
        <f ca="1">_xll.BInterpol('Base CDI'!$H$4:$H$28,'Base CDI'!$J$4:$J$29,S3944,"Cubic","Extrapolate=Linear","MultiX=Average","Skip=True","Sort=True")</f>
        <v>14.630048669381402</v>
      </c>
      <c r="U3944" s="43">
        <f ca="1">_xll.BInterpol('Base CDI'!$H$4:$H$28,'Base CDI'!$I$4:$I$29,S3944,"Cubic","Extrapolate=Linear","MultiX=Average","Skip=True","Sort=True")</f>
        <v>14.675945693600037</v>
      </c>
    </row>
    <row r="3945" spans="16:21" x14ac:dyDescent="0.25">
      <c r="P3945" s="10">
        <v>40252</v>
      </c>
      <c r="Q3945">
        <v>22.7196</v>
      </c>
      <c r="S3945" s="42">
        <f t="shared" ca="1" si="66"/>
        <v>49651</v>
      </c>
      <c r="T3945" s="43">
        <f ca="1">_xll.BInterpol('Base CDI'!$H$4:$H$28,'Base CDI'!$J$4:$J$29,S3945,"Cubic","Extrapolate=Linear","MultiX=Average","Skip=True","Sort=True")</f>
        <v>14.629892962795418</v>
      </c>
      <c r="U3945" s="43">
        <f ca="1">_xll.BInterpol('Base CDI'!$H$4:$H$28,'Base CDI'!$I$4:$I$29,S3945,"Cubic","Extrapolate=Linear","MultiX=Average","Skip=True","Sort=True")</f>
        <v>14.675686751772909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49652</v>
      </c>
      <c r="T3946" s="43">
        <f ca="1">_xll.BInterpol('Base CDI'!$H$4:$H$28,'Base CDI'!$J$4:$J$29,S3946,"Cubic","Extrapolate=Linear","MultiX=Average","Skip=True","Sort=True")</f>
        <v>14.629737177788767</v>
      </c>
      <c r="U3946" s="43">
        <f ca="1">_xll.BInterpol('Base CDI'!$H$4:$H$28,'Base CDI'!$I$4:$I$29,S3946,"Cubic","Extrapolate=Linear","MultiX=Average","Skip=True","Sort=True")</f>
        <v>14.675427625402476</v>
      </c>
    </row>
    <row r="3947" spans="16:21" x14ac:dyDescent="0.25">
      <c r="P3947" s="10">
        <v>40254</v>
      </c>
      <c r="Q3947">
        <v>22.73451</v>
      </c>
      <c r="S3947" s="42">
        <f t="shared" ca="1" si="66"/>
        <v>49653</v>
      </c>
      <c r="T3947" s="43">
        <f ca="1">_xll.BInterpol('Base CDI'!$H$4:$H$28,'Base CDI'!$J$4:$J$29,S3947,"Cubic","Extrapolate=Linear","MultiX=Average","Skip=True","Sort=True")</f>
        <v>14.629581314562014</v>
      </c>
      <c r="U3947" s="43">
        <f ca="1">_xll.BInterpol('Base CDI'!$H$4:$H$28,'Base CDI'!$I$4:$I$29,S3947,"Cubic","Extrapolate=Linear","MultiX=Average","Skip=True","Sort=True")</f>
        <v>14.675168314960713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49654</v>
      </c>
      <c r="T3948" s="43">
        <f ca="1">_xll.BInterpol('Base CDI'!$H$4:$H$28,'Base CDI'!$J$4:$J$29,S3948,"Cubic","Extrapolate=Linear","MultiX=Average","Skip=True","Sort=True")</f>
        <v>14.629425373315719</v>
      </c>
      <c r="U3948" s="43">
        <f ca="1">_xll.BInterpol('Base CDI'!$H$4:$H$28,'Base CDI'!$I$4:$I$29,S3948,"Cubic","Extrapolate=Linear","MultiX=Average","Skip=True","Sort=True")</f>
        <v>14.674908820919601</v>
      </c>
    </row>
    <row r="3949" spans="16:21" x14ac:dyDescent="0.25">
      <c r="P3949" s="10">
        <v>40256</v>
      </c>
      <c r="Q3949">
        <v>22.74943</v>
      </c>
      <c r="S3949" s="42">
        <f t="shared" ca="1" si="66"/>
        <v>49655</v>
      </c>
      <c r="T3949" s="43">
        <f ca="1">_xll.BInterpol('Base CDI'!$H$4:$H$28,'Base CDI'!$J$4:$J$29,S3949,"Cubic","Extrapolate=Linear","MultiX=Average","Skip=True","Sort=True")</f>
        <v>14.629269354250452</v>
      </c>
      <c r="U3949" s="43">
        <f ca="1">_xll.BInterpol('Base CDI'!$H$4:$H$28,'Base CDI'!$I$4:$I$29,S3949,"Cubic","Extrapolate=Linear","MultiX=Average","Skip=True","Sort=True")</f>
        <v>14.674649143751116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49656</v>
      </c>
      <c r="T3950" s="43">
        <f ca="1">_xll.BInterpol('Base CDI'!$H$4:$H$28,'Base CDI'!$J$4:$J$29,S3950,"Cubic","Extrapolate=Linear","MultiX=Average","Skip=True","Sort=True")</f>
        <v>14.629113257566773</v>
      </c>
      <c r="U3950" s="43">
        <f ca="1">_xll.BInterpol('Base CDI'!$H$4:$H$28,'Base CDI'!$I$4:$I$29,S3950,"Cubic","Extrapolate=Linear","MultiX=Average","Skip=True","Sort=True")</f>
        <v>14.674389283927235</v>
      </c>
    </row>
    <row r="3951" spans="16:21" x14ac:dyDescent="0.25">
      <c r="P3951" s="10">
        <v>40260</v>
      </c>
      <c r="Q3951">
        <v>22.76436</v>
      </c>
      <c r="S3951" s="42">
        <f t="shared" ca="1" si="66"/>
        <v>49657</v>
      </c>
      <c r="T3951" s="43">
        <f ca="1">_xll.BInterpol('Base CDI'!$H$4:$H$28,'Base CDI'!$J$4:$J$29,S3951,"Cubic","Extrapolate=Linear","MultiX=Average","Skip=True","Sort=True")</f>
        <v>14.62895708346525</v>
      </c>
      <c r="U3951" s="43">
        <f ca="1">_xll.BInterpol('Base CDI'!$H$4:$H$28,'Base CDI'!$I$4:$I$29,S3951,"Cubic","Extrapolate=Linear","MultiX=Average","Skip=True","Sort=True")</f>
        <v>14.674129241919937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49658</v>
      </c>
      <c r="T3952" s="43">
        <f ca="1">_xll.BInterpol('Base CDI'!$H$4:$H$28,'Base CDI'!$J$4:$J$29,S3952,"Cubic","Extrapolate=Linear","MultiX=Average","Skip=True","Sort=True")</f>
        <v>14.628800832146444</v>
      </c>
      <c r="U3952" s="43">
        <f ca="1">_xll.BInterpol('Base CDI'!$H$4:$H$28,'Base CDI'!$I$4:$I$29,S3952,"Cubic","Extrapolate=Linear","MultiX=Average","Skip=True","Sort=True")</f>
        <v>14.6738690182012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49659</v>
      </c>
      <c r="T3953" s="43">
        <f ca="1">_xll.BInterpol('Base CDI'!$H$4:$H$28,'Base CDI'!$J$4:$J$29,S3953,"Cubic","Extrapolate=Linear","MultiX=Average","Skip=True","Sort=True")</f>
        <v>14.628644503810921</v>
      </c>
      <c r="U3953" s="43">
        <f ca="1">_xll.BInterpol('Base CDI'!$H$4:$H$28,'Base CDI'!$I$4:$I$29,S3953,"Cubic","Extrapolate=Linear","MultiX=Average","Skip=True","Sort=True")</f>
        <v>14.673608613243001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49660</v>
      </c>
      <c r="T3954" s="43">
        <f ca="1">_xll.BInterpol('Base CDI'!$H$4:$H$28,'Base CDI'!$J$4:$J$29,S3954,"Cubic","Extrapolate=Linear","MultiX=Average","Skip=True","Sort=True")</f>
        <v>14.628488098659247</v>
      </c>
      <c r="U3954" s="43">
        <f ca="1">_xll.BInterpol('Base CDI'!$H$4:$H$28,'Base CDI'!$I$4:$I$29,S3954,"Cubic","Extrapolate=Linear","MultiX=Average","Skip=True","Sort=True")</f>
        <v>14.673348027517319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49661</v>
      </c>
      <c r="T3955" s="43">
        <f ca="1">_xll.BInterpol('Base CDI'!$H$4:$H$28,'Base CDI'!$J$4:$J$29,S3955,"Cubic","Extrapolate=Linear","MultiX=Average","Skip=True","Sort=True")</f>
        <v>14.628331616891984</v>
      </c>
      <c r="U3955" s="43">
        <f ca="1">_xll.BInterpol('Base CDI'!$H$4:$H$28,'Base CDI'!$I$4:$I$29,S3955,"Cubic","Extrapolate=Linear","MultiX=Average","Skip=True","Sort=True")</f>
        <v>14.67308726149613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49662</v>
      </c>
      <c r="T3956" s="43">
        <f ca="1">_xll.BInterpol('Base CDI'!$H$4:$H$28,'Base CDI'!$J$4:$J$29,S3956,"Cubic","Extrapolate=Linear","MultiX=Average","Skip=True","Sort=True")</f>
        <v>14.628175058709695</v>
      </c>
      <c r="U3956" s="43">
        <f ca="1">_xll.BInterpol('Base CDI'!$H$4:$H$28,'Base CDI'!$I$4:$I$29,S3956,"Cubic","Extrapolate=Linear","MultiX=Average","Skip=True","Sort=True")</f>
        <v>14.672826315651413</v>
      </c>
    </row>
    <row r="3957" spans="16:21" x14ac:dyDescent="0.25">
      <c r="P3957" s="10">
        <v>40268</v>
      </c>
      <c r="Q3957">
        <v>22.80912</v>
      </c>
      <c r="S3957" s="42">
        <f t="shared" ca="1" si="66"/>
        <v>49663</v>
      </c>
      <c r="T3957" s="43">
        <f ca="1">_xll.BInterpol('Base CDI'!$H$4:$H$28,'Base CDI'!$J$4:$J$29,S3957,"Cubic","Extrapolate=Linear","MultiX=Average","Skip=True","Sort=True")</f>
        <v>14.628018424312948</v>
      </c>
      <c r="U3957" s="43">
        <f ca="1">_xll.BInterpol('Base CDI'!$H$4:$H$28,'Base CDI'!$I$4:$I$29,S3957,"Cubic","Extrapolate=Linear","MultiX=Average","Skip=True","Sort=True")</f>
        <v>14.672565190455144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49664</v>
      </c>
      <c r="T3958" s="43">
        <f ca="1">_xll.BInterpol('Base CDI'!$H$4:$H$28,'Base CDI'!$J$4:$J$29,S3958,"Cubic","Extrapolate=Linear","MultiX=Average","Skip=True","Sort=True")</f>
        <v>14.627861713902305</v>
      </c>
      <c r="U3958" s="43">
        <f ca="1">_xll.BInterpol('Base CDI'!$H$4:$H$28,'Base CDI'!$I$4:$I$29,S3958,"Cubic","Extrapolate=Linear","MultiX=Average","Skip=True","Sort=True")</f>
        <v>14.672303886379304</v>
      </c>
    </row>
    <row r="3959" spans="16:21" x14ac:dyDescent="0.25">
      <c r="P3959" s="10">
        <v>40273</v>
      </c>
      <c r="Q3959">
        <v>22.82405</v>
      </c>
      <c r="S3959" s="42">
        <f t="shared" ca="1" si="66"/>
        <v>49665</v>
      </c>
      <c r="T3959" s="43">
        <f ca="1">_xll.BInterpol('Base CDI'!$H$4:$H$28,'Base CDI'!$J$4:$J$29,S3959,"Cubic","Extrapolate=Linear","MultiX=Average","Skip=True","Sort=True")</f>
        <v>14.627704927678332</v>
      </c>
      <c r="U3959" s="43">
        <f ca="1">_xll.BInterpol('Base CDI'!$H$4:$H$28,'Base CDI'!$I$4:$I$29,S3959,"Cubic","Extrapolate=Linear","MultiX=Average","Skip=True","Sort=True")</f>
        <v>14.672042403895867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49666</v>
      </c>
      <c r="T3960" s="43">
        <f ca="1">_xll.BInterpol('Base CDI'!$H$4:$H$28,'Base CDI'!$J$4:$J$29,S3960,"Cubic","Extrapolate=Linear","MultiX=Average","Skip=True","Sort=True")</f>
        <v>14.627548065841593</v>
      </c>
      <c r="U3960" s="43">
        <f ca="1">_xll.BInterpol('Base CDI'!$H$4:$H$28,'Base CDI'!$I$4:$I$29,S3960,"Cubic","Extrapolate=Linear","MultiX=Average","Skip=True","Sort=True")</f>
        <v>14.671780743476814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49667</v>
      </c>
      <c r="T3961" s="43">
        <f ca="1">_xll.BInterpol('Base CDI'!$H$4:$H$28,'Base CDI'!$J$4:$J$29,S3961,"Cubic","Extrapolate=Linear","MultiX=Average","Skip=True","Sort=True")</f>
        <v>14.627391128592651</v>
      </c>
      <c r="U3961" s="43">
        <f ca="1">_xll.BInterpol('Base CDI'!$H$4:$H$28,'Base CDI'!$I$4:$I$29,S3961,"Cubic","Extrapolate=Linear","MultiX=Average","Skip=True","Sort=True")</f>
        <v>14.671518905594121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49668</v>
      </c>
      <c r="T3962" s="43">
        <f ca="1">_xll.BInterpol('Base CDI'!$H$4:$H$28,'Base CDI'!$J$4:$J$29,S3962,"Cubic","Extrapolate=Linear","MultiX=Average","Skip=True","Sort=True")</f>
        <v>14.627234116132071</v>
      </c>
      <c r="U3962" s="43">
        <f ca="1">_xll.BInterpol('Base CDI'!$H$4:$H$28,'Base CDI'!$I$4:$I$29,S3962,"Cubic","Extrapolate=Linear","MultiX=Average","Skip=True","Sort=True")</f>
        <v>14.671256890719766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49669</v>
      </c>
      <c r="T3963" s="43">
        <f ca="1">_xll.BInterpol('Base CDI'!$H$4:$H$28,'Base CDI'!$J$4:$J$29,S3963,"Cubic","Extrapolate=Linear","MultiX=Average","Skip=True","Sort=True")</f>
        <v>14.627077028660418</v>
      </c>
      <c r="U3963" s="43">
        <f ca="1">_xll.BInterpol('Base CDI'!$H$4:$H$28,'Base CDI'!$I$4:$I$29,S3963,"Cubic","Extrapolate=Linear","MultiX=Average","Skip=True","Sort=True")</f>
        <v>14.670994699325727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49670</v>
      </c>
      <c r="T3964" s="43">
        <f ca="1">_xll.BInterpol('Base CDI'!$H$4:$H$28,'Base CDI'!$J$4:$J$29,S3964,"Cubic","Extrapolate=Linear","MultiX=Average","Skip=True","Sort=True")</f>
        <v>14.626919866378255</v>
      </c>
      <c r="U3964" s="43">
        <f ca="1">_xll.BInterpol('Base CDI'!$H$4:$H$28,'Base CDI'!$I$4:$I$29,S3964,"Cubic","Extrapolate=Linear","MultiX=Average","Skip=True","Sort=True")</f>
        <v>14.670732331883981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49671</v>
      </c>
      <c r="T3965" s="43">
        <f ca="1">_xll.BInterpol('Base CDI'!$H$4:$H$28,'Base CDI'!$J$4:$J$29,S3965,"Cubic","Extrapolate=Linear","MultiX=Average","Skip=True","Sort=True")</f>
        <v>14.626762629486148</v>
      </c>
      <c r="U3965" s="43">
        <f ca="1">_xll.BInterpol('Base CDI'!$H$4:$H$28,'Base CDI'!$I$4:$I$29,S3965,"Cubic","Extrapolate=Linear","MultiX=Average","Skip=True","Sort=True")</f>
        <v>14.670469788866507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49672</v>
      </c>
      <c r="T3966" s="43">
        <f ca="1">_xll.BInterpol('Base CDI'!$H$4:$H$28,'Base CDI'!$J$4:$J$29,S3966,"Cubic","Extrapolate=Linear","MultiX=Average","Skip=True","Sort=True")</f>
        <v>14.62660531818466</v>
      </c>
      <c r="U3966" s="43">
        <f ca="1">_xll.BInterpol('Base CDI'!$H$4:$H$28,'Base CDI'!$I$4:$I$29,S3966,"Cubic","Extrapolate=Linear","MultiX=Average","Skip=True","Sort=True")</f>
        <v>14.670207070745283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49673</v>
      </c>
      <c r="T3967" s="43">
        <f ca="1">_xll.BInterpol('Base CDI'!$H$4:$H$28,'Base CDI'!$J$4:$J$29,S3967,"Cubic","Extrapolate=Linear","MultiX=Average","Skip=True","Sort=True")</f>
        <v>14.626447932674356</v>
      </c>
      <c r="U3967" s="43">
        <f ca="1">_xll.BInterpol('Base CDI'!$H$4:$H$28,'Base CDI'!$I$4:$I$29,S3967,"Cubic","Extrapolate=Linear","MultiX=Average","Skip=True","Sort=True")</f>
        <v>14.669944177992285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49674</v>
      </c>
      <c r="T3968" s="43">
        <f ca="1">_xll.BInterpol('Base CDI'!$H$4:$H$28,'Base CDI'!$J$4:$J$29,S3968,"Cubic","Extrapolate=Linear","MultiX=Average","Skip=True","Sort=True")</f>
        <v>14.626290473155802</v>
      </c>
      <c r="U3968" s="43">
        <f ca="1">_xll.BInterpol('Base CDI'!$H$4:$H$28,'Base CDI'!$I$4:$I$29,S3968,"Cubic","Extrapolate=Linear","MultiX=Average","Skip=True","Sort=True")</f>
        <v>14.669681111079493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49675</v>
      </c>
      <c r="T3969" s="43">
        <f ca="1">_xll.BInterpol('Base CDI'!$H$4:$H$28,'Base CDI'!$J$4:$J$29,S3969,"Cubic","Extrapolate=Linear","MultiX=Average","Skip=True","Sort=True")</f>
        <v>14.62613293982956</v>
      </c>
      <c r="U3969" s="43">
        <f ca="1">_xll.BInterpol('Base CDI'!$H$4:$H$28,'Base CDI'!$I$4:$I$29,S3969,"Cubic","Extrapolate=Linear","MultiX=Average","Skip=True","Sort=True")</f>
        <v>14.669417870478881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49676</v>
      </c>
      <c r="T3970" s="43">
        <f ca="1">_xll.BInterpol('Base CDI'!$H$4:$H$28,'Base CDI'!$J$4:$J$29,S3970,"Cubic","Extrapolate=Linear","MultiX=Average","Skip=True","Sort=True")</f>
        <v>14.625975332896195</v>
      </c>
      <c r="U3970" s="43">
        <f ca="1">_xll.BInterpol('Base CDI'!$H$4:$H$28,'Base CDI'!$I$4:$I$29,S3970,"Cubic","Extrapolate=Linear","MultiX=Average","Skip=True","Sort=True")</f>
        <v>14.669154456662431</v>
      </c>
    </row>
    <row r="3971" spans="16:21" x14ac:dyDescent="0.25">
      <c r="P3971" s="10">
        <v>40290</v>
      </c>
      <c r="Q3971">
        <v>22.91412</v>
      </c>
      <c r="S3971" s="42">
        <f t="shared" ca="1" si="66"/>
        <v>49677</v>
      </c>
      <c r="T3971" s="43">
        <f ca="1">_xll.BInterpol('Base CDI'!$H$4:$H$28,'Base CDI'!$J$4:$J$29,S3971,"Cubic","Extrapolate=Linear","MultiX=Average","Skip=True","Sort=True")</f>
        <v>14.62581765255627</v>
      </c>
      <c r="U3971" s="43">
        <f ca="1">_xll.BInterpol('Base CDI'!$H$4:$H$28,'Base CDI'!$I$4:$I$29,S3971,"Cubic","Extrapolate=Linear","MultiX=Average","Skip=True","Sort=True")</f>
        <v>14.668890870102119</v>
      </c>
    </row>
    <row r="3972" spans="16:21" x14ac:dyDescent="0.25">
      <c r="P3972" s="10">
        <v>40291</v>
      </c>
      <c r="Q3972">
        <v>22.92164</v>
      </c>
      <c r="S3972" s="42">
        <f t="shared" ca="1" si="66"/>
        <v>49678</v>
      </c>
      <c r="T3972" s="43">
        <f ca="1">_xll.BInterpol('Base CDI'!$H$4:$H$28,'Base CDI'!$J$4:$J$29,S3972,"Cubic","Extrapolate=Linear","MultiX=Average","Skip=True","Sort=True")</f>
        <v>14.625659899010353</v>
      </c>
      <c r="U3972" s="43">
        <f ca="1">_xll.BInterpol('Base CDI'!$H$4:$H$28,'Base CDI'!$I$4:$I$29,S3972,"Cubic","Extrapolate=Linear","MultiX=Average","Skip=True","Sort=True")</f>
        <v>14.668627111269924</v>
      </c>
    </row>
    <row r="3973" spans="16:21" x14ac:dyDescent="0.25">
      <c r="P3973" s="10">
        <v>40294</v>
      </c>
      <c r="Q3973">
        <v>22.92916</v>
      </c>
      <c r="S3973" s="42">
        <f t="shared" ca="1" si="66"/>
        <v>49679</v>
      </c>
      <c r="T3973" s="43">
        <f ca="1">_xll.BInterpol('Base CDI'!$H$4:$H$28,'Base CDI'!$J$4:$J$29,S3973,"Cubic","Extrapolate=Linear","MultiX=Average","Skip=True","Sort=True")</f>
        <v>14.625502072459005</v>
      </c>
      <c r="U3973" s="43">
        <f ca="1">_xll.BInterpol('Base CDI'!$H$4:$H$28,'Base CDI'!$I$4:$I$29,S3973,"Cubic","Extrapolate=Linear","MultiX=Average","Skip=True","Sort=True")</f>
        <v>14.668363180637821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49680</v>
      </c>
      <c r="T3974" s="43">
        <f ca="1">_xll.BInterpol('Base CDI'!$H$4:$H$28,'Base CDI'!$J$4:$J$29,S3974,"Cubic","Extrapolate=Linear","MultiX=Average","Skip=True","Sort=True")</f>
        <v>14.625344173102793</v>
      </c>
      <c r="U3974" s="43">
        <f ca="1">_xll.BInterpol('Base CDI'!$H$4:$H$28,'Base CDI'!$I$4:$I$29,S3974,"Cubic","Extrapolate=Linear","MultiX=Average","Skip=True","Sort=True")</f>
        <v>14.668099078677789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49681</v>
      </c>
      <c r="T3975" s="43">
        <f ca="1">_xll.BInterpol('Base CDI'!$H$4:$H$28,'Base CDI'!$J$4:$J$29,S3975,"Cubic","Extrapolate=Linear","MultiX=Average","Skip=True","Sort=True")</f>
        <v>14.625186201142279</v>
      </c>
      <c r="U3975" s="43">
        <f ca="1">_xll.BInterpol('Base CDI'!$H$4:$H$28,'Base CDI'!$I$4:$I$29,S3975,"Cubic","Extrapolate=Linear","MultiX=Average","Skip=True","Sort=True")</f>
        <v>14.667834805861807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49682</v>
      </c>
      <c r="T3976" s="43">
        <f ca="1">_xll.BInterpol('Base CDI'!$H$4:$H$28,'Base CDI'!$J$4:$J$29,S3976,"Cubic","Extrapolate=Linear","MultiX=Average","Skip=True","Sort=True")</f>
        <v>14.625028156778027</v>
      </c>
      <c r="U3976" s="43">
        <f ca="1">_xll.BInterpol('Base CDI'!$H$4:$H$28,'Base CDI'!$I$4:$I$29,S3976,"Cubic","Extrapolate=Linear","MultiX=Average","Skip=True","Sort=True")</f>
        <v>14.66757036266185</v>
      </c>
    </row>
    <row r="3977" spans="16:21" x14ac:dyDescent="0.25">
      <c r="P3977" s="10">
        <v>40298</v>
      </c>
      <c r="Q3977">
        <v>22.95992</v>
      </c>
      <c r="S3977" s="42">
        <f t="shared" ca="1" si="66"/>
        <v>49683</v>
      </c>
      <c r="T3977" s="43">
        <f ca="1">_xll.BInterpol('Base CDI'!$H$4:$H$28,'Base CDI'!$J$4:$J$29,S3977,"Cubic","Extrapolate=Linear","MultiX=Average","Skip=True","Sort=True")</f>
        <v>14.624870040210606</v>
      </c>
      <c r="U3977" s="43">
        <f ca="1">_xll.BInterpol('Base CDI'!$H$4:$H$28,'Base CDI'!$I$4:$I$29,S3977,"Cubic","Extrapolate=Linear","MultiX=Average","Skip=True","Sort=True")</f>
        <v>14.6673057495499</v>
      </c>
    </row>
    <row r="3978" spans="16:21" x14ac:dyDescent="0.25">
      <c r="P3978" s="10">
        <v>40301</v>
      </c>
      <c r="Q3978">
        <v>22.96809</v>
      </c>
      <c r="S3978" s="42">
        <f t="shared" ca="1" si="66"/>
        <v>49684</v>
      </c>
      <c r="T3978" s="43">
        <f ca="1">_xll.BInterpol('Base CDI'!$H$4:$H$28,'Base CDI'!$J$4:$J$29,S3978,"Cubic","Extrapolate=Linear","MultiX=Average","Skip=True","Sort=True")</f>
        <v>14.624711851640575</v>
      </c>
      <c r="U3978" s="43">
        <f ca="1">_xll.BInterpol('Base CDI'!$H$4:$H$28,'Base CDI'!$I$4:$I$29,S3978,"Cubic","Extrapolate=Linear","MultiX=Average","Skip=True","Sort=True")</f>
        <v>14.667040966997931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49685</v>
      </c>
      <c r="T3979" s="43">
        <f ca="1">_xll.BInterpol('Base CDI'!$H$4:$H$28,'Base CDI'!$J$4:$J$29,S3979,"Cubic","Extrapolate=Linear","MultiX=Average","Skip=True","Sort=True")</f>
        <v>14.6245535912685</v>
      </c>
      <c r="U3979" s="43">
        <f ca="1">_xll.BInterpol('Base CDI'!$H$4:$H$28,'Base CDI'!$I$4:$I$29,S3979,"Cubic","Extrapolate=Linear","MultiX=Average","Skip=True","Sort=True")</f>
        <v>14.666776015477923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49686</v>
      </c>
      <c r="T3980" s="43">
        <f ca="1">_xll.BInterpol('Base CDI'!$H$4:$H$28,'Base CDI'!$J$4:$J$29,S3980,"Cubic","Extrapolate=Linear","MultiX=Average","Skip=True","Sort=True")</f>
        <v>14.624395259294946</v>
      </c>
      <c r="U3980" s="43">
        <f ca="1">_xll.BInterpol('Base CDI'!$H$4:$H$28,'Base CDI'!$I$4:$I$29,S3980,"Cubic","Extrapolate=Linear","MultiX=Average","Skip=True","Sort=True")</f>
        <v>14.666510895461853</v>
      </c>
    </row>
    <row r="3981" spans="16:21" x14ac:dyDescent="0.25">
      <c r="P3981" s="10">
        <v>40304</v>
      </c>
      <c r="Q3981">
        <v>22.99269</v>
      </c>
      <c r="S3981" s="42">
        <f t="shared" ca="1" si="67"/>
        <v>49687</v>
      </c>
      <c r="T3981" s="43">
        <f ca="1">_xll.BInterpol('Base CDI'!$H$4:$H$28,'Base CDI'!$J$4:$J$29,S3981,"Cubic","Extrapolate=Linear","MultiX=Average","Skip=True","Sort=True")</f>
        <v>14.624236855920479</v>
      </c>
      <c r="U3981" s="43">
        <f ca="1">_xll.BInterpol('Base CDI'!$H$4:$H$28,'Base CDI'!$I$4:$I$29,S3981,"Cubic","Extrapolate=Linear","MultiX=Average","Skip=True","Sort=True")</f>
        <v>14.666245607421699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49688</v>
      </c>
      <c r="T3982" s="43">
        <f ca="1">_xll.BInterpol('Base CDI'!$H$4:$H$28,'Base CDI'!$J$4:$J$29,S3982,"Cubic","Extrapolate=Linear","MultiX=Average","Skip=True","Sort=True")</f>
        <v>14.62407838134566</v>
      </c>
      <c r="U3982" s="43">
        <f ca="1">_xll.BInterpol('Base CDI'!$H$4:$H$28,'Base CDI'!$I$4:$I$29,S3982,"Cubic","Extrapolate=Linear","MultiX=Average","Skip=True","Sort=True")</f>
        <v>14.665980151829437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49689</v>
      </c>
      <c r="T3983" s="43">
        <f ca="1">_xll.BInterpol('Base CDI'!$H$4:$H$28,'Base CDI'!$J$4:$J$29,S3983,"Cubic","Extrapolate=Linear","MultiX=Average","Skip=True","Sort=True")</f>
        <v>14.623919835771055</v>
      </c>
      <c r="U3983" s="43">
        <f ca="1">_xll.BInterpol('Base CDI'!$H$4:$H$28,'Base CDI'!$I$4:$I$29,S3983,"Cubic","Extrapolate=Linear","MultiX=Average","Skip=True","Sort=True")</f>
        <v>14.665714529157047</v>
      </c>
    </row>
    <row r="3984" spans="16:21" x14ac:dyDescent="0.25">
      <c r="P3984" s="10">
        <v>40309</v>
      </c>
      <c r="Q3984">
        <v>23.01727</v>
      </c>
      <c r="S3984" s="42">
        <f t="shared" ca="1" si="67"/>
        <v>49690</v>
      </c>
      <c r="T3984" s="43">
        <f ca="1">_xll.BInterpol('Base CDI'!$H$4:$H$28,'Base CDI'!$J$4:$J$29,S3984,"Cubic","Extrapolate=Linear","MultiX=Average","Skip=True","Sort=True")</f>
        <v>14.623761219397228</v>
      </c>
      <c r="U3984" s="43">
        <f ca="1">_xll.BInterpol('Base CDI'!$H$4:$H$28,'Base CDI'!$I$4:$I$29,S3984,"Cubic","Extrapolate=Linear","MultiX=Average","Skip=True","Sort=True")</f>
        <v>14.665448739876506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49691</v>
      </c>
      <c r="T3985" s="43">
        <f ca="1">_xll.BInterpol('Base CDI'!$H$4:$H$28,'Base CDI'!$J$4:$J$29,S3985,"Cubic","Extrapolate=Linear","MultiX=Average","Skip=True","Sort=True")</f>
        <v>14.623602532424744</v>
      </c>
      <c r="U3985" s="43">
        <f ca="1">_xll.BInterpol('Base CDI'!$H$4:$H$28,'Base CDI'!$I$4:$I$29,S3985,"Cubic","Extrapolate=Linear","MultiX=Average","Skip=True","Sort=True")</f>
        <v>14.665182784459791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49692</v>
      </c>
      <c r="T3986" s="43">
        <f ca="1">_xll.BInterpol('Base CDI'!$H$4:$H$28,'Base CDI'!$J$4:$J$29,S3986,"Cubic","Extrapolate=Linear","MultiX=Average","Skip=True","Sort=True")</f>
        <v>14.623443775054167</v>
      </c>
      <c r="U3986" s="43">
        <f ca="1">_xll.BInterpol('Base CDI'!$H$4:$H$28,'Base CDI'!$I$4:$I$29,S3986,"Cubic","Extrapolate=Linear","MultiX=Average","Skip=True","Sort=True")</f>
        <v>14.664916663378882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49693</v>
      </c>
      <c r="T3987" s="43">
        <f ca="1">_xll.BInterpol('Base CDI'!$H$4:$H$28,'Base CDI'!$J$4:$J$29,S3987,"Cubic","Extrapolate=Linear","MultiX=Average","Skip=True","Sort=True")</f>
        <v>14.623284947486061</v>
      </c>
      <c r="U3987" s="43">
        <f ca="1">_xll.BInterpol('Base CDI'!$H$4:$H$28,'Base CDI'!$I$4:$I$29,S3987,"Cubic","Extrapolate=Linear","MultiX=Average","Skip=True","Sort=True")</f>
        <v>14.664650377105755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49694</v>
      </c>
      <c r="T3988" s="43">
        <f ca="1">_xll.BInterpol('Base CDI'!$H$4:$H$28,'Base CDI'!$J$4:$J$29,S3988,"Cubic","Extrapolate=Linear","MultiX=Average","Skip=True","Sort=True")</f>
        <v>14.623126049920991</v>
      </c>
      <c r="U3988" s="43">
        <f ca="1">_xll.BInterpol('Base CDI'!$H$4:$H$28,'Base CDI'!$I$4:$I$29,S3988,"Cubic","Extrapolate=Linear","MultiX=Average","Skip=True","Sort=True")</f>
        <v>14.664383926112388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49695</v>
      </c>
      <c r="T3989" s="43">
        <f ca="1">_xll.BInterpol('Base CDI'!$H$4:$H$28,'Base CDI'!$J$4:$J$29,S3989,"Cubic","Extrapolate=Linear","MultiX=Average","Skip=True","Sort=True")</f>
        <v>14.622967082559523</v>
      </c>
      <c r="U3989" s="43">
        <f ca="1">_xll.BInterpol('Base CDI'!$H$4:$H$28,'Base CDI'!$I$4:$I$29,S3989,"Cubic","Extrapolate=Linear","MultiX=Average","Skip=True","Sort=True")</f>
        <v>14.664117310870758</v>
      </c>
    </row>
    <row r="3990" spans="16:21" x14ac:dyDescent="0.25">
      <c r="P3990" s="10">
        <v>40317</v>
      </c>
      <c r="Q3990">
        <v>23.06644</v>
      </c>
      <c r="S3990" s="42">
        <f t="shared" ca="1" si="67"/>
        <v>49696</v>
      </c>
      <c r="T3990" s="43">
        <f ca="1">_xll.BInterpol('Base CDI'!$H$4:$H$28,'Base CDI'!$J$4:$J$29,S3990,"Cubic","Extrapolate=Linear","MultiX=Average","Skip=True","Sort=True")</f>
        <v>14.622808045602216</v>
      </c>
      <c r="U3990" s="43">
        <f ca="1">_xll.BInterpol('Base CDI'!$H$4:$H$28,'Base CDI'!$I$4:$I$29,S3990,"Cubic","Extrapolate=Linear","MultiX=Average","Skip=True","Sort=True")</f>
        <v>14.663850531852843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49697</v>
      </c>
      <c r="T3991" s="43">
        <f ca="1">_xll.BInterpol('Base CDI'!$H$4:$H$28,'Base CDI'!$J$4:$J$29,S3991,"Cubic","Extrapolate=Linear","MultiX=Average","Skip=True","Sort=True")</f>
        <v>14.62264893924964</v>
      </c>
      <c r="U3991" s="43">
        <f ca="1">_xll.BInterpol('Base CDI'!$H$4:$H$28,'Base CDI'!$I$4:$I$29,S3991,"Cubic","Extrapolate=Linear","MultiX=Average","Skip=True","Sort=True")</f>
        <v>14.663583589530623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49698</v>
      </c>
      <c r="T3992" s="43">
        <f ca="1">_xll.BInterpol('Base CDI'!$H$4:$H$28,'Base CDI'!$J$4:$J$29,S3992,"Cubic","Extrapolate=Linear","MultiX=Average","Skip=True","Sort=True")</f>
        <v>14.622489763702358</v>
      </c>
      <c r="U3992" s="43">
        <f ca="1">_xll.BInterpol('Base CDI'!$H$4:$H$28,'Base CDI'!$I$4:$I$29,S3992,"Cubic","Extrapolate=Linear","MultiX=Average","Skip=True","Sort=True")</f>
        <v>14.663316484376073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49699</v>
      </c>
      <c r="T3993" s="43">
        <f ca="1">_xll.BInterpol('Base CDI'!$H$4:$H$28,'Base CDI'!$J$4:$J$29,S3993,"Cubic","Extrapolate=Linear","MultiX=Average","Skip=True","Sort=True")</f>
        <v>14.622330519160933</v>
      </c>
      <c r="U3993" s="43">
        <f ca="1">_xll.BInterpol('Base CDI'!$H$4:$H$28,'Base CDI'!$I$4:$I$29,S3993,"Cubic","Extrapolate=Linear","MultiX=Average","Skip=True","Sort=True")</f>
        <v>14.663049216861172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49700</v>
      </c>
      <c r="T3994" s="43">
        <f ca="1">_xll.BInterpol('Base CDI'!$H$4:$H$28,'Base CDI'!$J$4:$J$29,S3994,"Cubic","Extrapolate=Linear","MultiX=Average","Skip=True","Sort=True")</f>
        <v>14.622171205825929</v>
      </c>
      <c r="U3994" s="43">
        <f ca="1">_xll.BInterpol('Base CDI'!$H$4:$H$28,'Base CDI'!$I$4:$I$29,S3994,"Cubic","Extrapolate=Linear","MultiX=Average","Skip=True","Sort=True")</f>
        <v>14.662781787457899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49701</v>
      </c>
      <c r="T3995" s="43">
        <f ca="1">_xll.BInterpol('Base CDI'!$H$4:$H$28,'Base CDI'!$J$4:$J$29,S3995,"Cubic","Extrapolate=Linear","MultiX=Average","Skip=True","Sort=True")</f>
        <v>14.62201182389791</v>
      </c>
      <c r="U3995" s="43">
        <f ca="1">_xll.BInterpol('Base CDI'!$H$4:$H$28,'Base CDI'!$I$4:$I$29,S3995,"Cubic","Extrapolate=Linear","MultiX=Average","Skip=True","Sort=True")</f>
        <v>14.662514196638227</v>
      </c>
    </row>
    <row r="3996" spans="16:21" x14ac:dyDescent="0.25">
      <c r="P3996" s="10">
        <v>40325</v>
      </c>
      <c r="Q3996">
        <v>23.1157</v>
      </c>
      <c r="S3996" s="42">
        <f t="shared" ca="1" si="67"/>
        <v>49702</v>
      </c>
      <c r="T3996" s="43">
        <f ca="1">_xll.BInterpol('Base CDI'!$H$4:$H$28,'Base CDI'!$J$4:$J$29,S3996,"Cubic","Extrapolate=Linear","MultiX=Average","Skip=True","Sort=True")</f>
        <v>14.621852373577445</v>
      </c>
      <c r="U3996" s="43">
        <f ca="1">_xll.BInterpol('Base CDI'!$H$4:$H$28,'Base CDI'!$I$4:$I$29,S3996,"Cubic","Extrapolate=Linear","MultiX=Average","Skip=True","Sort=True")</f>
        <v>14.662246444874141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49703</v>
      </c>
      <c r="T3997" s="43">
        <f ca="1">_xll.BInterpol('Base CDI'!$H$4:$H$28,'Base CDI'!$J$4:$J$29,S3997,"Cubic","Extrapolate=Linear","MultiX=Average","Skip=True","Sort=True")</f>
        <v>14.621692855065094</v>
      </c>
      <c r="U3997" s="43">
        <f ca="1">_xll.BInterpol('Base CDI'!$H$4:$H$28,'Base CDI'!$I$4:$I$29,S3997,"Cubic","Extrapolate=Linear","MultiX=Average","Skip=True","Sort=True")</f>
        <v>14.661978532637614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49704</v>
      </c>
      <c r="T3998" s="43">
        <f ca="1">_xll.BInterpol('Base CDI'!$H$4:$H$28,'Base CDI'!$J$4:$J$29,S3998,"Cubic","Extrapolate=Linear","MultiX=Average","Skip=True","Sort=True")</f>
        <v>14.621533268561421</v>
      </c>
      <c r="U3998" s="43">
        <f ca="1">_xll.BInterpol('Base CDI'!$H$4:$H$28,'Base CDI'!$I$4:$I$29,S3998,"Cubic","Extrapolate=Linear","MultiX=Average","Skip=True","Sort=True")</f>
        <v>14.661710460400624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49705</v>
      </c>
      <c r="T3999" s="43">
        <f ca="1">_xll.BInterpol('Base CDI'!$H$4:$H$28,'Base CDI'!$J$4:$J$29,S3999,"Cubic","Extrapolate=Linear","MultiX=Average","Skip=True","Sort=True")</f>
        <v>14.621373614266993</v>
      </c>
      <c r="U3999" s="43">
        <f ca="1">_xll.BInterpol('Base CDI'!$H$4:$H$28,'Base CDI'!$I$4:$I$29,S3999,"Cubic","Extrapolate=Linear","MultiX=Average","Skip=True","Sort=True")</f>
        <v>14.661442228635149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49706</v>
      </c>
      <c r="T4000" s="43">
        <f ca="1">_xll.BInterpol('Base CDI'!$H$4:$H$28,'Base CDI'!$J$4:$J$29,S4000,"Cubic","Extrapolate=Linear","MultiX=Average","Skip=True","Sort=True")</f>
        <v>14.621213892382373</v>
      </c>
      <c r="U4000" s="43">
        <f ca="1">_xll.BInterpol('Base CDI'!$H$4:$H$28,'Base CDI'!$I$4:$I$29,S4000,"Cubic","Extrapolate=Linear","MultiX=Average","Skip=True","Sort=True")</f>
        <v>14.661173837813168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49707</v>
      </c>
      <c r="T4001" s="43">
        <f ca="1">_xll.BInterpol('Base CDI'!$H$4:$H$28,'Base CDI'!$J$4:$J$29,S4001,"Cubic","Extrapolate=Linear","MultiX=Average","Skip=True","Sort=True")</f>
        <v>14.621054103108126</v>
      </c>
      <c r="U4001" s="43">
        <f ca="1">_xll.BInterpol('Base CDI'!$H$4:$H$28,'Base CDI'!$I$4:$I$29,S4001,"Cubic","Extrapolate=Linear","MultiX=Average","Skip=True","Sort=True")</f>
        <v>14.660905288406656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49708</v>
      </c>
      <c r="T4002" s="43">
        <f ca="1">_xll.BInterpol('Base CDI'!$H$4:$H$28,'Base CDI'!$J$4:$J$29,S4002,"Cubic","Extrapolate=Linear","MultiX=Average","Skip=True","Sort=True")</f>
        <v>14.620894246644815</v>
      </c>
      <c r="U4002" s="43">
        <f ca="1">_xll.BInterpol('Base CDI'!$H$4:$H$28,'Base CDI'!$I$4:$I$29,S4002,"Cubic","Extrapolate=Linear","MultiX=Average","Skip=True","Sort=True")</f>
        <v>14.660636580887596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49709</v>
      </c>
      <c r="T4003" s="43">
        <f ca="1">_xll.BInterpol('Base CDI'!$H$4:$H$28,'Base CDI'!$J$4:$J$29,S4003,"Cubic","Extrapolate=Linear","MultiX=Average","Skip=True","Sort=True")</f>
        <v>14.620734323193005</v>
      </c>
      <c r="U4003" s="43">
        <f ca="1">_xll.BInterpol('Base CDI'!$H$4:$H$28,'Base CDI'!$I$4:$I$29,S4003,"Cubic","Extrapolate=Linear","MultiX=Average","Skip=True","Sort=True")</f>
        <v>14.660367715727959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49710</v>
      </c>
      <c r="T4004" s="43">
        <f ca="1">_xll.BInterpol('Base CDI'!$H$4:$H$28,'Base CDI'!$J$4:$J$29,S4004,"Cubic","Extrapolate=Linear","MultiX=Average","Skip=True","Sort=True")</f>
        <v>14.620574332953261</v>
      </c>
      <c r="U4004" s="43">
        <f ca="1">_xll.BInterpol('Base CDI'!$H$4:$H$28,'Base CDI'!$I$4:$I$29,S4004,"Cubic","Extrapolate=Linear","MultiX=Average","Skip=True","Sort=True")</f>
        <v>14.66009869339973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49711</v>
      </c>
      <c r="T4005" s="43">
        <f ca="1">_xll.BInterpol('Base CDI'!$H$4:$H$28,'Base CDI'!$J$4:$J$29,S4005,"Cubic","Extrapolate=Linear","MultiX=Average","Skip=True","Sort=True")</f>
        <v>14.620414276126148</v>
      </c>
      <c r="U4005" s="43">
        <f ca="1">_xll.BInterpol('Base CDI'!$H$4:$H$28,'Base CDI'!$I$4:$I$29,S4005,"Cubic","Extrapolate=Linear","MultiX=Average","Skip=True","Sort=True")</f>
        <v>14.659829514374881</v>
      </c>
    </row>
    <row r="4006" spans="16:21" x14ac:dyDescent="0.25">
      <c r="P4006" s="10">
        <v>40340</v>
      </c>
      <c r="Q4006">
        <v>23.19876</v>
      </c>
      <c r="S4006" s="42">
        <f t="shared" ca="1" si="67"/>
        <v>49712</v>
      </c>
      <c r="T4006" s="43">
        <f ca="1">_xll.BInterpol('Base CDI'!$H$4:$H$28,'Base CDI'!$J$4:$J$29,S4006,"Cubic","Extrapolate=Linear","MultiX=Average","Skip=True","Sort=True")</f>
        <v>14.620254152912228</v>
      </c>
      <c r="U4006" s="43">
        <f ca="1">_xll.BInterpol('Base CDI'!$H$4:$H$28,'Base CDI'!$I$4:$I$29,S4006,"Cubic","Extrapolate=Linear","MultiX=Average","Skip=True","Sort=True")</f>
        <v>14.659560179125393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49713</v>
      </c>
      <c r="T4007" s="43">
        <f ca="1">_xll.BInterpol('Base CDI'!$H$4:$H$28,'Base CDI'!$J$4:$J$29,S4007,"Cubic","Extrapolate=Linear","MultiX=Average","Skip=True","Sort=True")</f>
        <v>14.620093963512067</v>
      </c>
      <c r="U4007" s="43">
        <f ca="1">_xll.BInterpol('Base CDI'!$H$4:$H$28,'Base CDI'!$I$4:$I$29,S4007,"Cubic","Extrapolate=Linear","MultiX=Average","Skip=True","Sort=True")</f>
        <v>14.659290688123241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49714</v>
      </c>
      <c r="T4008" s="43">
        <f ca="1">_xll.BInterpol('Base CDI'!$H$4:$H$28,'Base CDI'!$J$4:$J$29,S4008,"Cubic","Extrapolate=Linear","MultiX=Average","Skip=True","Sort=True")</f>
        <v>14.619933708126229</v>
      </c>
      <c r="U4008" s="43">
        <f ca="1">_xll.BInterpol('Base CDI'!$H$4:$H$28,'Base CDI'!$I$4:$I$29,S4008,"Cubic","Extrapolate=Linear","MultiX=Average","Skip=True","Sort=True")</f>
        <v>14.659021041840404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49715</v>
      </c>
      <c r="T4009" s="43">
        <f ca="1">_xll.BInterpol('Base CDI'!$H$4:$H$28,'Base CDI'!$J$4:$J$29,S4009,"Cubic","Extrapolate=Linear","MultiX=Average","Skip=True","Sort=True")</f>
        <v>14.619773386955279</v>
      </c>
      <c r="U4009" s="43">
        <f ca="1">_xll.BInterpol('Base CDI'!$H$4:$H$28,'Base CDI'!$I$4:$I$29,S4009,"Cubic","Extrapolate=Linear","MultiX=Average","Skip=True","Sort=True")</f>
        <v>14.658751240748861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49716</v>
      </c>
      <c r="T4010" s="43">
        <f ca="1">_xll.BInterpol('Base CDI'!$H$4:$H$28,'Base CDI'!$J$4:$J$29,S4010,"Cubic","Extrapolate=Linear","MultiX=Average","Skip=True","Sort=True")</f>
        <v>14.619613000199781</v>
      </c>
      <c r="U4010" s="43">
        <f ca="1">_xll.BInterpol('Base CDI'!$H$4:$H$28,'Base CDI'!$I$4:$I$29,S4010,"Cubic","Extrapolate=Linear","MultiX=Average","Skip=True","Sort=True")</f>
        <v>14.65848128532059</v>
      </c>
    </row>
    <row r="4011" spans="16:21" x14ac:dyDescent="0.25">
      <c r="P4011" s="10">
        <v>40347</v>
      </c>
      <c r="Q4011">
        <v>23.24314</v>
      </c>
      <c r="S4011" s="42">
        <f t="shared" ca="1" si="67"/>
        <v>49717</v>
      </c>
      <c r="T4011" s="43">
        <f ca="1">_xll.BInterpol('Base CDI'!$H$4:$H$28,'Base CDI'!$J$4:$J$29,S4011,"Cubic","Extrapolate=Linear","MultiX=Average","Skip=True","Sort=True")</f>
        <v>14.619452548060298</v>
      </c>
      <c r="U4011" s="43">
        <f ca="1">_xll.BInterpol('Base CDI'!$H$4:$H$28,'Base CDI'!$I$4:$I$29,S4011,"Cubic","Extrapolate=Linear","MultiX=Average","Skip=True","Sort=True")</f>
        <v>14.658211176027567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49718</v>
      </c>
      <c r="T4012" s="43">
        <f ca="1">_xll.BInterpol('Base CDI'!$H$4:$H$28,'Base CDI'!$J$4:$J$29,S4012,"Cubic","Extrapolate=Linear","MultiX=Average","Skip=True","Sort=True")</f>
        <v>14.619292030737398</v>
      </c>
      <c r="U4012" s="43">
        <f ca="1">_xll.BInterpol('Base CDI'!$H$4:$H$28,'Base CDI'!$I$4:$I$29,S4012,"Cubic","Extrapolate=Linear","MultiX=Average","Skip=True","Sort=True")</f>
        <v>14.65794091334177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49719</v>
      </c>
      <c r="T4013" s="43">
        <f ca="1">_xll.BInterpol('Base CDI'!$H$4:$H$28,'Base CDI'!$J$4:$J$29,S4013,"Cubic","Extrapolate=Linear","MultiX=Average","Skip=True","Sort=True")</f>
        <v>14.619131448431641</v>
      </c>
      <c r="U4013" s="43">
        <f ca="1">_xll.BInterpol('Base CDI'!$H$4:$H$28,'Base CDI'!$I$4:$I$29,S4013,"Cubic","Extrapolate=Linear","MultiX=Average","Skip=True","Sort=True")</f>
        <v>14.657670497735177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49720</v>
      </c>
      <c r="T4014" s="43">
        <f ca="1">_xll.BInterpol('Base CDI'!$H$4:$H$28,'Base CDI'!$J$4:$J$29,S4014,"Cubic","Extrapolate=Linear","MultiX=Average","Skip=True","Sort=True")</f>
        <v>14.618970801343593</v>
      </c>
      <c r="U4014" s="43">
        <f ca="1">_xll.BInterpol('Base CDI'!$H$4:$H$28,'Base CDI'!$I$4:$I$29,S4014,"Cubic","Extrapolate=Linear","MultiX=Average","Skip=True","Sort=True")</f>
        <v>14.657399929679766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49721</v>
      </c>
      <c r="T4015" s="43">
        <f ca="1">_xll.BInterpol('Base CDI'!$H$4:$H$28,'Base CDI'!$J$4:$J$29,S4015,"Cubic","Extrapolate=Linear","MultiX=Average","Skip=True","Sort=True")</f>
        <v>14.61881008967382</v>
      </c>
      <c r="U4015" s="43">
        <f ca="1">_xll.BInterpol('Base CDI'!$H$4:$H$28,'Base CDI'!$I$4:$I$29,S4015,"Cubic","Extrapolate=Linear","MultiX=Average","Skip=True","Sort=True")</f>
        <v>14.657129209647515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49722</v>
      </c>
      <c r="T4016" s="43">
        <f ca="1">_xll.BInterpol('Base CDI'!$H$4:$H$28,'Base CDI'!$J$4:$J$29,S4016,"Cubic","Extrapolate=Linear","MultiX=Average","Skip=True","Sort=True")</f>
        <v>14.618649313622884</v>
      </c>
      <c r="U4016" s="43">
        <f ca="1">_xll.BInterpol('Base CDI'!$H$4:$H$28,'Base CDI'!$I$4:$I$29,S4016,"Cubic","Extrapolate=Linear","MultiX=Average","Skip=True","Sort=True")</f>
        <v>14.656858338110402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49723</v>
      </c>
      <c r="T4017" s="43">
        <f ca="1">_xll.BInterpol('Base CDI'!$H$4:$H$28,'Base CDI'!$J$4:$J$29,S4017,"Cubic","Extrapolate=Linear","MultiX=Average","Skip=True","Sort=True")</f>
        <v>14.618488473391352</v>
      </c>
      <c r="U4017" s="43">
        <f ca="1">_xll.BInterpol('Base CDI'!$H$4:$H$28,'Base CDI'!$I$4:$I$29,S4017,"Cubic","Extrapolate=Linear","MultiX=Average","Skip=True","Sort=True")</f>
        <v>14.656587315540403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49724</v>
      </c>
      <c r="T4018" s="43">
        <f ca="1">_xll.BInterpol('Base CDI'!$H$4:$H$28,'Base CDI'!$J$4:$J$29,S4018,"Cubic","Extrapolate=Linear","MultiX=Average","Skip=True","Sort=True")</f>
        <v>14.618327569179785</v>
      </c>
      <c r="U4018" s="43">
        <f ca="1">_xll.BInterpol('Base CDI'!$H$4:$H$28,'Base CDI'!$I$4:$I$29,S4018,"Cubic","Extrapolate=Linear","MultiX=Average","Skip=True","Sort=True")</f>
        <v>14.656316142409498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49725</v>
      </c>
      <c r="T4019" s="43">
        <f ca="1">_xll.BInterpol('Base CDI'!$H$4:$H$28,'Base CDI'!$J$4:$J$29,S4019,"Cubic","Extrapolate=Linear","MultiX=Average","Skip=True","Sort=True")</f>
        <v>14.618166601188749</v>
      </c>
      <c r="U4019" s="43">
        <f ca="1">_xll.BInterpol('Base CDI'!$H$4:$H$28,'Base CDI'!$I$4:$I$29,S4019,"Cubic","Extrapolate=Linear","MultiX=Average","Skip=True","Sort=True")</f>
        <v>14.656044819189662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49726</v>
      </c>
      <c r="T4020" s="43">
        <f ca="1">_xll.BInterpol('Base CDI'!$H$4:$H$28,'Base CDI'!$J$4:$J$29,S4020,"Cubic","Extrapolate=Linear","MultiX=Average","Skip=True","Sort=True")</f>
        <v>14.618005569618809</v>
      </c>
      <c r="U4020" s="43">
        <f ca="1">_xll.BInterpol('Base CDI'!$H$4:$H$28,'Base CDI'!$I$4:$I$29,S4020,"Cubic","Extrapolate=Linear","MultiX=Average","Skip=True","Sort=True")</f>
        <v>14.655773346352877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49727</v>
      </c>
      <c r="T4021" s="43">
        <f ca="1">_xll.BInterpol('Base CDI'!$H$4:$H$28,'Base CDI'!$J$4:$J$29,S4021,"Cubic","Extrapolate=Linear","MultiX=Average","Skip=True","Sort=True")</f>
        <v>14.61784447467053</v>
      </c>
      <c r="U4021" s="43">
        <f ca="1">_xll.BInterpol('Base CDI'!$H$4:$H$28,'Base CDI'!$I$4:$I$29,S4021,"Cubic","Extrapolate=Linear","MultiX=Average","Skip=True","Sort=True")</f>
        <v>14.655501724371117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49728</v>
      </c>
      <c r="T4022" s="43">
        <f ca="1">_xll.BInterpol('Base CDI'!$H$4:$H$28,'Base CDI'!$J$4:$J$29,S4022,"Cubic","Extrapolate=Linear","MultiX=Average","Skip=True","Sort=True")</f>
        <v>14.617683316544474</v>
      </c>
      <c r="U4022" s="43">
        <f ca="1">_xll.BInterpol('Base CDI'!$H$4:$H$28,'Base CDI'!$I$4:$I$29,S4022,"Cubic","Extrapolate=Linear","MultiX=Average","Skip=True","Sort=True")</f>
        <v>14.65522995371636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49729</v>
      </c>
      <c r="T4023" s="43">
        <f ca="1">_xll.BInterpol('Base CDI'!$H$4:$H$28,'Base CDI'!$J$4:$J$29,S4023,"Cubic","Extrapolate=Linear","MultiX=Average","Skip=True","Sort=True")</f>
        <v>14.617522095441208</v>
      </c>
      <c r="U4023" s="43">
        <f ca="1">_xll.BInterpol('Base CDI'!$H$4:$H$28,'Base CDI'!$I$4:$I$29,S4023,"Cubic","Extrapolate=Linear","MultiX=Average","Skip=True","Sort=True")</f>
        <v>14.654958034860586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49730</v>
      </c>
      <c r="T4024" s="43">
        <f ca="1">_xll.BInterpol('Base CDI'!$H$4:$H$28,'Base CDI'!$J$4:$J$29,S4024,"Cubic","Extrapolate=Linear","MultiX=Average","Skip=True","Sort=True")</f>
        <v>14.617360811561294</v>
      </c>
      <c r="U4024" s="43">
        <f ca="1">_xll.BInterpol('Base CDI'!$H$4:$H$28,'Base CDI'!$I$4:$I$29,S4024,"Cubic","Extrapolate=Linear","MultiX=Average","Skip=True","Sort=True")</f>
        <v>14.654685968275771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49731</v>
      </c>
      <c r="T4025" s="43">
        <f ca="1">_xll.BInterpol('Base CDI'!$H$4:$H$28,'Base CDI'!$J$4:$J$29,S4025,"Cubic","Extrapolate=Linear","MultiX=Average","Skip=True","Sort=True")</f>
        <v>14.617199465105298</v>
      </c>
      <c r="U4025" s="43">
        <f ca="1">_xll.BInterpol('Base CDI'!$H$4:$H$28,'Base CDI'!$I$4:$I$29,S4025,"Cubic","Extrapolate=Linear","MultiX=Average","Skip=True","Sort=True")</f>
        <v>14.654413754433895</v>
      </c>
    </row>
    <row r="4026" spans="16:21" x14ac:dyDescent="0.25">
      <c r="P4026" s="10">
        <v>40368</v>
      </c>
      <c r="Q4026">
        <v>23.37707</v>
      </c>
      <c r="S4026" s="42">
        <f t="shared" ca="1" si="67"/>
        <v>49732</v>
      </c>
      <c r="T4026" s="43">
        <f ca="1">_xll.BInterpol('Base CDI'!$H$4:$H$28,'Base CDI'!$J$4:$J$29,S4026,"Cubic","Extrapolate=Linear","MultiX=Average","Skip=True","Sort=True")</f>
        <v>14.617038056273781</v>
      </c>
      <c r="U4026" s="43">
        <f ca="1">_xll.BInterpol('Base CDI'!$H$4:$H$28,'Base CDI'!$I$4:$I$29,S4026,"Cubic","Extrapolate=Linear","MultiX=Average","Skip=True","Sort=True")</f>
        <v>14.654141393806933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49733</v>
      </c>
      <c r="T4027" s="43">
        <f ca="1">_xll.BInterpol('Base CDI'!$H$4:$H$28,'Base CDI'!$J$4:$J$29,S4027,"Cubic","Extrapolate=Linear","MultiX=Average","Skip=True","Sort=True")</f>
        <v>14.616876585267313</v>
      </c>
      <c r="U4027" s="43">
        <f ca="1">_xll.BInterpol('Base CDI'!$H$4:$H$28,'Base CDI'!$I$4:$I$29,S4027,"Cubic","Extrapolate=Linear","MultiX=Average","Skip=True","Sort=True")</f>
        <v>14.653868886866864</v>
      </c>
    </row>
    <row r="4028" spans="16:21" x14ac:dyDescent="0.25">
      <c r="P4028" s="10">
        <v>40372</v>
      </c>
      <c r="Q4028">
        <v>23.395</v>
      </c>
      <c r="S4028" s="42">
        <f t="shared" ca="1" si="67"/>
        <v>49734</v>
      </c>
      <c r="T4028" s="43">
        <f ca="1">_xll.BInterpol('Base CDI'!$H$4:$H$28,'Base CDI'!$J$4:$J$29,S4028,"Cubic","Extrapolate=Linear","MultiX=Average","Skip=True","Sort=True")</f>
        <v>14.616715052286455</v>
      </c>
      <c r="U4028" s="43">
        <f ca="1">_xll.BInterpol('Base CDI'!$H$4:$H$28,'Base CDI'!$I$4:$I$29,S4028,"Cubic","Extrapolate=Linear","MultiX=Average","Skip=True","Sort=True")</f>
        <v>14.653596234085665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49735</v>
      </c>
      <c r="T4029" s="43">
        <f ca="1">_xll.BInterpol('Base CDI'!$H$4:$H$28,'Base CDI'!$J$4:$J$29,S4029,"Cubic","Extrapolate=Linear","MultiX=Average","Skip=True","Sort=True")</f>
        <v>14.61655345753177</v>
      </c>
      <c r="U4029" s="43">
        <f ca="1">_xll.BInterpol('Base CDI'!$H$4:$H$28,'Base CDI'!$I$4:$I$29,S4029,"Cubic","Extrapolate=Linear","MultiX=Average","Skip=True","Sort=True")</f>
        <v>14.653323435935315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49736</v>
      </c>
      <c r="T4030" s="43">
        <f ca="1">_xll.BInterpol('Base CDI'!$H$4:$H$28,'Base CDI'!$J$4:$J$29,S4030,"Cubic","Extrapolate=Linear","MultiX=Average","Skip=True","Sort=True")</f>
        <v>14.616391801203827</v>
      </c>
      <c r="U4030" s="43">
        <f ca="1">_xll.BInterpol('Base CDI'!$H$4:$H$28,'Base CDI'!$I$4:$I$29,S4030,"Cubic","Extrapolate=Linear","MultiX=Average","Skip=True","Sort=True")</f>
        <v>14.653050492887791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49737</v>
      </c>
      <c r="T4031" s="43">
        <f ca="1">_xll.BInterpol('Base CDI'!$H$4:$H$28,'Base CDI'!$J$4:$J$29,S4031,"Cubic","Extrapolate=Linear","MultiX=Average","Skip=True","Sort=True")</f>
        <v>14.616230083503186</v>
      </c>
      <c r="U4031" s="43">
        <f ca="1">_xll.BInterpol('Base CDI'!$H$4:$H$28,'Base CDI'!$I$4:$I$29,S4031,"Cubic","Extrapolate=Linear","MultiX=Average","Skip=True","Sort=True")</f>
        <v>14.652777405415071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49738</v>
      </c>
      <c r="T4032" s="43">
        <f ca="1">_xll.BInterpol('Base CDI'!$H$4:$H$28,'Base CDI'!$J$4:$J$29,S4032,"Cubic","Extrapolate=Linear","MultiX=Average","Skip=True","Sort=True")</f>
        <v>14.616068304630414</v>
      </c>
      <c r="U4032" s="43">
        <f ca="1">_xll.BInterpol('Base CDI'!$H$4:$H$28,'Base CDI'!$I$4:$I$29,S4032,"Cubic","Extrapolate=Linear","MultiX=Average","Skip=True","Sort=True")</f>
        <v>14.652504173989133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49739</v>
      </c>
      <c r="T4033" s="43">
        <f ca="1">_xll.BInterpol('Base CDI'!$H$4:$H$28,'Base CDI'!$J$4:$J$29,S4033,"Cubic","Extrapolate=Linear","MultiX=Average","Skip=True","Sort=True")</f>
        <v>14.615906464786072</v>
      </c>
      <c r="U4033" s="43">
        <f ca="1">_xll.BInterpol('Base CDI'!$H$4:$H$28,'Base CDI'!$I$4:$I$29,S4033,"Cubic","Extrapolate=Linear","MultiX=Average","Skip=True","Sort=True")</f>
        <v>14.652230799081954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49740</v>
      </c>
      <c r="T4034" s="43">
        <f ca="1">_xll.BInterpol('Base CDI'!$H$4:$H$28,'Base CDI'!$J$4:$J$29,S4034,"Cubic","Extrapolate=Linear","MultiX=Average","Skip=True","Sort=True")</f>
        <v>14.615744564170729</v>
      </c>
      <c r="U4034" s="43">
        <f ca="1">_xll.BInterpol('Base CDI'!$H$4:$H$28,'Base CDI'!$I$4:$I$29,S4034,"Cubic","Extrapolate=Linear","MultiX=Average","Skip=True","Sort=True")</f>
        <v>14.651957281165512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49741</v>
      </c>
      <c r="T4035" s="43">
        <f ca="1">_xll.BInterpol('Base CDI'!$H$4:$H$28,'Base CDI'!$J$4:$J$29,S4035,"Cubic","Extrapolate=Linear","MultiX=Average","Skip=True","Sort=True")</f>
        <v>14.615582602984945</v>
      </c>
      <c r="U4035" s="43">
        <f ca="1">_xll.BInterpol('Base CDI'!$H$4:$H$28,'Base CDI'!$I$4:$I$29,S4035,"Cubic","Extrapolate=Linear","MultiX=Average","Skip=True","Sort=True")</f>
        <v>14.651683620711786</v>
      </c>
    </row>
    <row r="4036" spans="16:21" x14ac:dyDescent="0.25">
      <c r="P4036" s="10">
        <v>40382</v>
      </c>
      <c r="Q4036">
        <v>23.46724</v>
      </c>
      <c r="S4036" s="42">
        <f t="shared" ca="1" si="67"/>
        <v>49742</v>
      </c>
      <c r="T4036" s="43">
        <f ca="1">_xll.BInterpol('Base CDI'!$H$4:$H$28,'Base CDI'!$J$4:$J$29,S4036,"Cubic","Extrapolate=Linear","MultiX=Average","Skip=True","Sort=True")</f>
        <v>14.615420581429287</v>
      </c>
      <c r="U4036" s="43">
        <f ca="1">_xll.BInterpol('Base CDI'!$H$4:$H$28,'Base CDI'!$I$4:$I$29,S4036,"Cubic","Extrapolate=Linear","MultiX=Average","Skip=True","Sort=True")</f>
        <v>14.651409818192752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49743</v>
      </c>
      <c r="T4037" s="43">
        <f ca="1">_xll.BInterpol('Base CDI'!$H$4:$H$28,'Base CDI'!$J$4:$J$29,S4037,"Cubic","Extrapolate=Linear","MultiX=Average","Skip=True","Sort=True")</f>
        <v>14.61525849970432</v>
      </c>
      <c r="U4037" s="43">
        <f ca="1">_xll.BInterpol('Base CDI'!$H$4:$H$28,'Base CDI'!$I$4:$I$29,S4037,"Cubic","Extrapolate=Linear","MultiX=Average","Skip=True","Sort=True")</f>
        <v>14.651135874080389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49744</v>
      </c>
      <c r="T4038" s="43">
        <f ca="1">_xll.BInterpol('Base CDI'!$H$4:$H$28,'Base CDI'!$J$4:$J$29,S4038,"Cubic","Extrapolate=Linear","MultiX=Average","Skip=True","Sort=True")</f>
        <v>14.615096358010605</v>
      </c>
      <c r="U4038" s="43">
        <f ca="1">_xll.BInterpol('Base CDI'!$H$4:$H$28,'Base CDI'!$I$4:$I$29,S4038,"Cubic","Extrapolate=Linear","MultiX=Average","Skip=True","Sort=True")</f>
        <v>14.650861788846674</v>
      </c>
    </row>
    <row r="4039" spans="16:21" x14ac:dyDescent="0.25">
      <c r="P4039" s="10">
        <v>40387</v>
      </c>
      <c r="Q4039">
        <v>23.4955</v>
      </c>
      <c r="S4039" s="42">
        <f t="shared" ca="1" si="67"/>
        <v>49745</v>
      </c>
      <c r="T4039" s="43">
        <f ca="1">_xll.BInterpol('Base CDI'!$H$4:$H$28,'Base CDI'!$J$4:$J$29,S4039,"Cubic","Extrapolate=Linear","MultiX=Average","Skip=True","Sort=True")</f>
        <v>14.614934156548712</v>
      </c>
      <c r="U4039" s="43">
        <f ca="1">_xll.BInterpol('Base CDI'!$H$4:$H$28,'Base CDI'!$I$4:$I$29,S4039,"Cubic","Extrapolate=Linear","MultiX=Average","Skip=True","Sort=True")</f>
        <v>14.650587562963585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49746</v>
      </c>
      <c r="T4040" s="43">
        <f ca="1">_xll.BInterpol('Base CDI'!$H$4:$H$28,'Base CDI'!$J$4:$J$29,S4040,"Cubic","Extrapolate=Linear","MultiX=Average","Skip=True","Sort=True")</f>
        <v>14.614771895519199</v>
      </c>
      <c r="U4040" s="43">
        <f ca="1">_xll.BInterpol('Base CDI'!$H$4:$H$28,'Base CDI'!$I$4:$I$29,S4040,"Cubic","Extrapolate=Linear","MultiX=Average","Skip=True","Sort=True")</f>
        <v>14.650313196903099</v>
      </c>
    </row>
    <row r="4041" spans="16:21" x14ac:dyDescent="0.25">
      <c r="P4041" s="10">
        <v>40389</v>
      </c>
      <c r="Q4041">
        <v>23.51435</v>
      </c>
      <c r="S4041" s="42">
        <f t="shared" ca="1" si="67"/>
        <v>49747</v>
      </c>
      <c r="T4041" s="43">
        <f ca="1">_xll.BInterpol('Base CDI'!$H$4:$H$28,'Base CDI'!$J$4:$J$29,S4041,"Cubic","Extrapolate=Linear","MultiX=Average","Skip=True","Sort=True")</f>
        <v>14.614609575122634</v>
      </c>
      <c r="U4041" s="43">
        <f ca="1">_xll.BInterpol('Base CDI'!$H$4:$H$28,'Base CDI'!$I$4:$I$29,S4041,"Cubic","Extrapolate=Linear","MultiX=Average","Skip=True","Sort=True")</f>
        <v>14.650038691137196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49748</v>
      </c>
      <c r="T4042" s="43">
        <f ca="1">_xll.BInterpol('Base CDI'!$H$4:$H$28,'Base CDI'!$J$4:$J$29,S4042,"Cubic","Extrapolate=Linear","MultiX=Average","Skip=True","Sort=True")</f>
        <v>14.614447195559579</v>
      </c>
      <c r="U4042" s="43">
        <f ca="1">_xll.BInterpol('Base CDI'!$H$4:$H$28,'Base CDI'!$I$4:$I$29,S4042,"Cubic","Extrapolate=Linear","MultiX=Average","Skip=True","Sort=True")</f>
        <v>14.649764046137852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49749</v>
      </c>
      <c r="T4043" s="43">
        <f ca="1">_xll.BInterpol('Base CDI'!$H$4:$H$28,'Base CDI'!$J$4:$J$29,S4043,"Cubic","Extrapolate=Linear","MultiX=Average","Skip=True","Sort=True")</f>
        <v>14.614284757030603</v>
      </c>
      <c r="U4043" s="43">
        <f ca="1">_xll.BInterpol('Base CDI'!$H$4:$H$28,'Base CDI'!$I$4:$I$29,S4043,"Cubic","Extrapolate=Linear","MultiX=Average","Skip=True","Sort=True")</f>
        <v>14.649489262377044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49750</v>
      </c>
      <c r="T4044" s="43">
        <f ca="1">_xll.BInterpol('Base CDI'!$H$4:$H$28,'Base CDI'!$J$4:$J$29,S4044,"Cubic","Extrapolate=Linear","MultiX=Average","Skip=True","Sort=True")</f>
        <v>14.614122259736265</v>
      </c>
      <c r="U4044" s="43">
        <f ca="1">_xll.BInterpol('Base CDI'!$H$4:$H$28,'Base CDI'!$I$4:$I$29,S4044,"Cubic","Extrapolate=Linear","MultiX=Average","Skip=True","Sort=True")</f>
        <v>14.649214340326752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49751</v>
      </c>
      <c r="T4045" s="43">
        <f ca="1">_xll.BInterpol('Base CDI'!$H$4:$H$28,'Base CDI'!$J$4:$J$29,S4045,"Cubic","Extrapolate=Linear","MultiX=Average","Skip=True","Sort=True")</f>
        <v>14.613959703877132</v>
      </c>
      <c r="U4045" s="43">
        <f ca="1">_xll.BInterpol('Base CDI'!$H$4:$H$28,'Base CDI'!$I$4:$I$29,S4045,"Cubic","Extrapolate=Linear","MultiX=Average","Skip=True","Sort=True")</f>
        <v>14.648939280458952</v>
      </c>
    </row>
    <row r="4046" spans="16:21" x14ac:dyDescent="0.25">
      <c r="P4046" s="10">
        <v>40396</v>
      </c>
      <c r="Q4046">
        <v>23.56157</v>
      </c>
      <c r="S4046" s="42">
        <f t="shared" ca="1" si="68"/>
        <v>49752</v>
      </c>
      <c r="T4046" s="43">
        <f ca="1">_xll.BInterpol('Base CDI'!$H$4:$H$28,'Base CDI'!$J$4:$J$29,S4046,"Cubic","Extrapolate=Linear","MultiX=Average","Skip=True","Sort=True")</f>
        <v>14.613797089653769</v>
      </c>
      <c r="U4046" s="43">
        <f ca="1">_xll.BInterpol('Base CDI'!$H$4:$H$28,'Base CDI'!$I$4:$I$29,S4046,"Cubic","Extrapolate=Linear","MultiX=Average","Skip=True","Sort=True")</f>
        <v>14.648664083245624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49753</v>
      </c>
      <c r="T4047" s="43">
        <f ca="1">_xll.BInterpol('Base CDI'!$H$4:$H$28,'Base CDI'!$J$4:$J$29,S4047,"Cubic","Extrapolate=Linear","MultiX=Average","Skip=True","Sort=True")</f>
        <v>14.61363441726674</v>
      </c>
      <c r="U4047" s="43">
        <f ca="1">_xll.BInterpol('Base CDI'!$H$4:$H$28,'Base CDI'!$I$4:$I$29,S4047,"Cubic","Extrapolate=Linear","MultiX=Average","Skip=True","Sort=True")</f>
        <v>14.648388749158743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49754</v>
      </c>
      <c r="T4048" s="43">
        <f ca="1">_xll.BInterpol('Base CDI'!$H$4:$H$28,'Base CDI'!$J$4:$J$29,S4048,"Cubic","Extrapolate=Linear","MultiX=Average","Skip=True","Sort=True")</f>
        <v>14.613471686916608</v>
      </c>
      <c r="U4048" s="43">
        <f ca="1">_xll.BInterpol('Base CDI'!$H$4:$H$28,'Base CDI'!$I$4:$I$29,S4048,"Cubic","Extrapolate=Linear","MultiX=Average","Skip=True","Sort=True")</f>
        <v>14.648113278670287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49755</v>
      </c>
      <c r="T4049" s="43">
        <f ca="1">_xll.BInterpol('Base CDI'!$H$4:$H$28,'Base CDI'!$J$4:$J$29,S4049,"Cubic","Extrapolate=Linear","MultiX=Average","Skip=True","Sort=True")</f>
        <v>14.613308898803938</v>
      </c>
      <c r="U4049" s="43">
        <f ca="1">_xll.BInterpol('Base CDI'!$H$4:$H$28,'Base CDI'!$I$4:$I$29,S4049,"Cubic","Extrapolate=Linear","MultiX=Average","Skip=True","Sort=True")</f>
        <v>14.647837672252235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49756</v>
      </c>
      <c r="T4050" s="43">
        <f ca="1">_xll.BInterpol('Base CDI'!$H$4:$H$28,'Base CDI'!$J$4:$J$29,S4050,"Cubic","Extrapolate=Linear","MultiX=Average","Skip=True","Sort=True")</f>
        <v>14.613146053129293</v>
      </c>
      <c r="U4050" s="43">
        <f ca="1">_xll.BInterpol('Base CDI'!$H$4:$H$28,'Base CDI'!$I$4:$I$29,S4050,"Cubic","Extrapolate=Linear","MultiX=Average","Skip=True","Sort=True")</f>
        <v>14.647561930376567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49757</v>
      </c>
      <c r="T4051" s="43">
        <f ca="1">_xll.BInterpol('Base CDI'!$H$4:$H$28,'Base CDI'!$J$4:$J$29,S4051,"Cubic","Extrapolate=Linear","MultiX=Average","Skip=True","Sort=True")</f>
        <v>14.612983150093241</v>
      </c>
      <c r="U4051" s="43">
        <f ca="1">_xll.BInterpol('Base CDI'!$H$4:$H$28,'Base CDI'!$I$4:$I$29,S4051,"Cubic","Extrapolate=Linear","MultiX=Average","Skip=True","Sort=True")</f>
        <v>14.647286053515256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49758</v>
      </c>
      <c r="T4052" s="43">
        <f ca="1">_xll.BInterpol('Base CDI'!$H$4:$H$28,'Base CDI'!$J$4:$J$29,S4052,"Cubic","Extrapolate=Linear","MultiX=Average","Skip=True","Sort=True")</f>
        <v>14.612820189896343</v>
      </c>
      <c r="U4052" s="43">
        <f ca="1">_xll.BInterpol('Base CDI'!$H$4:$H$28,'Base CDI'!$I$4:$I$29,S4052,"Cubic","Extrapolate=Linear","MultiX=Average","Skip=True","Sort=True")</f>
        <v>14.64701004214028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49759</v>
      </c>
      <c r="T4053" s="43">
        <f ca="1">_xll.BInterpol('Base CDI'!$H$4:$H$28,'Base CDI'!$J$4:$J$29,S4053,"Cubic","Extrapolate=Linear","MultiX=Average","Skip=True","Sort=True")</f>
        <v>14.612657172739166</v>
      </c>
      <c r="U4053" s="43">
        <f ca="1">_xll.BInterpol('Base CDI'!$H$4:$H$28,'Base CDI'!$I$4:$I$29,S4053,"Cubic","Extrapolate=Linear","MultiX=Average","Skip=True","Sort=True")</f>
        <v>14.646733896723623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49760</v>
      </c>
      <c r="T4054" s="43">
        <f ca="1">_xll.BInterpol('Base CDI'!$H$4:$H$28,'Base CDI'!$J$4:$J$29,S4054,"Cubic","Extrapolate=Linear","MultiX=Average","Skip=True","Sort=True")</f>
        <v>14.612494098822273</v>
      </c>
      <c r="U4054" s="43">
        <f ca="1">_xll.BInterpol('Base CDI'!$H$4:$H$28,'Base CDI'!$I$4:$I$29,S4054,"Cubic","Extrapolate=Linear","MultiX=Average","Skip=True","Sort=True")</f>
        <v>14.646457617737257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49761</v>
      </c>
      <c r="T4055" s="43">
        <f ca="1">_xll.BInterpol('Base CDI'!$H$4:$H$28,'Base CDI'!$J$4:$J$29,S4055,"Cubic","Extrapolate=Linear","MultiX=Average","Skip=True","Sort=True")</f>
        <v>14.612330968346226</v>
      </c>
      <c r="U4055" s="43">
        <f ca="1">_xll.BInterpol('Base CDI'!$H$4:$H$28,'Base CDI'!$I$4:$I$29,S4055,"Cubic","Extrapolate=Linear","MultiX=Average","Skip=True","Sort=True")</f>
        <v>14.646181205653161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49762</v>
      </c>
      <c r="T4056" s="43">
        <f ca="1">_xll.BInterpol('Base CDI'!$H$4:$H$28,'Base CDI'!$J$4:$J$29,S4056,"Cubic","Extrapolate=Linear","MultiX=Average","Skip=True","Sort=True")</f>
        <v>14.612167781511594</v>
      </c>
      <c r="U4056" s="43">
        <f ca="1">_xll.BInterpol('Base CDI'!$H$4:$H$28,'Base CDI'!$I$4:$I$29,S4056,"Cubic","Extrapolate=Linear","MultiX=Average","Skip=True","Sort=True")</f>
        <v>14.645904660943312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49763</v>
      </c>
      <c r="T4057" s="43">
        <f ca="1">_xll.BInterpol('Base CDI'!$H$4:$H$28,'Base CDI'!$J$4:$J$29,S4057,"Cubic","Extrapolate=Linear","MultiX=Average","Skip=True","Sort=True")</f>
        <v>14.612004538518939</v>
      </c>
      <c r="U4057" s="43">
        <f ca="1">_xll.BInterpol('Base CDI'!$H$4:$H$28,'Base CDI'!$I$4:$I$29,S4057,"Cubic","Extrapolate=Linear","MultiX=Average","Skip=True","Sort=True")</f>
        <v>14.64562798407969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49764</v>
      </c>
      <c r="T4058" s="43">
        <f ca="1">_xll.BInterpol('Base CDI'!$H$4:$H$28,'Base CDI'!$J$4:$J$29,S4058,"Cubic","Extrapolate=Linear","MultiX=Average","Skip=True","Sort=True")</f>
        <v>14.611841239568825</v>
      </c>
      <c r="U4058" s="43">
        <f ca="1">_xll.BInterpol('Base CDI'!$H$4:$H$28,'Base CDI'!$I$4:$I$29,S4058,"Cubic","Extrapolate=Linear","MultiX=Average","Skip=True","Sort=True")</f>
        <v>14.645351175534271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49765</v>
      </c>
      <c r="T4059" s="43">
        <f ca="1">_xll.BInterpol('Base CDI'!$H$4:$H$28,'Base CDI'!$J$4:$J$29,S4059,"Cubic","Extrapolate=Linear","MultiX=Average","Skip=True","Sort=True")</f>
        <v>14.611677884861816</v>
      </c>
      <c r="U4059" s="43">
        <f ca="1">_xll.BInterpol('Base CDI'!$H$4:$H$28,'Base CDI'!$I$4:$I$29,S4059,"Cubic","Extrapolate=Linear","MultiX=Average","Skip=True","Sort=True")</f>
        <v>14.645074235779033</v>
      </c>
    </row>
    <row r="4060" spans="16:21" x14ac:dyDescent="0.25">
      <c r="P4060" s="10">
        <v>40416</v>
      </c>
      <c r="Q4060">
        <v>23.69425</v>
      </c>
      <c r="S4060" s="42">
        <f t="shared" ca="1" si="68"/>
        <v>49766</v>
      </c>
      <c r="T4060" s="43">
        <f ca="1">_xll.BInterpol('Base CDI'!$H$4:$H$28,'Base CDI'!$J$4:$J$29,S4060,"Cubic","Extrapolate=Linear","MultiX=Average","Skip=True","Sort=True")</f>
        <v>14.611514474598479</v>
      </c>
      <c r="U4060" s="43">
        <f ca="1">_xll.BInterpol('Base CDI'!$H$4:$H$28,'Base CDI'!$I$4:$I$29,S4060,"Cubic","Extrapolate=Linear","MultiX=Average","Skip=True","Sort=True")</f>
        <v>14.644797165285956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49767</v>
      </c>
      <c r="T4061" s="43">
        <f ca="1">_xll.BInterpol('Base CDI'!$H$4:$H$28,'Base CDI'!$J$4:$J$29,S4061,"Cubic","Extrapolate=Linear","MultiX=Average","Skip=True","Sort=True")</f>
        <v>14.611351008979375</v>
      </c>
      <c r="U4061" s="43">
        <f ca="1">_xll.BInterpol('Base CDI'!$H$4:$H$28,'Base CDI'!$I$4:$I$29,S4061,"Cubic","Extrapolate=Linear","MultiX=Average","Skip=True","Sort=True")</f>
        <v>14.644519964527014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49768</v>
      </c>
      <c r="T4062" s="43">
        <f ca="1">_xll.BInterpol('Base CDI'!$H$4:$H$28,'Base CDI'!$J$4:$J$29,S4062,"Cubic","Extrapolate=Linear","MultiX=Average","Skip=True","Sort=True")</f>
        <v>14.61118748820507</v>
      </c>
      <c r="U4062" s="43">
        <f ca="1">_xll.BInterpol('Base CDI'!$H$4:$H$28,'Base CDI'!$I$4:$I$29,S4062,"Cubic","Extrapolate=Linear","MultiX=Average","Skip=True","Sort=True")</f>
        <v>14.644242633974187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49769</v>
      </c>
      <c r="T4063" s="43">
        <f ca="1">_xll.BInterpol('Base CDI'!$H$4:$H$28,'Base CDI'!$J$4:$J$29,S4063,"Cubic","Extrapolate=Linear","MultiX=Average","Skip=True","Sort=True")</f>
        <v>14.61102391247613</v>
      </c>
      <c r="U4063" s="43">
        <f ca="1">_xll.BInterpol('Base CDI'!$H$4:$H$28,'Base CDI'!$I$4:$I$29,S4063,"Cubic","Extrapolate=Linear","MultiX=Average","Skip=True","Sort=True")</f>
        <v>14.643965174099453</v>
      </c>
    </row>
    <row r="4064" spans="16:21" x14ac:dyDescent="0.25">
      <c r="P4064" s="10">
        <v>40422</v>
      </c>
      <c r="Q4064">
        <v>23.73227</v>
      </c>
      <c r="S4064" s="42">
        <f t="shared" ca="1" si="68"/>
        <v>49770</v>
      </c>
      <c r="T4064" s="43">
        <f ca="1">_xll.BInterpol('Base CDI'!$H$4:$H$28,'Base CDI'!$J$4:$J$29,S4064,"Cubic","Extrapolate=Linear","MultiX=Average","Skip=True","Sort=True")</f>
        <v>14.610860281993116</v>
      </c>
      <c r="U4064" s="43">
        <f ca="1">_xll.BInterpol('Base CDI'!$H$4:$H$28,'Base CDI'!$I$4:$I$29,S4064,"Cubic","Extrapolate=Linear","MultiX=Average","Skip=True","Sort=True")</f>
        <v>14.643687585374789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49771</v>
      </c>
      <c r="T4065" s="43">
        <f ca="1">_xll.BInterpol('Base CDI'!$H$4:$H$28,'Base CDI'!$J$4:$J$29,S4065,"Cubic","Extrapolate=Linear","MultiX=Average","Skip=True","Sort=True")</f>
        <v>14.610696596956595</v>
      </c>
      <c r="U4065" s="43">
        <f ca="1">_xll.BInterpol('Base CDI'!$H$4:$H$28,'Base CDI'!$I$4:$I$29,S4065,"Cubic","Extrapolate=Linear","MultiX=Average","Skip=True","Sort=True")</f>
        <v>14.643409868272173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49772</v>
      </c>
      <c r="T4066" s="43">
        <f ca="1">_xll.BInterpol('Base CDI'!$H$4:$H$28,'Base CDI'!$J$4:$J$29,S4066,"Cubic","Extrapolate=Linear","MultiX=Average","Skip=True","Sort=True")</f>
        <v>14.610532857567129</v>
      </c>
      <c r="U4066" s="43">
        <f ca="1">_xll.BInterpol('Base CDI'!$H$4:$H$28,'Base CDI'!$I$4:$I$29,S4066,"Cubic","Extrapolate=Linear","MultiX=Average","Skip=True","Sort=True")</f>
        <v>14.643132023263583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49773</v>
      </c>
      <c r="T4067" s="43">
        <f ca="1">_xll.BInterpol('Base CDI'!$H$4:$H$28,'Base CDI'!$J$4:$J$29,S4067,"Cubic","Extrapolate=Linear","MultiX=Average","Skip=True","Sort=True")</f>
        <v>14.610369064025285</v>
      </c>
      <c r="U4067" s="43">
        <f ca="1">_xll.BInterpol('Base CDI'!$H$4:$H$28,'Base CDI'!$I$4:$I$29,S4067,"Cubic","Extrapolate=Linear","MultiX=Average","Skip=True","Sort=True")</f>
        <v>14.642854050820995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49774</v>
      </c>
      <c r="T4068" s="43">
        <f ca="1">_xll.BInterpol('Base CDI'!$H$4:$H$28,'Base CDI'!$J$4:$J$29,S4068,"Cubic","Extrapolate=Linear","MultiX=Average","Skip=True","Sort=True")</f>
        <v>14.610205216531627</v>
      </c>
      <c r="U4068" s="43">
        <f ca="1">_xll.BInterpol('Base CDI'!$H$4:$H$28,'Base CDI'!$I$4:$I$29,S4068,"Cubic","Extrapolate=Linear","MultiX=Average","Skip=True","Sort=True")</f>
        <v>14.64257595141639</v>
      </c>
    </row>
    <row r="4069" spans="16:21" x14ac:dyDescent="0.25">
      <c r="P4069" s="10">
        <v>40430</v>
      </c>
      <c r="Q4069">
        <v>23.77985</v>
      </c>
      <c r="S4069" s="42">
        <f t="shared" ca="1" si="68"/>
        <v>49775</v>
      </c>
      <c r="T4069" s="43">
        <f ca="1">_xll.BInterpol('Base CDI'!$H$4:$H$28,'Base CDI'!$J$4:$J$29,S4069,"Cubic","Extrapolate=Linear","MultiX=Average","Skip=True","Sort=True")</f>
        <v>14.610041315286717</v>
      </c>
      <c r="U4069" s="43">
        <f ca="1">_xll.BInterpol('Base CDI'!$H$4:$H$28,'Base CDI'!$I$4:$I$29,S4069,"Cubic","Extrapolate=Linear","MultiX=Average","Skip=True","Sort=True")</f>
        <v>14.642297725521743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49776</v>
      </c>
      <c r="T4070" s="43">
        <f ca="1">_xll.BInterpol('Base CDI'!$H$4:$H$28,'Base CDI'!$J$4:$J$29,S4070,"Cubic","Extrapolate=Linear","MultiX=Average","Skip=True","Sort=True")</f>
        <v>14.609877360491122</v>
      </c>
      <c r="U4070" s="43">
        <f ca="1">_xll.BInterpol('Base CDI'!$H$4:$H$28,'Base CDI'!$I$4:$I$29,S4070,"Cubic","Extrapolate=Linear","MultiX=Average","Skip=True","Sort=True")</f>
        <v>14.642019373609033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49777</v>
      </c>
      <c r="T4071" s="43">
        <f ca="1">_xll.BInterpol('Base CDI'!$H$4:$H$28,'Base CDI'!$J$4:$J$29,S4071,"Cubic","Extrapolate=Linear","MultiX=Average","Skip=True","Sort=True")</f>
        <v>14.609713352345404</v>
      </c>
      <c r="U4071" s="43">
        <f ca="1">_xll.BInterpol('Base CDI'!$H$4:$H$28,'Base CDI'!$I$4:$I$29,S4071,"Cubic","Extrapolate=Linear","MultiX=Average","Skip=True","Sort=True")</f>
        <v>14.641740896150239</v>
      </c>
    </row>
    <row r="4072" spans="16:21" x14ac:dyDescent="0.25">
      <c r="P4072" s="10">
        <v>40435</v>
      </c>
      <c r="Q4072">
        <v>23.80846</v>
      </c>
      <c r="S4072" s="42">
        <f t="shared" ca="1" si="68"/>
        <v>49778</v>
      </c>
      <c r="T4072" s="43">
        <f ca="1">_xll.BInterpol('Base CDI'!$H$4:$H$28,'Base CDI'!$J$4:$J$29,S4072,"Cubic","Extrapolate=Linear","MultiX=Average","Skip=True","Sort=True")</f>
        <v>14.609549291050129</v>
      </c>
      <c r="U4072" s="43">
        <f ca="1">_xll.BInterpol('Base CDI'!$H$4:$H$28,'Base CDI'!$I$4:$I$29,S4072,"Cubic","Extrapolate=Linear","MultiX=Average","Skip=True","Sort=True")</f>
        <v>14.641462293617336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49779</v>
      </c>
      <c r="T4073" s="43">
        <f ca="1">_xll.BInterpol('Base CDI'!$H$4:$H$28,'Base CDI'!$J$4:$J$29,S4073,"Cubic","Extrapolate=Linear","MultiX=Average","Skip=True","Sort=True")</f>
        <v>14.609385176805862</v>
      </c>
      <c r="U4073" s="43">
        <f ca="1">_xll.BInterpol('Base CDI'!$H$4:$H$28,'Base CDI'!$I$4:$I$29,S4073,"Cubic","Extrapolate=Linear","MultiX=Average","Skip=True","Sort=True")</f>
        <v>14.641183566482303</v>
      </c>
    </row>
    <row r="4074" spans="16:21" x14ac:dyDescent="0.25">
      <c r="P4074" s="10">
        <v>40437</v>
      </c>
      <c r="Q4074">
        <v>23.82751</v>
      </c>
      <c r="S4074" s="42">
        <f t="shared" ca="1" si="68"/>
        <v>49780</v>
      </c>
      <c r="T4074" s="43">
        <f ca="1">_xll.BInterpol('Base CDI'!$H$4:$H$28,'Base CDI'!$J$4:$J$29,S4074,"Cubic","Extrapolate=Linear","MultiX=Average","Skip=True","Sort=True")</f>
        <v>14.609221009813165</v>
      </c>
      <c r="U4074" s="43">
        <f ca="1">_xll.BInterpol('Base CDI'!$H$4:$H$28,'Base CDI'!$I$4:$I$29,S4074,"Cubic","Extrapolate=Linear","MultiX=Average","Skip=True","Sort=True")</f>
        <v>14.640904715217117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49781</v>
      </c>
      <c r="T4075" s="43">
        <f ca="1">_xll.BInterpol('Base CDI'!$H$4:$H$28,'Base CDI'!$J$4:$J$29,S4075,"Cubic","Extrapolate=Linear","MultiX=Average","Skip=True","Sort=True")</f>
        <v>14.609056790272604</v>
      </c>
      <c r="U4075" s="43">
        <f ca="1">_xll.BInterpol('Base CDI'!$H$4:$H$28,'Base CDI'!$I$4:$I$29,S4075,"Cubic","Extrapolate=Linear","MultiX=Average","Skip=True","Sort=True")</f>
        <v>14.640625740293757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49782</v>
      </c>
      <c r="T4076" s="43">
        <f ca="1">_xll.BInterpol('Base CDI'!$H$4:$H$28,'Base CDI'!$J$4:$J$29,S4076,"Cubic","Extrapolate=Linear","MultiX=Average","Skip=True","Sort=True")</f>
        <v>14.608892518384744</v>
      </c>
      <c r="U4076" s="43">
        <f ca="1">_xll.BInterpol('Base CDI'!$H$4:$H$28,'Base CDI'!$I$4:$I$29,S4076,"Cubic","Extrapolate=Linear","MultiX=Average","Skip=True","Sort=True")</f>
        <v>14.6403466421842</v>
      </c>
    </row>
    <row r="4077" spans="16:21" x14ac:dyDescent="0.25">
      <c r="P4077" s="10">
        <v>40442</v>
      </c>
      <c r="Q4077">
        <v>23.85614</v>
      </c>
      <c r="S4077" s="42">
        <f t="shared" ca="1" si="68"/>
        <v>49783</v>
      </c>
      <c r="T4077" s="43">
        <f ca="1">_xll.BInterpol('Base CDI'!$H$4:$H$28,'Base CDI'!$J$4:$J$29,S4077,"Cubic","Extrapolate=Linear","MultiX=Average","Skip=True","Sort=True")</f>
        <v>14.608728194350148</v>
      </c>
      <c r="U4077" s="43">
        <f ca="1">_xll.BInterpol('Base CDI'!$H$4:$H$28,'Base CDI'!$I$4:$I$29,S4077,"Cubic","Extrapolate=Linear","MultiX=Average","Skip=True","Sort=True")</f>
        <v>14.640067421360426</v>
      </c>
    </row>
    <row r="4078" spans="16:21" x14ac:dyDescent="0.25">
      <c r="P4078" s="10">
        <v>40443</v>
      </c>
      <c r="Q4078">
        <v>23.8657</v>
      </c>
      <c r="S4078" s="42">
        <f t="shared" ca="1" si="68"/>
        <v>49784</v>
      </c>
      <c r="T4078" s="43">
        <f ca="1">_xll.BInterpol('Base CDI'!$H$4:$H$28,'Base CDI'!$J$4:$J$29,S4078,"Cubic","Extrapolate=Linear","MultiX=Average","Skip=True","Sort=True")</f>
        <v>14.60856381836938</v>
      </c>
      <c r="U4078" s="43">
        <f ca="1">_xll.BInterpol('Base CDI'!$H$4:$H$28,'Base CDI'!$I$4:$I$29,S4078,"Cubic","Extrapolate=Linear","MultiX=Average","Skip=True","Sort=True")</f>
        <v>14.63978807829441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49785</v>
      </c>
      <c r="T4079" s="43">
        <f ca="1">_xll.BInterpol('Base CDI'!$H$4:$H$28,'Base CDI'!$J$4:$J$29,S4079,"Cubic","Extrapolate=Linear","MultiX=Average","Skip=True","Sort=True")</f>
        <v>14.608399390643006</v>
      </c>
      <c r="U4079" s="43">
        <f ca="1">_xll.BInterpol('Base CDI'!$H$4:$H$28,'Base CDI'!$I$4:$I$29,S4079,"Cubic","Extrapolate=Linear","MultiX=Average","Skip=True","Sort=True")</f>
        <v>14.63950861345813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49786</v>
      </c>
      <c r="T4080" s="43">
        <f ca="1">_xll.BInterpol('Base CDI'!$H$4:$H$28,'Base CDI'!$J$4:$J$29,S4080,"Cubic","Extrapolate=Linear","MultiX=Average","Skip=True","Sort=True")</f>
        <v>14.608234911371589</v>
      </c>
      <c r="U4080" s="43">
        <f ca="1">_xll.BInterpol('Base CDI'!$H$4:$H$28,'Base CDI'!$I$4:$I$29,S4080,"Cubic","Extrapolate=Linear","MultiX=Average","Skip=True","Sort=True")</f>
        <v>14.639229027323564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49787</v>
      </c>
      <c r="T4081" s="43">
        <f ca="1">_xll.BInterpol('Base CDI'!$H$4:$H$28,'Base CDI'!$J$4:$J$29,S4081,"Cubic","Extrapolate=Linear","MultiX=Average","Skip=True","Sort=True")</f>
        <v>14.608070380755695</v>
      </c>
      <c r="U4081" s="43">
        <f ca="1">_xll.BInterpol('Base CDI'!$H$4:$H$28,'Base CDI'!$I$4:$I$29,S4081,"Cubic","Extrapolate=Linear","MultiX=Average","Skip=True","Sort=True")</f>
        <v>14.638949320362691</v>
      </c>
    </row>
    <row r="4082" spans="16:21" x14ac:dyDescent="0.25">
      <c r="P4082" s="10">
        <v>40449</v>
      </c>
      <c r="Q4082">
        <v>23.90399</v>
      </c>
      <c r="S4082" s="42">
        <f t="shared" ca="1" si="68"/>
        <v>49788</v>
      </c>
      <c r="T4082" s="43">
        <f ca="1">_xll.BInterpol('Base CDI'!$H$4:$H$28,'Base CDI'!$J$4:$J$29,S4082,"Cubic","Extrapolate=Linear","MultiX=Average","Skip=True","Sort=True")</f>
        <v>14.607905798995887</v>
      </c>
      <c r="U4082" s="43">
        <f ca="1">_xll.BInterpol('Base CDI'!$H$4:$H$28,'Base CDI'!$I$4:$I$29,S4082,"Cubic","Extrapolate=Linear","MultiX=Average","Skip=True","Sort=True")</f>
        <v>14.638669493047489</v>
      </c>
    </row>
    <row r="4083" spans="16:21" x14ac:dyDescent="0.25">
      <c r="P4083" s="10">
        <v>40450</v>
      </c>
      <c r="Q4083">
        <v>23.91356</v>
      </c>
      <c r="S4083" s="42">
        <f t="shared" ca="1" si="68"/>
        <v>49789</v>
      </c>
      <c r="T4083" s="43">
        <f ca="1">_xll.BInterpol('Base CDI'!$H$4:$H$28,'Base CDI'!$J$4:$J$29,S4083,"Cubic","Extrapolate=Linear","MultiX=Average","Skip=True","Sort=True")</f>
        <v>14.607741166292728</v>
      </c>
      <c r="U4083" s="43">
        <f ca="1">_xll.BInterpol('Base CDI'!$H$4:$H$28,'Base CDI'!$I$4:$I$29,S4083,"Cubic","Extrapolate=Linear","MultiX=Average","Skip=True","Sort=True")</f>
        <v>14.638389545849932</v>
      </c>
    </row>
    <row r="4084" spans="16:21" x14ac:dyDescent="0.25">
      <c r="P4084" s="10">
        <v>40451</v>
      </c>
      <c r="Q4084">
        <v>23.92313</v>
      </c>
      <c r="S4084" s="42">
        <f t="shared" ca="1" si="68"/>
        <v>49790</v>
      </c>
      <c r="T4084" s="43">
        <f ca="1">_xll.BInterpol('Base CDI'!$H$4:$H$28,'Base CDI'!$J$4:$J$29,S4084,"Cubic","Extrapolate=Linear","MultiX=Average","Skip=True","Sort=True")</f>
        <v>14.607576482846786</v>
      </c>
      <c r="U4084" s="43">
        <f ca="1">_xll.BInterpol('Base CDI'!$H$4:$H$28,'Base CDI'!$I$4:$I$29,S4084,"Cubic","Extrapolate=Linear","MultiX=Average","Skip=True","Sort=True")</f>
        <v>14.638109479242003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49791</v>
      </c>
      <c r="T4085" s="43">
        <f ca="1">_xll.BInterpol('Base CDI'!$H$4:$H$28,'Base CDI'!$J$4:$J$29,S4085,"Cubic","Extrapolate=Linear","MultiX=Average","Skip=True","Sort=True")</f>
        <v>14.607411748858622</v>
      </c>
      <c r="U4085" s="43">
        <f ca="1">_xll.BInterpol('Base CDI'!$H$4:$H$28,'Base CDI'!$I$4:$I$29,S4085,"Cubic","Extrapolate=Linear","MultiX=Average","Skip=True","Sort=True")</f>
        <v>14.637829293695678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49792</v>
      </c>
      <c r="T4086" s="43">
        <f ca="1">_xll.BInterpol('Base CDI'!$H$4:$H$28,'Base CDI'!$J$4:$J$29,S4086,"Cubic","Extrapolate=Linear","MultiX=Average","Skip=True","Sort=True")</f>
        <v>14.607246964528803</v>
      </c>
      <c r="U4086" s="43">
        <f ca="1">_xll.BInterpol('Base CDI'!$H$4:$H$28,'Base CDI'!$I$4:$I$29,S4086,"Cubic","Extrapolate=Linear","MultiX=Average","Skip=True","Sort=True")</f>
        <v>14.637548989682932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49793</v>
      </c>
      <c r="T4087" s="43">
        <f ca="1">_xll.BInterpol('Base CDI'!$H$4:$H$28,'Base CDI'!$J$4:$J$29,S4087,"Cubic","Extrapolate=Linear","MultiX=Average","Skip=True","Sort=True")</f>
        <v>14.607082130057892</v>
      </c>
      <c r="U4087" s="43">
        <f ca="1">_xll.BInterpol('Base CDI'!$H$4:$H$28,'Base CDI'!$I$4:$I$29,S4087,"Cubic","Extrapolate=Linear","MultiX=Average","Skip=True","Sort=True")</f>
        <v>14.637268567675743</v>
      </c>
    </row>
    <row r="4088" spans="16:21" x14ac:dyDescent="0.25">
      <c r="P4088" s="10">
        <v>40457</v>
      </c>
      <c r="Q4088">
        <v>23.96153</v>
      </c>
      <c r="S4088" s="42">
        <f t="shared" ca="1" si="68"/>
        <v>49794</v>
      </c>
      <c r="T4088" s="43">
        <f ca="1">_xll.BInterpol('Base CDI'!$H$4:$H$28,'Base CDI'!$J$4:$J$29,S4088,"Cubic","Extrapolate=Linear","MultiX=Average","Skip=True","Sort=True")</f>
        <v>14.606917245646454</v>
      </c>
      <c r="U4088" s="43">
        <f ca="1">_xll.BInterpol('Base CDI'!$H$4:$H$28,'Base CDI'!$I$4:$I$29,S4088,"Cubic","Extrapolate=Linear","MultiX=Average","Skip=True","Sort=True")</f>
        <v>14.636988028146094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49795</v>
      </c>
      <c r="T4089" s="43">
        <f ca="1">_xll.BInterpol('Base CDI'!$H$4:$H$28,'Base CDI'!$J$4:$J$29,S4089,"Cubic","Extrapolate=Linear","MultiX=Average","Skip=True","Sort=True")</f>
        <v>14.60675231149505</v>
      </c>
      <c r="U4089" s="43">
        <f ca="1">_xll.BInterpol('Base CDI'!$H$4:$H$28,'Base CDI'!$I$4:$I$29,S4089,"Cubic","Extrapolate=Linear","MultiX=Average","Skip=True","Sort=True")</f>
        <v>14.636707371565958</v>
      </c>
    </row>
    <row r="4090" spans="16:21" x14ac:dyDescent="0.25">
      <c r="P4090" s="10">
        <v>40459</v>
      </c>
      <c r="Q4090">
        <v>23.98076</v>
      </c>
      <c r="S4090" s="42">
        <f t="shared" ca="1" si="68"/>
        <v>49796</v>
      </c>
      <c r="T4090" s="43">
        <f ca="1">_xll.BInterpol('Base CDI'!$H$4:$H$28,'Base CDI'!$J$4:$J$29,S4090,"Cubic","Extrapolate=Linear","MultiX=Average","Skip=True","Sort=True")</f>
        <v>14.606587327804251</v>
      </c>
      <c r="U4090" s="43">
        <f ca="1">_xll.BInterpol('Base CDI'!$H$4:$H$28,'Base CDI'!$I$4:$I$29,S4090,"Cubic","Extrapolate=Linear","MultiX=Average","Skip=True","Sort=True")</f>
        <v>14.636426598407313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49797</v>
      </c>
      <c r="T4091" s="43">
        <f ca="1">_xll.BInterpol('Base CDI'!$H$4:$H$28,'Base CDI'!$J$4:$J$29,S4091,"Cubic","Extrapolate=Linear","MultiX=Average","Skip=True","Sort=True")</f>
        <v>14.606422294774616</v>
      </c>
      <c r="U4091" s="43">
        <f ca="1">_xll.BInterpol('Base CDI'!$H$4:$H$28,'Base CDI'!$I$4:$I$29,S4091,"Cubic","Extrapolate=Linear","MultiX=Average","Skip=True","Sort=True")</f>
        <v>14.63614570914214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49798</v>
      </c>
      <c r="T4092" s="43">
        <f ca="1">_xll.BInterpol('Base CDI'!$H$4:$H$28,'Base CDI'!$J$4:$J$29,S4092,"Cubic","Extrapolate=Linear","MultiX=Average","Skip=True","Sort=True")</f>
        <v>14.60625721260671</v>
      </c>
      <c r="U4092" s="43">
        <f ca="1">_xll.BInterpol('Base CDI'!$H$4:$H$28,'Base CDI'!$I$4:$I$29,S4092,"Cubic","Extrapolate=Linear","MultiX=Average","Skip=True","Sort=True")</f>
        <v>14.635864704242413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49799</v>
      </c>
      <c r="T4093" s="43">
        <f ca="1">_xll.BInterpol('Base CDI'!$H$4:$H$28,'Base CDI'!$J$4:$J$29,S4093,"Cubic","Extrapolate=Linear","MultiX=Average","Skip=True","Sort=True")</f>
        <v>14.606092081501099</v>
      </c>
      <c r="U4093" s="43">
        <f ca="1">_xll.BInterpol('Base CDI'!$H$4:$H$28,'Base CDI'!$I$4:$I$29,S4093,"Cubic","Extrapolate=Linear","MultiX=Average","Skip=True","Sort=True")</f>
        <v>14.635583584180113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49800</v>
      </c>
      <c r="T4094" s="43">
        <f ca="1">_xll.BInterpol('Base CDI'!$H$4:$H$28,'Base CDI'!$J$4:$J$29,S4094,"Cubic","Extrapolate=Linear","MultiX=Average","Skip=True","Sort=True")</f>
        <v>14.605926901658346</v>
      </c>
      <c r="U4094" s="43">
        <f ca="1">_xll.BInterpol('Base CDI'!$H$4:$H$28,'Base CDI'!$I$4:$I$29,S4094,"Cubic","Extrapolate=Linear","MultiX=Average","Skip=True","Sort=True")</f>
        <v>14.635302349427214</v>
      </c>
    </row>
    <row r="4095" spans="16:21" x14ac:dyDescent="0.25">
      <c r="P4095" s="10">
        <v>40469</v>
      </c>
      <c r="Q4095">
        <v>24.02891</v>
      </c>
      <c r="S4095" s="42">
        <f t="shared" ca="1" si="68"/>
        <v>49801</v>
      </c>
      <c r="T4095" s="43">
        <f ca="1">_xll.BInterpol('Base CDI'!$H$4:$H$28,'Base CDI'!$J$4:$J$29,S4095,"Cubic","Extrapolate=Linear","MultiX=Average","Skip=True","Sort=True")</f>
        <v>14.605761673279018</v>
      </c>
      <c r="U4095" s="43">
        <f ca="1">_xll.BInterpol('Base CDI'!$H$4:$H$28,'Base CDI'!$I$4:$I$29,S4095,"Cubic","Extrapolate=Linear","MultiX=Average","Skip=True","Sort=True")</f>
        <v>14.635021000455696</v>
      </c>
    </row>
    <row r="4096" spans="16:21" x14ac:dyDescent="0.25">
      <c r="P4096" s="10">
        <v>40470</v>
      </c>
      <c r="Q4096">
        <v>24.03856</v>
      </c>
      <c r="S4096" s="42">
        <f t="shared" ca="1" si="68"/>
        <v>49802</v>
      </c>
      <c r="T4096" s="43">
        <f ca="1">_xll.BInterpol('Base CDI'!$H$4:$H$28,'Base CDI'!$J$4:$J$29,S4096,"Cubic","Extrapolate=Linear","MultiX=Average","Skip=True","Sort=True")</f>
        <v>14.605596396563676</v>
      </c>
      <c r="U4096" s="43">
        <f ca="1">_xll.BInterpol('Base CDI'!$H$4:$H$28,'Base CDI'!$I$4:$I$29,S4096,"Cubic","Extrapolate=Linear","MultiX=Average","Skip=True","Sort=True")</f>
        <v>14.634739537737538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49803</v>
      </c>
      <c r="T4097" s="43">
        <f ca="1">_xll.BInterpol('Base CDI'!$H$4:$H$28,'Base CDI'!$J$4:$J$29,S4097,"Cubic","Extrapolate=Linear","MultiX=Average","Skip=True","Sort=True")</f>
        <v>14.605431071712886</v>
      </c>
      <c r="U4097" s="43">
        <f ca="1">_xll.BInterpol('Base CDI'!$H$4:$H$28,'Base CDI'!$I$4:$I$29,S4097,"Cubic","Extrapolate=Linear","MultiX=Average","Skip=True","Sort=True")</f>
        <v>14.634457961744717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49804</v>
      </c>
      <c r="T4098" s="43">
        <f ca="1">_xll.BInterpol('Base CDI'!$H$4:$H$28,'Base CDI'!$J$4:$J$29,S4098,"Cubic","Extrapolate=Linear","MultiX=Average","Skip=True","Sort=True")</f>
        <v>14.605265698927212</v>
      </c>
      <c r="U4098" s="43">
        <f ca="1">_xll.BInterpol('Base CDI'!$H$4:$H$28,'Base CDI'!$I$4:$I$29,S4098,"Cubic","Extrapolate=Linear","MultiX=Average","Skip=True","Sort=True")</f>
        <v>14.634176272949208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49805</v>
      </c>
      <c r="T4099" s="43">
        <f ca="1">_xll.BInterpol('Base CDI'!$H$4:$H$28,'Base CDI'!$J$4:$J$29,S4099,"Cubic","Extrapolate=Linear","MultiX=Average","Skip=True","Sort=True")</f>
        <v>14.605100278407219</v>
      </c>
      <c r="U4099" s="43">
        <f ca="1">_xll.BInterpol('Base CDI'!$H$4:$H$28,'Base CDI'!$I$4:$I$29,S4099,"Cubic","Extrapolate=Linear","MultiX=Average","Skip=True","Sort=True")</f>
        <v>14.633894471822993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49806</v>
      </c>
      <c r="T4100" s="43">
        <f ca="1">_xll.BInterpol('Base CDI'!$H$4:$H$28,'Base CDI'!$J$4:$J$29,S4100,"Cubic","Extrapolate=Linear","MultiX=Average","Skip=True","Sort=True")</f>
        <v>14.604934810353472</v>
      </c>
      <c r="U4100" s="43">
        <f ca="1">_xll.BInterpol('Base CDI'!$H$4:$H$28,'Base CDI'!$I$4:$I$29,S4100,"Cubic","Extrapolate=Linear","MultiX=Average","Skip=True","Sort=True")</f>
        <v>14.633612558838045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49807</v>
      </c>
      <c r="T4101" s="43">
        <f ca="1">_xll.BInterpol('Base CDI'!$H$4:$H$28,'Base CDI'!$J$4:$J$29,S4101,"Cubic","Extrapolate=Linear","MultiX=Average","Skip=True","Sort=True")</f>
        <v>14.604769294966532</v>
      </c>
      <c r="U4101" s="43">
        <f ca="1">_xll.BInterpol('Base CDI'!$H$4:$H$28,'Base CDI'!$I$4:$I$29,S4101,"Cubic","Extrapolate=Linear","MultiX=Average","Skip=True","Sort=True")</f>
        <v>14.633330534466348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49808</v>
      </c>
      <c r="T4102" s="43">
        <f ca="1">_xll.BInterpol('Base CDI'!$H$4:$H$28,'Base CDI'!$J$4:$J$29,S4102,"Cubic","Extrapolate=Linear","MultiX=Average","Skip=True","Sort=True")</f>
        <v>14.604603732446966</v>
      </c>
      <c r="U4102" s="43">
        <f ca="1">_xll.BInterpol('Base CDI'!$H$4:$H$28,'Base CDI'!$I$4:$I$29,S4102,"Cubic","Extrapolate=Linear","MultiX=Average","Skip=True","Sort=True")</f>
        <v>14.633048399179874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49809</v>
      </c>
      <c r="T4103" s="43">
        <f ca="1">_xll.BInterpol('Base CDI'!$H$4:$H$28,'Base CDI'!$J$4:$J$29,S4103,"Cubic","Extrapolate=Linear","MultiX=Average","Skip=True","Sort=True")</f>
        <v>14.60443812299534</v>
      </c>
      <c r="U4103" s="43">
        <f ca="1">_xll.BInterpol('Base CDI'!$H$4:$H$28,'Base CDI'!$I$4:$I$29,S4103,"Cubic","Extrapolate=Linear","MultiX=Average","Skip=True","Sort=True")</f>
        <v>14.632766153450603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49810</v>
      </c>
      <c r="T4104" s="43">
        <f ca="1">_xll.BInterpol('Base CDI'!$H$4:$H$28,'Base CDI'!$J$4:$J$29,S4104,"Cubic","Extrapolate=Linear","MultiX=Average","Skip=True","Sort=True")</f>
        <v>14.604272466812214</v>
      </c>
      <c r="U4104" s="43">
        <f ca="1">_xll.BInterpol('Base CDI'!$H$4:$H$28,'Base CDI'!$I$4:$I$29,S4104,"Cubic","Extrapolate=Linear","MultiX=Average","Skip=True","Sort=True")</f>
        <v>14.632483797750513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49811</v>
      </c>
      <c r="T4105" s="43">
        <f ca="1">_xll.BInterpol('Base CDI'!$H$4:$H$28,'Base CDI'!$J$4:$J$29,S4105,"Cubic","Extrapolate=Linear","MultiX=Average","Skip=True","Sort=True")</f>
        <v>14.604106764098157</v>
      </c>
      <c r="U4105" s="43">
        <f ca="1">_xll.BInterpol('Base CDI'!$H$4:$H$28,'Base CDI'!$I$4:$I$29,S4105,"Cubic","Extrapolate=Linear","MultiX=Average","Skip=True","Sort=True")</f>
        <v>14.632201332551583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49812</v>
      </c>
      <c r="T4106" s="43">
        <f ca="1">_xll.BInterpol('Base CDI'!$H$4:$H$28,'Base CDI'!$J$4:$J$29,S4106,"Cubic","Extrapolate=Linear","MultiX=Average","Skip=True","Sort=True")</f>
        <v>14.60394101505373</v>
      </c>
      <c r="U4106" s="43">
        <f ca="1">_xll.BInterpol('Base CDI'!$H$4:$H$28,'Base CDI'!$I$4:$I$29,S4106,"Cubic","Extrapolate=Linear","MultiX=Average","Skip=True","Sort=True")</f>
        <v>14.631918758325787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49813</v>
      </c>
      <c r="T4107" s="43">
        <f ca="1">_xll.BInterpol('Base CDI'!$H$4:$H$28,'Base CDI'!$J$4:$J$29,S4107,"Cubic","Extrapolate=Linear","MultiX=Average","Skip=True","Sort=True")</f>
        <v>14.603775219879498</v>
      </c>
      <c r="U4107" s="43">
        <f ca="1">_xll.BInterpol('Base CDI'!$H$4:$H$28,'Base CDI'!$I$4:$I$29,S4107,"Cubic","Extrapolate=Linear","MultiX=Average","Skip=True","Sort=True")</f>
        <v>14.631636075545106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49814</v>
      </c>
      <c r="T4108" s="43">
        <f ca="1">_xll.BInterpol('Base CDI'!$H$4:$H$28,'Base CDI'!$J$4:$J$29,S4108,"Cubic","Extrapolate=Linear","MultiX=Average","Skip=True","Sort=True")</f>
        <v>14.603609378776026</v>
      </c>
      <c r="U4108" s="43">
        <f ca="1">_xll.BInterpol('Base CDI'!$H$4:$H$28,'Base CDI'!$I$4:$I$29,S4108,"Cubic","Extrapolate=Linear","MultiX=Average","Skip=True","Sort=True")</f>
        <v>14.631353284681518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49815</v>
      </c>
      <c r="T4109" s="43">
        <f ca="1">_xll.BInterpol('Base CDI'!$H$4:$H$28,'Base CDI'!$J$4:$J$29,S4109,"Cubic","Extrapolate=Linear","MultiX=Average","Skip=True","Sort=True")</f>
        <v>14.603443491943878</v>
      </c>
      <c r="U4109" s="43">
        <f ca="1">_xll.BInterpol('Base CDI'!$H$4:$H$28,'Base CDI'!$I$4:$I$29,S4109,"Cubic","Extrapolate=Linear","MultiX=Average","Skip=True","Sort=True")</f>
        <v>14.631070386206998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49816</v>
      </c>
      <c r="T4110" s="43">
        <f ca="1">_xll.BInterpol('Base CDI'!$H$4:$H$28,'Base CDI'!$J$4:$J$29,S4110,"Cubic","Extrapolate=Linear","MultiX=Average","Skip=True","Sort=True")</f>
        <v>14.603277559583619</v>
      </c>
      <c r="U4110" s="43">
        <f ca="1">_xll.BInterpol('Base CDI'!$H$4:$H$28,'Base CDI'!$I$4:$I$29,S4110,"Cubic","Extrapolate=Linear","MultiX=Average","Skip=True","Sort=True")</f>
        <v>14.630787380593526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49817</v>
      </c>
      <c r="T4111" s="43">
        <f ca="1">_xll.BInterpol('Base CDI'!$H$4:$H$28,'Base CDI'!$J$4:$J$29,S4111,"Cubic","Extrapolate=Linear","MultiX=Average","Skip=True","Sort=True")</f>
        <v>14.603111581895813</v>
      </c>
      <c r="U4111" s="43">
        <f ca="1">_xll.BInterpol('Base CDI'!$H$4:$H$28,'Base CDI'!$I$4:$I$29,S4111,"Cubic","Extrapolate=Linear","MultiX=Average","Skip=True","Sort=True")</f>
        <v>14.630504268313079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49818</v>
      </c>
      <c r="T4112" s="43">
        <f ca="1">_xll.BInterpol('Base CDI'!$H$4:$H$28,'Base CDI'!$J$4:$J$29,S4112,"Cubic","Extrapolate=Linear","MultiX=Average","Skip=True","Sort=True")</f>
        <v>14.602945559081025</v>
      </c>
      <c r="U4112" s="43">
        <f ca="1">_xll.BInterpol('Base CDI'!$H$4:$H$28,'Base CDI'!$I$4:$I$29,S4112,"Cubic","Extrapolate=Linear","MultiX=Average","Skip=True","Sort=True")</f>
        <v>14.630221049837635</v>
      </c>
    </row>
    <row r="4113" spans="16:21" x14ac:dyDescent="0.25">
      <c r="P4113" s="10">
        <v>40494</v>
      </c>
      <c r="Q4113">
        <v>24.20307</v>
      </c>
      <c r="S4113" s="42">
        <f t="shared" ca="1" si="69"/>
        <v>49819</v>
      </c>
      <c r="T4113" s="43">
        <f ca="1">_xll.BInterpol('Base CDI'!$H$4:$H$28,'Base CDI'!$J$4:$J$29,S4113,"Cubic","Extrapolate=Linear","MultiX=Average","Skip=True","Sort=True")</f>
        <v>14.602779491339819</v>
      </c>
      <c r="U4113" s="43">
        <f ca="1">_xll.BInterpol('Base CDI'!$H$4:$H$28,'Base CDI'!$I$4:$I$29,S4113,"Cubic","Extrapolate=Linear","MultiX=Average","Skip=True","Sort=True")</f>
        <v>14.629937725639172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49820</v>
      </c>
      <c r="T4114" s="43">
        <f ca="1">_xll.BInterpol('Base CDI'!$H$4:$H$28,'Base CDI'!$J$4:$J$29,S4114,"Cubic","Extrapolate=Linear","MultiX=Average","Skip=True","Sort=True")</f>
        <v>14.602613378872757</v>
      </c>
      <c r="U4114" s="43">
        <f ca="1">_xll.BInterpol('Base CDI'!$H$4:$H$28,'Base CDI'!$I$4:$I$29,S4114,"Cubic","Extrapolate=Linear","MultiX=Average","Skip=True","Sort=True")</f>
        <v>14.629654296189667</v>
      </c>
    </row>
    <row r="4115" spans="16:21" x14ac:dyDescent="0.25">
      <c r="P4115" s="10">
        <v>40499</v>
      </c>
      <c r="Q4115">
        <v>24.2225</v>
      </c>
      <c r="S4115" s="42">
        <f t="shared" ca="1" si="69"/>
        <v>49821</v>
      </c>
      <c r="T4115" s="43">
        <f ca="1">_xll.BInterpol('Base CDI'!$H$4:$H$28,'Base CDI'!$J$4:$J$29,S4115,"Cubic","Extrapolate=Linear","MultiX=Average","Skip=True","Sort=True")</f>
        <v>14.602447221880407</v>
      </c>
      <c r="U4115" s="43">
        <f ca="1">_xll.BInterpol('Base CDI'!$H$4:$H$28,'Base CDI'!$I$4:$I$29,S4115,"Cubic","Extrapolate=Linear","MultiX=Average","Skip=True","Sort=True")</f>
        <v>14.629370761961098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49822</v>
      </c>
      <c r="T4116" s="43">
        <f ca="1">_xll.BInterpol('Base CDI'!$H$4:$H$28,'Base CDI'!$J$4:$J$29,S4116,"Cubic","Extrapolate=Linear","MultiX=Average","Skip=True","Sort=True")</f>
        <v>14.60228102056333</v>
      </c>
      <c r="U4116" s="43">
        <f ca="1">_xll.BInterpol('Base CDI'!$H$4:$H$28,'Base CDI'!$I$4:$I$29,S4116,"Cubic","Extrapolate=Linear","MultiX=Average","Skip=True","Sort=True")</f>
        <v>14.629087123425442</v>
      </c>
    </row>
    <row r="4117" spans="16:21" x14ac:dyDescent="0.25">
      <c r="P4117" s="10">
        <v>40501</v>
      </c>
      <c r="Q4117">
        <v>24.24194</v>
      </c>
      <c r="S4117" s="42">
        <f t="shared" ca="1" si="69"/>
        <v>49823</v>
      </c>
      <c r="T4117" s="43">
        <f ca="1">_xll.BInterpol('Base CDI'!$H$4:$H$28,'Base CDI'!$J$4:$J$29,S4117,"Cubic","Extrapolate=Linear","MultiX=Average","Skip=True","Sort=True")</f>
        <v>14.602114775122095</v>
      </c>
      <c r="U4117" s="43">
        <f ca="1">_xll.BInterpol('Base CDI'!$H$4:$H$28,'Base CDI'!$I$4:$I$29,S4117,"Cubic","Extrapolate=Linear","MultiX=Average","Skip=True","Sort=True")</f>
        <v>14.628803381054681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49824</v>
      </c>
      <c r="T4118" s="43">
        <f ca="1">_xll.BInterpol('Base CDI'!$H$4:$H$28,'Base CDI'!$J$4:$J$29,S4118,"Cubic","Extrapolate=Linear","MultiX=Average","Skip=True","Sort=True")</f>
        <v>14.60194848575726</v>
      </c>
      <c r="U4118" s="43">
        <f ca="1">_xll.BInterpol('Base CDI'!$H$4:$H$28,'Base CDI'!$I$4:$I$29,S4118,"Cubic","Extrapolate=Linear","MultiX=Average","Skip=True","Sort=True")</f>
        <v>14.628519535320786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49825</v>
      </c>
      <c r="T4119" s="43">
        <f ca="1">_xll.BInterpol('Base CDI'!$H$4:$H$28,'Base CDI'!$J$4:$J$29,S4119,"Cubic","Extrapolate=Linear","MultiX=Average","Skip=True","Sort=True")</f>
        <v>14.601782152669395</v>
      </c>
      <c r="U4119" s="43">
        <f ca="1">_xll.BInterpol('Base CDI'!$H$4:$H$28,'Base CDI'!$I$4:$I$29,S4119,"Cubic","Extrapolate=Linear","MultiX=Average","Skip=True","Sort=True")</f>
        <v>14.628235586695741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49826</v>
      </c>
      <c r="T4120" s="43">
        <f ca="1">_xll.BInterpol('Base CDI'!$H$4:$H$28,'Base CDI'!$J$4:$J$29,S4120,"Cubic","Extrapolate=Linear","MultiX=Average","Skip=True","Sort=True")</f>
        <v>14.601615776059063</v>
      </c>
      <c r="U4120" s="43">
        <f ca="1">_xll.BInterpol('Base CDI'!$H$4:$H$28,'Base CDI'!$I$4:$I$29,S4120,"Cubic","Extrapolate=Linear","MultiX=Average","Skip=True","Sort=True")</f>
        <v>14.627951535651519</v>
      </c>
    </row>
    <row r="4121" spans="16:21" x14ac:dyDescent="0.25">
      <c r="P4121" s="10">
        <v>40507</v>
      </c>
      <c r="Q4121">
        <v>24.28088</v>
      </c>
      <c r="S4121" s="42">
        <f t="shared" ca="1" si="69"/>
        <v>49827</v>
      </c>
      <c r="T4121" s="43">
        <f ca="1">_xll.BInterpol('Base CDI'!$H$4:$H$28,'Base CDI'!$J$4:$J$29,S4121,"Cubic","Extrapolate=Linear","MultiX=Average","Skip=True","Sort=True")</f>
        <v>14.601449356126826</v>
      </c>
      <c r="U4121" s="43">
        <f ca="1">_xll.BInterpol('Base CDI'!$H$4:$H$28,'Base CDI'!$I$4:$I$29,S4121,"Cubic","Extrapolate=Linear","MultiX=Average","Skip=True","Sort=True")</f>
        <v>14.6276673826601</v>
      </c>
    </row>
    <row r="4122" spans="16:21" x14ac:dyDescent="0.25">
      <c r="P4122" s="10">
        <v>40508</v>
      </c>
      <c r="Q4122">
        <v>24.29063</v>
      </c>
      <c r="S4122" s="42">
        <f t="shared" ca="1" si="69"/>
        <v>49828</v>
      </c>
      <c r="T4122" s="43">
        <f ca="1">_xll.BInterpol('Base CDI'!$H$4:$H$28,'Base CDI'!$J$4:$J$29,S4122,"Cubic","Extrapolate=Linear","MultiX=Average","Skip=True","Sort=True")</f>
        <v>14.601282893073252</v>
      </c>
      <c r="U4122" s="43">
        <f ca="1">_xll.BInterpol('Base CDI'!$H$4:$H$28,'Base CDI'!$I$4:$I$29,S4122,"Cubic","Extrapolate=Linear","MultiX=Average","Skip=True","Sort=True")</f>
        <v>14.627383128193463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49829</v>
      </c>
      <c r="T4123" s="43">
        <f ca="1">_xll.BInterpol('Base CDI'!$H$4:$H$28,'Base CDI'!$J$4:$J$29,S4123,"Cubic","Extrapolate=Linear","MultiX=Average","Skip=True","Sort=True")</f>
        <v>14.601116387098902</v>
      </c>
      <c r="U4123" s="43">
        <f ca="1">_xll.BInterpol('Base CDI'!$H$4:$H$28,'Base CDI'!$I$4:$I$29,S4123,"Cubic","Extrapolate=Linear","MultiX=Average","Skip=True","Sort=True")</f>
        <v>14.627098772723583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49830</v>
      </c>
      <c r="T4124" s="43">
        <f ca="1">_xll.BInterpol('Base CDI'!$H$4:$H$28,'Base CDI'!$J$4:$J$29,S4124,"Cubic","Extrapolate=Linear","MultiX=Average","Skip=True","Sort=True")</f>
        <v>14.600949838404341</v>
      </c>
      <c r="U4124" s="43">
        <f ca="1">_xll.BInterpol('Base CDI'!$H$4:$H$28,'Base CDI'!$I$4:$I$29,S4124,"Cubic","Extrapolate=Linear","MultiX=Average","Skip=True","Sort=True")</f>
        <v>14.626814316722438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49831</v>
      </c>
      <c r="T4125" s="43">
        <f ca="1">_xll.BInterpol('Base CDI'!$H$4:$H$28,'Base CDI'!$J$4:$J$29,S4125,"Cubic","Extrapolate=Linear","MultiX=Average","Skip=True","Sort=True")</f>
        <v>14.600783247190135</v>
      </c>
      <c r="U4125" s="43">
        <f ca="1">_xll.BInterpol('Base CDI'!$H$4:$H$28,'Base CDI'!$I$4:$I$29,S4125,"Cubic","Extrapolate=Linear","MultiX=Average","Skip=True","Sort=True")</f>
        <v>14.626529760662009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49832</v>
      </c>
      <c r="T4126" s="43">
        <f ca="1">_xll.BInterpol('Base CDI'!$H$4:$H$28,'Base CDI'!$J$4:$J$29,S4126,"Cubic","Extrapolate=Linear","MultiX=Average","Skip=True","Sort=True")</f>
        <v>14.600616613656847</v>
      </c>
      <c r="U4126" s="43">
        <f ca="1">_xll.BInterpol('Base CDI'!$H$4:$H$28,'Base CDI'!$I$4:$I$29,S4126,"Cubic","Extrapolate=Linear","MultiX=Average","Skip=True","Sort=True")</f>
        <v>14.62624510501427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49833</v>
      </c>
      <c r="T4127" s="43">
        <f ca="1">_xll.BInterpol('Base CDI'!$H$4:$H$28,'Base CDI'!$J$4:$J$29,S4127,"Cubic","Extrapolate=Linear","MultiX=Average","Skip=True","Sort=True")</f>
        <v>14.600449938005044</v>
      </c>
      <c r="U4127" s="43">
        <f ca="1">_xll.BInterpol('Base CDI'!$H$4:$H$28,'Base CDI'!$I$4:$I$29,S4127,"Cubic","Extrapolate=Linear","MultiX=Average","Skip=True","Sort=True")</f>
        <v>14.625960350251201</v>
      </c>
    </row>
    <row r="4128" spans="16:21" x14ac:dyDescent="0.25">
      <c r="P4128" s="10">
        <v>40518</v>
      </c>
      <c r="Q4128">
        <v>24.34918</v>
      </c>
      <c r="S4128" s="42">
        <f t="shared" ca="1" si="69"/>
        <v>49834</v>
      </c>
      <c r="T4128" s="43">
        <f ca="1">_xll.BInterpol('Base CDI'!$H$4:$H$28,'Base CDI'!$J$4:$J$29,S4128,"Cubic","Extrapolate=Linear","MultiX=Average","Skip=True","Sort=True")</f>
        <v>14.600283220435285</v>
      </c>
      <c r="U4128" s="43">
        <f ca="1">_xll.BInterpol('Base CDI'!$H$4:$H$28,'Base CDI'!$I$4:$I$29,S4128,"Cubic","Extrapolate=Linear","MultiX=Average","Skip=True","Sort=True")</f>
        <v>14.62567549684478</v>
      </c>
    </row>
    <row r="4129" spans="16:21" x14ac:dyDescent="0.25">
      <c r="P4129" s="10">
        <v>40519</v>
      </c>
      <c r="Q4129">
        <v>24.35895</v>
      </c>
      <c r="S4129" s="42">
        <f t="shared" ca="1" si="69"/>
        <v>49835</v>
      </c>
      <c r="T4129" s="43">
        <f ca="1">_xll.BInterpol('Base CDI'!$H$4:$H$28,'Base CDI'!$J$4:$J$29,S4129,"Cubic","Extrapolate=Linear","MultiX=Average","Skip=True","Sort=True")</f>
        <v>14.60011646114814</v>
      </c>
      <c r="U4129" s="43">
        <f ca="1">_xll.BInterpol('Base CDI'!$H$4:$H$28,'Base CDI'!$I$4:$I$29,S4129,"Cubic","Extrapolate=Linear","MultiX=Average","Skip=True","Sort=True")</f>
        <v>14.625390545266983</v>
      </c>
    </row>
    <row r="4130" spans="16:21" x14ac:dyDescent="0.25">
      <c r="P4130" s="10">
        <v>40520</v>
      </c>
      <c r="Q4130">
        <v>24.36872</v>
      </c>
      <c r="S4130" s="42">
        <f t="shared" ca="1" si="69"/>
        <v>49836</v>
      </c>
      <c r="T4130" s="43">
        <f ca="1">_xll.BInterpol('Base CDI'!$H$4:$H$28,'Base CDI'!$J$4:$J$29,S4130,"Cubic","Extrapolate=Linear","MultiX=Average","Skip=True","Sort=True")</f>
        <v>14.599949660344169</v>
      </c>
      <c r="U4130" s="43">
        <f ca="1">_xll.BInterpol('Base CDI'!$H$4:$H$28,'Base CDI'!$I$4:$I$29,S4130,"Cubic","Extrapolate=Linear","MultiX=Average","Skip=True","Sort=True")</f>
        <v>14.625105495989789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49837</v>
      </c>
      <c r="T4131" s="43">
        <f ca="1">_xll.BInterpol('Base CDI'!$H$4:$H$28,'Base CDI'!$J$4:$J$29,S4131,"Cubic","Extrapolate=Linear","MultiX=Average","Skip=True","Sort=True")</f>
        <v>14.59978281822394</v>
      </c>
      <c r="U4131" s="43">
        <f ca="1">_xll.BInterpol('Base CDI'!$H$4:$H$28,'Base CDI'!$I$4:$I$29,S4131,"Cubic","Extrapolate=Linear","MultiX=Average","Skip=True","Sort=True")</f>
        <v>14.624820349485177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49838</v>
      </c>
      <c r="T4132" s="43">
        <f ca="1">_xll.BInterpol('Base CDI'!$H$4:$H$28,'Base CDI'!$J$4:$J$29,S4132,"Cubic","Extrapolate=Linear","MultiX=Average","Skip=True","Sort=True")</f>
        <v>14.599615934988014</v>
      </c>
      <c r="U4132" s="43">
        <f ca="1">_xll.BInterpol('Base CDI'!$H$4:$H$28,'Base CDI'!$I$4:$I$29,S4132,"Cubic","Extrapolate=Linear","MultiX=Average","Skip=True","Sort=True")</f>
        <v>14.624535106225121</v>
      </c>
    </row>
    <row r="4133" spans="16:21" x14ac:dyDescent="0.25">
      <c r="P4133" s="10">
        <v>40525</v>
      </c>
      <c r="Q4133">
        <v>24.39808</v>
      </c>
      <c r="S4133" s="42">
        <f t="shared" ca="1" si="69"/>
        <v>49839</v>
      </c>
      <c r="T4133" s="43">
        <f ca="1">_xll.BInterpol('Base CDI'!$H$4:$H$28,'Base CDI'!$J$4:$J$29,S4133,"Cubic","Extrapolate=Linear","MultiX=Average","Skip=True","Sort=True")</f>
        <v>14.599449010836958</v>
      </c>
      <c r="U4133" s="43">
        <f ca="1">_xll.BInterpol('Base CDI'!$H$4:$H$28,'Base CDI'!$I$4:$I$29,S4133,"Cubic","Extrapolate=Linear","MultiX=Average","Skip=True","Sort=True")</f>
        <v>14.624249766681601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49840</v>
      </c>
      <c r="T4134" s="43">
        <f ca="1">_xll.BInterpol('Base CDI'!$H$4:$H$28,'Base CDI'!$J$4:$J$29,S4134,"Cubic","Extrapolate=Linear","MultiX=Average","Skip=True","Sort=True")</f>
        <v>14.599282045971336</v>
      </c>
      <c r="U4134" s="43">
        <f ca="1">_xll.BInterpol('Base CDI'!$H$4:$H$28,'Base CDI'!$I$4:$I$29,S4134,"Cubic","Extrapolate=Linear","MultiX=Average","Skip=True","Sort=True")</f>
        <v>14.623964331326595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49841</v>
      </c>
      <c r="T4135" s="43">
        <f ca="1">_xll.BInterpol('Base CDI'!$H$4:$H$28,'Base CDI'!$J$4:$J$29,S4135,"Cubic","Extrapolate=Linear","MultiX=Average","Skip=True","Sort=True")</f>
        <v>14.599115040591711</v>
      </c>
      <c r="U4135" s="43">
        <f ca="1">_xll.BInterpol('Base CDI'!$H$4:$H$28,'Base CDI'!$I$4:$I$29,S4135,"Cubic","Extrapolate=Linear","MultiX=Average","Skip=True","Sort=True")</f>
        <v>14.62367880063208</v>
      </c>
    </row>
    <row r="4136" spans="16:21" x14ac:dyDescent="0.25">
      <c r="P4136" s="10">
        <v>40528</v>
      </c>
      <c r="Q4136">
        <v>24.42747</v>
      </c>
      <c r="S4136" s="42">
        <f t="shared" ca="1" si="69"/>
        <v>49842</v>
      </c>
      <c r="T4136" s="43">
        <f ca="1">_xll.BInterpol('Base CDI'!$H$4:$H$28,'Base CDI'!$J$4:$J$29,S4136,"Cubic","Extrapolate=Linear","MultiX=Average","Skip=True","Sort=True")</f>
        <v>14.598947994898648</v>
      </c>
      <c r="U4136" s="43">
        <f ca="1">_xll.BInterpol('Base CDI'!$H$4:$H$28,'Base CDI'!$I$4:$I$29,S4136,"Cubic","Extrapolate=Linear","MultiX=Average","Skip=True","Sort=True")</f>
        <v>14.623393175070035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49843</v>
      </c>
      <c r="T4137" s="43">
        <f ca="1">_xll.BInterpol('Base CDI'!$H$4:$H$28,'Base CDI'!$J$4:$J$29,S4137,"Cubic","Extrapolate=Linear","MultiX=Average","Skip=True","Sort=True")</f>
        <v>14.598780909092712</v>
      </c>
      <c r="U4137" s="43">
        <f ca="1">_xll.BInterpol('Base CDI'!$H$4:$H$28,'Base CDI'!$I$4:$I$29,S4137,"Cubic","Extrapolate=Linear","MultiX=Average","Skip=True","Sort=True")</f>
        <v>14.623107455112438</v>
      </c>
    </row>
    <row r="4138" spans="16:21" x14ac:dyDescent="0.25">
      <c r="P4138" s="10">
        <v>40532</v>
      </c>
      <c r="Q4138">
        <v>24.44708</v>
      </c>
      <c r="S4138" s="42">
        <f t="shared" ca="1" si="69"/>
        <v>49844</v>
      </c>
      <c r="T4138" s="43">
        <f ca="1">_xll.BInterpol('Base CDI'!$H$4:$H$28,'Base CDI'!$J$4:$J$29,S4138,"Cubic","Extrapolate=Linear","MultiX=Average","Skip=True","Sort=True")</f>
        <v>14.598613783374466</v>
      </c>
      <c r="U4138" s="43">
        <f ca="1">_xll.BInterpol('Base CDI'!$H$4:$H$28,'Base CDI'!$I$4:$I$29,S4138,"Cubic","Extrapolate=Linear","MultiX=Average","Skip=True","Sort=True")</f>
        <v>14.622821641231264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49845</v>
      </c>
      <c r="T4139" s="43">
        <f ca="1">_xll.BInterpol('Base CDI'!$H$4:$H$28,'Base CDI'!$J$4:$J$29,S4139,"Cubic","Extrapolate=Linear","MultiX=Average","Skip=True","Sort=True")</f>
        <v>14.598446617944475</v>
      </c>
      <c r="U4139" s="43">
        <f ca="1">_xll.BInterpol('Base CDI'!$H$4:$H$28,'Base CDI'!$I$4:$I$29,S4139,"Cubic","Extrapolate=Linear","MultiX=Average","Skip=True","Sort=True")</f>
        <v>14.622535733898493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49846</v>
      </c>
      <c r="T4140" s="43">
        <f ca="1">_xll.BInterpol('Base CDI'!$H$4:$H$28,'Base CDI'!$J$4:$J$29,S4140,"Cubic","Extrapolate=Linear","MultiX=Average","Skip=True","Sort=True")</f>
        <v>14.598279413003306</v>
      </c>
      <c r="U4140" s="43">
        <f ca="1">_xll.BInterpol('Base CDI'!$H$4:$H$28,'Base CDI'!$I$4:$I$29,S4140,"Cubic","Extrapolate=Linear","MultiX=Average","Skip=True","Sort=True")</f>
        <v>14.622249733586102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49847</v>
      </c>
      <c r="T4141" s="43">
        <f ca="1">_xll.BInterpol('Base CDI'!$H$4:$H$28,'Base CDI'!$J$4:$J$29,S4141,"Cubic","Extrapolate=Linear","MultiX=Average","Skip=True","Sort=True")</f>
        <v>14.598112168751518</v>
      </c>
      <c r="U4141" s="43">
        <f ca="1">_xll.BInterpol('Base CDI'!$H$4:$H$28,'Base CDI'!$I$4:$I$29,S4141,"Cubic","Extrapolate=Linear","MultiX=Average","Skip=True","Sort=True")</f>
        <v>14.62196364076607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49848</v>
      </c>
      <c r="T4142" s="43">
        <f ca="1">_xll.BInterpol('Base CDI'!$H$4:$H$28,'Base CDI'!$J$4:$J$29,S4142,"Cubic","Extrapolate=Linear","MultiX=Average","Skip=True","Sort=True")</f>
        <v>14.59794488538968</v>
      </c>
      <c r="U4142" s="43">
        <f ca="1">_xll.BInterpol('Base CDI'!$H$4:$H$28,'Base CDI'!$I$4:$I$29,S4142,"Cubic","Extrapolate=Linear","MultiX=Average","Skip=True","Sort=True")</f>
        <v>14.621677455910374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49849</v>
      </c>
      <c r="T4143" s="43">
        <f ca="1">_xll.BInterpol('Base CDI'!$H$4:$H$28,'Base CDI'!$J$4:$J$29,S4143,"Cubic","Extrapolate=Linear","MultiX=Average","Skip=True","Sort=True")</f>
        <v>14.597777563118354</v>
      </c>
      <c r="U4143" s="43">
        <f ca="1">_xll.BInterpol('Base CDI'!$H$4:$H$28,'Base CDI'!$I$4:$I$29,S4143,"Cubic","Extrapolate=Linear","MultiX=Average","Skip=True","Sort=True")</f>
        <v>14.62139117949099</v>
      </c>
    </row>
    <row r="4144" spans="16:21" x14ac:dyDescent="0.25">
      <c r="P4144" s="10">
        <v>40540</v>
      </c>
      <c r="Q4144">
        <v>24.506</v>
      </c>
      <c r="S4144" s="42">
        <f t="shared" ca="1" si="69"/>
        <v>49850</v>
      </c>
      <c r="T4144" s="43">
        <f ca="1">_xll.BInterpol('Base CDI'!$H$4:$H$28,'Base CDI'!$J$4:$J$29,S4144,"Cubic","Extrapolate=Linear","MultiX=Average","Skip=True","Sort=True")</f>
        <v>14.597610202138107</v>
      </c>
      <c r="U4144" s="43">
        <f ca="1">_xll.BInterpol('Base CDI'!$H$4:$H$28,'Base CDI'!$I$4:$I$29,S4144,"Cubic","Extrapolate=Linear","MultiX=Average","Skip=True","Sort=True")</f>
        <v>14.621104811979899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49851</v>
      </c>
      <c r="T4145" s="43">
        <f ca="1">_xll.BInterpol('Base CDI'!$H$4:$H$28,'Base CDI'!$J$4:$J$29,S4145,"Cubic","Extrapolate=Linear","MultiX=Average","Skip=True","Sort=True")</f>
        <v>14.5974428026495</v>
      </c>
      <c r="U4145" s="43">
        <f ca="1">_xll.BInterpol('Base CDI'!$H$4:$H$28,'Base CDI'!$I$4:$I$29,S4145,"Cubic","Extrapolate=Linear","MultiX=Average","Skip=True","Sort=True")</f>
        <v>14.620818353849076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49852</v>
      </c>
      <c r="T4146" s="43">
        <f ca="1">_xll.BInterpol('Base CDI'!$H$4:$H$28,'Base CDI'!$J$4:$J$29,S4146,"Cubic","Extrapolate=Linear","MultiX=Average","Skip=True","Sort=True")</f>
        <v>14.597275364853099</v>
      </c>
      <c r="U4146" s="43">
        <f ca="1">_xll.BInterpol('Base CDI'!$H$4:$H$28,'Base CDI'!$I$4:$I$29,S4146,"Cubic","Extrapolate=Linear","MultiX=Average","Skip=True","Sort=True")</f>
        <v>14.620531805570501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49853</v>
      </c>
      <c r="T4147" s="43">
        <f ca="1">_xll.BInterpol('Base CDI'!$H$4:$H$28,'Base CDI'!$J$4:$J$29,S4147,"Cubic","Extrapolate=Linear","MultiX=Average","Skip=True","Sort=True")</f>
        <v>14.597107888949468</v>
      </c>
      <c r="U4147" s="43">
        <f ca="1">_xll.BInterpol('Base CDI'!$H$4:$H$28,'Base CDI'!$I$4:$I$29,S4147,"Cubic","Extrapolate=Linear","MultiX=Average","Skip=True","Sort=True")</f>
        <v>14.620245167616151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49854</v>
      </c>
      <c r="T4148" s="43">
        <f ca="1">_xll.BInterpol('Base CDI'!$H$4:$H$28,'Base CDI'!$J$4:$J$29,S4148,"Cubic","Extrapolate=Linear","MultiX=Average","Skip=True","Sort=True")</f>
        <v>14.596940375139171</v>
      </c>
      <c r="U4148" s="43">
        <f ca="1">_xll.BInterpol('Base CDI'!$H$4:$H$28,'Base CDI'!$I$4:$I$29,S4148,"Cubic","Extrapolate=Linear","MultiX=Average","Skip=True","Sort=True")</f>
        <v>14.619958440458001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49855</v>
      </c>
      <c r="T4149" s="43">
        <f ca="1">_xll.BInterpol('Base CDI'!$H$4:$H$28,'Base CDI'!$J$4:$J$29,S4149,"Cubic","Extrapolate=Linear","MultiX=Average","Skip=True","Sort=True")</f>
        <v>14.596772823622773</v>
      </c>
      <c r="U4149" s="43">
        <f ca="1">_xll.BInterpol('Base CDI'!$H$4:$H$28,'Base CDI'!$I$4:$I$29,S4149,"Cubic","Extrapolate=Linear","MultiX=Average","Skip=True","Sort=True")</f>
        <v>14.619671624568033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49856</v>
      </c>
      <c r="T4150" s="43">
        <f ca="1">_xll.BInterpol('Base CDI'!$H$4:$H$28,'Base CDI'!$J$4:$J$29,S4150,"Cubic","Extrapolate=Linear","MultiX=Average","Skip=True","Sort=True")</f>
        <v>14.596605234600839</v>
      </c>
      <c r="U4150" s="43">
        <f ca="1">_xll.BInterpol('Base CDI'!$H$4:$H$28,'Base CDI'!$I$4:$I$29,S4150,"Cubic","Extrapolate=Linear","MultiX=Average","Skip=True","Sort=True")</f>
        <v>14.619384720418223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49857</v>
      </c>
      <c r="T4151" s="43">
        <f ca="1">_xll.BInterpol('Base CDI'!$H$4:$H$28,'Base CDI'!$J$4:$J$29,S4151,"Cubic","Extrapolate=Linear","MultiX=Average","Skip=True","Sort=True")</f>
        <v>14.596437608273932</v>
      </c>
      <c r="U4151" s="43">
        <f ca="1">_xll.BInterpol('Base CDI'!$H$4:$H$28,'Base CDI'!$I$4:$I$29,S4151,"Cubic","Extrapolate=Linear","MultiX=Average","Skip=True","Sort=True")</f>
        <v>14.619097728480549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49858</v>
      </c>
      <c r="T4152" s="43">
        <f ca="1">_xll.BInterpol('Base CDI'!$H$4:$H$28,'Base CDI'!$J$4:$J$29,S4152,"Cubic","Extrapolate=Linear","MultiX=Average","Skip=True","Sort=True")</f>
        <v>14.596269944842618</v>
      </c>
      <c r="U4152" s="43">
        <f ca="1">_xll.BInterpol('Base CDI'!$H$4:$H$28,'Base CDI'!$I$4:$I$29,S4152,"Cubic","Extrapolate=Linear","MultiX=Average","Skip=True","Sort=True")</f>
        <v>14.618810649226987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49859</v>
      </c>
      <c r="T4153" s="43">
        <f ca="1">_xll.BInterpol('Base CDI'!$H$4:$H$28,'Base CDI'!$J$4:$J$29,S4153,"Cubic","Extrapolate=Linear","MultiX=Average","Skip=True","Sort=True")</f>
        <v>14.59610224450746</v>
      </c>
      <c r="U4153" s="43">
        <f ca="1">_xll.BInterpol('Base CDI'!$H$4:$H$28,'Base CDI'!$I$4:$I$29,S4153,"Cubic","Extrapolate=Linear","MultiX=Average","Skip=True","Sort=True")</f>
        <v>14.618523483129518</v>
      </c>
    </row>
    <row r="4154" spans="16:21" x14ac:dyDescent="0.25">
      <c r="P4154" s="10">
        <v>40554</v>
      </c>
      <c r="Q4154">
        <v>24.60453</v>
      </c>
      <c r="S4154" s="42">
        <f t="shared" ca="1" si="69"/>
        <v>49860</v>
      </c>
      <c r="T4154" s="43">
        <f ca="1">_xll.BInterpol('Base CDI'!$H$4:$H$28,'Base CDI'!$J$4:$J$29,S4154,"Cubic","Extrapolate=Linear","MultiX=Average","Skip=True","Sort=True")</f>
        <v>14.595934507469021</v>
      </c>
      <c r="U4154" s="43">
        <f ca="1">_xll.BInterpol('Base CDI'!$H$4:$H$28,'Base CDI'!$I$4:$I$29,S4154,"Cubic","Extrapolate=Linear","MultiX=Average","Skip=True","Sort=True")</f>
        <v>14.618236230660116</v>
      </c>
    </row>
    <row r="4155" spans="16:21" x14ac:dyDescent="0.25">
      <c r="P4155" s="10">
        <v>40555</v>
      </c>
      <c r="Q4155">
        <v>24.6144</v>
      </c>
      <c r="S4155" s="42">
        <f t="shared" ca="1" si="69"/>
        <v>49861</v>
      </c>
      <c r="T4155" s="43">
        <f ca="1">_xll.BInterpol('Base CDI'!$H$4:$H$28,'Base CDI'!$J$4:$J$29,S4155,"Cubic","Extrapolate=Linear","MultiX=Average","Skip=True","Sort=True")</f>
        <v>14.595766733927869</v>
      </c>
      <c r="U4155" s="43">
        <f ca="1">_xll.BInterpol('Base CDI'!$H$4:$H$28,'Base CDI'!$I$4:$I$29,S4155,"Cubic","Extrapolate=Linear","MultiX=Average","Skip=True","Sort=True")</f>
        <v>14.617948892290762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49862</v>
      </c>
      <c r="T4156" s="43">
        <f ca="1">_xll.BInterpol('Base CDI'!$H$4:$H$28,'Base CDI'!$J$4:$J$29,S4156,"Cubic","Extrapolate=Linear","MultiX=Average","Skip=True","Sort=True")</f>
        <v>14.595598924084566</v>
      </c>
      <c r="U4156" s="43">
        <f ca="1">_xll.BInterpol('Base CDI'!$H$4:$H$28,'Base CDI'!$I$4:$I$29,S4156,"Cubic","Extrapolate=Linear","MultiX=Average","Skip=True","Sort=True")</f>
        <v>14.617661468493434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49863</v>
      </c>
      <c r="T4157" s="43">
        <f ca="1">_xll.BInterpol('Base CDI'!$H$4:$H$28,'Base CDI'!$J$4:$J$29,S4157,"Cubic","Extrapolate=Linear","MultiX=Average","Skip=True","Sort=True")</f>
        <v>14.595431078139677</v>
      </c>
      <c r="U4157" s="43">
        <f ca="1">_xll.BInterpol('Base CDI'!$H$4:$H$28,'Base CDI'!$I$4:$I$29,S4157,"Cubic","Extrapolate=Linear","MultiX=Average","Skip=True","Sort=True")</f>
        <v>14.617373959740107</v>
      </c>
    </row>
    <row r="4158" spans="16:21" x14ac:dyDescent="0.25">
      <c r="P4158" s="10">
        <v>40560</v>
      </c>
      <c r="Q4158">
        <v>24.64405</v>
      </c>
      <c r="S4158" s="42">
        <f t="shared" ca="1" si="69"/>
        <v>49864</v>
      </c>
      <c r="T4158" s="43">
        <f ca="1">_xll.BInterpol('Base CDI'!$H$4:$H$28,'Base CDI'!$J$4:$J$29,S4158,"Cubic","Extrapolate=Linear","MultiX=Average","Skip=True","Sort=True")</f>
        <v>14.595263196293766</v>
      </c>
      <c r="U4158" s="43">
        <f ca="1">_xll.BInterpol('Base CDI'!$H$4:$H$28,'Base CDI'!$I$4:$I$29,S4158,"Cubic","Extrapolate=Linear","MultiX=Average","Skip=True","Sort=True")</f>
        <v>14.617086366502759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49865</v>
      </c>
      <c r="T4159" s="43">
        <f ca="1">_xll.BInterpol('Base CDI'!$H$4:$H$28,'Base CDI'!$J$4:$J$29,S4159,"Cubic","Extrapolate=Linear","MultiX=Average","Skip=True","Sort=True")</f>
        <v>14.595095278747399</v>
      </c>
      <c r="U4159" s="43">
        <f ca="1">_xll.BInterpol('Base CDI'!$H$4:$H$28,'Base CDI'!$I$4:$I$29,S4159,"Cubic","Extrapolate=Linear","MultiX=Average","Skip=True","Sort=True")</f>
        <v>14.61679868925337</v>
      </c>
    </row>
    <row r="4160" spans="16:21" x14ac:dyDescent="0.25">
      <c r="P4160" s="10">
        <v>40562</v>
      </c>
      <c r="Q4160">
        <v>24.66384</v>
      </c>
      <c r="S4160" s="42">
        <f t="shared" ca="1" si="69"/>
        <v>49866</v>
      </c>
      <c r="T4160" s="43">
        <f ca="1">_xll.BInterpol('Base CDI'!$H$4:$H$28,'Base CDI'!$J$4:$J$29,S4160,"Cubic","Extrapolate=Linear","MultiX=Average","Skip=True","Sort=True")</f>
        <v>14.594927325701137</v>
      </c>
      <c r="U4160" s="43">
        <f ca="1">_xll.BInterpol('Base CDI'!$H$4:$H$28,'Base CDI'!$I$4:$I$29,S4160,"Cubic","Extrapolate=Linear","MultiX=Average","Skip=True","Sort=True")</f>
        <v>14.616510928463917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49867</v>
      </c>
      <c r="T4161" s="43">
        <f ca="1">_xll.BInterpol('Base CDI'!$H$4:$H$28,'Base CDI'!$J$4:$J$29,S4161,"Cubic","Extrapolate=Linear","MultiX=Average","Skip=True","Sort=True")</f>
        <v>14.594759337355548</v>
      </c>
      <c r="U4161" s="43">
        <f ca="1">_xll.BInterpol('Base CDI'!$H$4:$H$28,'Base CDI'!$I$4:$I$29,S4161,"Cubic","Extrapolate=Linear","MultiX=Average","Skip=True","Sort=True")</f>
        <v>14.616223084606377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49868</v>
      </c>
      <c r="T4162" s="43">
        <f ca="1">_xll.BInterpol('Base CDI'!$H$4:$H$28,'Base CDI'!$J$4:$J$29,S4162,"Cubic","Extrapolate=Linear","MultiX=Average","Skip=True","Sort=True")</f>
        <v>14.594591313911193</v>
      </c>
      <c r="U4162" s="43">
        <f ca="1">_xll.BInterpol('Base CDI'!$H$4:$H$28,'Base CDI'!$I$4:$I$29,S4162,"Cubic","Extrapolate=Linear","MultiX=Average","Skip=True","Sort=True")</f>
        <v>14.615935158152727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49869</v>
      </c>
      <c r="T4163" s="43">
        <f ca="1">_xll.BInterpol('Base CDI'!$H$4:$H$28,'Base CDI'!$J$4:$J$29,S4163,"Cubic","Extrapolate=Linear","MultiX=Average","Skip=True","Sort=True")</f>
        <v>14.594423255568639</v>
      </c>
      <c r="U4163" s="43">
        <f ca="1">_xll.BInterpol('Base CDI'!$H$4:$H$28,'Base CDI'!$I$4:$I$29,S4163,"Cubic","Extrapolate=Linear","MultiX=Average","Skip=True","Sort=True")</f>
        <v>14.615647149574947</v>
      </c>
    </row>
    <row r="4164" spans="16:21" x14ac:dyDescent="0.25">
      <c r="P4164" s="10">
        <v>40568</v>
      </c>
      <c r="Q4164">
        <v>24.70478</v>
      </c>
      <c r="S4164" s="42">
        <f t="shared" ca="1" si="69"/>
        <v>49870</v>
      </c>
      <c r="T4164" s="43">
        <f ca="1">_xll.BInterpol('Base CDI'!$H$4:$H$28,'Base CDI'!$J$4:$J$29,S4164,"Cubic","Extrapolate=Linear","MultiX=Average","Skip=True","Sort=True")</f>
        <v>14.59425516252845</v>
      </c>
      <c r="U4164" s="43">
        <f ca="1">_xll.BInterpol('Base CDI'!$H$4:$H$28,'Base CDI'!$I$4:$I$29,S4164,"Cubic","Extrapolate=Linear","MultiX=Average","Skip=True","Sort=True")</f>
        <v>14.615359059345014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49871</v>
      </c>
      <c r="T4165" s="43">
        <f ca="1">_xll.BInterpol('Base CDI'!$H$4:$H$28,'Base CDI'!$J$4:$J$29,S4165,"Cubic","Extrapolate=Linear","MultiX=Average","Skip=True","Sort=True")</f>
        <v>14.594087034991189</v>
      </c>
      <c r="U4165" s="43">
        <f ca="1">_xll.BInterpol('Base CDI'!$H$4:$H$28,'Base CDI'!$I$4:$I$29,S4165,"Cubic","Extrapolate=Linear","MultiX=Average","Skip=True","Sort=True")</f>
        <v>14.615070887934904</v>
      </c>
    </row>
    <row r="4166" spans="16:21" x14ac:dyDescent="0.25">
      <c r="P4166" s="10">
        <v>40570</v>
      </c>
      <c r="Q4166">
        <v>24.7255</v>
      </c>
      <c r="S4166" s="42">
        <f t="shared" ca="1" si="69"/>
        <v>49872</v>
      </c>
      <c r="T4166" s="43">
        <f ca="1">_xll.BInterpol('Base CDI'!$H$4:$H$28,'Base CDI'!$J$4:$J$29,S4166,"Cubic","Extrapolate=Linear","MultiX=Average","Skip=True","Sort=True")</f>
        <v>14.593918873157421</v>
      </c>
      <c r="U4166" s="43">
        <f ca="1">_xll.BInterpol('Base CDI'!$H$4:$H$28,'Base CDI'!$I$4:$I$29,S4166,"Cubic","Extrapolate=Linear","MultiX=Average","Skip=True","Sort=True")</f>
        <v>14.614782635816598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49873</v>
      </c>
      <c r="T4167" s="43">
        <f ca="1">_xll.BInterpol('Base CDI'!$H$4:$H$28,'Base CDI'!$J$4:$J$29,S4167,"Cubic","Extrapolate=Linear","MultiX=Average","Skip=True","Sort=True")</f>
        <v>14.59375067722771</v>
      </c>
      <c r="U4167" s="43">
        <f ca="1">_xll.BInterpol('Base CDI'!$H$4:$H$28,'Base CDI'!$I$4:$I$29,S4167,"Cubic","Extrapolate=Linear","MultiX=Average","Skip=True","Sort=True")</f>
        <v>14.61449430346207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49874</v>
      </c>
      <c r="T4168" s="43">
        <f ca="1">_xll.BInterpol('Base CDI'!$H$4:$H$28,'Base CDI'!$J$4:$J$29,S4168,"Cubic","Extrapolate=Linear","MultiX=Average","Skip=True","Sort=True")</f>
        <v>14.593582447402623</v>
      </c>
      <c r="U4168" s="43">
        <f ca="1">_xll.BInterpol('Base CDI'!$H$4:$H$28,'Base CDI'!$I$4:$I$29,S4168,"Cubic","Extrapolate=Linear","MultiX=Average","Skip=True","Sort=True")</f>
        <v>14.614205891343302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49875</v>
      </c>
      <c r="T4169" s="43">
        <f ca="1">_xll.BInterpol('Base CDI'!$H$4:$H$28,'Base CDI'!$J$4:$J$29,S4169,"Cubic","Extrapolate=Linear","MultiX=Average","Skip=True","Sort=True")</f>
        <v>14.59341418388272</v>
      </c>
      <c r="U4169" s="43">
        <f ca="1">_xll.BInterpol('Base CDI'!$H$4:$H$28,'Base CDI'!$I$4:$I$29,S4169,"Cubic","Extrapolate=Linear","MultiX=Average","Skip=True","Sort=True")</f>
        <v>14.613917399932268</v>
      </c>
    </row>
    <row r="4170" spans="16:21" x14ac:dyDescent="0.25">
      <c r="P4170" s="10">
        <v>40576</v>
      </c>
      <c r="Q4170">
        <v>24.76698</v>
      </c>
      <c r="S4170" s="42">
        <f t="shared" ca="1" si="69"/>
        <v>49876</v>
      </c>
      <c r="T4170" s="43">
        <f ca="1">_xll.BInterpol('Base CDI'!$H$4:$H$28,'Base CDI'!$J$4:$J$29,S4170,"Cubic","Extrapolate=Linear","MultiX=Average","Skip=True","Sort=True")</f>
        <v>14.593245886868569</v>
      </c>
      <c r="U4170" s="43">
        <f ca="1">_xll.BInterpol('Base CDI'!$H$4:$H$28,'Base CDI'!$I$4:$I$29,S4170,"Cubic","Extrapolate=Linear","MultiX=Average","Skip=True","Sort=True")</f>
        <v>14.613628829700946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49877</v>
      </c>
      <c r="T4171" s="43">
        <f ca="1">_xll.BInterpol('Base CDI'!$H$4:$H$28,'Base CDI'!$J$4:$J$29,S4171,"Cubic","Extrapolate=Linear","MultiX=Average","Skip=True","Sort=True")</f>
        <v>14.593077556560733</v>
      </c>
      <c r="U4171" s="43">
        <f ca="1">_xll.BInterpol('Base CDI'!$H$4:$H$28,'Base CDI'!$I$4:$I$29,S4171,"Cubic","Extrapolate=Linear","MultiX=Average","Skip=True","Sort=True")</f>
        <v>14.613340181121318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49878</v>
      </c>
      <c r="T4172" s="43">
        <f ca="1">_xll.BInterpol('Base CDI'!$H$4:$H$28,'Base CDI'!$J$4:$J$29,S4172,"Cubic","Extrapolate=Linear","MultiX=Average","Skip=True","Sort=True")</f>
        <v>14.592909193159775</v>
      </c>
      <c r="U4172" s="43">
        <f ca="1">_xll.BInterpol('Base CDI'!$H$4:$H$28,'Base CDI'!$I$4:$I$29,S4172,"Cubic","Extrapolate=Linear","MultiX=Average","Skip=True","Sort=True")</f>
        <v>14.613051454665356</v>
      </c>
    </row>
    <row r="4173" spans="16:21" x14ac:dyDescent="0.25">
      <c r="P4173" s="10">
        <v>40581</v>
      </c>
      <c r="Q4173">
        <v>24.79815</v>
      </c>
      <c r="S4173" s="42">
        <f t="shared" ca="1" si="70"/>
        <v>49879</v>
      </c>
      <c r="T4173" s="43">
        <f ca="1">_xll.BInterpol('Base CDI'!$H$4:$H$28,'Base CDI'!$J$4:$J$29,S4173,"Cubic","Extrapolate=Linear","MultiX=Average","Skip=True","Sort=True")</f>
        <v>14.592740796866261</v>
      </c>
      <c r="U4173" s="43">
        <f ca="1">_xll.BInterpol('Base CDI'!$H$4:$H$28,'Base CDI'!$I$4:$I$29,S4173,"Cubic","Extrapolate=Linear","MultiX=Average","Skip=True","Sort=True")</f>
        <v>14.612762650805044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49880</v>
      </c>
      <c r="T4174" s="43">
        <f ca="1">_xll.BInterpol('Base CDI'!$H$4:$H$28,'Base CDI'!$J$4:$J$29,S4174,"Cubic","Extrapolate=Linear","MultiX=Average","Skip=True","Sort=True")</f>
        <v>14.592572367880756</v>
      </c>
      <c r="U4174" s="43">
        <f ca="1">_xll.BInterpol('Base CDI'!$H$4:$H$28,'Base CDI'!$I$4:$I$29,S4174,"Cubic","Extrapolate=Linear","MultiX=Average","Skip=True","Sort=True")</f>
        <v>14.612473770012354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49881</v>
      </c>
      <c r="T4175" s="43">
        <f ca="1">_xll.BInterpol('Base CDI'!$H$4:$H$28,'Base CDI'!$J$4:$J$29,S4175,"Cubic","Extrapolate=Linear","MultiX=Average","Skip=True","Sort=True")</f>
        <v>14.592403906403824</v>
      </c>
      <c r="U4175" s="43">
        <f ca="1">_xll.BInterpol('Base CDI'!$H$4:$H$28,'Base CDI'!$I$4:$I$29,S4175,"Cubic","Extrapolate=Linear","MultiX=Average","Skip=True","Sort=True")</f>
        <v>14.612184812759265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49882</v>
      </c>
      <c r="T4176" s="43">
        <f ca="1">_xll.BInterpol('Base CDI'!$H$4:$H$28,'Base CDI'!$J$4:$J$29,S4176,"Cubic","Extrapolate=Linear","MultiX=Average","Skip=True","Sort=True")</f>
        <v>14.592235412636027</v>
      </c>
      <c r="U4176" s="43">
        <f ca="1">_xll.BInterpol('Base CDI'!$H$4:$H$28,'Base CDI'!$I$4:$I$29,S4176,"Cubic","Extrapolate=Linear","MultiX=Average","Skip=True","Sort=True")</f>
        <v>14.611895779517758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49883</v>
      </c>
      <c r="T4177" s="43">
        <f ca="1">_xll.BInterpol('Base CDI'!$H$4:$H$28,'Base CDI'!$J$4:$J$29,S4177,"Cubic","Extrapolate=Linear","MultiX=Average","Skip=True","Sort=True")</f>
        <v>14.592066886777934</v>
      </c>
      <c r="U4177" s="43">
        <f ca="1">_xll.BInterpol('Base CDI'!$H$4:$H$28,'Base CDI'!$I$4:$I$29,S4177,"Cubic","Extrapolate=Linear","MultiX=Average","Skip=True","Sort=True")</f>
        <v>14.611606670759807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49884</v>
      </c>
      <c r="T4178" s="43">
        <f ca="1">_xll.BInterpol('Base CDI'!$H$4:$H$28,'Base CDI'!$J$4:$J$29,S4178,"Cubic","Extrapolate=Linear","MultiX=Average","Skip=True","Sort=True")</f>
        <v>14.591898329030103</v>
      </c>
      <c r="U4178" s="43">
        <f ca="1">_xll.BInterpol('Base CDI'!$H$4:$H$28,'Base CDI'!$I$4:$I$29,S4178,"Cubic","Extrapolate=Linear","MultiX=Average","Skip=True","Sort=True")</f>
        <v>14.611317486957393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49885</v>
      </c>
      <c r="T4179" s="43">
        <f ca="1">_xll.BInterpol('Base CDI'!$H$4:$H$28,'Base CDI'!$J$4:$J$29,S4179,"Cubic","Extrapolate=Linear","MultiX=Average","Skip=True","Sort=True")</f>
        <v>14.591729739593104</v>
      </c>
      <c r="U4179" s="43">
        <f ca="1">_xll.BInterpol('Base CDI'!$H$4:$H$28,'Base CDI'!$I$4:$I$29,S4179,"Cubic","Extrapolate=Linear","MultiX=Average","Skip=True","Sort=True")</f>
        <v>14.611028228582491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49886</v>
      </c>
      <c r="T4180" s="43">
        <f ca="1">_xll.BInterpol('Base CDI'!$H$4:$H$28,'Base CDI'!$J$4:$J$29,S4180,"Cubic","Extrapolate=Linear","MultiX=Average","Skip=True","Sort=True")</f>
        <v>14.591561118667499</v>
      </c>
      <c r="U4180" s="43">
        <f ca="1">_xll.BInterpol('Base CDI'!$H$4:$H$28,'Base CDI'!$I$4:$I$29,S4180,"Cubic","Extrapolate=Linear","MultiX=Average","Skip=True","Sort=True")</f>
        <v>14.61073889610708</v>
      </c>
    </row>
    <row r="4181" spans="16:21" x14ac:dyDescent="0.25">
      <c r="P4181" s="10">
        <v>40591</v>
      </c>
      <c r="Q4181">
        <v>24.88147</v>
      </c>
      <c r="S4181" s="42">
        <f t="shared" ca="1" si="70"/>
        <v>49887</v>
      </c>
      <c r="T4181" s="43">
        <f ca="1">_xll.BInterpol('Base CDI'!$H$4:$H$28,'Base CDI'!$J$4:$J$29,S4181,"Cubic","Extrapolate=Linear","MultiX=Average","Skip=True","Sort=True")</f>
        <v>14.591392466453854</v>
      </c>
      <c r="U4181" s="43">
        <f ca="1">_xll.BInterpol('Base CDI'!$H$4:$H$28,'Base CDI'!$I$4:$I$29,S4181,"Cubic","Extrapolate=Linear","MultiX=Average","Skip=True","Sort=True")</f>
        <v>14.610449490003138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49888</v>
      </c>
      <c r="T4182" s="43">
        <f ca="1">_xll.BInterpol('Base CDI'!$H$4:$H$28,'Base CDI'!$J$4:$J$29,S4182,"Cubic","Extrapolate=Linear","MultiX=Average","Skip=True","Sort=True")</f>
        <v>14.59122378315273</v>
      </c>
      <c r="U4182" s="43">
        <f ca="1">_xll.BInterpol('Base CDI'!$H$4:$H$28,'Base CDI'!$I$4:$I$29,S4182,"Cubic","Extrapolate=Linear","MultiX=Average","Skip=True","Sort=True")</f>
        <v>14.610160010742643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49889</v>
      </c>
      <c r="T4183" s="43">
        <f ca="1">_xll.BInterpol('Base CDI'!$H$4:$H$28,'Base CDI'!$J$4:$J$29,S4183,"Cubic","Extrapolate=Linear","MultiX=Average","Skip=True","Sort=True")</f>
        <v>14.591055068964694</v>
      </c>
      <c r="U4183" s="43">
        <f ca="1">_xll.BInterpol('Base CDI'!$H$4:$H$28,'Base CDI'!$I$4:$I$29,S4183,"Cubic","Extrapolate=Linear","MultiX=Average","Skip=True","Sort=True")</f>
        <v>14.609870458797571</v>
      </c>
    </row>
    <row r="4184" spans="16:21" x14ac:dyDescent="0.25">
      <c r="P4184" s="10">
        <v>40596</v>
      </c>
      <c r="Q4184">
        <v>24.91282</v>
      </c>
      <c r="S4184" s="42">
        <f t="shared" ca="1" si="70"/>
        <v>49890</v>
      </c>
      <c r="T4184" s="43">
        <f ca="1">_xll.BInterpol('Base CDI'!$H$4:$H$28,'Base CDI'!$J$4:$J$29,S4184,"Cubic","Extrapolate=Linear","MultiX=Average","Skip=True","Sort=True")</f>
        <v>14.590886324090311</v>
      </c>
      <c r="U4184" s="43">
        <f ca="1">_xll.BInterpol('Base CDI'!$H$4:$H$28,'Base CDI'!$I$4:$I$29,S4184,"Cubic","Extrapolate=Linear","MultiX=Average","Skip=True","Sort=True")</f>
        <v>14.609580834639901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49891</v>
      </c>
      <c r="T4185" s="43">
        <f ca="1">_xll.BInterpol('Base CDI'!$H$4:$H$28,'Base CDI'!$J$4:$J$29,S4185,"Cubic","Extrapolate=Linear","MultiX=Average","Skip=True","Sort=True")</f>
        <v>14.590717548730142</v>
      </c>
      <c r="U4185" s="43">
        <f ca="1">_xll.BInterpol('Base CDI'!$H$4:$H$28,'Base CDI'!$I$4:$I$29,S4185,"Cubic","Extrapolate=Linear","MultiX=Average","Skip=True","Sort=True")</f>
        <v>14.609291138741611</v>
      </c>
    </row>
    <row r="4186" spans="16:21" x14ac:dyDescent="0.25">
      <c r="P4186" s="10">
        <v>40598</v>
      </c>
      <c r="Q4186">
        <v>24.93375</v>
      </c>
      <c r="S4186" s="42">
        <f t="shared" ca="1" si="70"/>
        <v>49892</v>
      </c>
      <c r="T4186" s="43">
        <f ca="1">_xll.BInterpol('Base CDI'!$H$4:$H$28,'Base CDI'!$J$4:$J$29,S4186,"Cubic","Extrapolate=Linear","MultiX=Average","Skip=True","Sort=True")</f>
        <v>14.590548743084755</v>
      </c>
      <c r="U4186" s="43">
        <f ca="1">_xll.BInterpol('Base CDI'!$H$4:$H$28,'Base CDI'!$I$4:$I$29,S4186,"Cubic","Extrapolate=Linear","MultiX=Average","Skip=True","Sort=True")</f>
        <v>14.60900137157468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49893</v>
      </c>
      <c r="T4187" s="43">
        <f ca="1">_xll.BInterpol('Base CDI'!$H$4:$H$28,'Base CDI'!$J$4:$J$29,S4187,"Cubic","Extrapolate=Linear","MultiX=Average","Skip=True","Sort=True")</f>
        <v>14.590379907354713</v>
      </c>
      <c r="U4187" s="43">
        <f ca="1">_xll.BInterpol('Base CDI'!$H$4:$H$28,'Base CDI'!$I$4:$I$29,S4187,"Cubic","Extrapolate=Linear","MultiX=Average","Skip=True","Sort=True")</f>
        <v>14.608711533611082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49894</v>
      </c>
      <c r="T4188" s="43">
        <f ca="1">_xll.BInterpol('Base CDI'!$H$4:$H$28,'Base CDI'!$J$4:$J$29,S4188,"Cubic","Extrapolate=Linear","MultiX=Average","Skip=True","Sort=True")</f>
        <v>14.590211041740579</v>
      </c>
      <c r="U4188" s="43">
        <f ca="1">_xll.BInterpol('Base CDI'!$H$4:$H$28,'Base CDI'!$I$4:$I$29,S4188,"Cubic","Extrapolate=Linear","MultiX=Average","Skip=True","Sort=True")</f>
        <v>14.608421625322798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49895</v>
      </c>
      <c r="T4189" s="43">
        <f ca="1">_xll.BInterpol('Base CDI'!$H$4:$H$28,'Base CDI'!$J$4:$J$29,S4189,"Cubic","Extrapolate=Linear","MultiX=Average","Skip=True","Sort=True")</f>
        <v>14.59004214644292</v>
      </c>
      <c r="U4189" s="43">
        <f ca="1">_xll.BInterpol('Base CDI'!$H$4:$H$28,'Base CDI'!$I$4:$I$29,S4189,"Cubic","Extrapolate=Linear","MultiX=Average","Skip=True","Sort=True")</f>
        <v>14.608131647181805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49896</v>
      </c>
      <c r="T4190" s="43">
        <f ca="1">_xll.BInterpol('Base CDI'!$H$4:$H$28,'Base CDI'!$J$4:$J$29,S4190,"Cubic","Extrapolate=Linear","MultiX=Average","Skip=True","Sort=True")</f>
        <v>14.589873221662298</v>
      </c>
      <c r="U4190" s="43">
        <f ca="1">_xll.BInterpol('Base CDI'!$H$4:$H$28,'Base CDI'!$I$4:$I$29,S4190,"Cubic","Extrapolate=Linear","MultiX=Average","Skip=True","Sort=True")</f>
        <v>14.60784159966008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49897</v>
      </c>
      <c r="T4191" s="43">
        <f ca="1">_xll.BInterpol('Base CDI'!$H$4:$H$28,'Base CDI'!$J$4:$J$29,S4191,"Cubic","Extrapolate=Linear","MultiX=Average","Skip=True","Sort=True")</f>
        <v>14.589704267599279</v>
      </c>
      <c r="U4191" s="43">
        <f ca="1">_xll.BInterpol('Base CDI'!$H$4:$H$28,'Base CDI'!$I$4:$I$29,S4191,"Cubic","Extrapolate=Linear","MultiX=Average","Skip=True","Sort=True")</f>
        <v>14.607551483229601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49898</v>
      </c>
      <c r="T4192" s="43">
        <f ca="1">_xll.BInterpol('Base CDI'!$H$4:$H$28,'Base CDI'!$J$4:$J$29,S4192,"Cubic","Extrapolate=Linear","MultiX=Average","Skip=True","Sort=True")</f>
        <v>14.589535284454426</v>
      </c>
      <c r="U4192" s="43">
        <f ca="1">_xll.BInterpol('Base CDI'!$H$4:$H$28,'Base CDI'!$I$4:$I$29,S4192,"Cubic","Extrapolate=Linear","MultiX=Average","Skip=True","Sort=True")</f>
        <v>14.607261298362348</v>
      </c>
    </row>
    <row r="4193" spans="16:21" x14ac:dyDescent="0.25">
      <c r="P4193" s="10">
        <v>40611</v>
      </c>
      <c r="Q4193">
        <v>25.00798</v>
      </c>
      <c r="S4193" s="42">
        <f t="shared" ca="1" si="70"/>
        <v>49899</v>
      </c>
      <c r="T4193" s="43">
        <f ca="1">_xll.BInterpol('Base CDI'!$H$4:$H$28,'Base CDI'!$J$4:$J$29,S4193,"Cubic","Extrapolate=Linear","MultiX=Average","Skip=True","Sort=True")</f>
        <v>14.589366272428306</v>
      </c>
      <c r="U4193" s="43">
        <f ca="1">_xll.BInterpol('Base CDI'!$H$4:$H$28,'Base CDI'!$I$4:$I$29,S4193,"Cubic","Extrapolate=Linear","MultiX=Average","Skip=True","Sort=True")</f>
        <v>14.606971045530296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49900</v>
      </c>
      <c r="T4194" s="43">
        <f ca="1">_xll.BInterpol('Base CDI'!$H$4:$H$28,'Base CDI'!$J$4:$J$29,S4194,"Cubic","Extrapolate=Linear","MultiX=Average","Skip=True","Sort=True")</f>
        <v>14.58919723172148</v>
      </c>
      <c r="U4194" s="43">
        <f ca="1">_xll.BInterpol('Base CDI'!$H$4:$H$28,'Base CDI'!$I$4:$I$29,S4194,"Cubic","Extrapolate=Linear","MultiX=Average","Skip=True","Sort=True")</f>
        <v>14.606680725205422</v>
      </c>
    </row>
    <row r="4195" spans="16:21" x14ac:dyDescent="0.25">
      <c r="P4195" s="10">
        <v>40613</v>
      </c>
      <c r="Q4195">
        <v>25.02984</v>
      </c>
      <c r="S4195" s="42">
        <f t="shared" ca="1" si="70"/>
        <v>49901</v>
      </c>
      <c r="T4195" s="43">
        <f ca="1">_xll.BInterpol('Base CDI'!$H$4:$H$28,'Base CDI'!$J$4:$J$29,S4195,"Cubic","Extrapolate=Linear","MultiX=Average","Skip=True","Sort=True")</f>
        <v>14.589028162534513</v>
      </c>
      <c r="U4195" s="43">
        <f ca="1">_xll.BInterpol('Base CDI'!$H$4:$H$28,'Base CDI'!$I$4:$I$29,S4195,"Cubic","Extrapolate=Linear","MultiX=Average","Skip=True","Sort=True")</f>
        <v>14.606390337859708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49902</v>
      </c>
      <c r="T4196" s="43">
        <f ca="1">_xll.BInterpol('Base CDI'!$H$4:$H$28,'Base CDI'!$J$4:$J$29,S4196,"Cubic","Extrapolate=Linear","MultiX=Average","Skip=True","Sort=True")</f>
        <v>14.58885906506797</v>
      </c>
      <c r="U4196" s="43">
        <f ca="1">_xll.BInterpol('Base CDI'!$H$4:$H$28,'Base CDI'!$I$4:$I$29,S4196,"Cubic","Extrapolate=Linear","MultiX=Average","Skip=True","Sort=True")</f>
        <v>14.606099883965127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49903</v>
      </c>
      <c r="T4197" s="43">
        <f ca="1">_xll.BInterpol('Base CDI'!$H$4:$H$28,'Base CDI'!$J$4:$J$29,S4197,"Cubic","Extrapolate=Linear","MultiX=Average","Skip=True","Sort=True")</f>
        <v>14.588689939522418</v>
      </c>
      <c r="U4197" s="43">
        <f ca="1">_xll.BInterpol('Base CDI'!$H$4:$H$28,'Base CDI'!$I$4:$I$29,S4197,"Cubic","Extrapolate=Linear","MultiX=Average","Skip=True","Sort=True")</f>
        <v>14.605809363993659</v>
      </c>
    </row>
    <row r="4198" spans="16:21" x14ac:dyDescent="0.25">
      <c r="P4198" s="10">
        <v>40618</v>
      </c>
      <c r="Q4198">
        <v>25.06268</v>
      </c>
      <c r="S4198" s="42">
        <f t="shared" ca="1" si="70"/>
        <v>49904</v>
      </c>
      <c r="T4198" s="43">
        <f ca="1">_xll.BInterpol('Base CDI'!$H$4:$H$28,'Base CDI'!$J$4:$J$29,S4198,"Cubic","Extrapolate=Linear","MultiX=Average","Skip=True","Sort=True")</f>
        <v>14.588520786098417</v>
      </c>
      <c r="U4198" s="43">
        <f ca="1">_xll.BInterpol('Base CDI'!$H$4:$H$28,'Base CDI'!$I$4:$I$29,S4198,"Cubic","Extrapolate=Linear","MultiX=Average","Skip=True","Sort=True")</f>
        <v>14.605518778417283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49905</v>
      </c>
      <c r="T4199" s="43">
        <f ca="1">_xll.BInterpol('Base CDI'!$H$4:$H$28,'Base CDI'!$J$4:$J$29,S4199,"Cubic","Extrapolate=Linear","MultiX=Average","Skip=True","Sort=True")</f>
        <v>14.588351604996534</v>
      </c>
      <c r="U4199" s="43">
        <f ca="1">_xll.BInterpol('Base CDI'!$H$4:$H$28,'Base CDI'!$I$4:$I$29,S4199,"Cubic","Extrapolate=Linear","MultiX=Average","Skip=True","Sort=True")</f>
        <v>14.605228127707974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49906</v>
      </c>
      <c r="T4200" s="43">
        <f ca="1">_xll.BInterpol('Base CDI'!$H$4:$H$28,'Base CDI'!$J$4:$J$29,S4200,"Cubic","Extrapolate=Linear","MultiX=Average","Skip=True","Sort=True")</f>
        <v>14.588182396417332</v>
      </c>
      <c r="U4200" s="43">
        <f ca="1">_xll.BInterpol('Base CDI'!$H$4:$H$28,'Base CDI'!$I$4:$I$29,S4200,"Cubic","Extrapolate=Linear","MultiX=Average","Skip=True","Sort=True")</f>
        <v>14.604937412337712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49907</v>
      </c>
      <c r="T4201" s="43">
        <f ca="1">_xll.BInterpol('Base CDI'!$H$4:$H$28,'Base CDI'!$J$4:$J$29,S4201,"Cubic","Extrapolate=Linear","MultiX=Average","Skip=True","Sort=True")</f>
        <v>14.588013160561376</v>
      </c>
      <c r="U4201" s="43">
        <f ca="1">_xll.BInterpol('Base CDI'!$H$4:$H$28,'Base CDI'!$I$4:$I$29,S4201,"Cubic","Extrapolate=Linear","MultiX=Average","Skip=True","Sort=True")</f>
        <v>14.604646632778474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49908</v>
      </c>
      <c r="T4202" s="43">
        <f ca="1">_xll.BInterpol('Base CDI'!$H$4:$H$28,'Base CDI'!$J$4:$J$29,S4202,"Cubic","Extrapolate=Linear","MultiX=Average","Skip=True","Sort=True")</f>
        <v>14.587843897629231</v>
      </c>
      <c r="U4202" s="43">
        <f ca="1">_xll.BInterpol('Base CDI'!$H$4:$H$28,'Base CDI'!$I$4:$I$29,S4202,"Cubic","Extrapolate=Linear","MultiX=Average","Skip=True","Sort=True")</f>
        <v>14.604355789502238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49909</v>
      </c>
      <c r="T4203" s="43">
        <f ca="1">_xll.BInterpol('Base CDI'!$H$4:$H$28,'Base CDI'!$J$4:$J$29,S4203,"Cubic","Extrapolate=Linear","MultiX=Average","Skip=True","Sort=True")</f>
        <v>14.587674607821461</v>
      </c>
      <c r="U4203" s="43">
        <f ca="1">_xll.BInterpol('Base CDI'!$H$4:$H$28,'Base CDI'!$I$4:$I$29,S4203,"Cubic","Extrapolate=Linear","MultiX=Average","Skip=True","Sort=True")</f>
        <v>14.604064882980982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49910</v>
      </c>
      <c r="T4204" s="43">
        <f ca="1">_xll.BInterpol('Base CDI'!$H$4:$H$28,'Base CDI'!$J$4:$J$29,S4204,"Cubic","Extrapolate=Linear","MultiX=Average","Skip=True","Sort=True")</f>
        <v>14.58750529133863</v>
      </c>
      <c r="U4204" s="43">
        <f ca="1">_xll.BInterpol('Base CDI'!$H$4:$H$28,'Base CDI'!$I$4:$I$29,S4204,"Cubic","Extrapolate=Linear","MultiX=Average","Skip=True","Sort=True")</f>
        <v>14.603773913686682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49911</v>
      </c>
      <c r="T4205" s="43">
        <f ca="1">_xll.BInterpol('Base CDI'!$H$4:$H$28,'Base CDI'!$J$4:$J$29,S4205,"Cubic","Extrapolate=Linear","MultiX=Average","Skip=True","Sort=True")</f>
        <v>14.587335948381302</v>
      </c>
      <c r="U4205" s="43">
        <f ca="1">_xll.BInterpol('Base CDI'!$H$4:$H$28,'Base CDI'!$I$4:$I$29,S4205,"Cubic","Extrapolate=Linear","MultiX=Average","Skip=True","Sort=True")</f>
        <v>14.603482882091317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49912</v>
      </c>
      <c r="T4206" s="43">
        <f ca="1">_xll.BInterpol('Base CDI'!$H$4:$H$28,'Base CDI'!$J$4:$J$29,S4206,"Cubic","Extrapolate=Linear","MultiX=Average","Skip=True","Sort=True")</f>
        <v>14.587166579150042</v>
      </c>
      <c r="U4206" s="43">
        <f ca="1">_xll.BInterpol('Base CDI'!$H$4:$H$28,'Base CDI'!$I$4:$I$29,S4206,"Cubic","Extrapolate=Linear","MultiX=Average","Skip=True","Sort=True")</f>
        <v>14.603191788666866</v>
      </c>
    </row>
    <row r="4207" spans="16:21" x14ac:dyDescent="0.25">
      <c r="P4207" s="10">
        <v>40631</v>
      </c>
      <c r="Q4207">
        <v>25.1615</v>
      </c>
      <c r="S4207" s="42">
        <f t="shared" ca="1" si="70"/>
        <v>49913</v>
      </c>
      <c r="T4207" s="43">
        <f ca="1">_xll.BInterpol('Base CDI'!$H$4:$H$28,'Base CDI'!$J$4:$J$29,S4207,"Cubic","Extrapolate=Linear","MultiX=Average","Skip=True","Sort=True")</f>
        <v>14.586997183845414</v>
      </c>
      <c r="U4207" s="43">
        <f ca="1">_xll.BInterpol('Base CDI'!$H$4:$H$28,'Base CDI'!$I$4:$I$29,S4207,"Cubic","Extrapolate=Linear","MultiX=Average","Skip=True","Sort=True")</f>
        <v>14.602900633885305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49914</v>
      </c>
      <c r="T4208" s="43">
        <f ca="1">_xll.BInterpol('Base CDI'!$H$4:$H$28,'Base CDI'!$J$4:$J$29,S4208,"Cubic","Extrapolate=Linear","MultiX=Average","Skip=True","Sort=True")</f>
        <v>14.586827762667982</v>
      </c>
      <c r="U4208" s="43">
        <f ca="1">_xll.BInterpol('Base CDI'!$H$4:$H$28,'Base CDI'!$I$4:$I$29,S4208,"Cubic","Extrapolate=Linear","MultiX=Average","Skip=True","Sort=True")</f>
        <v>14.602609418218611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49915</v>
      </c>
      <c r="T4209" s="43">
        <f ca="1">_xll.BInterpol('Base CDI'!$H$4:$H$28,'Base CDI'!$J$4:$J$29,S4209,"Cubic","Extrapolate=Linear","MultiX=Average","Skip=True","Sort=True")</f>
        <v>14.586658315818312</v>
      </c>
      <c r="U4209" s="43">
        <f ca="1">_xll.BInterpol('Base CDI'!$H$4:$H$28,'Base CDI'!$I$4:$I$29,S4209,"Cubic","Extrapolate=Linear","MultiX=Average","Skip=True","Sort=True")</f>
        <v>14.602318142138765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49916</v>
      </c>
      <c r="T4210" s="43">
        <f ca="1">_xll.BInterpol('Base CDI'!$H$4:$H$28,'Base CDI'!$J$4:$J$29,S4210,"Cubic","Extrapolate=Linear","MultiX=Average","Skip=True","Sort=True")</f>
        <v>14.586488843496968</v>
      </c>
      <c r="U4210" s="43">
        <f ca="1">_xll.BInterpol('Base CDI'!$H$4:$H$28,'Base CDI'!$I$4:$I$29,S4210,"Cubic","Extrapolate=Linear","MultiX=Average","Skip=True","Sort=True")</f>
        <v>14.602026806117742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49917</v>
      </c>
      <c r="T4211" s="43">
        <f ca="1">_xll.BInterpol('Base CDI'!$H$4:$H$28,'Base CDI'!$J$4:$J$29,S4211,"Cubic","Extrapolate=Linear","MultiX=Average","Skip=True","Sort=True")</f>
        <v>14.586319345904512</v>
      </c>
      <c r="U4211" s="43">
        <f ca="1">_xll.BInterpol('Base CDI'!$H$4:$H$28,'Base CDI'!$I$4:$I$29,S4211,"Cubic","Extrapolate=Linear","MultiX=Average","Skip=True","Sort=True")</f>
        <v>14.601735410627521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49918</v>
      </c>
      <c r="T4212" s="43">
        <f ca="1">_xll.BInterpol('Base CDI'!$H$4:$H$28,'Base CDI'!$J$4:$J$29,S4212,"Cubic","Extrapolate=Linear","MultiX=Average","Skip=True","Sort=True")</f>
        <v>14.586149823241511</v>
      </c>
      <c r="U4212" s="43">
        <f ca="1">_xll.BInterpol('Base CDI'!$H$4:$H$28,'Base CDI'!$I$4:$I$29,S4212,"Cubic","Extrapolate=Linear","MultiX=Average","Skip=True","Sort=True")</f>
        <v>14.601443956140079</v>
      </c>
    </row>
    <row r="4213" spans="16:21" x14ac:dyDescent="0.25">
      <c r="P4213" s="10">
        <v>40639</v>
      </c>
      <c r="Q4213">
        <v>25.22766</v>
      </c>
      <c r="S4213" s="42">
        <f t="shared" ca="1" si="70"/>
        <v>49919</v>
      </c>
      <c r="T4213" s="43">
        <f ca="1">_xll.BInterpol('Base CDI'!$H$4:$H$28,'Base CDI'!$J$4:$J$29,S4213,"Cubic","Extrapolate=Linear","MultiX=Average","Skip=True","Sort=True")</f>
        <v>14.585980275708529</v>
      </c>
      <c r="U4213" s="43">
        <f ca="1">_xll.BInterpol('Base CDI'!$H$4:$H$28,'Base CDI'!$I$4:$I$29,S4213,"Cubic","Extrapolate=Linear","MultiX=Average","Skip=True","Sort=True")</f>
        <v>14.601152443127393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49920</v>
      </c>
      <c r="T4214" s="43">
        <f ca="1">_xll.BInterpol('Base CDI'!$H$4:$H$28,'Base CDI'!$J$4:$J$29,S4214,"Cubic","Extrapolate=Linear","MultiX=Average","Skip=True","Sort=True")</f>
        <v>14.585810703506128</v>
      </c>
      <c r="U4214" s="43">
        <f ca="1">_xll.BInterpol('Base CDI'!$H$4:$H$28,'Base CDI'!$I$4:$I$29,S4214,"Cubic","Extrapolate=Linear","MultiX=Average","Skip=True","Sort=True")</f>
        <v>14.600860872061444</v>
      </c>
    </row>
    <row r="4215" spans="16:21" x14ac:dyDescent="0.25">
      <c r="P4215" s="10">
        <v>40641</v>
      </c>
      <c r="Q4215">
        <v>25.24972</v>
      </c>
      <c r="S4215" s="42">
        <f t="shared" ca="1" si="70"/>
        <v>49921</v>
      </c>
      <c r="T4215" s="43">
        <f ca="1">_xll.BInterpol('Base CDI'!$H$4:$H$28,'Base CDI'!$J$4:$J$29,S4215,"Cubic","Extrapolate=Linear","MultiX=Average","Skip=True","Sort=True")</f>
        <v>14.585641106834876</v>
      </c>
      <c r="U4215" s="43">
        <f ca="1">_xll.BInterpol('Base CDI'!$H$4:$H$28,'Base CDI'!$I$4:$I$29,S4215,"Cubic","Extrapolate=Linear","MultiX=Average","Skip=True","Sort=True")</f>
        <v>14.600569243414206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49922</v>
      </c>
      <c r="T4216" s="43">
        <f ca="1">_xll.BInterpol('Base CDI'!$H$4:$H$28,'Base CDI'!$J$4:$J$29,S4216,"Cubic","Extrapolate=Linear","MultiX=Average","Skip=True","Sort=True")</f>
        <v>14.585471485895335</v>
      </c>
      <c r="U4216" s="43">
        <f ca="1">_xll.BInterpol('Base CDI'!$H$4:$H$28,'Base CDI'!$I$4:$I$29,S4216,"Cubic","Extrapolate=Linear","MultiX=Average","Skip=True","Sort=True")</f>
        <v>14.600277557657661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49923</v>
      </c>
      <c r="T4217" s="43">
        <f ca="1">_xll.BInterpol('Base CDI'!$H$4:$H$28,'Base CDI'!$J$4:$J$29,S4217,"Cubic","Extrapolate=Linear","MultiX=Average","Skip=True","Sort=True")</f>
        <v>14.58530184088807</v>
      </c>
      <c r="U4217" s="43">
        <f ca="1">_xll.BInterpol('Base CDI'!$H$4:$H$28,'Base CDI'!$I$4:$I$29,S4217,"Cubic","Extrapolate=Linear","MultiX=Average","Skip=True","Sort=True")</f>
        <v>14.599985815263782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49924</v>
      </c>
      <c r="T4218" s="43">
        <f ca="1">_xll.BInterpol('Base CDI'!$H$4:$H$28,'Base CDI'!$J$4:$J$29,S4218,"Cubic","Extrapolate=Linear","MultiX=Average","Skip=True","Sort=True")</f>
        <v>14.585132172013644</v>
      </c>
      <c r="U4218" s="43">
        <f ca="1">_xll.BInterpol('Base CDI'!$H$4:$H$28,'Base CDI'!$I$4:$I$29,S4218,"Cubic","Extrapolate=Linear","MultiX=Average","Skip=True","Sort=True")</f>
        <v>14.599694016704548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49925</v>
      </c>
      <c r="T4219" s="43">
        <f ca="1">_xll.BInterpol('Base CDI'!$H$4:$H$28,'Base CDI'!$J$4:$J$29,S4219,"Cubic","Extrapolate=Linear","MultiX=Average","Skip=True","Sort=True")</f>
        <v>14.584962479472624</v>
      </c>
      <c r="U4219" s="43">
        <f ca="1">_xll.BInterpol('Base CDI'!$H$4:$H$28,'Base CDI'!$I$4:$I$29,S4219,"Cubic","Extrapolate=Linear","MultiX=Average","Skip=True","Sort=True")</f>
        <v>14.599402162451941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49926</v>
      </c>
      <c r="T4220" s="43">
        <f ca="1">_xll.BInterpol('Base CDI'!$H$4:$H$28,'Base CDI'!$J$4:$J$29,S4220,"Cubic","Extrapolate=Linear","MultiX=Average","Skip=True","Sort=True")</f>
        <v>14.584792763465574</v>
      </c>
      <c r="U4220" s="43">
        <f ca="1">_xll.BInterpol('Base CDI'!$H$4:$H$28,'Base CDI'!$I$4:$I$29,S4220,"Cubic","Extrapolate=Linear","MultiX=Average","Skip=True","Sort=True")</f>
        <v>14.599110252977933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49927</v>
      </c>
      <c r="T4221" s="43">
        <f ca="1">_xll.BInterpol('Base CDI'!$H$4:$H$28,'Base CDI'!$J$4:$J$29,S4221,"Cubic","Extrapolate=Linear","MultiX=Average","Skip=True","Sort=True")</f>
        <v>14.584623024193055</v>
      </c>
      <c r="U4221" s="43">
        <f ca="1">_xll.BInterpol('Base CDI'!$H$4:$H$28,'Base CDI'!$I$4:$I$29,S4221,"Cubic","Extrapolate=Linear","MultiX=Average","Skip=True","Sort=True")</f>
        <v>14.598818288754504</v>
      </c>
    </row>
    <row r="4222" spans="16:21" x14ac:dyDescent="0.25">
      <c r="P4222" s="10">
        <v>40652</v>
      </c>
      <c r="Q4222">
        <v>25.32715</v>
      </c>
      <c r="S4222" s="42">
        <f t="shared" ca="1" si="70"/>
        <v>49928</v>
      </c>
      <c r="T4222" s="43">
        <f ca="1">_xll.BInterpol('Base CDI'!$H$4:$H$28,'Base CDI'!$J$4:$J$29,S4222,"Cubic","Extrapolate=Linear","MultiX=Average","Skip=True","Sort=True")</f>
        <v>14.584453261855634</v>
      </c>
      <c r="U4222" s="43">
        <f ca="1">_xll.BInterpol('Base CDI'!$H$4:$H$28,'Base CDI'!$I$4:$I$29,S4222,"Cubic","Extrapolate=Linear","MultiX=Average","Skip=True","Sort=True")</f>
        <v>14.598526270253634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49929</v>
      </c>
      <c r="T4223" s="43">
        <f ca="1">_xll.BInterpol('Base CDI'!$H$4:$H$28,'Base CDI'!$J$4:$J$29,S4223,"Cubic","Extrapolate=Linear","MultiX=Average","Skip=True","Sort=True")</f>
        <v>14.584283476653876</v>
      </c>
      <c r="U4223" s="43">
        <f ca="1">_xll.BInterpol('Base CDI'!$H$4:$H$28,'Base CDI'!$I$4:$I$29,S4223,"Cubic","Extrapolate=Linear","MultiX=Average","Skip=True","Sort=True")</f>
        <v>14.598234197947297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49930</v>
      </c>
      <c r="T4224" s="43">
        <f ca="1">_xll.BInterpol('Base CDI'!$H$4:$H$28,'Base CDI'!$J$4:$J$29,S4224,"Cubic","Extrapolate=Linear","MultiX=Average","Skip=True","Sort=True")</f>
        <v>14.584113668788346</v>
      </c>
      <c r="U4224" s="43">
        <f ca="1">_xll.BInterpol('Base CDI'!$H$4:$H$28,'Base CDI'!$I$4:$I$29,S4224,"Cubic","Extrapolate=Linear","MultiX=Average","Skip=True","Sort=True")</f>
        <v>14.597942072307475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49931</v>
      </c>
      <c r="T4225" s="43">
        <f ca="1">_xll.BInterpol('Base CDI'!$H$4:$H$28,'Base CDI'!$J$4:$J$29,S4225,"Cubic","Extrapolate=Linear","MultiX=Average","Skip=True","Sort=True")</f>
        <v>14.583943838459604</v>
      </c>
      <c r="U4225" s="43">
        <f ca="1">_xll.BInterpol('Base CDI'!$H$4:$H$28,'Base CDI'!$I$4:$I$29,S4225,"Cubic","Extrapolate=Linear","MultiX=Average","Skip=True","Sort=True")</f>
        <v>14.597649893806141</v>
      </c>
    </row>
    <row r="4226" spans="16:21" x14ac:dyDescent="0.25">
      <c r="P4226" s="10">
        <v>40660</v>
      </c>
      <c r="Q4226">
        <v>25.37191</v>
      </c>
      <c r="S4226" s="42">
        <f t="shared" ca="1" si="70"/>
        <v>49932</v>
      </c>
      <c r="T4226" s="43">
        <f ca="1">_xll.BInterpol('Base CDI'!$H$4:$H$28,'Base CDI'!$J$4:$J$29,S4226,"Cubic","Extrapolate=Linear","MultiX=Average","Skip=True","Sort=True")</f>
        <v>14.583773985868218</v>
      </c>
      <c r="U4226" s="43">
        <f ca="1">_xll.BInterpol('Base CDI'!$H$4:$H$28,'Base CDI'!$I$4:$I$29,S4226,"Cubic","Extrapolate=Linear","MultiX=Average","Skip=True","Sort=True")</f>
        <v>14.597357662915275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49933</v>
      </c>
      <c r="T4227" s="43">
        <f ca="1">_xll.BInterpol('Base CDI'!$H$4:$H$28,'Base CDI'!$J$4:$J$29,S4227,"Cubic","Extrapolate=Linear","MultiX=Average","Skip=True","Sort=True")</f>
        <v>14.583604111214752</v>
      </c>
      <c r="U4227" s="43">
        <f ca="1">_xll.BInterpol('Base CDI'!$H$4:$H$28,'Base CDI'!$I$4:$I$29,S4227,"Cubic","Extrapolate=Linear","MultiX=Average","Skip=True","Sort=True")</f>
        <v>14.597065380106857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49934</v>
      </c>
      <c r="T4228" s="43">
        <f ca="1">_xll.BInterpol('Base CDI'!$H$4:$H$28,'Base CDI'!$J$4:$J$29,S4228,"Cubic","Extrapolate=Linear","MultiX=Average","Skip=True","Sort=True")</f>
        <v>14.583434214699771</v>
      </c>
      <c r="U4228" s="43">
        <f ca="1">_xll.BInterpol('Base CDI'!$H$4:$H$28,'Base CDI'!$I$4:$I$29,S4228,"Cubic","Extrapolate=Linear","MultiX=Average","Skip=True","Sort=True")</f>
        <v>14.596773045852862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49935</v>
      </c>
      <c r="T4229" s="43">
        <f ca="1">_xll.BInterpol('Base CDI'!$H$4:$H$28,'Base CDI'!$J$4:$J$29,S4229,"Cubic","Extrapolate=Linear","MultiX=Average","Skip=True","Sort=True")</f>
        <v>14.583264296523836</v>
      </c>
      <c r="U4229" s="43">
        <f ca="1">_xll.BInterpol('Base CDI'!$H$4:$H$28,'Base CDI'!$I$4:$I$29,S4229,"Cubic","Extrapolate=Linear","MultiX=Average","Skip=True","Sort=True")</f>
        <v>14.596480660625266</v>
      </c>
    </row>
    <row r="4230" spans="16:21" x14ac:dyDescent="0.25">
      <c r="P4230" s="10">
        <v>40666</v>
      </c>
      <c r="Q4230">
        <v>25.41722</v>
      </c>
      <c r="S4230" s="42">
        <f t="shared" ca="1" si="70"/>
        <v>49936</v>
      </c>
      <c r="T4230" s="43">
        <f ca="1">_xll.BInterpol('Base CDI'!$H$4:$H$28,'Base CDI'!$J$4:$J$29,S4230,"Cubic","Extrapolate=Linear","MultiX=Average","Skip=True","Sort=True")</f>
        <v>14.583094356887516</v>
      </c>
      <c r="U4230" s="43">
        <f ca="1">_xll.BInterpol('Base CDI'!$H$4:$H$28,'Base CDI'!$I$4:$I$29,S4230,"Cubic","Extrapolate=Linear","MultiX=Average","Skip=True","Sort=True")</f>
        <v>14.596188224896052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49937</v>
      </c>
      <c r="T4231" s="43">
        <f ca="1">_xll.BInterpol('Base CDI'!$H$4:$H$28,'Base CDI'!$J$4:$J$29,S4231,"Cubic","Extrapolate=Linear","MultiX=Average","Skip=True","Sort=True")</f>
        <v>14.582924395991371</v>
      </c>
      <c r="U4231" s="43">
        <f ca="1">_xll.BInterpol('Base CDI'!$H$4:$H$28,'Base CDI'!$I$4:$I$29,S4231,"Cubic","Extrapolate=Linear","MultiX=Average","Skip=True","Sort=True")</f>
        <v>14.595895739137193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49938</v>
      </c>
      <c r="T4232" s="43">
        <f ca="1">_xll.BInterpol('Base CDI'!$H$4:$H$28,'Base CDI'!$J$4:$J$29,S4232,"Cubic","Extrapolate=Linear","MultiX=Average","Skip=True","Sort=True")</f>
        <v>14.58275441403597</v>
      </c>
      <c r="U4232" s="43">
        <f ca="1">_xll.BInterpol('Base CDI'!$H$4:$H$28,'Base CDI'!$I$4:$I$29,S4232,"Cubic","Extrapolate=Linear","MultiX=Average","Skip=True","Sort=True")</f>
        <v>14.595603203820669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49939</v>
      </c>
      <c r="T4233" s="43">
        <f ca="1">_xll.BInterpol('Base CDI'!$H$4:$H$28,'Base CDI'!$J$4:$J$29,S4233,"Cubic","Extrapolate=Linear","MultiX=Average","Skip=True","Sort=True")</f>
        <v>14.582584411221873</v>
      </c>
      <c r="U4233" s="43">
        <f ca="1">_xll.BInterpol('Base CDI'!$H$4:$H$28,'Base CDI'!$I$4:$I$29,S4233,"Cubic","Extrapolate=Linear","MultiX=Average","Skip=True","Sort=True")</f>
        <v>14.595310619418459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49940</v>
      </c>
      <c r="T4234" s="43">
        <f ca="1">_xll.BInterpol('Base CDI'!$H$4:$H$28,'Base CDI'!$J$4:$J$29,S4234,"Cubic","Extrapolate=Linear","MultiX=Average","Skip=True","Sort=True")</f>
        <v>14.582414387749646</v>
      </c>
      <c r="U4234" s="43">
        <f ca="1">_xll.BInterpol('Base CDI'!$H$4:$H$28,'Base CDI'!$I$4:$I$29,S4234,"Cubic","Extrapolate=Linear","MultiX=Average","Skip=True","Sort=True")</f>
        <v>14.595017986402537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49941</v>
      </c>
      <c r="T4235" s="43">
        <f ca="1">_xll.BInterpol('Base CDI'!$H$4:$H$28,'Base CDI'!$J$4:$J$29,S4235,"Cubic","Extrapolate=Linear","MultiX=Average","Skip=True","Sort=True")</f>
        <v>14.582244343819854</v>
      </c>
      <c r="U4235" s="43">
        <f ca="1">_xll.BInterpol('Base CDI'!$H$4:$H$28,'Base CDI'!$I$4:$I$29,S4235,"Cubic","Extrapolate=Linear","MultiX=Average","Skip=True","Sort=True")</f>
        <v>14.594725305244884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49942</v>
      </c>
      <c r="T4236" s="43">
        <f ca="1">_xll.BInterpol('Base CDI'!$H$4:$H$28,'Base CDI'!$J$4:$J$29,S4236,"Cubic","Extrapolate=Linear","MultiX=Average","Skip=True","Sort=True")</f>
        <v>14.58207427963306</v>
      </c>
      <c r="U4236" s="43">
        <f ca="1">_xll.BInterpol('Base CDI'!$H$4:$H$28,'Base CDI'!$I$4:$I$29,S4236,"Cubic","Extrapolate=Linear","MultiX=Average","Skip=True","Sort=True")</f>
        <v>14.594432576417478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49943</v>
      </c>
      <c r="T4237" s="43">
        <f ca="1">_xll.BInterpol('Base CDI'!$H$4:$H$28,'Base CDI'!$J$4:$J$29,S4237,"Cubic","Extrapolate=Linear","MultiX=Average","Skip=True","Sort=True")</f>
        <v>14.58190419538983</v>
      </c>
      <c r="U4237" s="43">
        <f ca="1">_xll.BInterpol('Base CDI'!$H$4:$H$28,'Base CDI'!$I$4:$I$29,S4237,"Cubic","Extrapolate=Linear","MultiX=Average","Skip=True","Sort=True")</f>
        <v>14.594139800392293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49944</v>
      </c>
      <c r="T4238" s="43">
        <f ca="1">_xll.BInterpol('Base CDI'!$H$4:$H$28,'Base CDI'!$J$4:$J$29,S4238,"Cubic","Extrapolate=Linear","MultiX=Average","Skip=True","Sort=True")</f>
        <v>14.581734091290729</v>
      </c>
      <c r="U4238" s="43">
        <f ca="1">_xll.BInterpol('Base CDI'!$H$4:$H$28,'Base CDI'!$I$4:$I$29,S4238,"Cubic","Extrapolate=Linear","MultiX=Average","Skip=True","Sort=True")</f>
        <v>14.593846977641311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49945</v>
      </c>
      <c r="T4239" s="43">
        <f ca="1">_xll.BInterpol('Base CDI'!$H$4:$H$28,'Base CDI'!$J$4:$J$29,S4239,"Cubic","Extrapolate=Linear","MultiX=Average","Skip=True","Sort=True")</f>
        <v>14.581563967536317</v>
      </c>
      <c r="U4239" s="43">
        <f ca="1">_xll.BInterpol('Base CDI'!$H$4:$H$28,'Base CDI'!$I$4:$I$29,S4239,"Cubic","Extrapolate=Linear","MultiX=Average","Skip=True","Sort=True")</f>
        <v>14.593554108636509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49946</v>
      </c>
      <c r="T4240" s="43">
        <f ca="1">_xll.BInterpol('Base CDI'!$H$4:$H$28,'Base CDI'!$J$4:$J$29,S4240,"Cubic","Extrapolate=Linear","MultiX=Average","Skip=True","Sort=True")</f>
        <v>14.581393824327163</v>
      </c>
      <c r="U4240" s="43">
        <f ca="1">_xll.BInterpol('Base CDI'!$H$4:$H$28,'Base CDI'!$I$4:$I$29,S4240,"Cubic","Extrapolate=Linear","MultiX=Average","Skip=True","Sort=True")</f>
        <v>14.593261193849862</v>
      </c>
    </row>
    <row r="4241" spans="16:21" x14ac:dyDescent="0.25">
      <c r="P4241" s="10">
        <v>40681</v>
      </c>
      <c r="Q4241">
        <v>25.54213</v>
      </c>
      <c r="S4241" s="42">
        <f t="shared" ca="1" si="71"/>
        <v>49947</v>
      </c>
      <c r="T4241" s="43">
        <f ca="1">_xll.BInterpol('Base CDI'!$H$4:$H$28,'Base CDI'!$J$4:$J$29,S4241,"Cubic","Extrapolate=Linear","MultiX=Average","Skip=True","Sort=True")</f>
        <v>14.581223661863831</v>
      </c>
      <c r="U4241" s="43">
        <f ca="1">_xll.BInterpol('Base CDI'!$H$4:$H$28,'Base CDI'!$I$4:$I$29,S4241,"Cubic","Extrapolate=Linear","MultiX=Average","Skip=True","Sort=True")</f>
        <v>14.59296823375335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49948</v>
      </c>
      <c r="T4242" s="43">
        <f ca="1">_xll.BInterpol('Base CDI'!$H$4:$H$28,'Base CDI'!$J$4:$J$29,S4242,"Cubic","Extrapolate=Linear","MultiX=Average","Skip=True","Sort=True")</f>
        <v>14.581053480346881</v>
      </c>
      <c r="U4242" s="43">
        <f ca="1">_xll.BInterpol('Base CDI'!$H$4:$H$28,'Base CDI'!$I$4:$I$29,S4242,"Cubic","Extrapolate=Linear","MultiX=Average","Skip=True","Sort=True")</f>
        <v>14.592675228818949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49949</v>
      </c>
      <c r="T4243" s="43">
        <f ca="1">_xll.BInterpol('Base CDI'!$H$4:$H$28,'Base CDI'!$J$4:$J$29,S4243,"Cubic","Extrapolate=Linear","MultiX=Average","Skip=True","Sort=True")</f>
        <v>14.580883279976883</v>
      </c>
      <c r="U4243" s="43">
        <f ca="1">_xll.BInterpol('Base CDI'!$H$4:$H$28,'Base CDI'!$I$4:$I$29,S4243,"Cubic","Extrapolate=Linear","MultiX=Average","Skip=True","Sort=True")</f>
        <v>14.592382179518641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49950</v>
      </c>
      <c r="T4244" s="43">
        <f ca="1">_xll.BInterpol('Base CDI'!$H$4:$H$28,'Base CDI'!$J$4:$J$29,S4244,"Cubic","Extrapolate=Linear","MultiX=Average","Skip=True","Sort=True")</f>
        <v>14.580713060954398</v>
      </c>
      <c r="U4244" s="43">
        <f ca="1">_xll.BInterpol('Base CDI'!$H$4:$H$28,'Base CDI'!$I$4:$I$29,S4244,"Cubic","Extrapolate=Linear","MultiX=Average","Skip=True","Sort=True")</f>
        <v>14.592089086324398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49951</v>
      </c>
      <c r="T4245" s="43">
        <f ca="1">_xll.BInterpol('Base CDI'!$H$4:$H$28,'Base CDI'!$J$4:$J$29,S4245,"Cubic","Extrapolate=Linear","MultiX=Average","Skip=True","Sort=True")</f>
        <v>14.580542823479991</v>
      </c>
      <c r="U4245" s="43">
        <f ca="1">_xll.BInterpol('Base CDI'!$H$4:$H$28,'Base CDI'!$I$4:$I$29,S4245,"Cubic","Extrapolate=Linear","MultiX=Average","Skip=True","Sort=True")</f>
        <v>14.591795949708203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49952</v>
      </c>
      <c r="T4246" s="43">
        <f ca="1">_xll.BInterpol('Base CDI'!$H$4:$H$28,'Base CDI'!$J$4:$J$29,S4246,"Cubic","Extrapolate=Linear","MultiX=Average","Skip=True","Sort=True")</f>
        <v>14.580372567754226</v>
      </c>
      <c r="U4246" s="43">
        <f ca="1">_xll.BInterpol('Base CDI'!$H$4:$H$28,'Base CDI'!$I$4:$I$29,S4246,"Cubic","Extrapolate=Linear","MultiX=Average","Skip=True","Sort=True")</f>
        <v>14.59150277014203</v>
      </c>
    </row>
    <row r="4247" spans="16:21" x14ac:dyDescent="0.25">
      <c r="P4247" s="10">
        <v>40689</v>
      </c>
      <c r="Q4247">
        <v>25.61055</v>
      </c>
      <c r="S4247" s="42">
        <f t="shared" ca="1" si="71"/>
        <v>49953</v>
      </c>
      <c r="T4247" s="43">
        <f ca="1">_xll.BInterpol('Base CDI'!$H$4:$H$28,'Base CDI'!$J$4:$J$29,S4247,"Cubic","Extrapolate=Linear","MultiX=Average","Skip=True","Sort=True")</f>
        <v>14.580202293977671</v>
      </c>
      <c r="U4247" s="43">
        <f ca="1">_xll.BInterpol('Base CDI'!$H$4:$H$28,'Base CDI'!$I$4:$I$29,S4247,"Cubic","Extrapolate=Linear","MultiX=Average","Skip=True","Sort=True")</f>
        <v>14.591209548097858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49954</v>
      </c>
      <c r="T4248" s="43">
        <f ca="1">_xll.BInterpol('Base CDI'!$H$4:$H$28,'Base CDI'!$J$4:$J$29,S4248,"Cubic","Extrapolate=Linear","MultiX=Average","Skip=True","Sort=True")</f>
        <v>14.580032002350883</v>
      </c>
      <c r="U4248" s="43">
        <f ca="1">_xll.BInterpol('Base CDI'!$H$4:$H$28,'Base CDI'!$I$4:$I$29,S4248,"Cubic","Extrapolate=Linear","MultiX=Average","Skip=True","Sort=True")</f>
        <v>14.590916284047665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49955</v>
      </c>
      <c r="T4249" s="43">
        <f ca="1">_xll.BInterpol('Base CDI'!$H$4:$H$28,'Base CDI'!$J$4:$J$29,S4249,"Cubic","Extrapolate=Linear","MultiX=Average","Skip=True","Sort=True")</f>
        <v>14.579861693074434</v>
      </c>
      <c r="U4249" s="43">
        <f ca="1">_xll.BInterpol('Base CDI'!$H$4:$H$28,'Base CDI'!$I$4:$I$29,S4249,"Cubic","Extrapolate=Linear","MultiX=Average","Skip=True","Sort=True")</f>
        <v>14.590622978463429</v>
      </c>
    </row>
    <row r="4250" spans="16:21" x14ac:dyDescent="0.25">
      <c r="P4250" s="10">
        <v>40694</v>
      </c>
      <c r="Q4250">
        <v>25.6448</v>
      </c>
      <c r="S4250" s="42">
        <f t="shared" ca="1" si="71"/>
        <v>49956</v>
      </c>
      <c r="T4250" s="43">
        <f ca="1">_xll.BInterpol('Base CDI'!$H$4:$H$28,'Base CDI'!$J$4:$J$29,S4250,"Cubic","Extrapolate=Linear","MultiX=Average","Skip=True","Sort=True")</f>
        <v>14.579691366348884</v>
      </c>
      <c r="U4250" s="43">
        <f ca="1">_xll.BInterpol('Base CDI'!$H$4:$H$28,'Base CDI'!$I$4:$I$29,S4250,"Cubic","Extrapolate=Linear","MultiX=Average","Skip=True","Sort=True")</f>
        <v>14.590329631817129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49957</v>
      </c>
      <c r="T4251" s="43">
        <f ca="1">_xll.BInterpol('Base CDI'!$H$4:$H$28,'Base CDI'!$J$4:$J$29,S4251,"Cubic","Extrapolate=Linear","MultiX=Average","Skip=True","Sort=True")</f>
        <v>14.579521022374797</v>
      </c>
      <c r="U4251" s="43">
        <f ca="1">_xll.BInterpol('Base CDI'!$H$4:$H$28,'Base CDI'!$I$4:$I$29,S4251,"Cubic","Extrapolate=Linear","MultiX=Average","Skip=True","Sort=True")</f>
        <v>14.590036244580739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49958</v>
      </c>
      <c r="T4252" s="43">
        <f ca="1">_xll.BInterpol('Base CDI'!$H$4:$H$28,'Base CDI'!$J$4:$J$29,S4252,"Cubic","Extrapolate=Linear","MultiX=Average","Skip=True","Sort=True")</f>
        <v>14.579350661352741</v>
      </c>
      <c r="U4252" s="43">
        <f ca="1">_xll.BInterpol('Base CDI'!$H$4:$H$28,'Base CDI'!$I$4:$I$29,S4252,"Cubic","Extrapolate=Linear","MultiX=Average","Skip=True","Sort=True")</f>
        <v>14.58974281722624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49959</v>
      </c>
      <c r="T4253" s="43">
        <f ca="1">_xll.BInterpol('Base CDI'!$H$4:$H$28,'Base CDI'!$J$4:$J$29,S4253,"Cubic","Extrapolate=Linear","MultiX=Average","Skip=True","Sort=True")</f>
        <v>14.579180283483277</v>
      </c>
      <c r="U4253" s="43">
        <f ca="1">_xll.BInterpol('Base CDI'!$H$4:$H$28,'Base CDI'!$I$4:$I$29,S4253,"Cubic","Extrapolate=Linear","MultiX=Average","Skip=True","Sort=True")</f>
        <v>14.589449350225609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49960</v>
      </c>
      <c r="T4254" s="43">
        <f ca="1">_xll.BInterpol('Base CDI'!$H$4:$H$28,'Base CDI'!$J$4:$J$29,S4254,"Cubic","Extrapolate=Linear","MultiX=Average","Skip=True","Sort=True")</f>
        <v>14.57900988896697</v>
      </c>
      <c r="U4254" s="43">
        <f ca="1">_xll.BInterpol('Base CDI'!$H$4:$H$28,'Base CDI'!$I$4:$I$29,S4254,"Cubic","Extrapolate=Linear","MultiX=Average","Skip=True","Sort=True")</f>
        <v>14.589155844050822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49961</v>
      </c>
      <c r="T4255" s="43">
        <f ca="1">_xll.BInterpol('Base CDI'!$H$4:$H$28,'Base CDI'!$J$4:$J$29,S4255,"Cubic","Extrapolate=Linear","MultiX=Average","Skip=True","Sort=True")</f>
        <v>14.578839478004385</v>
      </c>
      <c r="U4255" s="43">
        <f ca="1">_xll.BInterpol('Base CDI'!$H$4:$H$28,'Base CDI'!$I$4:$I$29,S4255,"Cubic","Extrapolate=Linear","MultiX=Average","Skip=True","Sort=True")</f>
        <v>14.58886229917386</v>
      </c>
    </row>
    <row r="4256" spans="16:21" x14ac:dyDescent="0.25">
      <c r="P4256" s="10">
        <v>40702</v>
      </c>
      <c r="Q4256">
        <v>25.71349</v>
      </c>
      <c r="S4256" s="42">
        <f t="shared" ca="1" si="71"/>
        <v>49962</v>
      </c>
      <c r="T4256" s="43">
        <f ca="1">_xll.BInterpol('Base CDI'!$H$4:$H$28,'Base CDI'!$J$4:$J$29,S4256,"Cubic","Extrapolate=Linear","MultiX=Average","Skip=True","Sort=True")</f>
        <v>14.578669050796087</v>
      </c>
      <c r="U4256" s="43">
        <f ca="1">_xll.BInterpol('Base CDI'!$H$4:$H$28,'Base CDI'!$I$4:$I$29,S4256,"Cubic","Extrapolate=Linear","MultiX=Average","Skip=True","Sort=True")</f>
        <v>14.588568716066698</v>
      </c>
    </row>
    <row r="4257" spans="16:21" x14ac:dyDescent="0.25">
      <c r="P4257" s="10">
        <v>40703</v>
      </c>
      <c r="Q4257">
        <v>25.72495</v>
      </c>
      <c r="S4257" s="42">
        <f t="shared" ca="1" si="71"/>
        <v>49963</v>
      </c>
      <c r="T4257" s="43">
        <f ca="1">_xll.BInterpol('Base CDI'!$H$4:$H$28,'Base CDI'!$J$4:$J$29,S4257,"Cubic","Extrapolate=Linear","MultiX=Average","Skip=True","Sort=True")</f>
        <v>14.57849860754264</v>
      </c>
      <c r="U4257" s="43">
        <f ca="1">_xll.BInterpol('Base CDI'!$H$4:$H$28,'Base CDI'!$I$4:$I$29,S4257,"Cubic","Extrapolate=Linear","MultiX=Average","Skip=True","Sort=True")</f>
        <v>14.588275095201315</v>
      </c>
    </row>
    <row r="4258" spans="16:21" x14ac:dyDescent="0.25">
      <c r="P4258" s="10">
        <v>40704</v>
      </c>
      <c r="Q4258">
        <v>25.73659</v>
      </c>
      <c r="S4258" s="42">
        <f t="shared" ca="1" si="71"/>
        <v>49964</v>
      </c>
      <c r="T4258" s="43">
        <f ca="1">_xll.BInterpol('Base CDI'!$H$4:$H$28,'Base CDI'!$J$4:$J$29,S4258,"Cubic","Extrapolate=Linear","MultiX=Average","Skip=True","Sort=True")</f>
        <v>14.578328148444607</v>
      </c>
      <c r="U4258" s="43">
        <f ca="1">_xll.BInterpol('Base CDI'!$H$4:$H$28,'Base CDI'!$I$4:$I$29,S4258,"Cubic","Extrapolate=Linear","MultiX=Average","Skip=True","Sort=True")</f>
        <v>14.58798143704969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49965</v>
      </c>
      <c r="T4259" s="43">
        <f ca="1">_xll.BInterpol('Base CDI'!$H$4:$H$28,'Base CDI'!$J$4:$J$29,S4259,"Cubic","Extrapolate=Linear","MultiX=Average","Skip=True","Sort=True")</f>
        <v>14.578157673702552</v>
      </c>
      <c r="U4259" s="43">
        <f ca="1">_xll.BInterpol('Base CDI'!$H$4:$H$28,'Base CDI'!$I$4:$I$29,S4259,"Cubic","Extrapolate=Linear","MultiX=Average","Skip=True","Sort=True")</f>
        <v>14.587687742083798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49966</v>
      </c>
      <c r="T4260" s="43">
        <f ca="1">_xll.BInterpol('Base CDI'!$H$4:$H$28,'Base CDI'!$J$4:$J$29,S4260,"Cubic","Extrapolate=Linear","MultiX=Average","Skip=True","Sort=True")</f>
        <v>14.577987183517044</v>
      </c>
      <c r="U4260" s="43">
        <f ca="1">_xll.BInterpol('Base CDI'!$H$4:$H$28,'Base CDI'!$I$4:$I$29,S4260,"Cubic","Extrapolate=Linear","MultiX=Average","Skip=True","Sort=True")</f>
        <v>14.587394010775617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49967</v>
      </c>
      <c r="T4261" s="43">
        <f ca="1">_xll.BInterpol('Base CDI'!$H$4:$H$28,'Base CDI'!$J$4:$J$29,S4261,"Cubic","Extrapolate=Linear","MultiX=Average","Skip=True","Sort=True")</f>
        <v>14.577816678088642</v>
      </c>
      <c r="U4261" s="43">
        <f ca="1">_xll.BInterpol('Base CDI'!$H$4:$H$28,'Base CDI'!$I$4:$I$29,S4261,"Cubic","Extrapolate=Linear","MultiX=Average","Skip=True","Sort=True")</f>
        <v>14.587100243597128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49968</v>
      </c>
      <c r="T4262" s="43">
        <f ca="1">_xll.BInterpol('Base CDI'!$H$4:$H$28,'Base CDI'!$J$4:$J$29,S4262,"Cubic","Extrapolate=Linear","MultiX=Average","Skip=True","Sort=True")</f>
        <v>14.577646157617911</v>
      </c>
      <c r="U4262" s="43">
        <f ca="1">_xll.BInterpol('Base CDI'!$H$4:$H$28,'Base CDI'!$I$4:$I$29,S4262,"Cubic","Extrapolate=Linear","MultiX=Average","Skip=True","Sort=True")</f>
        <v>14.586806441020304</v>
      </c>
    </row>
    <row r="4263" spans="16:21" x14ac:dyDescent="0.25">
      <c r="P4263" s="10">
        <v>40711</v>
      </c>
      <c r="Q4263">
        <v>25.79496</v>
      </c>
      <c r="S4263" s="42">
        <f t="shared" ca="1" si="71"/>
        <v>49969</v>
      </c>
      <c r="T4263" s="43">
        <f ca="1">_xll.BInterpol('Base CDI'!$H$4:$H$28,'Base CDI'!$J$4:$J$29,S4263,"Cubic","Extrapolate=Linear","MultiX=Average","Skip=True","Sort=True")</f>
        <v>14.577475622305419</v>
      </c>
      <c r="U4263" s="43">
        <f ca="1">_xll.BInterpol('Base CDI'!$H$4:$H$28,'Base CDI'!$I$4:$I$29,S4263,"Cubic","Extrapolate=Linear","MultiX=Average","Skip=True","Sort=True")</f>
        <v>14.586512603517129</v>
      </c>
    </row>
    <row r="4264" spans="16:21" x14ac:dyDescent="0.25">
      <c r="P4264" s="10">
        <v>40714</v>
      </c>
      <c r="Q4264">
        <v>25.80668</v>
      </c>
      <c r="S4264" s="42">
        <f t="shared" ca="1" si="71"/>
        <v>49970</v>
      </c>
      <c r="T4264" s="43">
        <f ca="1">_xll.BInterpol('Base CDI'!$H$4:$H$28,'Base CDI'!$J$4:$J$29,S4264,"Cubic","Extrapolate=Linear","MultiX=Average","Skip=True","Sort=True")</f>
        <v>14.577305072351729</v>
      </c>
      <c r="U4264" s="43">
        <f ca="1">_xll.BInterpol('Base CDI'!$H$4:$H$28,'Base CDI'!$I$4:$I$29,S4264,"Cubic","Extrapolate=Linear","MultiX=Average","Skip=True","Sort=True")</f>
        <v>14.586218731559574</v>
      </c>
    </row>
    <row r="4265" spans="16:21" x14ac:dyDescent="0.25">
      <c r="P4265" s="10">
        <v>40715</v>
      </c>
      <c r="Q4265">
        <v>25.8184</v>
      </c>
      <c r="S4265" s="42">
        <f t="shared" ca="1" si="71"/>
        <v>49971</v>
      </c>
      <c r="T4265" s="43">
        <f ca="1">_xll.BInterpol('Base CDI'!$H$4:$H$28,'Base CDI'!$J$4:$J$29,S4265,"Cubic","Extrapolate=Linear","MultiX=Average","Skip=True","Sort=True")</f>
        <v>14.577134507957403</v>
      </c>
      <c r="U4265" s="43">
        <f ca="1">_xll.BInterpol('Base CDI'!$H$4:$H$28,'Base CDI'!$I$4:$I$29,S4265,"Cubic","Extrapolate=Linear","MultiX=Average","Skip=True","Sort=True")</f>
        <v>14.585924825619621</v>
      </c>
    </row>
    <row r="4266" spans="16:21" x14ac:dyDescent="0.25">
      <c r="P4266" s="10">
        <v>40716</v>
      </c>
      <c r="Q4266">
        <v>25.83014</v>
      </c>
      <c r="S4266" s="42">
        <f t="shared" ca="1" si="71"/>
        <v>49972</v>
      </c>
      <c r="T4266" s="43">
        <f ca="1">_xll.BInterpol('Base CDI'!$H$4:$H$28,'Base CDI'!$J$4:$J$29,S4266,"Cubic","Extrapolate=Linear","MultiX=Average","Skip=True","Sort=True")</f>
        <v>14.576963929323007</v>
      </c>
      <c r="U4266" s="43">
        <f ca="1">_xll.BInterpol('Base CDI'!$H$4:$H$28,'Base CDI'!$I$4:$I$29,S4266,"Cubic","Extrapolate=Linear","MultiX=Average","Skip=True","Sort=True")</f>
        <v>14.585630886169247</v>
      </c>
    </row>
    <row r="4267" spans="16:21" x14ac:dyDescent="0.25">
      <c r="P4267" s="10">
        <v>40718</v>
      </c>
      <c r="Q4267">
        <v>25.84188</v>
      </c>
      <c r="S4267" s="42">
        <f t="shared" ca="1" si="71"/>
        <v>49973</v>
      </c>
      <c r="T4267" s="43">
        <f ca="1">_xll.BInterpol('Base CDI'!$H$4:$H$28,'Base CDI'!$J$4:$J$29,S4267,"Cubic","Extrapolate=Linear","MultiX=Average","Skip=True","Sort=True")</f>
        <v>14.576793336649105</v>
      </c>
      <c r="U4267" s="43">
        <f ca="1">_xll.BInterpol('Base CDI'!$H$4:$H$28,'Base CDI'!$I$4:$I$29,S4267,"Cubic","Extrapolate=Linear","MultiX=Average","Skip=True","Sort=True")</f>
        <v>14.585336913680429</v>
      </c>
    </row>
    <row r="4268" spans="16:21" x14ac:dyDescent="0.25">
      <c r="P4268" s="10">
        <v>40721</v>
      </c>
      <c r="Q4268">
        <v>25.85361</v>
      </c>
      <c r="S4268" s="42">
        <f t="shared" ca="1" si="71"/>
        <v>49974</v>
      </c>
      <c r="T4268" s="43">
        <f ca="1">_xll.BInterpol('Base CDI'!$H$4:$H$28,'Base CDI'!$J$4:$J$29,S4268,"Cubic","Extrapolate=Linear","MultiX=Average","Skip=True","Sort=True")</f>
        <v>14.576622730136263</v>
      </c>
      <c r="U4268" s="43">
        <f ca="1">_xll.BInterpol('Base CDI'!$H$4:$H$28,'Base CDI'!$I$4:$I$29,S4268,"Cubic","Extrapolate=Linear","MultiX=Average","Skip=True","Sort=True")</f>
        <v>14.585042908625146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49975</v>
      </c>
      <c r="T4269" s="43">
        <f ca="1">_xll.BInterpol('Base CDI'!$H$4:$H$28,'Base CDI'!$J$4:$J$29,S4269,"Cubic","Extrapolate=Linear","MultiX=Average","Skip=True","Sort=True")</f>
        <v>14.576452109985043</v>
      </c>
      <c r="U4269" s="43">
        <f ca="1">_xll.BInterpol('Base CDI'!$H$4:$H$28,'Base CDI'!$I$4:$I$29,S4269,"Cubic","Extrapolate=Linear","MultiX=Average","Skip=True","Sort=True")</f>
        <v>14.584748871475375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49976</v>
      </c>
      <c r="T4270" s="43">
        <f ca="1">_xll.BInterpol('Base CDI'!$H$4:$H$28,'Base CDI'!$J$4:$J$29,S4270,"Cubic","Extrapolate=Linear","MultiX=Average","Skip=True","Sort=True")</f>
        <v>14.57628147639601</v>
      </c>
      <c r="U4270" s="43">
        <f ca="1">_xll.BInterpol('Base CDI'!$H$4:$H$28,'Base CDI'!$I$4:$I$29,S4270,"Cubic","Extrapolate=Linear","MultiX=Average","Skip=True","Sort=True")</f>
        <v>14.584454802703092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49977</v>
      </c>
      <c r="T4271" s="43">
        <f ca="1">_xll.BInterpol('Base CDI'!$H$4:$H$28,'Base CDI'!$J$4:$J$29,S4271,"Cubic","Extrapolate=Linear","MultiX=Average","Skip=True","Sort=True")</f>
        <v>14.576110829569728</v>
      </c>
      <c r="U4271" s="43">
        <f ca="1">_xll.BInterpol('Base CDI'!$H$4:$H$28,'Base CDI'!$I$4:$I$29,S4271,"Cubic","Extrapolate=Linear","MultiX=Average","Skip=True","Sort=True")</f>
        <v>14.584160702780277</v>
      </c>
    </row>
    <row r="4272" spans="16:21" x14ac:dyDescent="0.25">
      <c r="P4272" s="10">
        <v>40725</v>
      </c>
      <c r="Q4272">
        <v>25.90062</v>
      </c>
      <c r="S4272" s="42">
        <f t="shared" ca="1" si="71"/>
        <v>49978</v>
      </c>
      <c r="T4272" s="43">
        <f ca="1">_xll.BInterpol('Base CDI'!$H$4:$H$28,'Base CDI'!$J$4:$J$29,S4272,"Cubic","Extrapolate=Linear","MultiX=Average","Skip=True","Sort=True")</f>
        <v>14.575940169706765</v>
      </c>
      <c r="U4272" s="43">
        <f ca="1">_xll.BInterpol('Base CDI'!$H$4:$H$28,'Base CDI'!$I$4:$I$29,S4272,"Cubic","Extrapolate=Linear","MultiX=Average","Skip=True","Sort=True")</f>
        <v>14.583866572178909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49979</v>
      </c>
      <c r="T4273" s="43">
        <f ca="1">_xll.BInterpol('Base CDI'!$H$4:$H$28,'Base CDI'!$J$4:$J$29,S4273,"Cubic","Extrapolate=Linear","MultiX=Average","Skip=True","Sort=True")</f>
        <v>14.575769497007681</v>
      </c>
      <c r="U4273" s="43">
        <f ca="1">_xll.BInterpol('Base CDI'!$H$4:$H$28,'Base CDI'!$I$4:$I$29,S4273,"Cubic","Extrapolate=Linear","MultiX=Average","Skip=True","Sort=True")</f>
        <v>14.583572411370962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49980</v>
      </c>
      <c r="T4274" s="43">
        <f ca="1">_xll.BInterpol('Base CDI'!$H$4:$H$28,'Base CDI'!$J$4:$J$29,S4274,"Cubic","Extrapolate=Linear","MultiX=Average","Skip=True","Sort=True")</f>
        <v>14.575598811673041</v>
      </c>
      <c r="U4274" s="43">
        <f ca="1">_xll.BInterpol('Base CDI'!$H$4:$H$28,'Base CDI'!$I$4:$I$29,S4274,"Cubic","Extrapolate=Linear","MultiX=Average","Skip=True","Sort=True")</f>
        <v>14.583278220828419</v>
      </c>
    </row>
    <row r="4275" spans="16:21" x14ac:dyDescent="0.25">
      <c r="P4275" s="10">
        <v>40730</v>
      </c>
      <c r="Q4275">
        <v>25.93601</v>
      </c>
      <c r="S4275" s="42">
        <f t="shared" ca="1" si="71"/>
        <v>49981</v>
      </c>
      <c r="T4275" s="43">
        <f ca="1">_xll.BInterpol('Base CDI'!$H$4:$H$28,'Base CDI'!$J$4:$J$29,S4275,"Cubic","Extrapolate=Linear","MultiX=Average","Skip=True","Sort=True")</f>
        <v>14.575428113903412</v>
      </c>
      <c r="U4275" s="43">
        <f ca="1">_xll.BInterpol('Base CDI'!$H$4:$H$28,'Base CDI'!$I$4:$I$29,S4275,"Cubic","Extrapolate=Linear","MultiX=Average","Skip=True","Sort=True")</f>
        <v>14.582984001023252</v>
      </c>
    </row>
    <row r="4276" spans="16:21" x14ac:dyDescent="0.25">
      <c r="P4276" s="10">
        <v>40731</v>
      </c>
      <c r="Q4276">
        <v>25.94781</v>
      </c>
      <c r="S4276" s="42">
        <f t="shared" ca="1" si="71"/>
        <v>49982</v>
      </c>
      <c r="T4276" s="43">
        <f ca="1">_xll.BInterpol('Base CDI'!$H$4:$H$28,'Base CDI'!$J$4:$J$29,S4276,"Cubic","Extrapolate=Linear","MultiX=Average","Skip=True","Sort=True")</f>
        <v>14.575257403899354</v>
      </c>
      <c r="U4276" s="43">
        <f ca="1">_xll.BInterpol('Base CDI'!$H$4:$H$28,'Base CDI'!$I$4:$I$29,S4276,"Cubic","Extrapolate=Linear","MultiX=Average","Skip=True","Sort=True")</f>
        <v>14.582689752427441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49983</v>
      </c>
      <c r="T4277" s="43">
        <f ca="1">_xll.BInterpol('Base CDI'!$H$4:$H$28,'Base CDI'!$J$4:$J$29,S4277,"Cubic","Extrapolate=Linear","MultiX=Average","Skip=True","Sort=True")</f>
        <v>14.575086681861436</v>
      </c>
      <c r="U4277" s="43">
        <f ca="1">_xll.BInterpol('Base CDI'!$H$4:$H$28,'Base CDI'!$I$4:$I$29,S4277,"Cubic","Extrapolate=Linear","MultiX=Average","Skip=True","Sort=True")</f>
        <v>14.582395475512966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49984</v>
      </c>
      <c r="T4278" s="43">
        <f ca="1">_xll.BInterpol('Base CDI'!$H$4:$H$28,'Base CDI'!$J$4:$J$29,S4278,"Cubic","Extrapolate=Linear","MultiX=Average","Skip=True","Sort=True")</f>
        <v>14.574915947990219</v>
      </c>
      <c r="U4278" s="43">
        <f ca="1">_xll.BInterpol('Base CDI'!$H$4:$H$28,'Base CDI'!$I$4:$I$29,S4278,"Cubic","Extrapolate=Linear","MultiX=Average","Skip=True","Sort=True")</f>
        <v>14.582101170751802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49985</v>
      </c>
      <c r="T4279" s="43">
        <f ca="1">_xll.BInterpol('Base CDI'!$H$4:$H$28,'Base CDI'!$J$4:$J$29,S4279,"Cubic","Extrapolate=Linear","MultiX=Average","Skip=True","Sort=True")</f>
        <v>14.57474520248627</v>
      </c>
      <c r="U4279" s="43">
        <f ca="1">_xll.BInterpol('Base CDI'!$H$4:$H$28,'Base CDI'!$I$4:$I$29,S4279,"Cubic","Extrapolate=Linear","MultiX=Average","Skip=True","Sort=True")</f>
        <v>14.581806838615925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49986</v>
      </c>
      <c r="T4280" s="43">
        <f ca="1">_xll.BInterpol('Base CDI'!$H$4:$H$28,'Base CDI'!$J$4:$J$29,S4280,"Cubic","Extrapolate=Linear","MultiX=Average","Skip=True","Sort=True")</f>
        <v>14.574574445550152</v>
      </c>
      <c r="U4280" s="43">
        <f ca="1">_xll.BInterpol('Base CDI'!$H$4:$H$28,'Base CDI'!$I$4:$I$29,S4280,"Cubic","Extrapolate=Linear","MultiX=Average","Skip=True","Sort=True")</f>
        <v>14.581512479577318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49987</v>
      </c>
      <c r="T4281" s="43">
        <f ca="1">_xll.BInterpol('Base CDI'!$H$4:$H$28,'Base CDI'!$J$4:$J$29,S4281,"Cubic","Extrapolate=Linear","MultiX=Average","Skip=True","Sort=True")</f>
        <v>14.574403677382428</v>
      </c>
      <c r="U4281" s="43">
        <f ca="1">_xll.BInterpol('Base CDI'!$H$4:$H$28,'Base CDI'!$I$4:$I$29,S4281,"Cubic","Extrapolate=Linear","MultiX=Average","Skip=True","Sort=True")</f>
        <v>14.581218094107957</v>
      </c>
    </row>
    <row r="4282" spans="16:21" x14ac:dyDescent="0.25">
      <c r="P4282" s="10">
        <v>40739</v>
      </c>
      <c r="Q4282">
        <v>26.01877</v>
      </c>
      <c r="S4282" s="42">
        <f t="shared" ca="1" si="71"/>
        <v>49988</v>
      </c>
      <c r="T4282" s="43">
        <f ca="1">_xll.BInterpol('Base CDI'!$H$4:$H$28,'Base CDI'!$J$4:$J$29,S4282,"Cubic","Extrapolate=Linear","MultiX=Average","Skip=True","Sort=True")</f>
        <v>14.574232898183665</v>
      </c>
      <c r="U4282" s="43">
        <f ca="1">_xll.BInterpol('Base CDI'!$H$4:$H$28,'Base CDI'!$I$4:$I$29,S4282,"Cubic","Extrapolate=Linear","MultiX=Average","Skip=True","Sort=True")</f>
        <v>14.580923682679819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49989</v>
      </c>
      <c r="T4283" s="43">
        <f ca="1">_xll.BInterpol('Base CDI'!$H$4:$H$28,'Base CDI'!$J$4:$J$29,S4283,"Cubic","Extrapolate=Linear","MultiX=Average","Skip=True","Sort=True")</f>
        <v>14.574062108154425</v>
      </c>
      <c r="U4283" s="43">
        <f ca="1">_xll.BInterpol('Base CDI'!$H$4:$H$28,'Base CDI'!$I$4:$I$29,S4283,"Cubic","Extrapolate=Linear","MultiX=Average","Skip=True","Sort=True")</f>
        <v>14.580629245764879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49990</v>
      </c>
      <c r="T4284" s="43">
        <f ca="1">_xll.BInterpol('Base CDI'!$H$4:$H$28,'Base CDI'!$J$4:$J$29,S4284,"Cubic","Extrapolate=Linear","MultiX=Average","Skip=True","Sort=True")</f>
        <v>14.573891307495275</v>
      </c>
      <c r="U4284" s="43">
        <f ca="1">_xll.BInterpol('Base CDI'!$H$4:$H$28,'Base CDI'!$I$4:$I$29,S4284,"Cubic","Extrapolate=Linear","MultiX=Average","Skip=True","Sort=True")</f>
        <v>14.58033478383512</v>
      </c>
    </row>
    <row r="4285" spans="16:21" x14ac:dyDescent="0.25">
      <c r="P4285" s="10">
        <v>40744</v>
      </c>
      <c r="Q4285">
        <v>26.05433</v>
      </c>
      <c r="S4285" s="42">
        <f t="shared" ca="1" si="71"/>
        <v>49991</v>
      </c>
      <c r="T4285" s="43">
        <f ca="1">_xll.BInterpol('Base CDI'!$H$4:$H$28,'Base CDI'!$J$4:$J$29,S4285,"Cubic","Extrapolate=Linear","MultiX=Average","Skip=True","Sort=True")</f>
        <v>14.573720496406777</v>
      </c>
      <c r="U4285" s="43">
        <f ca="1">_xll.BInterpol('Base CDI'!$H$4:$H$28,'Base CDI'!$I$4:$I$29,S4285,"Cubic","Extrapolate=Linear","MultiX=Average","Skip=True","Sort=True")</f>
        <v>14.580040297362515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49992</v>
      </c>
      <c r="T4286" s="43">
        <f ca="1">_xll.BInterpol('Base CDI'!$H$4:$H$28,'Base CDI'!$J$4:$J$29,S4286,"Cubic","Extrapolate=Linear","MultiX=Average","Skip=True","Sort=True")</f>
        <v>14.573549675089497</v>
      </c>
      <c r="U4286" s="43">
        <f ca="1">_xll.BInterpol('Base CDI'!$H$4:$H$28,'Base CDI'!$I$4:$I$29,S4286,"Cubic","Extrapolate=Linear","MultiX=Average","Skip=True","Sort=True")</f>
        <v>14.579745786819046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49993</v>
      </c>
      <c r="T4287" s="43">
        <f ca="1">_xll.BInterpol('Base CDI'!$H$4:$H$28,'Base CDI'!$J$4:$J$29,S4287,"Cubic","Extrapolate=Linear","MultiX=Average","Skip=True","Sort=True")</f>
        <v>14.573378843743999</v>
      </c>
      <c r="U4287" s="43">
        <f ca="1">_xll.BInterpol('Base CDI'!$H$4:$H$28,'Base CDI'!$I$4:$I$29,S4287,"Cubic","Extrapolate=Linear","MultiX=Average","Skip=True","Sort=True")</f>
        <v>14.579451252676687</v>
      </c>
    </row>
    <row r="4288" spans="16:21" x14ac:dyDescent="0.25">
      <c r="P4288" s="10">
        <v>40749</v>
      </c>
      <c r="Q4288">
        <v>26.09038</v>
      </c>
      <c r="S4288" s="42">
        <f t="shared" ca="1" si="71"/>
        <v>49994</v>
      </c>
      <c r="T4288" s="43">
        <f ca="1">_xll.BInterpol('Base CDI'!$H$4:$H$28,'Base CDI'!$J$4:$J$29,S4288,"Cubic","Extrapolate=Linear","MultiX=Average","Skip=True","Sort=True")</f>
        <v>14.573208002570846</v>
      </c>
      <c r="U4288" s="43">
        <f ca="1">_xll.BInterpol('Base CDI'!$H$4:$H$28,'Base CDI'!$I$4:$I$29,S4288,"Cubic","Extrapolate=Linear","MultiX=Average","Skip=True","Sort=True")</f>
        <v>14.57915669540742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49995</v>
      </c>
      <c r="T4289" s="43">
        <f ca="1">_xll.BInterpol('Base CDI'!$H$4:$H$28,'Base CDI'!$J$4:$J$29,S4289,"Cubic","Extrapolate=Linear","MultiX=Average","Skip=True","Sort=True")</f>
        <v>14.573037151770603</v>
      </c>
      <c r="U4289" s="43">
        <f ca="1">_xll.BInterpol('Base CDI'!$H$4:$H$28,'Base CDI'!$I$4:$I$29,S4289,"Cubic","Extrapolate=Linear","MultiX=Average","Skip=True","Sort=True")</f>
        <v>14.578862115483219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49996</v>
      </c>
      <c r="T4290" s="43">
        <f ca="1">_xll.BInterpol('Base CDI'!$H$4:$H$28,'Base CDI'!$J$4:$J$29,S4290,"Cubic","Extrapolate=Linear","MultiX=Average","Skip=True","Sort=True")</f>
        <v>14.572866291543836</v>
      </c>
      <c r="U4290" s="43">
        <f ca="1">_xll.BInterpol('Base CDI'!$H$4:$H$28,'Base CDI'!$I$4:$I$29,S4290,"Cubic","Extrapolate=Linear","MultiX=Average","Skip=True","Sort=True")</f>
        <v>14.578567513376063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49997</v>
      </c>
      <c r="T4291" s="43">
        <f ca="1">_xll.BInterpol('Base CDI'!$H$4:$H$28,'Base CDI'!$J$4:$J$29,S4291,"Cubic","Extrapolate=Linear","MultiX=Average","Skip=True","Sort=True")</f>
        <v>14.572695422091106</v>
      </c>
      <c r="U4291" s="43">
        <f ca="1">_xll.BInterpol('Base CDI'!$H$4:$H$28,'Base CDI'!$I$4:$I$29,S4291,"Cubic","Extrapolate=Linear","MultiX=Average","Skip=True","Sort=True")</f>
        <v>14.57827288955793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49998</v>
      </c>
      <c r="T4292" s="43">
        <f ca="1">_xll.BInterpol('Base CDI'!$H$4:$H$28,'Base CDI'!$J$4:$J$29,S4292,"Cubic","Extrapolate=Linear","MultiX=Average","Skip=True","Sort=True")</f>
        <v>14.572524543612982</v>
      </c>
      <c r="U4292" s="43">
        <f ca="1">_xll.BInterpol('Base CDI'!$H$4:$H$28,'Base CDI'!$I$4:$I$29,S4292,"Cubic","Extrapolate=Linear","MultiX=Average","Skip=True","Sort=True")</f>
        <v>14.577978244500796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49999</v>
      </c>
      <c r="T4293" s="43">
        <f ca="1">_xll.BInterpol('Base CDI'!$H$4:$H$28,'Base CDI'!$J$4:$J$29,S4293,"Cubic","Extrapolate=Linear","MultiX=Average","Skip=True","Sort=True")</f>
        <v>14.572353656310025</v>
      </c>
      <c r="U4293" s="43">
        <f ca="1">_xll.BInterpol('Base CDI'!$H$4:$H$28,'Base CDI'!$I$4:$I$29,S4293,"Cubic","Extrapolate=Linear","MultiX=Average","Skip=True","Sort=True")</f>
        <v>14.577683578676641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50000</v>
      </c>
      <c r="T4294" s="43">
        <f ca="1">_xll.BInterpol('Base CDI'!$H$4:$H$28,'Base CDI'!$J$4:$J$29,S4294,"Cubic","Extrapolate=Linear","MultiX=Average","Skip=True","Sort=True")</f>
        <v>14.572182760382798</v>
      </c>
      <c r="U4294" s="43">
        <f ca="1">_xll.BInterpol('Base CDI'!$H$4:$H$28,'Base CDI'!$I$4:$I$29,S4294,"Cubic","Extrapolate=Linear","MultiX=Average","Skip=True","Sort=True")</f>
        <v>14.577388892557444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50001</v>
      </c>
      <c r="T4295" s="43">
        <f ca="1">_xll.BInterpol('Base CDI'!$H$4:$H$28,'Base CDI'!$J$4:$J$29,S4295,"Cubic","Extrapolate=Linear","MultiX=Average","Skip=True","Sort=True")</f>
        <v>14.572011856031869</v>
      </c>
      <c r="U4295" s="43">
        <f ca="1">_xll.BInterpol('Base CDI'!$H$4:$H$28,'Base CDI'!$I$4:$I$29,S4295,"Cubic","Extrapolate=Linear","MultiX=Average","Skip=True","Sort=True")</f>
        <v>14.577094186615179</v>
      </c>
    </row>
    <row r="4296" spans="16:21" x14ac:dyDescent="0.25">
      <c r="P4296" s="10">
        <v>40759</v>
      </c>
      <c r="Q4296">
        <v>26.1874</v>
      </c>
      <c r="S4296" s="42">
        <f t="shared" ca="1" si="71"/>
        <v>50002</v>
      </c>
      <c r="T4296" s="43">
        <f ca="1">_xll.BInterpol('Base CDI'!$H$4:$H$28,'Base CDI'!$J$4:$J$29,S4296,"Cubic","Extrapolate=Linear","MultiX=Average","Skip=True","Sort=True")</f>
        <v>14.571840943457802</v>
      </c>
      <c r="U4296" s="43">
        <f ca="1">_xll.BInterpol('Base CDI'!$H$4:$H$28,'Base CDI'!$I$4:$I$29,S4296,"Cubic","Extrapolate=Linear","MultiX=Average","Skip=True","Sort=True")</f>
        <v>14.576799461321826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50003</v>
      </c>
      <c r="T4297" s="43">
        <f ca="1">_xll.BInterpol('Base CDI'!$H$4:$H$28,'Base CDI'!$J$4:$J$29,S4297,"Cubic","Extrapolate=Linear","MultiX=Average","Skip=True","Sort=True")</f>
        <v>14.571670022861159</v>
      </c>
      <c r="U4297" s="43">
        <f ca="1">_xll.BInterpol('Base CDI'!$H$4:$H$28,'Base CDI'!$I$4:$I$29,S4297,"Cubic","Extrapolate=Linear","MultiX=Average","Skip=True","Sort=True")</f>
        <v>14.576504717149362</v>
      </c>
    </row>
    <row r="4298" spans="16:21" x14ac:dyDescent="0.25">
      <c r="P4298" s="10">
        <v>40763</v>
      </c>
      <c r="Q4298">
        <v>26.21171</v>
      </c>
      <c r="S4298" s="42">
        <f t="shared" ca="1" si="71"/>
        <v>50004</v>
      </c>
      <c r="T4298" s="43">
        <f ca="1">_xll.BInterpol('Base CDI'!$H$4:$H$28,'Base CDI'!$J$4:$J$29,S4298,"Cubic","Extrapolate=Linear","MultiX=Average","Skip=True","Sort=True")</f>
        <v>14.571499094442506</v>
      </c>
      <c r="U4298" s="43">
        <f ca="1">_xll.BInterpol('Base CDI'!$H$4:$H$28,'Base CDI'!$I$4:$I$29,S4298,"Cubic","Extrapolate=Linear","MultiX=Average","Skip=True","Sort=True")</f>
        <v>14.576209954569766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50005</v>
      </c>
      <c r="T4299" s="43">
        <f ca="1">_xll.BInterpol('Base CDI'!$H$4:$H$28,'Base CDI'!$J$4:$J$29,S4299,"Cubic","Extrapolate=Linear","MultiX=Average","Skip=True","Sort=True")</f>
        <v>14.571328158402409</v>
      </c>
      <c r="U4299" s="43">
        <f ca="1">_xll.BInterpol('Base CDI'!$H$4:$H$28,'Base CDI'!$I$4:$I$29,S4299,"Cubic","Extrapolate=Linear","MultiX=Average","Skip=True","Sort=True")</f>
        <v>14.575915174055016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50006</v>
      </c>
      <c r="T4300" s="43">
        <f ca="1">_xll.BInterpol('Base CDI'!$H$4:$H$28,'Base CDI'!$J$4:$J$29,S4300,"Cubic","Extrapolate=Linear","MultiX=Average","Skip=True","Sort=True")</f>
        <v>14.571157214941428</v>
      </c>
      <c r="U4300" s="43">
        <f ca="1">_xll.BInterpol('Base CDI'!$H$4:$H$28,'Base CDI'!$I$4:$I$29,S4300,"Cubic","Extrapolate=Linear","MultiX=Average","Skip=True","Sort=True")</f>
        <v>14.575620376077087</v>
      </c>
    </row>
    <row r="4301" spans="16:21" x14ac:dyDescent="0.25">
      <c r="P4301" s="10">
        <v>40766</v>
      </c>
      <c r="Q4301">
        <v>26.24821</v>
      </c>
      <c r="S4301" s="42">
        <f t="shared" ca="1" si="72"/>
        <v>50007</v>
      </c>
      <c r="T4301" s="43">
        <f ca="1">_xll.BInterpol('Base CDI'!$H$4:$H$28,'Base CDI'!$J$4:$J$29,S4301,"Cubic","Extrapolate=Linear","MultiX=Average","Skip=True","Sort=True")</f>
        <v>14.570986264260132</v>
      </c>
      <c r="U4301" s="43">
        <f ca="1">_xll.BInterpol('Base CDI'!$H$4:$H$28,'Base CDI'!$I$4:$I$29,S4301,"Cubic","Extrapolate=Linear","MultiX=Average","Skip=True","Sort=True")</f>
        <v>14.57532556110796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50008</v>
      </c>
      <c r="T4302" s="43">
        <f ca="1">_xll.BInterpol('Base CDI'!$H$4:$H$28,'Base CDI'!$J$4:$J$29,S4302,"Cubic","Extrapolate=Linear","MultiX=Average","Skip=True","Sort=True")</f>
        <v>14.57081530655908</v>
      </c>
      <c r="U4302" s="43">
        <f ca="1">_xll.BInterpol('Base CDI'!$H$4:$H$28,'Base CDI'!$I$4:$I$29,S4302,"Cubic","Extrapolate=Linear","MultiX=Average","Skip=True","Sort=True")</f>
        <v>14.575030729619609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50009</v>
      </c>
      <c r="T4303" s="43">
        <f ca="1">_xll.BInterpol('Base CDI'!$H$4:$H$28,'Base CDI'!$J$4:$J$29,S4303,"Cubic","Extrapolate=Linear","MultiX=Average","Skip=True","Sort=True")</f>
        <v>14.570644342038841</v>
      </c>
      <c r="U4303" s="43">
        <f ca="1">_xll.BInterpol('Base CDI'!$H$4:$H$28,'Base CDI'!$I$4:$I$29,S4303,"Cubic","Extrapolate=Linear","MultiX=Average","Skip=True","Sort=True")</f>
        <v>14.574735882084015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50010</v>
      </c>
      <c r="T4304" s="43">
        <f ca="1">_xll.BInterpol('Base CDI'!$H$4:$H$28,'Base CDI'!$J$4:$J$29,S4304,"Cubic","Extrapolate=Linear","MultiX=Average","Skip=True","Sort=True")</f>
        <v>14.570473370899979</v>
      </c>
      <c r="U4304" s="43">
        <f ca="1">_xll.BInterpol('Base CDI'!$H$4:$H$28,'Base CDI'!$I$4:$I$29,S4304,"Cubic","Extrapolate=Linear","MultiX=Average","Skip=True","Sort=True")</f>
        <v>14.574441018973154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50011</v>
      </c>
      <c r="T4305" s="43">
        <f ca="1">_xll.BInterpol('Base CDI'!$H$4:$H$28,'Base CDI'!$J$4:$J$29,S4305,"Cubic","Extrapolate=Linear","MultiX=Average","Skip=True","Sort=True")</f>
        <v>14.570302393343056</v>
      </c>
      <c r="U4305" s="43">
        <f ca="1">_xll.BInterpol('Base CDI'!$H$4:$H$28,'Base CDI'!$I$4:$I$29,S4305,"Cubic","Extrapolate=Linear","MultiX=Average","Skip=True","Sort=True")</f>
        <v>14.574146140759007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50012</v>
      </c>
      <c r="T4306" s="43">
        <f ca="1">_xll.BInterpol('Base CDI'!$H$4:$H$28,'Base CDI'!$J$4:$J$29,S4306,"Cubic","Extrapolate=Linear","MultiX=Average","Skip=True","Sort=True")</f>
        <v>14.570131409568639</v>
      </c>
      <c r="U4306" s="43">
        <f ca="1">_xll.BInterpol('Base CDI'!$H$4:$H$28,'Base CDI'!$I$4:$I$29,S4306,"Cubic","Extrapolate=Linear","MultiX=Average","Skip=True","Sort=True")</f>
        <v>14.573851247913547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50013</v>
      </c>
      <c r="T4307" s="43">
        <f ca="1">_xll.BInterpol('Base CDI'!$H$4:$H$28,'Base CDI'!$J$4:$J$29,S4307,"Cubic","Extrapolate=Linear","MultiX=Average","Skip=True","Sort=True")</f>
        <v>14.569960419777289</v>
      </c>
      <c r="U4307" s="43">
        <f ca="1">_xll.BInterpol('Base CDI'!$H$4:$H$28,'Base CDI'!$I$4:$I$29,S4307,"Cubic","Extrapolate=Linear","MultiX=Average","Skip=True","Sort=True")</f>
        <v>14.573556340908755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50014</v>
      </c>
      <c r="T4308" s="43">
        <f ca="1">_xll.BInterpol('Base CDI'!$H$4:$H$28,'Base CDI'!$J$4:$J$29,S4308,"Cubic","Extrapolate=Linear","MultiX=Average","Skip=True","Sort=True")</f>
        <v>14.569789424169572</v>
      </c>
      <c r="U4308" s="43">
        <f ca="1">_xll.BInterpol('Base CDI'!$H$4:$H$28,'Base CDI'!$I$4:$I$29,S4308,"Cubic","Extrapolate=Linear","MultiX=Average","Skip=True","Sort=True")</f>
        <v>14.573261420216607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50015</v>
      </c>
      <c r="T4309" s="43">
        <f ca="1">_xll.BInterpol('Base CDI'!$H$4:$H$28,'Base CDI'!$J$4:$J$29,S4309,"Cubic","Extrapolate=Linear","MultiX=Average","Skip=True","Sort=True")</f>
        <v>14.569618422946055</v>
      </c>
      <c r="U4309" s="43">
        <f ca="1">_xll.BInterpol('Base CDI'!$H$4:$H$28,'Base CDI'!$I$4:$I$29,S4309,"Cubic","Extrapolate=Linear","MultiX=Average","Skip=True","Sort=True")</f>
        <v>14.572966486309083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50016</v>
      </c>
      <c r="T4310" s="43">
        <f ca="1">_xll.BInterpol('Base CDI'!$H$4:$H$28,'Base CDI'!$J$4:$J$29,S4310,"Cubic","Extrapolate=Linear","MultiX=Average","Skip=True","Sort=True")</f>
        <v>14.569447416307298</v>
      </c>
      <c r="U4310" s="43">
        <f ca="1">_xll.BInterpol('Base CDI'!$H$4:$H$28,'Base CDI'!$I$4:$I$29,S4310,"Cubic","Extrapolate=Linear","MultiX=Average","Skip=True","Sort=True")</f>
        <v>14.572671539658158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50017</v>
      </c>
      <c r="T4311" s="43">
        <f ca="1">_xll.BInterpol('Base CDI'!$H$4:$H$28,'Base CDI'!$J$4:$J$29,S4311,"Cubic","Extrapolate=Linear","MultiX=Average","Skip=True","Sort=True")</f>
        <v>14.56927640445387</v>
      </c>
      <c r="U4311" s="43">
        <f ca="1">_xll.BInterpol('Base CDI'!$H$4:$H$28,'Base CDI'!$I$4:$I$29,S4311,"Cubic","Extrapolate=Linear","MultiX=Average","Skip=True","Sort=True")</f>
        <v>14.572376580735812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50018</v>
      </c>
      <c r="T4312" s="43">
        <f ca="1">_xll.BInterpol('Base CDI'!$H$4:$H$28,'Base CDI'!$J$4:$J$29,S4312,"Cubic","Extrapolate=Linear","MultiX=Average","Skip=True","Sort=True")</f>
        <v>14.56910538758633</v>
      </c>
      <c r="U4312" s="43">
        <f ca="1">_xll.BInterpol('Base CDI'!$H$4:$H$28,'Base CDI'!$I$4:$I$29,S4312,"Cubic","Extrapolate=Linear","MultiX=Average","Skip=True","Sort=True")</f>
        <v>14.57208161001402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50019</v>
      </c>
      <c r="T4313" s="43">
        <f ca="1">_xll.BInterpol('Base CDI'!$H$4:$H$28,'Base CDI'!$J$4:$J$29,S4313,"Cubic","Extrapolate=Linear","MultiX=Average","Skip=True","Sort=True")</f>
        <v>14.568934365905246</v>
      </c>
      <c r="U4313" s="43">
        <f ca="1">_xll.BInterpol('Base CDI'!$H$4:$H$28,'Base CDI'!$I$4:$I$29,S4313,"Cubic","Extrapolate=Linear","MultiX=Average","Skip=True","Sort=True")</f>
        <v>14.571786627964764</v>
      </c>
    </row>
    <row r="4314" spans="16:21" x14ac:dyDescent="0.25">
      <c r="P4314" s="10">
        <v>40785</v>
      </c>
      <c r="Q4314">
        <v>26.40692</v>
      </c>
      <c r="S4314" s="42">
        <f t="shared" ca="1" si="72"/>
        <v>50020</v>
      </c>
      <c r="T4314" s="43">
        <f ca="1">_xll.BInterpol('Base CDI'!$H$4:$H$28,'Base CDI'!$J$4:$J$29,S4314,"Cubic","Extrapolate=Linear","MultiX=Average","Skip=True","Sort=True")</f>
        <v>14.568763339611182</v>
      </c>
      <c r="U4314" s="43">
        <f ca="1">_xll.BInterpol('Base CDI'!$H$4:$H$28,'Base CDI'!$I$4:$I$29,S4314,"Cubic","Extrapolate=Linear","MultiX=Average","Skip=True","Sort=True")</f>
        <v>14.571491635060019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50021</v>
      </c>
      <c r="T4315" s="43">
        <f ca="1">_xll.BInterpol('Base CDI'!$H$4:$H$28,'Base CDI'!$J$4:$J$29,S4315,"Cubic","Extrapolate=Linear","MultiX=Average","Skip=True","Sort=True")</f>
        <v>14.568592308904703</v>
      </c>
      <c r="U4315" s="43">
        <f ca="1">_xll.BInterpol('Base CDI'!$H$4:$H$28,'Base CDI'!$I$4:$I$29,S4315,"Cubic","Extrapolate=Linear","MultiX=Average","Skip=True","Sort=True")</f>
        <v>14.571196631771762</v>
      </c>
    </row>
    <row r="4316" spans="16:21" x14ac:dyDescent="0.25">
      <c r="P4316" s="10">
        <v>40787</v>
      </c>
      <c r="Q4316">
        <v>26.43141</v>
      </c>
      <c r="S4316" s="42">
        <f t="shared" ca="1" si="72"/>
        <v>50022</v>
      </c>
      <c r="T4316" s="43">
        <f ca="1">_xll.BInterpol('Base CDI'!$H$4:$H$28,'Base CDI'!$J$4:$J$29,S4316,"Cubic","Extrapolate=Linear","MultiX=Average","Skip=True","Sort=True")</f>
        <v>14.56842127398637</v>
      </c>
      <c r="U4316" s="43">
        <f ca="1">_xll.BInterpol('Base CDI'!$H$4:$H$28,'Base CDI'!$I$4:$I$29,S4316,"Cubic","Extrapolate=Linear","MultiX=Average","Skip=True","Sort=True")</f>
        <v>14.570901618571973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50023</v>
      </c>
      <c r="T4317" s="43">
        <f ca="1">_xll.BInterpol('Base CDI'!$H$4:$H$28,'Base CDI'!$J$4:$J$29,S4317,"Cubic","Extrapolate=Linear","MultiX=Average","Skip=True","Sort=True")</f>
        <v>14.568250235056752</v>
      </c>
      <c r="U4317" s="43">
        <f ca="1">_xll.BInterpol('Base CDI'!$H$4:$H$28,'Base CDI'!$I$4:$I$29,S4317,"Cubic","Extrapolate=Linear","MultiX=Average","Skip=True","Sort=True")</f>
        <v>14.570606595932627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50024</v>
      </c>
      <c r="T4318" s="43">
        <f ca="1">_xll.BInterpol('Base CDI'!$H$4:$H$28,'Base CDI'!$J$4:$J$29,S4318,"Cubic","Extrapolate=Linear","MultiX=Average","Skip=True","Sort=True")</f>
        <v>14.568079192316409</v>
      </c>
      <c r="U4318" s="43">
        <f ca="1">_xll.BInterpol('Base CDI'!$H$4:$H$28,'Base CDI'!$I$4:$I$29,S4318,"Cubic","Extrapolate=Linear","MultiX=Average","Skip=True","Sort=True")</f>
        <v>14.570311564325706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50025</v>
      </c>
      <c r="T4319" s="43">
        <f ca="1">_xll.BInterpol('Base CDI'!$H$4:$H$28,'Base CDI'!$J$4:$J$29,S4319,"Cubic","Extrapolate=Linear","MultiX=Average","Skip=True","Sort=True")</f>
        <v>14.567908145965909</v>
      </c>
      <c r="U4319" s="43">
        <f ca="1">_xll.BInterpol('Base CDI'!$H$4:$H$28,'Base CDI'!$I$4:$I$29,S4319,"Cubic","Extrapolate=Linear","MultiX=Average","Skip=True","Sort=True")</f>
        <v>14.570016524223183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50026</v>
      </c>
      <c r="T4320" s="43">
        <f ca="1">_xll.BInterpol('Base CDI'!$H$4:$H$28,'Base CDI'!$J$4:$J$29,S4320,"Cubic","Extrapolate=Linear","MultiX=Average","Skip=True","Sort=True")</f>
        <v>14.567737096205814</v>
      </c>
      <c r="U4320" s="43">
        <f ca="1">_xll.BInterpol('Base CDI'!$H$4:$H$28,'Base CDI'!$I$4:$I$29,S4320,"Cubic","Extrapolate=Linear","MultiX=Average","Skip=True","Sort=True")</f>
        <v>14.56972147609704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50027</v>
      </c>
      <c r="T4321" s="43">
        <f ca="1">_xll.BInterpol('Base CDI'!$H$4:$H$28,'Base CDI'!$J$4:$J$29,S4321,"Cubic","Extrapolate=Linear","MultiX=Average","Skip=True","Sort=True")</f>
        <v>14.567566043236688</v>
      </c>
      <c r="U4321" s="43">
        <f ca="1">_xll.BInterpol('Base CDI'!$H$4:$H$28,'Base CDI'!$I$4:$I$29,S4321,"Cubic","Extrapolate=Linear","MultiX=Average","Skip=True","Sort=True")</f>
        <v>14.569426420419251</v>
      </c>
    </row>
    <row r="4322" spans="16:21" x14ac:dyDescent="0.25">
      <c r="P4322" s="10">
        <v>40798</v>
      </c>
      <c r="Q4322">
        <v>26.50215</v>
      </c>
      <c r="S4322" s="42">
        <f t="shared" ca="1" si="72"/>
        <v>50028</v>
      </c>
      <c r="T4322" s="43">
        <f ca="1">_xll.BInterpol('Base CDI'!$H$4:$H$28,'Base CDI'!$J$4:$J$29,S4322,"Cubic","Extrapolate=Linear","MultiX=Average","Skip=True","Sort=True")</f>
        <v>14.567394987259098</v>
      </c>
      <c r="U4322" s="43">
        <f ca="1">_xll.BInterpol('Base CDI'!$H$4:$H$28,'Base CDI'!$I$4:$I$29,S4322,"Cubic","Extrapolate=Linear","MultiX=Average","Skip=True","Sort=True")</f>
        <v>14.569131357661798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50029</v>
      </c>
      <c r="T4323" s="43">
        <f ca="1">_xll.BInterpol('Base CDI'!$H$4:$H$28,'Base CDI'!$J$4:$J$29,S4323,"Cubic","Extrapolate=Linear","MultiX=Average","Skip=True","Sort=True")</f>
        <v>14.567223928473608</v>
      </c>
      <c r="U4323" s="43">
        <f ca="1">_xll.BInterpol('Base CDI'!$H$4:$H$28,'Base CDI'!$I$4:$I$29,S4323,"Cubic","Extrapolate=Linear","MultiX=Average","Skip=True","Sort=True")</f>
        <v>14.568836288296653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50030</v>
      </c>
      <c r="T4324" s="43">
        <f ca="1">_xll.BInterpol('Base CDI'!$H$4:$H$28,'Base CDI'!$J$4:$J$29,S4324,"Cubic","Extrapolate=Linear","MultiX=Average","Skip=True","Sort=True")</f>
        <v>14.567052867080779</v>
      </c>
      <c r="U4324" s="43">
        <f ca="1">_xll.BInterpol('Base CDI'!$H$4:$H$28,'Base CDI'!$I$4:$I$29,S4324,"Cubic","Extrapolate=Linear","MultiX=Average","Skip=True","Sort=True")</f>
        <v>14.568541212795799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50031</v>
      </c>
      <c r="T4325" s="43">
        <f ca="1">_xll.BInterpol('Base CDI'!$H$4:$H$28,'Base CDI'!$J$4:$J$29,S4325,"Cubic","Extrapolate=Linear","MultiX=Average","Skip=True","Sort=True")</f>
        <v>14.566881803281177</v>
      </c>
      <c r="U4325" s="43">
        <f ca="1">_xll.BInterpol('Base CDI'!$H$4:$H$28,'Base CDI'!$I$4:$I$29,S4325,"Cubic","Extrapolate=Linear","MultiX=Average","Skip=True","Sort=True")</f>
        <v>14.568246131631211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50032</v>
      </c>
      <c r="T4326" s="43">
        <f ca="1">_xll.BInterpol('Base CDI'!$H$4:$H$28,'Base CDI'!$J$4:$J$29,S4326,"Cubic","Extrapolate=Linear","MultiX=Average","Skip=True","Sort=True")</f>
        <v>14.566710737275368</v>
      </c>
      <c r="U4326" s="43">
        <f ca="1">_xll.BInterpol('Base CDI'!$H$4:$H$28,'Base CDI'!$I$4:$I$29,S4326,"Cubic","Extrapolate=Linear","MultiX=Average","Skip=True","Sort=True")</f>
        <v>14.567951045274869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50033</v>
      </c>
      <c r="T4327" s="43">
        <f ca="1">_xll.BInterpol('Base CDI'!$H$4:$H$28,'Base CDI'!$J$4:$J$29,S4327,"Cubic","Extrapolate=Linear","MultiX=Average","Skip=True","Sort=True")</f>
        <v>14.566539669263916</v>
      </c>
      <c r="U4327" s="43">
        <f ca="1">_xll.BInterpol('Base CDI'!$H$4:$H$28,'Base CDI'!$I$4:$I$29,S4327,"Cubic","Extrapolate=Linear","MultiX=Average","Skip=True","Sort=True")</f>
        <v>14.567655954198749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50034</v>
      </c>
      <c r="T4328" s="43">
        <f ca="1">_xll.BInterpol('Base CDI'!$H$4:$H$28,'Base CDI'!$J$4:$J$29,S4328,"Cubic","Extrapolate=Linear","MultiX=Average","Skip=True","Sort=True")</f>
        <v>14.566368599447385</v>
      </c>
      <c r="U4328" s="43">
        <f ca="1">_xll.BInterpol('Base CDI'!$H$4:$H$28,'Base CDI'!$I$4:$I$29,S4328,"Cubic","Extrapolate=Linear","MultiX=Average","Skip=True","Sort=True")</f>
        <v>14.567360858874828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50035</v>
      </c>
      <c r="T4329" s="43">
        <f ca="1">_xll.BInterpol('Base CDI'!$H$4:$H$28,'Base CDI'!$J$4:$J$29,S4329,"Cubic","Extrapolate=Linear","MultiX=Average","Skip=True","Sort=True")</f>
        <v>14.566197528026338</v>
      </c>
      <c r="U4329" s="43">
        <f ca="1">_xll.BInterpol('Base CDI'!$H$4:$H$28,'Base CDI'!$I$4:$I$29,S4329,"Cubic","Extrapolate=Linear","MultiX=Average","Skip=True","Sort=True")</f>
        <v>14.567065759775085</v>
      </c>
    </row>
    <row r="4330" spans="16:21" x14ac:dyDescent="0.25">
      <c r="P4330" s="10">
        <v>40808</v>
      </c>
      <c r="Q4330">
        <v>26.59675</v>
      </c>
      <c r="S4330" s="42">
        <f t="shared" ca="1" si="72"/>
        <v>50036</v>
      </c>
      <c r="T4330" s="43">
        <f ca="1">_xll.BInterpol('Base CDI'!$H$4:$H$28,'Base CDI'!$J$4:$J$29,S4330,"Cubic","Extrapolate=Linear","MultiX=Average","Skip=True","Sort=True")</f>
        <v>14.566026455201341</v>
      </c>
      <c r="U4330" s="43">
        <f ca="1">_xll.BInterpol('Base CDI'!$H$4:$H$28,'Base CDI'!$I$4:$I$29,S4330,"Cubic","Extrapolate=Linear","MultiX=Average","Skip=True","Sort=True")</f>
        <v>14.566770657371498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50037</v>
      </c>
      <c r="T4331" s="43">
        <f ca="1">_xll.BInterpol('Base CDI'!$H$4:$H$28,'Base CDI'!$J$4:$J$29,S4331,"Cubic","Extrapolate=Linear","MultiX=Average","Skip=True","Sort=True")</f>
        <v>14.565855381172957</v>
      </c>
      <c r="U4331" s="43">
        <f ca="1">_xll.BInterpol('Base CDI'!$H$4:$H$28,'Base CDI'!$I$4:$I$29,S4331,"Cubic","Extrapolate=Linear","MultiX=Average","Skip=True","Sort=True")</f>
        <v>14.566475552136044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50038</v>
      </c>
      <c r="T4332" s="43">
        <f ca="1">_xll.BInterpol('Base CDI'!$H$4:$H$28,'Base CDI'!$J$4:$J$29,S4332,"Cubic","Extrapolate=Linear","MultiX=Average","Skip=True","Sort=True")</f>
        <v>14.565684306141751</v>
      </c>
      <c r="U4332" s="43">
        <f ca="1">_xll.BInterpol('Base CDI'!$H$4:$H$28,'Base CDI'!$I$4:$I$29,S4332,"Cubic","Extrapolate=Linear","MultiX=Average","Skip=True","Sort=True")</f>
        <v>14.566180444540702</v>
      </c>
    </row>
    <row r="4333" spans="16:21" x14ac:dyDescent="0.25">
      <c r="P4333" s="10">
        <v>40813</v>
      </c>
      <c r="Q4333">
        <v>26.63232</v>
      </c>
      <c r="S4333" s="42">
        <f t="shared" ca="1" si="72"/>
        <v>50039</v>
      </c>
      <c r="T4333" s="43">
        <f ca="1">_xll.BInterpol('Base CDI'!$H$4:$H$28,'Base CDI'!$J$4:$J$29,S4333,"Cubic","Extrapolate=Linear","MultiX=Average","Skip=True","Sort=True")</f>
        <v>14.565513230308289</v>
      </c>
      <c r="U4333" s="43">
        <f ca="1">_xll.BInterpol('Base CDI'!$H$4:$H$28,'Base CDI'!$I$4:$I$29,S4333,"Cubic","Extrapolate=Linear","MultiX=Average","Skip=True","Sort=True")</f>
        <v>14.565885335057448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50040</v>
      </c>
      <c r="T4334" s="43">
        <f ca="1">_xll.BInterpol('Base CDI'!$H$4:$H$28,'Base CDI'!$J$4:$J$29,S4334,"Cubic","Extrapolate=Linear","MultiX=Average","Skip=True","Sort=True")</f>
        <v>14.565342153873132</v>
      </c>
      <c r="U4334" s="43">
        <f ca="1">_xll.BInterpol('Base CDI'!$H$4:$H$28,'Base CDI'!$I$4:$I$29,S4334,"Cubic","Extrapolate=Linear","MultiX=Average","Skip=True","Sort=True")</f>
        <v>14.565590224158262</v>
      </c>
    </row>
    <row r="4335" spans="16:21" x14ac:dyDescent="0.25">
      <c r="P4335" s="10">
        <v>40815</v>
      </c>
      <c r="Q4335">
        <v>26.65605</v>
      </c>
      <c r="S4335" s="42">
        <f t="shared" ca="1" si="72"/>
        <v>50041</v>
      </c>
      <c r="T4335" s="43">
        <f ca="1">_xll.BInterpol('Base CDI'!$H$4:$H$28,'Base CDI'!$J$4:$J$29,S4335,"Cubic","Extrapolate=Linear","MultiX=Average","Skip=True","Sort=True")</f>
        <v>14.565171077036849</v>
      </c>
      <c r="U4335" s="43">
        <f ca="1">_xll.BInterpol('Base CDI'!$H$4:$H$28,'Base CDI'!$I$4:$I$29,S4335,"Cubic","Extrapolate=Linear","MultiX=Average","Skip=True","Sort=True")</f>
        <v>14.56529511231512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50042</v>
      </c>
      <c r="T4336" s="43">
        <f ca="1">_xll.BInterpol('Base CDI'!$H$4:$H$28,'Base CDI'!$J$4:$J$29,S4336,"Cubic","Extrapolate=Linear","MultiX=Average","Skip=True","Sort=True")</f>
        <v>14.565</v>
      </c>
      <c r="U4336" s="43">
        <f ca="1">_xll.BInterpol('Base CDI'!$H$4:$H$28,'Base CDI'!$I$4:$I$29,S4336,"Cubic","Extrapolate=Linear","MultiX=Average","Skip=True","Sort=True")</f>
        <v>14.565</v>
      </c>
    </row>
    <row r="4337" spans="16:21" x14ac:dyDescent="0.25">
      <c r="P4337" s="10">
        <v>40819</v>
      </c>
      <c r="Q4337">
        <v>26.67981</v>
      </c>
      <c r="S4337" s="42">
        <f t="shared" ca="1" si="72"/>
        <v>50043</v>
      </c>
      <c r="T4337" s="43">
        <f ca="1">_xll.BInterpol('Base CDI'!$H$4:$H$28,'Base CDI'!$J$4:$J$29,S4337,"Cubic","Extrapolate=Linear","MultiX=Average","Skip=True","Sort=True")</f>
        <v>14.564846785225718</v>
      </c>
      <c r="U4337" s="43">
        <f ca="1">_xll.BInterpol('Base CDI'!$H$4:$H$28,'Base CDI'!$I$4:$I$29,S4337,"Cubic","Extrapolate=Linear","MultiX=Average","Skip=True","Sort=True")</f>
        <v>14.564746922024623</v>
      </c>
    </row>
    <row r="4338" spans="16:21" x14ac:dyDescent="0.25">
      <c r="P4338" s="10">
        <v>40820</v>
      </c>
      <c r="Q4338">
        <v>26.69171</v>
      </c>
      <c r="S4338" s="42">
        <f t="shared" ca="1" si="72"/>
        <v>50044</v>
      </c>
      <c r="T4338" s="43">
        <f ca="1">_xll.BInterpol('Base CDI'!$H$4:$H$28,'Base CDI'!$J$4:$J$29,S4338,"Cubic","Extrapolate=Linear","MultiX=Average","Skip=True","Sort=True")</f>
        <v>14.564693570451436</v>
      </c>
      <c r="U4338" s="43">
        <f ca="1">_xll.BInterpol('Base CDI'!$H$4:$H$28,'Base CDI'!$I$4:$I$29,S4338,"Cubic","Extrapolate=Linear","MultiX=Average","Skip=True","Sort=True")</f>
        <v>14.564493844049247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50045</v>
      </c>
      <c r="T4339" s="43">
        <f ca="1">_xll.BInterpol('Base CDI'!$H$4:$H$28,'Base CDI'!$J$4:$J$29,S4339,"Cubic","Extrapolate=Linear","MultiX=Average","Skip=True","Sort=True")</f>
        <v>14.564540355677154</v>
      </c>
      <c r="U4339" s="43">
        <f ca="1">_xll.BInterpol('Base CDI'!$H$4:$H$28,'Base CDI'!$I$4:$I$29,S4339,"Cubic","Extrapolate=Linear","MultiX=Average","Skip=True","Sort=True")</f>
        <v>14.564240766073871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50046</v>
      </c>
      <c r="T4340" s="43">
        <f ca="1">_xll.BInterpol('Base CDI'!$H$4:$H$28,'Base CDI'!$J$4:$J$29,S4340,"Cubic","Extrapolate=Linear","MultiX=Average","Skip=True","Sort=True")</f>
        <v>14.564387140902872</v>
      </c>
      <c r="U4340" s="43">
        <f ca="1">_xll.BInterpol('Base CDI'!$H$4:$H$28,'Base CDI'!$I$4:$I$29,S4340,"Cubic","Extrapolate=Linear","MultiX=Average","Skip=True","Sort=True")</f>
        <v>14.563987688098495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50047</v>
      </c>
      <c r="T4341" s="43">
        <f ca="1">_xll.BInterpol('Base CDI'!$H$4:$H$28,'Base CDI'!$J$4:$J$29,S4341,"Cubic","Extrapolate=Linear","MultiX=Average","Skip=True","Sort=True")</f>
        <v>14.56423392612859</v>
      </c>
      <c r="U4341" s="43">
        <f ca="1">_xll.BInterpol('Base CDI'!$H$4:$H$28,'Base CDI'!$I$4:$I$29,S4341,"Cubic","Extrapolate=Linear","MultiX=Average","Skip=True","Sort=True")</f>
        <v>14.563734610123118</v>
      </c>
    </row>
    <row r="4342" spans="16:21" x14ac:dyDescent="0.25">
      <c r="P4342" s="10">
        <v>40826</v>
      </c>
      <c r="Q4342">
        <v>26.73931</v>
      </c>
      <c r="S4342" s="42">
        <f t="shared" ca="1" si="72"/>
        <v>50048</v>
      </c>
      <c r="T4342" s="43">
        <f ca="1">_xll.BInterpol('Base CDI'!$H$4:$H$28,'Base CDI'!$J$4:$J$29,S4342,"Cubic","Extrapolate=Linear","MultiX=Average","Skip=True","Sort=True")</f>
        <v>14.564080711354309</v>
      </c>
      <c r="U4342" s="43">
        <f ca="1">_xll.BInterpol('Base CDI'!$H$4:$H$28,'Base CDI'!$I$4:$I$29,S4342,"Cubic","Extrapolate=Linear","MultiX=Average","Skip=True","Sort=True")</f>
        <v>14.563481532147742</v>
      </c>
    </row>
    <row r="4343" spans="16:21" x14ac:dyDescent="0.25">
      <c r="P4343" s="10">
        <v>40827</v>
      </c>
      <c r="Q4343">
        <v>26.75123</v>
      </c>
      <c r="S4343" s="42">
        <f t="shared" ca="1" si="72"/>
        <v>50049</v>
      </c>
      <c r="T4343" s="43">
        <f ca="1">_xll.BInterpol('Base CDI'!$H$4:$H$28,'Base CDI'!$J$4:$J$29,S4343,"Cubic","Extrapolate=Linear","MultiX=Average","Skip=True","Sort=True")</f>
        <v>14.563927496580026</v>
      </c>
      <c r="U4343" s="43">
        <f ca="1">_xll.BInterpol('Base CDI'!$H$4:$H$28,'Base CDI'!$I$4:$I$29,S4343,"Cubic","Extrapolate=Linear","MultiX=Average","Skip=True","Sort=True")</f>
        <v>14.563228454172366</v>
      </c>
    </row>
    <row r="4344" spans="16:21" x14ac:dyDescent="0.25">
      <c r="P4344" s="10">
        <v>40829</v>
      </c>
      <c r="Q4344">
        <v>26.76315</v>
      </c>
      <c r="S4344" s="42">
        <f t="shared" ca="1" si="72"/>
        <v>50050</v>
      </c>
      <c r="T4344" s="43">
        <f ca="1">_xll.BInterpol('Base CDI'!$H$4:$H$28,'Base CDI'!$J$4:$J$29,S4344,"Cubic","Extrapolate=Linear","MultiX=Average","Skip=True","Sort=True")</f>
        <v>14.563774281805745</v>
      </c>
      <c r="U4344" s="43">
        <f ca="1">_xll.BInterpol('Base CDI'!$H$4:$H$28,'Base CDI'!$I$4:$I$29,S4344,"Cubic","Extrapolate=Linear","MultiX=Average","Skip=True","Sort=True")</f>
        <v>14.56297537619699</v>
      </c>
    </row>
    <row r="4345" spans="16:21" x14ac:dyDescent="0.25">
      <c r="P4345" s="10">
        <v>40830</v>
      </c>
      <c r="Q4345">
        <v>26.77506</v>
      </c>
      <c r="S4345" s="42">
        <f t="shared" ca="1" si="72"/>
        <v>50051</v>
      </c>
      <c r="T4345" s="43">
        <f ca="1">_xll.BInterpol('Base CDI'!$H$4:$H$28,'Base CDI'!$J$4:$J$29,S4345,"Cubic","Extrapolate=Linear","MultiX=Average","Skip=True","Sort=True")</f>
        <v>14.563621067031463</v>
      </c>
      <c r="U4345" s="43">
        <f ca="1">_xll.BInterpol('Base CDI'!$H$4:$H$28,'Base CDI'!$I$4:$I$29,S4345,"Cubic","Extrapolate=Linear","MultiX=Average","Skip=True","Sort=True")</f>
        <v>14.562722298221614</v>
      </c>
    </row>
    <row r="4346" spans="16:21" x14ac:dyDescent="0.25">
      <c r="P4346" s="10">
        <v>40833</v>
      </c>
      <c r="Q4346">
        <v>26.78698</v>
      </c>
      <c r="S4346" s="42">
        <f t="shared" ca="1" si="72"/>
        <v>50052</v>
      </c>
      <c r="T4346" s="43">
        <f ca="1">_xll.BInterpol('Base CDI'!$H$4:$H$28,'Base CDI'!$J$4:$J$29,S4346,"Cubic","Extrapolate=Linear","MultiX=Average","Skip=True","Sort=True")</f>
        <v>14.563467852257181</v>
      </c>
      <c r="U4346" s="43">
        <f ca="1">_xll.BInterpol('Base CDI'!$H$4:$H$28,'Base CDI'!$I$4:$I$29,S4346,"Cubic","Extrapolate=Linear","MultiX=Average","Skip=True","Sort=True")</f>
        <v>14.562469220246237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50053</v>
      </c>
      <c r="T4347" s="43">
        <f ca="1">_xll.BInterpol('Base CDI'!$H$4:$H$28,'Base CDI'!$J$4:$J$29,S4347,"Cubic","Extrapolate=Linear","MultiX=Average","Skip=True","Sort=True")</f>
        <v>14.5633146374829</v>
      </c>
      <c r="U4347" s="43">
        <f ca="1">_xll.BInterpol('Base CDI'!$H$4:$H$28,'Base CDI'!$I$4:$I$29,S4347,"Cubic","Extrapolate=Linear","MultiX=Average","Skip=True","Sort=True")</f>
        <v>14.562216142270861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50054</v>
      </c>
      <c r="T4348" s="43">
        <f ca="1">_xll.BInterpol('Base CDI'!$H$4:$H$28,'Base CDI'!$J$4:$J$29,S4348,"Cubic","Extrapolate=Linear","MultiX=Average","Skip=True","Sort=True")</f>
        <v>14.563161422708617</v>
      </c>
      <c r="U4348" s="43">
        <f ca="1">_xll.BInterpol('Base CDI'!$H$4:$H$28,'Base CDI'!$I$4:$I$29,S4348,"Cubic","Extrapolate=Linear","MultiX=Average","Skip=True","Sort=True")</f>
        <v>14.561963064295485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50055</v>
      </c>
      <c r="T4349" s="43">
        <f ca="1">_xll.BInterpol('Base CDI'!$H$4:$H$28,'Base CDI'!$J$4:$J$29,S4349,"Cubic","Extrapolate=Linear","MultiX=Average","Skip=True","Sort=True")</f>
        <v>14.563008207934336</v>
      </c>
      <c r="U4349" s="43">
        <f ca="1">_xll.BInterpol('Base CDI'!$H$4:$H$28,'Base CDI'!$I$4:$I$29,S4349,"Cubic","Extrapolate=Linear","MultiX=Average","Skip=True","Sort=True")</f>
        <v>14.561709986320109</v>
      </c>
    </row>
    <row r="4350" spans="16:21" x14ac:dyDescent="0.25">
      <c r="P4350" s="10">
        <v>40837</v>
      </c>
      <c r="Q4350">
        <v>26.83427</v>
      </c>
      <c r="S4350" s="42">
        <f t="shared" ca="1" si="72"/>
        <v>50056</v>
      </c>
      <c r="T4350" s="43">
        <f ca="1">_xll.BInterpol('Base CDI'!$H$4:$H$28,'Base CDI'!$J$4:$J$29,S4350,"Cubic","Extrapolate=Linear","MultiX=Average","Skip=True","Sort=True")</f>
        <v>14.562854993160053</v>
      </c>
      <c r="U4350" s="43">
        <f ca="1">_xll.BInterpol('Base CDI'!$H$4:$H$28,'Base CDI'!$I$4:$I$29,S4350,"Cubic","Extrapolate=Linear","MultiX=Average","Skip=True","Sort=True")</f>
        <v>14.561456908344732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50057</v>
      </c>
      <c r="T4351" s="43">
        <f ca="1">_xll.BInterpol('Base CDI'!$H$4:$H$28,'Base CDI'!$J$4:$J$29,S4351,"Cubic","Extrapolate=Linear","MultiX=Average","Skip=True","Sort=True")</f>
        <v>14.562701778385772</v>
      </c>
      <c r="U4351" s="43">
        <f ca="1">_xll.BInterpol('Base CDI'!$H$4:$H$28,'Base CDI'!$I$4:$I$29,S4351,"Cubic","Extrapolate=Linear","MultiX=Average","Skip=True","Sort=True")</f>
        <v>14.561203830369356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50058</v>
      </c>
      <c r="T4352" s="43">
        <f ca="1">_xll.BInterpol('Base CDI'!$H$4:$H$28,'Base CDI'!$J$4:$J$29,S4352,"Cubic","Extrapolate=Linear","MultiX=Average","Skip=True","Sort=True")</f>
        <v>14.562548563611491</v>
      </c>
      <c r="U4352" s="43">
        <f ca="1">_xll.BInterpol('Base CDI'!$H$4:$H$28,'Base CDI'!$I$4:$I$29,S4352,"Cubic","Extrapolate=Linear","MultiX=Average","Skip=True","Sort=True")</f>
        <v>14.56095075239398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50059</v>
      </c>
      <c r="T4353" s="43">
        <f ca="1">_xll.BInterpol('Base CDI'!$H$4:$H$28,'Base CDI'!$J$4:$J$29,S4353,"Cubic","Extrapolate=Linear","MultiX=Average","Skip=True","Sort=True")</f>
        <v>14.562395348837208</v>
      </c>
      <c r="U4353" s="43">
        <f ca="1">_xll.BInterpol('Base CDI'!$H$4:$H$28,'Base CDI'!$I$4:$I$29,S4353,"Cubic","Extrapolate=Linear","MultiX=Average","Skip=True","Sort=True")</f>
        <v>14.560697674418604</v>
      </c>
    </row>
    <row r="4354" spans="16:21" x14ac:dyDescent="0.25">
      <c r="P4354" s="10">
        <v>40843</v>
      </c>
      <c r="Q4354">
        <v>26.88025</v>
      </c>
      <c r="S4354" s="42">
        <f t="shared" ca="1" si="72"/>
        <v>50060</v>
      </c>
      <c r="T4354" s="43">
        <f ca="1">_xll.BInterpol('Base CDI'!$H$4:$H$28,'Base CDI'!$J$4:$J$29,S4354,"Cubic","Extrapolate=Linear","MultiX=Average","Skip=True","Sort=True")</f>
        <v>14.562242134062927</v>
      </c>
      <c r="U4354" s="43">
        <f ca="1">_xll.BInterpol('Base CDI'!$H$4:$H$28,'Base CDI'!$I$4:$I$29,S4354,"Cubic","Extrapolate=Linear","MultiX=Average","Skip=True","Sort=True")</f>
        <v>14.560444596443228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50061</v>
      </c>
      <c r="T4355" s="43">
        <f ca="1">_xll.BInterpol('Base CDI'!$H$4:$H$28,'Base CDI'!$J$4:$J$29,S4355,"Cubic","Extrapolate=Linear","MultiX=Average","Skip=True","Sort=True")</f>
        <v>14.562088919288644</v>
      </c>
      <c r="U4355" s="43">
        <f ca="1">_xll.BInterpol('Base CDI'!$H$4:$H$28,'Base CDI'!$I$4:$I$29,S4355,"Cubic","Extrapolate=Linear","MultiX=Average","Skip=True","Sort=True")</f>
        <v>14.560191518467851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50062</v>
      </c>
      <c r="T4356" s="43">
        <f ca="1">_xll.BInterpol('Base CDI'!$H$4:$H$28,'Base CDI'!$J$4:$J$29,S4356,"Cubic","Extrapolate=Linear","MultiX=Average","Skip=True","Sort=True")</f>
        <v>14.561935704514363</v>
      </c>
      <c r="U4356" s="43">
        <f ca="1">_xll.BInterpol('Base CDI'!$H$4:$H$28,'Base CDI'!$I$4:$I$29,S4356,"Cubic","Extrapolate=Linear","MultiX=Average","Skip=True","Sort=True")</f>
        <v>14.559938440492475</v>
      </c>
    </row>
    <row r="4357" spans="16:21" x14ac:dyDescent="0.25">
      <c r="P4357" s="10">
        <v>40848</v>
      </c>
      <c r="Q4357">
        <v>26.91479</v>
      </c>
      <c r="S4357" s="42">
        <f t="shared" ca="1" si="72"/>
        <v>50063</v>
      </c>
      <c r="T4357" s="43">
        <f ca="1">_xll.BInterpol('Base CDI'!$H$4:$H$28,'Base CDI'!$J$4:$J$29,S4357,"Cubic","Extrapolate=Linear","MultiX=Average","Skip=True","Sort=True")</f>
        <v>14.561782489740082</v>
      </c>
      <c r="U4357" s="43">
        <f ca="1">_xll.BInterpol('Base CDI'!$H$4:$H$28,'Base CDI'!$I$4:$I$29,S4357,"Cubic","Extrapolate=Linear","MultiX=Average","Skip=True","Sort=True")</f>
        <v>14.559685362517099</v>
      </c>
    </row>
    <row r="4358" spans="16:21" x14ac:dyDescent="0.25">
      <c r="P4358" s="10">
        <v>40850</v>
      </c>
      <c r="Q4358">
        <v>26.92632</v>
      </c>
      <c r="S4358" s="42">
        <f t="shared" ca="1" si="72"/>
        <v>50064</v>
      </c>
      <c r="T4358" s="43">
        <f ca="1">_xll.BInterpol('Base CDI'!$H$4:$H$28,'Base CDI'!$J$4:$J$29,S4358,"Cubic","Extrapolate=Linear","MultiX=Average","Skip=True","Sort=True")</f>
        <v>14.561629274965799</v>
      </c>
      <c r="U4358" s="43">
        <f ca="1">_xll.BInterpol('Base CDI'!$H$4:$H$28,'Base CDI'!$I$4:$I$29,S4358,"Cubic","Extrapolate=Linear","MultiX=Average","Skip=True","Sort=True")</f>
        <v>14.559432284541723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50065</v>
      </c>
      <c r="T4359" s="43">
        <f ca="1">_xll.BInterpol('Base CDI'!$H$4:$H$28,'Base CDI'!$J$4:$J$29,S4359,"Cubic","Extrapolate=Linear","MultiX=Average","Skip=True","Sort=True")</f>
        <v>14.561476060191518</v>
      </c>
      <c r="U4359" s="43">
        <f ca="1">_xll.BInterpol('Base CDI'!$H$4:$H$28,'Base CDI'!$I$4:$I$29,S4359,"Cubic","Extrapolate=Linear","MultiX=Average","Skip=True","Sort=True")</f>
        <v>14.559179206566347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50066</v>
      </c>
      <c r="T4360" s="43">
        <f ca="1">_xll.BInterpol('Base CDI'!$H$4:$H$28,'Base CDI'!$J$4:$J$29,S4360,"Cubic","Extrapolate=Linear","MultiX=Average","Skip=True","Sort=True")</f>
        <v>14.561322845417235</v>
      </c>
      <c r="U4360" s="43">
        <f ca="1">_xll.BInterpol('Base CDI'!$H$4:$H$28,'Base CDI'!$I$4:$I$29,S4360,"Cubic","Extrapolate=Linear","MultiX=Average","Skip=True","Sort=True")</f>
        <v>14.55892612859097</v>
      </c>
    </row>
    <row r="4361" spans="16:21" x14ac:dyDescent="0.25">
      <c r="P4361" s="10">
        <v>40855</v>
      </c>
      <c r="Q4361">
        <v>26.96095</v>
      </c>
      <c r="S4361" s="42">
        <f t="shared" ca="1" si="72"/>
        <v>50067</v>
      </c>
      <c r="T4361" s="43">
        <f ca="1">_xll.BInterpol('Base CDI'!$H$4:$H$28,'Base CDI'!$J$4:$J$29,S4361,"Cubic","Extrapolate=Linear","MultiX=Average","Skip=True","Sort=True")</f>
        <v>14.561169630642954</v>
      </c>
      <c r="U4361" s="43">
        <f ca="1">_xll.BInterpol('Base CDI'!$H$4:$H$28,'Base CDI'!$I$4:$I$29,S4361,"Cubic","Extrapolate=Linear","MultiX=Average","Skip=True","Sort=True")</f>
        <v>14.558673050615594</v>
      </c>
    </row>
    <row r="4362" spans="16:21" x14ac:dyDescent="0.25">
      <c r="P4362" s="10">
        <v>40856</v>
      </c>
      <c r="Q4362">
        <v>26.9725</v>
      </c>
      <c r="S4362" s="42">
        <f t="shared" ca="1" si="72"/>
        <v>50068</v>
      </c>
      <c r="T4362" s="43">
        <f ca="1">_xll.BInterpol('Base CDI'!$H$4:$H$28,'Base CDI'!$J$4:$J$29,S4362,"Cubic","Extrapolate=Linear","MultiX=Average","Skip=True","Sort=True")</f>
        <v>14.561016415868673</v>
      </c>
      <c r="U4362" s="43">
        <f ca="1">_xll.BInterpol('Base CDI'!$H$4:$H$28,'Base CDI'!$I$4:$I$29,S4362,"Cubic","Extrapolate=Linear","MultiX=Average","Skip=True","Sort=True")</f>
        <v>14.558419972640218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50069</v>
      </c>
      <c r="T4363" s="43">
        <f ca="1">_xll.BInterpol('Base CDI'!$H$4:$H$28,'Base CDI'!$J$4:$J$29,S4363,"Cubic","Extrapolate=Linear","MultiX=Average","Skip=True","Sort=True")</f>
        <v>14.56086320109439</v>
      </c>
      <c r="U4363" s="43">
        <f ca="1">_xll.BInterpol('Base CDI'!$H$4:$H$28,'Base CDI'!$I$4:$I$29,S4363,"Cubic","Extrapolate=Linear","MultiX=Average","Skip=True","Sort=True")</f>
        <v>14.558166894664842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50070</v>
      </c>
      <c r="T4364" s="43">
        <f ca="1">_xll.BInterpol('Base CDI'!$H$4:$H$28,'Base CDI'!$J$4:$J$29,S4364,"Cubic","Extrapolate=Linear","MultiX=Average","Skip=True","Sort=True")</f>
        <v>14.560709986320109</v>
      </c>
      <c r="U4364" s="43">
        <f ca="1">_xll.BInterpol('Base CDI'!$H$4:$H$28,'Base CDI'!$I$4:$I$29,S4364,"Cubic","Extrapolate=Linear","MultiX=Average","Skip=True","Sort=True")</f>
        <v>14.557913816689465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50071</v>
      </c>
      <c r="T4365" s="43">
        <f ca="1">_xll.BInterpol('Base CDI'!$H$4:$H$28,'Base CDI'!$J$4:$J$29,S4365,"Cubic","Extrapolate=Linear","MultiX=Average","Skip=True","Sort=True")</f>
        <v>14.560556771545826</v>
      </c>
      <c r="U4365" s="43">
        <f ca="1">_xll.BInterpol('Base CDI'!$H$4:$H$28,'Base CDI'!$I$4:$I$29,S4365,"Cubic","Extrapolate=Linear","MultiX=Average","Skip=True","Sort=True")</f>
        <v>14.557660738714089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50072</v>
      </c>
      <c r="T4366" s="43">
        <f ca="1">_xll.BInterpol('Base CDI'!$H$4:$H$28,'Base CDI'!$J$4:$J$29,S4366,"Cubic","Extrapolate=Linear","MultiX=Average","Skip=True","Sort=True")</f>
        <v>14.560403556771545</v>
      </c>
      <c r="U4366" s="43">
        <f ca="1">_xll.BInterpol('Base CDI'!$H$4:$H$28,'Base CDI'!$I$4:$I$29,S4366,"Cubic","Extrapolate=Linear","MultiX=Average","Skip=True","Sort=True")</f>
        <v>14.557407660738713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50073</v>
      </c>
      <c r="T4367" s="43">
        <f ca="1">_xll.BInterpol('Base CDI'!$H$4:$H$28,'Base CDI'!$J$4:$J$29,S4367,"Cubic","Extrapolate=Linear","MultiX=Average","Skip=True","Sort=True")</f>
        <v>14.560250341997264</v>
      </c>
      <c r="U4367" s="43">
        <f ca="1">_xll.BInterpol('Base CDI'!$H$4:$H$28,'Base CDI'!$I$4:$I$29,S4367,"Cubic","Extrapolate=Linear","MultiX=Average","Skip=True","Sort=True")</f>
        <v>14.557154582763337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50074</v>
      </c>
      <c r="T4368" s="43">
        <f ca="1">_xll.BInterpol('Base CDI'!$H$4:$H$28,'Base CDI'!$J$4:$J$29,S4368,"Cubic","Extrapolate=Linear","MultiX=Average","Skip=True","Sort=True")</f>
        <v>14.560097127222981</v>
      </c>
      <c r="U4368" s="43">
        <f ca="1">_xll.BInterpol('Base CDI'!$H$4:$H$28,'Base CDI'!$I$4:$I$29,S4368,"Cubic","Extrapolate=Linear","MultiX=Average","Skip=True","Sort=True")</f>
        <v>14.556901504787961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50075</v>
      </c>
      <c r="T4369" s="43">
        <f ca="1">_xll.BInterpol('Base CDI'!$H$4:$H$28,'Base CDI'!$J$4:$J$29,S4369,"Cubic","Extrapolate=Linear","MultiX=Average","Skip=True","Sort=True")</f>
        <v>14.5599439124487</v>
      </c>
      <c r="U4369" s="43">
        <f ca="1">_xll.BInterpol('Base CDI'!$H$4:$H$28,'Base CDI'!$I$4:$I$29,S4369,"Cubic","Extrapolate=Linear","MultiX=Average","Skip=True","Sort=True")</f>
        <v>14.556648426812584</v>
      </c>
    </row>
    <row r="4370" spans="16:21" x14ac:dyDescent="0.25">
      <c r="P4370" s="10">
        <v>40869</v>
      </c>
      <c r="Q4370">
        <v>27.06485</v>
      </c>
      <c r="S4370" s="42">
        <f t="shared" ca="1" si="73"/>
        <v>50076</v>
      </c>
      <c r="T4370" s="43">
        <f ca="1">_xll.BInterpol('Base CDI'!$H$4:$H$28,'Base CDI'!$J$4:$J$29,S4370,"Cubic","Extrapolate=Linear","MultiX=Average","Skip=True","Sort=True")</f>
        <v>14.559790697674417</v>
      </c>
      <c r="U4370" s="43">
        <f ca="1">_xll.BInterpol('Base CDI'!$H$4:$H$28,'Base CDI'!$I$4:$I$29,S4370,"Cubic","Extrapolate=Linear","MultiX=Average","Skip=True","Sort=True")</f>
        <v>14.556395348837208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50077</v>
      </c>
      <c r="T4371" s="43">
        <f ca="1">_xll.BInterpol('Base CDI'!$H$4:$H$28,'Base CDI'!$J$4:$J$29,S4371,"Cubic","Extrapolate=Linear","MultiX=Average","Skip=True","Sort=True")</f>
        <v>14.559637482900136</v>
      </c>
      <c r="U4371" s="43">
        <f ca="1">_xll.BInterpol('Base CDI'!$H$4:$H$28,'Base CDI'!$I$4:$I$29,S4371,"Cubic","Extrapolate=Linear","MultiX=Average","Skip=True","Sort=True")</f>
        <v>14.556142270861832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50078</v>
      </c>
      <c r="T4372" s="43">
        <f ca="1">_xll.BInterpol('Base CDI'!$H$4:$H$28,'Base CDI'!$J$4:$J$29,S4372,"Cubic","Extrapolate=Linear","MultiX=Average","Skip=True","Sort=True")</f>
        <v>14.559484268125855</v>
      </c>
      <c r="U4372" s="43">
        <f ca="1">_xll.BInterpol('Base CDI'!$H$4:$H$28,'Base CDI'!$I$4:$I$29,S4372,"Cubic","Extrapolate=Linear","MultiX=Average","Skip=True","Sort=True")</f>
        <v>14.555889192886456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50079</v>
      </c>
      <c r="T4373" s="43">
        <f ca="1">_xll.BInterpol('Base CDI'!$H$4:$H$28,'Base CDI'!$J$4:$J$29,S4373,"Cubic","Extrapolate=Linear","MultiX=Average","Skip=True","Sort=True")</f>
        <v>14.559331053351572</v>
      </c>
      <c r="U4373" s="43">
        <f ca="1">_xll.BInterpol('Base CDI'!$H$4:$H$28,'Base CDI'!$I$4:$I$29,S4373,"Cubic","Extrapolate=Linear","MultiX=Average","Skip=True","Sort=True")</f>
        <v>14.55563611491108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50080</v>
      </c>
      <c r="T4374" s="43">
        <f ca="1">_xll.BInterpol('Base CDI'!$H$4:$H$28,'Base CDI'!$J$4:$J$29,S4374,"Cubic","Extrapolate=Linear","MultiX=Average","Skip=True","Sort=True")</f>
        <v>14.559177838577291</v>
      </c>
      <c r="U4374" s="43">
        <f ca="1">_xll.BInterpol('Base CDI'!$H$4:$H$28,'Base CDI'!$I$4:$I$29,S4374,"Cubic","Extrapolate=Linear","MultiX=Average","Skip=True","Sort=True")</f>
        <v>14.555383036935703</v>
      </c>
    </row>
    <row r="4375" spans="16:21" x14ac:dyDescent="0.25">
      <c r="P4375" s="10">
        <v>40876</v>
      </c>
      <c r="Q4375">
        <v>27.12274</v>
      </c>
      <c r="S4375" s="42">
        <f t="shared" ca="1" si="73"/>
        <v>50081</v>
      </c>
      <c r="T4375" s="43">
        <f ca="1">_xll.BInterpol('Base CDI'!$H$4:$H$28,'Base CDI'!$J$4:$J$29,S4375,"Cubic","Extrapolate=Linear","MultiX=Average","Skip=True","Sort=True")</f>
        <v>14.559024623803008</v>
      </c>
      <c r="U4375" s="43">
        <f ca="1">_xll.BInterpol('Base CDI'!$H$4:$H$28,'Base CDI'!$I$4:$I$29,S4375,"Cubic","Extrapolate=Linear","MultiX=Average","Skip=True","Sort=True")</f>
        <v>14.555129958960327</v>
      </c>
    </row>
    <row r="4376" spans="16:21" x14ac:dyDescent="0.25">
      <c r="P4376" s="10">
        <v>40877</v>
      </c>
      <c r="Q4376">
        <v>27.1343</v>
      </c>
      <c r="S4376" s="42">
        <f t="shared" ca="1" si="73"/>
        <v>50082</v>
      </c>
      <c r="T4376" s="43">
        <f ca="1">_xll.BInterpol('Base CDI'!$H$4:$H$28,'Base CDI'!$J$4:$J$29,S4376,"Cubic","Extrapolate=Linear","MultiX=Average","Skip=True","Sort=True")</f>
        <v>14.558871409028727</v>
      </c>
      <c r="U4376" s="43">
        <f ca="1">_xll.BInterpol('Base CDI'!$H$4:$H$28,'Base CDI'!$I$4:$I$29,S4376,"Cubic","Extrapolate=Linear","MultiX=Average","Skip=True","Sort=True")</f>
        <v>14.554876880984951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50083</v>
      </c>
      <c r="T4377" s="43">
        <f ca="1">_xll.BInterpol('Base CDI'!$H$4:$H$28,'Base CDI'!$J$4:$J$29,S4377,"Cubic","Extrapolate=Linear","MultiX=Average","Skip=True","Sort=True")</f>
        <v>14.558718194254446</v>
      </c>
      <c r="U4377" s="43">
        <f ca="1">_xll.BInterpol('Base CDI'!$H$4:$H$28,'Base CDI'!$I$4:$I$29,S4377,"Cubic","Extrapolate=Linear","MultiX=Average","Skip=True","Sort=True")</f>
        <v>14.554623803009575</v>
      </c>
    </row>
    <row r="4378" spans="16:21" x14ac:dyDescent="0.25">
      <c r="P4378" s="10">
        <v>40879</v>
      </c>
      <c r="Q4378">
        <v>27.15701</v>
      </c>
      <c r="S4378" s="42">
        <f t="shared" ca="1" si="73"/>
        <v>50084</v>
      </c>
      <c r="T4378" s="43">
        <f ca="1">_xll.BInterpol('Base CDI'!$H$4:$H$28,'Base CDI'!$J$4:$J$29,S4378,"Cubic","Extrapolate=Linear","MultiX=Average","Skip=True","Sort=True")</f>
        <v>14.558564979480163</v>
      </c>
      <c r="U4378" s="43">
        <f ca="1">_xll.BInterpol('Base CDI'!$H$4:$H$28,'Base CDI'!$I$4:$I$29,S4378,"Cubic","Extrapolate=Linear","MultiX=Average","Skip=True","Sort=True")</f>
        <v>14.554370725034198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50085</v>
      </c>
      <c r="T4379" s="43">
        <f ca="1">_xll.BInterpol('Base CDI'!$H$4:$H$28,'Base CDI'!$J$4:$J$29,S4379,"Cubic","Extrapolate=Linear","MultiX=Average","Skip=True","Sort=True")</f>
        <v>14.558411764705882</v>
      </c>
      <c r="U4379" s="43">
        <f ca="1">_xll.BInterpol('Base CDI'!$H$4:$H$28,'Base CDI'!$I$4:$I$29,S4379,"Cubic","Extrapolate=Linear","MultiX=Average","Skip=True","Sort=True")</f>
        <v>14.554117647058822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50086</v>
      </c>
      <c r="T4380" s="43">
        <f ca="1">_xll.BInterpol('Base CDI'!$H$4:$H$28,'Base CDI'!$J$4:$J$29,S4380,"Cubic","Extrapolate=Linear","MultiX=Average","Skip=True","Sort=True")</f>
        <v>14.558258549931599</v>
      </c>
      <c r="U4380" s="43">
        <f ca="1">_xll.BInterpol('Base CDI'!$H$4:$H$28,'Base CDI'!$I$4:$I$29,S4380,"Cubic","Extrapolate=Linear","MultiX=Average","Skip=True","Sort=True")</f>
        <v>14.553864569083446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50087</v>
      </c>
      <c r="T4381" s="43">
        <f ca="1">_xll.BInterpol('Base CDI'!$H$4:$H$28,'Base CDI'!$J$4:$J$29,S4381,"Cubic","Extrapolate=Linear","MultiX=Average","Skip=True","Sort=True")</f>
        <v>14.558105335157318</v>
      </c>
      <c r="U4381" s="43">
        <f ca="1">_xll.BInterpol('Base CDI'!$H$4:$H$28,'Base CDI'!$I$4:$I$29,S4381,"Cubic","Extrapolate=Linear","MultiX=Average","Skip=True","Sort=True")</f>
        <v>14.55361149110807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50088</v>
      </c>
      <c r="T4382" s="43">
        <f ca="1">_xll.BInterpol('Base CDI'!$H$4:$H$28,'Base CDI'!$J$4:$J$29,S4382,"Cubic","Extrapolate=Linear","MultiX=Average","Skip=True","Sort=True")</f>
        <v>14.557952120383037</v>
      </c>
      <c r="U4382" s="43">
        <f ca="1">_xll.BInterpol('Base CDI'!$H$4:$H$28,'Base CDI'!$I$4:$I$29,S4382,"Cubic","Extrapolate=Linear","MultiX=Average","Skip=True","Sort=True")</f>
        <v>14.553358413132694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50089</v>
      </c>
      <c r="T4383" s="43">
        <f ca="1">_xll.BInterpol('Base CDI'!$H$4:$H$28,'Base CDI'!$J$4:$J$29,S4383,"Cubic","Extrapolate=Linear","MultiX=Average","Skip=True","Sort=True")</f>
        <v>14.557798905608754</v>
      </c>
      <c r="U4383" s="43">
        <f ca="1">_xll.BInterpol('Base CDI'!$H$4:$H$28,'Base CDI'!$I$4:$I$29,S4383,"Cubic","Extrapolate=Linear","MultiX=Average","Skip=True","Sort=True")</f>
        <v>14.553105335157317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50090</v>
      </c>
      <c r="T4384" s="43">
        <f ca="1">_xll.BInterpol('Base CDI'!$H$4:$H$28,'Base CDI'!$J$4:$J$29,S4384,"Cubic","Extrapolate=Linear","MultiX=Average","Skip=True","Sort=True")</f>
        <v>14.557645690834473</v>
      </c>
      <c r="U4384" s="43">
        <f ca="1">_xll.BInterpol('Base CDI'!$H$4:$H$28,'Base CDI'!$I$4:$I$29,S4384,"Cubic","Extrapolate=Linear","MultiX=Average","Skip=True","Sort=True")</f>
        <v>14.552852257181941</v>
      </c>
    </row>
    <row r="4385" spans="16:21" x14ac:dyDescent="0.25">
      <c r="P4385" s="10">
        <v>40890</v>
      </c>
      <c r="Q4385">
        <v>27.23489</v>
      </c>
      <c r="S4385" s="42">
        <f t="shared" ca="1" si="73"/>
        <v>50091</v>
      </c>
      <c r="T4385" s="43">
        <f ca="1">_xll.BInterpol('Base CDI'!$H$4:$H$28,'Base CDI'!$J$4:$J$29,S4385,"Cubic","Extrapolate=Linear","MultiX=Average","Skip=True","Sort=True")</f>
        <v>14.55749247606019</v>
      </c>
      <c r="U4385" s="43">
        <f ca="1">_xll.BInterpol('Base CDI'!$H$4:$H$28,'Base CDI'!$I$4:$I$29,S4385,"Cubic","Extrapolate=Linear","MultiX=Average","Skip=True","Sort=True")</f>
        <v>14.552599179206565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50092</v>
      </c>
      <c r="T4386" s="43">
        <f ca="1">_xll.BInterpol('Base CDI'!$H$4:$H$28,'Base CDI'!$J$4:$J$29,S4386,"Cubic","Extrapolate=Linear","MultiX=Average","Skip=True","Sort=True")</f>
        <v>14.557339261285909</v>
      </c>
      <c r="U4386" s="43">
        <f ca="1">_xll.BInterpol('Base CDI'!$H$4:$H$28,'Base CDI'!$I$4:$I$29,S4386,"Cubic","Extrapolate=Linear","MultiX=Average","Skip=True","Sort=True")</f>
        <v>14.552346101231189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50093</v>
      </c>
      <c r="T4387" s="43">
        <f ca="1">_xll.BInterpol('Base CDI'!$H$4:$H$28,'Base CDI'!$J$4:$J$29,S4387,"Cubic","Extrapolate=Linear","MultiX=Average","Skip=True","Sort=True")</f>
        <v>14.557186046511628</v>
      </c>
      <c r="U4387" s="43">
        <f ca="1">_xll.BInterpol('Base CDI'!$H$4:$H$28,'Base CDI'!$I$4:$I$29,S4387,"Cubic","Extrapolate=Linear","MultiX=Average","Skip=True","Sort=True")</f>
        <v>14.552093023255814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50094</v>
      </c>
      <c r="T4388" s="43">
        <f ca="1">_xll.BInterpol('Base CDI'!$H$4:$H$28,'Base CDI'!$J$4:$J$29,S4388,"Cubic","Extrapolate=Linear","MultiX=Average","Skip=True","Sort=True")</f>
        <v>14.557032831737345</v>
      </c>
      <c r="U4388" s="43">
        <f ca="1">_xll.BInterpol('Base CDI'!$H$4:$H$28,'Base CDI'!$I$4:$I$29,S4388,"Cubic","Extrapolate=Linear","MultiX=Average","Skip=True","Sort=True")</f>
        <v>14.551839945280438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50095</v>
      </c>
      <c r="T4389" s="43">
        <f ca="1">_xll.BInterpol('Base CDI'!$H$4:$H$28,'Base CDI'!$J$4:$J$29,S4389,"Cubic","Extrapolate=Linear","MultiX=Average","Skip=True","Sort=True")</f>
        <v>14.556879616963064</v>
      </c>
      <c r="U4389" s="43">
        <f ca="1">_xll.BInterpol('Base CDI'!$H$4:$H$28,'Base CDI'!$I$4:$I$29,S4389,"Cubic","Extrapolate=Linear","MultiX=Average","Skip=True","Sort=True")</f>
        <v>14.551586867305062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50096</v>
      </c>
      <c r="T4390" s="43">
        <f ca="1">_xll.BInterpol('Base CDI'!$H$4:$H$28,'Base CDI'!$J$4:$J$29,S4390,"Cubic","Extrapolate=Linear","MultiX=Average","Skip=True","Sort=True")</f>
        <v>14.556726402188781</v>
      </c>
      <c r="U4390" s="43">
        <f ca="1">_xll.BInterpol('Base CDI'!$H$4:$H$28,'Base CDI'!$I$4:$I$29,S4390,"Cubic","Extrapolate=Linear","MultiX=Average","Skip=True","Sort=True")</f>
        <v>14.551333789329686</v>
      </c>
    </row>
    <row r="4391" spans="16:21" x14ac:dyDescent="0.25">
      <c r="P4391" s="10">
        <v>40898</v>
      </c>
      <c r="Q4391">
        <v>27.3019</v>
      </c>
      <c r="S4391" s="42">
        <f t="shared" ca="1" si="73"/>
        <v>50097</v>
      </c>
      <c r="T4391" s="43">
        <f ca="1">_xll.BInterpol('Base CDI'!$H$4:$H$28,'Base CDI'!$J$4:$J$29,S4391,"Cubic","Extrapolate=Linear","MultiX=Average","Skip=True","Sort=True")</f>
        <v>14.5565731874145</v>
      </c>
      <c r="U4391" s="43">
        <f ca="1">_xll.BInterpol('Base CDI'!$H$4:$H$28,'Base CDI'!$I$4:$I$29,S4391,"Cubic","Extrapolate=Linear","MultiX=Average","Skip=True","Sort=True")</f>
        <v>14.551080711354309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50098</v>
      </c>
      <c r="T4392" s="43">
        <f ca="1">_xll.BInterpol('Base CDI'!$H$4:$H$28,'Base CDI'!$J$4:$J$29,S4392,"Cubic","Extrapolate=Linear","MultiX=Average","Skip=True","Sort=True")</f>
        <v>14.556419972640219</v>
      </c>
      <c r="U4392" s="43">
        <f ca="1">_xll.BInterpol('Base CDI'!$H$4:$H$28,'Base CDI'!$I$4:$I$29,S4392,"Cubic","Extrapolate=Linear","MultiX=Average","Skip=True","Sort=True")</f>
        <v>14.550827633378933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50099</v>
      </c>
      <c r="T4393" s="43">
        <f ca="1">_xll.BInterpol('Base CDI'!$H$4:$H$28,'Base CDI'!$J$4:$J$29,S4393,"Cubic","Extrapolate=Linear","MultiX=Average","Skip=True","Sort=True")</f>
        <v>14.556266757865936</v>
      </c>
      <c r="U4393" s="43">
        <f ca="1">_xll.BInterpol('Base CDI'!$H$4:$H$28,'Base CDI'!$I$4:$I$29,S4393,"Cubic","Extrapolate=Linear","MultiX=Average","Skip=True","Sort=True")</f>
        <v>14.550574555403557</v>
      </c>
    </row>
    <row r="4394" spans="16:21" x14ac:dyDescent="0.25">
      <c r="P4394" s="10">
        <v>40903</v>
      </c>
      <c r="Q4394">
        <v>27.33549</v>
      </c>
      <c r="S4394" s="42">
        <f t="shared" ca="1" si="73"/>
        <v>50100</v>
      </c>
      <c r="T4394" s="43">
        <f ca="1">_xll.BInterpol('Base CDI'!$H$4:$H$28,'Base CDI'!$J$4:$J$29,S4394,"Cubic","Extrapolate=Linear","MultiX=Average","Skip=True","Sort=True")</f>
        <v>14.556113543091655</v>
      </c>
      <c r="U4394" s="43">
        <f ca="1">_xll.BInterpol('Base CDI'!$H$4:$H$28,'Base CDI'!$I$4:$I$29,S4394,"Cubic","Extrapolate=Linear","MultiX=Average","Skip=True","Sort=True")</f>
        <v>14.550321477428181</v>
      </c>
    </row>
    <row r="4395" spans="16:21" x14ac:dyDescent="0.25">
      <c r="P4395" s="10">
        <v>40904</v>
      </c>
      <c r="Q4395">
        <v>27.34667</v>
      </c>
      <c r="S4395" s="42">
        <f t="shared" ca="1" si="73"/>
        <v>50101</v>
      </c>
      <c r="T4395" s="43">
        <f ca="1">_xll.BInterpol('Base CDI'!$H$4:$H$28,'Base CDI'!$J$4:$J$29,S4395,"Cubic","Extrapolate=Linear","MultiX=Average","Skip=True","Sort=True")</f>
        <v>14.555960328317372</v>
      </c>
      <c r="U4395" s="43">
        <f ca="1">_xll.BInterpol('Base CDI'!$H$4:$H$28,'Base CDI'!$I$4:$I$29,S4395,"Cubic","Extrapolate=Linear","MultiX=Average","Skip=True","Sort=True")</f>
        <v>14.550068399452805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50102</v>
      </c>
      <c r="T4396" s="43">
        <f ca="1">_xll.BInterpol('Base CDI'!$H$4:$H$28,'Base CDI'!$J$4:$J$29,S4396,"Cubic","Extrapolate=Linear","MultiX=Average","Skip=True","Sort=True")</f>
        <v>14.555807113543091</v>
      </c>
      <c r="U4396" s="43">
        <f ca="1">_xll.BInterpol('Base CDI'!$H$4:$H$28,'Base CDI'!$I$4:$I$29,S4396,"Cubic","Extrapolate=Linear","MultiX=Average","Skip=True","Sort=True")</f>
        <v>14.549815321477428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50103</v>
      </c>
      <c r="T4397" s="43">
        <f ca="1">_xll.BInterpol('Base CDI'!$H$4:$H$28,'Base CDI'!$J$4:$J$29,S4397,"Cubic","Extrapolate=Linear","MultiX=Average","Skip=True","Sort=True")</f>
        <v>14.55565389876881</v>
      </c>
      <c r="U4397" s="43">
        <f ca="1">_xll.BInterpol('Base CDI'!$H$4:$H$28,'Base CDI'!$I$4:$I$29,S4397,"Cubic","Extrapolate=Linear","MultiX=Average","Skip=True","Sort=True")</f>
        <v>14.549562243502052</v>
      </c>
    </row>
    <row r="4398" spans="16:21" x14ac:dyDescent="0.25">
      <c r="P4398" s="10">
        <v>40907</v>
      </c>
      <c r="Q4398">
        <v>27.38025</v>
      </c>
      <c r="S4398" s="42">
        <f t="shared" ca="1" si="73"/>
        <v>50104</v>
      </c>
      <c r="T4398" s="43">
        <f ca="1">_xll.BInterpol('Base CDI'!$H$4:$H$28,'Base CDI'!$J$4:$J$29,S4398,"Cubic","Extrapolate=Linear","MultiX=Average","Skip=True","Sort=True")</f>
        <v>14.555500683994527</v>
      </c>
      <c r="U4398" s="43">
        <f ca="1">_xll.BInterpol('Base CDI'!$H$4:$H$28,'Base CDI'!$I$4:$I$29,S4398,"Cubic","Extrapolate=Linear","MultiX=Average","Skip=True","Sort=True")</f>
        <v>14.549309165526676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50105</v>
      </c>
      <c r="T4399" s="43">
        <f ca="1">_xll.BInterpol('Base CDI'!$H$4:$H$28,'Base CDI'!$J$4:$J$29,S4399,"Cubic","Extrapolate=Linear","MultiX=Average","Skip=True","Sort=True")</f>
        <v>14.555347469220246</v>
      </c>
      <c r="U4399" s="43">
        <f ca="1">_xll.BInterpol('Base CDI'!$H$4:$H$28,'Base CDI'!$I$4:$I$29,S4399,"Cubic","Extrapolate=Linear","MultiX=Average","Skip=True","Sort=True")</f>
        <v>14.5490560875513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50106</v>
      </c>
      <c r="T4400" s="43">
        <f ca="1">_xll.BInterpol('Base CDI'!$H$4:$H$28,'Base CDI'!$J$4:$J$29,S4400,"Cubic","Extrapolate=Linear","MultiX=Average","Skip=True","Sort=True")</f>
        <v>14.555194254445963</v>
      </c>
      <c r="U4400" s="43">
        <f ca="1">_xll.BInterpol('Base CDI'!$H$4:$H$28,'Base CDI'!$I$4:$I$29,S4400,"Cubic","Extrapolate=Linear","MultiX=Average","Skip=True","Sort=True")</f>
        <v>14.548803009575924</v>
      </c>
    </row>
    <row r="4401" spans="16:21" x14ac:dyDescent="0.25">
      <c r="P4401" s="10">
        <v>40912</v>
      </c>
      <c r="Q4401">
        <v>27.41394</v>
      </c>
      <c r="S4401" s="42">
        <f t="shared" ca="1" si="73"/>
        <v>50107</v>
      </c>
      <c r="T4401" s="43">
        <f ca="1">_xll.BInterpol('Base CDI'!$H$4:$H$28,'Base CDI'!$J$4:$J$29,S4401,"Cubic","Extrapolate=Linear","MultiX=Average","Skip=True","Sort=True")</f>
        <v>14.555041039671682</v>
      </c>
      <c r="U4401" s="43">
        <f ca="1">_xll.BInterpol('Base CDI'!$H$4:$H$28,'Base CDI'!$I$4:$I$29,S4401,"Cubic","Extrapolate=Linear","MultiX=Average","Skip=True","Sort=True")</f>
        <v>14.548549931600547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50108</v>
      </c>
      <c r="T4402" s="43">
        <f ca="1">_xll.BInterpol('Base CDI'!$H$4:$H$28,'Base CDI'!$J$4:$J$29,S4402,"Cubic","Extrapolate=Linear","MultiX=Average","Skip=True","Sort=True")</f>
        <v>14.554887824897401</v>
      </c>
      <c r="U4402" s="43">
        <f ca="1">_xll.BInterpol('Base CDI'!$H$4:$H$28,'Base CDI'!$I$4:$I$29,S4402,"Cubic","Extrapolate=Linear","MultiX=Average","Skip=True","Sort=True")</f>
        <v>14.548296853625171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50109</v>
      </c>
      <c r="T4403" s="43">
        <f ca="1">_xll.BInterpol('Base CDI'!$H$4:$H$28,'Base CDI'!$J$4:$J$29,S4403,"Cubic","Extrapolate=Linear","MultiX=Average","Skip=True","Sort=True")</f>
        <v>14.554734610123118</v>
      </c>
      <c r="U4403" s="43">
        <f ca="1">_xll.BInterpol('Base CDI'!$H$4:$H$28,'Base CDI'!$I$4:$I$29,S4403,"Cubic","Extrapolate=Linear","MultiX=Average","Skip=True","Sort=True")</f>
        <v>14.548043775649795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50110</v>
      </c>
      <c r="T4404" s="43">
        <f ca="1">_xll.BInterpol('Base CDI'!$H$4:$H$28,'Base CDI'!$J$4:$J$29,S4404,"Cubic","Extrapolate=Linear","MultiX=Average","Skip=True","Sort=True")</f>
        <v>14.554581395348837</v>
      </c>
      <c r="U4404" s="43">
        <f ca="1">_xll.BInterpol('Base CDI'!$H$4:$H$28,'Base CDI'!$I$4:$I$29,S4404,"Cubic","Extrapolate=Linear","MultiX=Average","Skip=True","Sort=True")</f>
        <v>14.547790697674419</v>
      </c>
    </row>
    <row r="4405" spans="16:21" x14ac:dyDescent="0.25">
      <c r="P4405" s="10">
        <v>40918</v>
      </c>
      <c r="Q4405">
        <v>27.45881</v>
      </c>
      <c r="S4405" s="42">
        <f t="shared" ca="1" si="73"/>
        <v>50111</v>
      </c>
      <c r="T4405" s="43">
        <f ca="1">_xll.BInterpol('Base CDI'!$H$4:$H$28,'Base CDI'!$J$4:$J$29,S4405,"Cubic","Extrapolate=Linear","MultiX=Average","Skip=True","Sort=True")</f>
        <v>14.554428180574554</v>
      </c>
      <c r="U4405" s="43">
        <f ca="1">_xll.BInterpol('Base CDI'!$H$4:$H$28,'Base CDI'!$I$4:$I$29,S4405,"Cubic","Extrapolate=Linear","MultiX=Average","Skip=True","Sort=True")</f>
        <v>14.547537619699042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50112</v>
      </c>
      <c r="T4406" s="43">
        <f ca="1">_xll.BInterpol('Base CDI'!$H$4:$H$28,'Base CDI'!$J$4:$J$29,S4406,"Cubic","Extrapolate=Linear","MultiX=Average","Skip=True","Sort=True")</f>
        <v>14.554274965800273</v>
      </c>
      <c r="U4406" s="43">
        <f ca="1">_xll.BInterpol('Base CDI'!$H$4:$H$28,'Base CDI'!$I$4:$I$29,S4406,"Cubic","Extrapolate=Linear","MultiX=Average","Skip=True","Sort=True")</f>
        <v>14.547284541723666</v>
      </c>
    </row>
    <row r="4407" spans="16:21" x14ac:dyDescent="0.25">
      <c r="P4407" s="10">
        <v>40920</v>
      </c>
      <c r="Q4407">
        <v>27.48122</v>
      </c>
      <c r="S4407" s="42">
        <f t="shared" ca="1" si="73"/>
        <v>50113</v>
      </c>
      <c r="T4407" s="43">
        <f ca="1">_xll.BInterpol('Base CDI'!$H$4:$H$28,'Base CDI'!$J$4:$J$29,S4407,"Cubic","Extrapolate=Linear","MultiX=Average","Skip=True","Sort=True")</f>
        <v>14.554121751025992</v>
      </c>
      <c r="U4407" s="43">
        <f ca="1">_xll.BInterpol('Base CDI'!$H$4:$H$28,'Base CDI'!$I$4:$I$29,S4407,"Cubic","Extrapolate=Linear","MultiX=Average","Skip=True","Sort=True")</f>
        <v>14.54703146374829</v>
      </c>
    </row>
    <row r="4408" spans="16:21" x14ac:dyDescent="0.25">
      <c r="P4408" s="10">
        <v>40921</v>
      </c>
      <c r="Q4408">
        <v>27.49241</v>
      </c>
      <c r="S4408" s="42">
        <f t="shared" ca="1" si="73"/>
        <v>50114</v>
      </c>
      <c r="T4408" s="43">
        <f ca="1">_xll.BInterpol('Base CDI'!$H$4:$H$28,'Base CDI'!$J$4:$J$29,S4408,"Cubic","Extrapolate=Linear","MultiX=Average","Skip=True","Sort=True")</f>
        <v>14.553968536251709</v>
      </c>
      <c r="U4408" s="43">
        <f ca="1">_xll.BInterpol('Base CDI'!$H$4:$H$28,'Base CDI'!$I$4:$I$29,S4408,"Cubic","Extrapolate=Linear","MultiX=Average","Skip=True","Sort=True")</f>
        <v>14.546778385772914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50115</v>
      </c>
      <c r="T4409" s="43">
        <f ca="1">_xll.BInterpol('Base CDI'!$H$4:$H$28,'Base CDI'!$J$4:$J$29,S4409,"Cubic","Extrapolate=Linear","MultiX=Average","Skip=True","Sort=True")</f>
        <v>14.553815321477428</v>
      </c>
      <c r="U4409" s="43">
        <f ca="1">_xll.BInterpol('Base CDI'!$H$4:$H$28,'Base CDI'!$I$4:$I$29,S4409,"Cubic","Extrapolate=Linear","MultiX=Average","Skip=True","Sort=True")</f>
        <v>14.546525307797538</v>
      </c>
    </row>
    <row r="4410" spans="16:21" x14ac:dyDescent="0.25">
      <c r="P4410" s="10">
        <v>40925</v>
      </c>
      <c r="Q4410">
        <v>27.51484</v>
      </c>
      <c r="S4410" s="42">
        <f t="shared" ca="1" si="73"/>
        <v>50116</v>
      </c>
      <c r="T4410" s="43">
        <f ca="1">_xll.BInterpol('Base CDI'!$H$4:$H$28,'Base CDI'!$J$4:$J$29,S4410,"Cubic","Extrapolate=Linear","MultiX=Average","Skip=True","Sort=True")</f>
        <v>14.553662106703145</v>
      </c>
      <c r="U4410" s="43">
        <f ca="1">_xll.BInterpol('Base CDI'!$H$4:$H$28,'Base CDI'!$I$4:$I$29,S4410,"Cubic","Extrapolate=Linear","MultiX=Average","Skip=True","Sort=True")</f>
        <v>14.546272229822161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50117</v>
      </c>
      <c r="T4411" s="43">
        <f ca="1">_xll.BInterpol('Base CDI'!$H$4:$H$28,'Base CDI'!$J$4:$J$29,S4411,"Cubic","Extrapolate=Linear","MultiX=Average","Skip=True","Sort=True")</f>
        <v>14.553508891928864</v>
      </c>
      <c r="U4411" s="43">
        <f ca="1">_xll.BInterpol('Base CDI'!$H$4:$H$28,'Base CDI'!$I$4:$I$29,S4411,"Cubic","Extrapolate=Linear","MultiX=Average","Skip=True","Sort=True")</f>
        <v>14.546019151846785</v>
      </c>
    </row>
    <row r="4412" spans="16:21" x14ac:dyDescent="0.25">
      <c r="P4412" s="10">
        <v>40927</v>
      </c>
      <c r="Q4412">
        <v>27.53725</v>
      </c>
      <c r="S4412" s="42">
        <f t="shared" ca="1" si="73"/>
        <v>50118</v>
      </c>
      <c r="T4412" s="43">
        <f ca="1">_xll.BInterpol('Base CDI'!$H$4:$H$28,'Base CDI'!$J$4:$J$29,S4412,"Cubic","Extrapolate=Linear","MultiX=Average","Skip=True","Sort=True")</f>
        <v>14.553355677154583</v>
      </c>
      <c r="U4412" s="43">
        <f ca="1">_xll.BInterpol('Base CDI'!$H$4:$H$28,'Base CDI'!$I$4:$I$29,S4412,"Cubic","Extrapolate=Linear","MultiX=Average","Skip=True","Sort=True")</f>
        <v>14.545766073871409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50119</v>
      </c>
      <c r="T4413" s="43">
        <f ca="1">_xll.BInterpol('Base CDI'!$H$4:$H$28,'Base CDI'!$J$4:$J$29,S4413,"Cubic","Extrapolate=Linear","MultiX=Average","Skip=True","Sort=True")</f>
        <v>14.5532024623803</v>
      </c>
      <c r="U4413" s="43">
        <f ca="1">_xll.BInterpol('Base CDI'!$H$4:$H$28,'Base CDI'!$I$4:$I$29,S4413,"Cubic","Extrapolate=Linear","MultiX=Average","Skip=True","Sort=True")</f>
        <v>14.545512995896033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50120</v>
      </c>
      <c r="T4414" s="43">
        <f ca="1">_xll.BInterpol('Base CDI'!$H$4:$H$28,'Base CDI'!$J$4:$J$29,S4414,"Cubic","Extrapolate=Linear","MultiX=Average","Skip=True","Sort=True")</f>
        <v>14.553049247606019</v>
      </c>
      <c r="U4414" s="43">
        <f ca="1">_xll.BInterpol('Base CDI'!$H$4:$H$28,'Base CDI'!$I$4:$I$29,S4414,"Cubic","Extrapolate=Linear","MultiX=Average","Skip=True","Sort=True")</f>
        <v>14.545259917920657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50121</v>
      </c>
      <c r="T4415" s="43">
        <f ca="1">_xll.BInterpol('Base CDI'!$H$4:$H$28,'Base CDI'!$J$4:$J$29,S4415,"Cubic","Extrapolate=Linear","MultiX=Average","Skip=True","Sort=True")</f>
        <v>14.552896032831736</v>
      </c>
      <c r="U4415" s="43">
        <f ca="1">_xll.BInterpol('Base CDI'!$H$4:$H$28,'Base CDI'!$I$4:$I$29,S4415,"Cubic","Extrapolate=Linear","MultiX=Average","Skip=True","Sort=True")</f>
        <v>14.54500683994528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50122</v>
      </c>
      <c r="T4416" s="43">
        <f ca="1">_xll.BInterpol('Base CDI'!$H$4:$H$28,'Base CDI'!$J$4:$J$29,S4416,"Cubic","Extrapolate=Linear","MultiX=Average","Skip=True","Sort=True")</f>
        <v>14.552742818057455</v>
      </c>
      <c r="U4416" s="43">
        <f ca="1">_xll.BInterpol('Base CDI'!$H$4:$H$28,'Base CDI'!$I$4:$I$29,S4416,"Cubic","Extrapolate=Linear","MultiX=Average","Skip=True","Sort=True")</f>
        <v>14.544753761969904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50123</v>
      </c>
      <c r="T4417" s="43">
        <f ca="1">_xll.BInterpol('Base CDI'!$H$4:$H$28,'Base CDI'!$J$4:$J$29,S4417,"Cubic","Extrapolate=Linear","MultiX=Average","Skip=True","Sort=True")</f>
        <v>14.552589603283174</v>
      </c>
      <c r="U4417" s="43">
        <f ca="1">_xll.BInterpol('Base CDI'!$H$4:$H$28,'Base CDI'!$I$4:$I$29,S4417,"Cubic","Extrapolate=Linear","MultiX=Average","Skip=True","Sort=True")</f>
        <v>14.544500683994528</v>
      </c>
    </row>
    <row r="4418" spans="16:21" x14ac:dyDescent="0.25">
      <c r="P4418" s="10">
        <v>40935</v>
      </c>
      <c r="Q4418">
        <v>27.60172</v>
      </c>
      <c r="S4418" s="42">
        <f t="shared" ca="1" si="73"/>
        <v>50124</v>
      </c>
      <c r="T4418" s="43">
        <f ca="1">_xll.BInterpol('Base CDI'!$H$4:$H$28,'Base CDI'!$J$4:$J$29,S4418,"Cubic","Extrapolate=Linear","MultiX=Average","Skip=True","Sort=True")</f>
        <v>14.552436388508891</v>
      </c>
      <c r="U4418" s="43">
        <f ca="1">_xll.BInterpol('Base CDI'!$H$4:$H$28,'Base CDI'!$I$4:$I$29,S4418,"Cubic","Extrapolate=Linear","MultiX=Average","Skip=True","Sort=True")</f>
        <v>14.544247606019152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50125</v>
      </c>
      <c r="T4419" s="43">
        <f ca="1">_xll.BInterpol('Base CDI'!$H$4:$H$28,'Base CDI'!$J$4:$J$29,S4419,"Cubic","Extrapolate=Linear","MultiX=Average","Skip=True","Sort=True")</f>
        <v>14.55228317373461</v>
      </c>
      <c r="U4419" s="43">
        <f ca="1">_xll.BInterpol('Base CDI'!$H$4:$H$28,'Base CDI'!$I$4:$I$29,S4419,"Cubic","Extrapolate=Linear","MultiX=Average","Skip=True","Sort=True")</f>
        <v>14.543994528043775</v>
      </c>
    </row>
    <row r="4420" spans="16:21" x14ac:dyDescent="0.25">
      <c r="P4420" s="10">
        <v>40939</v>
      </c>
      <c r="Q4420">
        <v>27.62321</v>
      </c>
      <c r="S4420" s="42">
        <f t="shared" ca="1" si="73"/>
        <v>50126</v>
      </c>
      <c r="T4420" s="43">
        <f ca="1">_xll.BInterpol('Base CDI'!$H$4:$H$28,'Base CDI'!$J$4:$J$29,S4420,"Cubic","Extrapolate=Linear","MultiX=Average","Skip=True","Sort=True")</f>
        <v>14.552129958960327</v>
      </c>
      <c r="U4420" s="43">
        <f ca="1">_xll.BInterpol('Base CDI'!$H$4:$H$28,'Base CDI'!$I$4:$I$29,S4420,"Cubic","Extrapolate=Linear","MultiX=Average","Skip=True","Sort=True")</f>
        <v>14.543741450068399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50127</v>
      </c>
      <c r="T4421" s="43">
        <f ca="1">_xll.BInterpol('Base CDI'!$H$4:$H$28,'Base CDI'!$J$4:$J$29,S4421,"Cubic","Extrapolate=Linear","MultiX=Average","Skip=True","Sort=True")</f>
        <v>14.551976744186046</v>
      </c>
      <c r="U4421" s="43">
        <f ca="1">_xll.BInterpol('Base CDI'!$H$4:$H$28,'Base CDI'!$I$4:$I$29,S4421,"Cubic","Extrapolate=Linear","MultiX=Average","Skip=True","Sort=True")</f>
        <v>14.543488372093023</v>
      </c>
    </row>
    <row r="4422" spans="16:21" x14ac:dyDescent="0.25">
      <c r="P4422" s="10">
        <v>40941</v>
      </c>
      <c r="Q4422">
        <v>27.64472</v>
      </c>
      <c r="S4422" s="42">
        <f t="shared" ca="1" si="73"/>
        <v>50128</v>
      </c>
      <c r="T4422" s="43">
        <f ca="1">_xll.BInterpol('Base CDI'!$H$4:$H$28,'Base CDI'!$J$4:$J$29,S4422,"Cubic","Extrapolate=Linear","MultiX=Average","Skip=True","Sort=True")</f>
        <v>14.551823529411765</v>
      </c>
      <c r="U4422" s="43">
        <f ca="1">_xll.BInterpol('Base CDI'!$H$4:$H$28,'Base CDI'!$I$4:$I$29,S4422,"Cubic","Extrapolate=Linear","MultiX=Average","Skip=True","Sort=True")</f>
        <v>14.543235294117647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50129</v>
      </c>
      <c r="T4423" s="43">
        <f ca="1">_xll.BInterpol('Base CDI'!$H$4:$H$28,'Base CDI'!$J$4:$J$29,S4423,"Cubic","Extrapolate=Linear","MultiX=Average","Skip=True","Sort=True")</f>
        <v>14.551670314637482</v>
      </c>
      <c r="U4423" s="43">
        <f ca="1">_xll.BInterpol('Base CDI'!$H$4:$H$28,'Base CDI'!$I$4:$I$29,S4423,"Cubic","Extrapolate=Linear","MultiX=Average","Skip=True","Sort=True")</f>
        <v>14.542982216142271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50130</v>
      </c>
      <c r="T4424" s="43">
        <f ca="1">_xll.BInterpol('Base CDI'!$H$4:$H$28,'Base CDI'!$J$4:$J$29,S4424,"Cubic","Extrapolate=Linear","MultiX=Average","Skip=True","Sort=True")</f>
        <v>14.551517099863201</v>
      </c>
      <c r="U4424" s="43">
        <f ca="1">_xll.BInterpol('Base CDI'!$H$4:$H$28,'Base CDI'!$I$4:$I$29,S4424,"Cubic","Extrapolate=Linear","MultiX=Average","Skip=True","Sort=True")</f>
        <v>14.542729138166894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50131</v>
      </c>
      <c r="T4425" s="43">
        <f ca="1">_xll.BInterpol('Base CDI'!$H$4:$H$28,'Base CDI'!$J$4:$J$29,S4425,"Cubic","Extrapolate=Linear","MultiX=Average","Skip=True","Sort=True")</f>
        <v>14.551363885088918</v>
      </c>
      <c r="U4425" s="43">
        <f ca="1">_xll.BInterpol('Base CDI'!$H$4:$H$28,'Base CDI'!$I$4:$I$29,S4425,"Cubic","Extrapolate=Linear","MultiX=Average","Skip=True","Sort=True")</f>
        <v>14.542476060191518</v>
      </c>
    </row>
    <row r="4426" spans="16:21" x14ac:dyDescent="0.25">
      <c r="P4426" s="10">
        <v>40947</v>
      </c>
      <c r="Q4426">
        <v>27.68779</v>
      </c>
      <c r="S4426" s="42">
        <f t="shared" ca="1" si="73"/>
        <v>50132</v>
      </c>
      <c r="T4426" s="43">
        <f ca="1">_xll.BInterpol('Base CDI'!$H$4:$H$28,'Base CDI'!$J$4:$J$29,S4426,"Cubic","Extrapolate=Linear","MultiX=Average","Skip=True","Sort=True")</f>
        <v>14.551210670314637</v>
      </c>
      <c r="U4426" s="43">
        <f ca="1">_xll.BInterpol('Base CDI'!$H$4:$H$28,'Base CDI'!$I$4:$I$29,S4426,"Cubic","Extrapolate=Linear","MultiX=Average","Skip=True","Sort=True")</f>
        <v>14.542222982216142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50133</v>
      </c>
      <c r="T4427" s="43">
        <f ca="1">_xll.BInterpol('Base CDI'!$H$4:$H$28,'Base CDI'!$J$4:$J$29,S4427,"Cubic","Extrapolate=Linear","MultiX=Average","Skip=True","Sort=True")</f>
        <v>14.551057455540356</v>
      </c>
      <c r="U4427" s="43">
        <f ca="1">_xll.BInterpol('Base CDI'!$H$4:$H$28,'Base CDI'!$I$4:$I$29,S4427,"Cubic","Extrapolate=Linear","MultiX=Average","Skip=True","Sort=True")</f>
        <v>14.541969904240766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50134</v>
      </c>
      <c r="T4428" s="43">
        <f ca="1">_xll.BInterpol('Base CDI'!$H$4:$H$28,'Base CDI'!$J$4:$J$29,S4428,"Cubic","Extrapolate=Linear","MultiX=Average","Skip=True","Sort=True")</f>
        <v>14.550904240766073</v>
      </c>
      <c r="U4428" s="43">
        <f ca="1">_xll.BInterpol('Base CDI'!$H$4:$H$28,'Base CDI'!$I$4:$I$29,S4428,"Cubic","Extrapolate=Linear","MultiX=Average","Skip=True","Sort=True")</f>
        <v>14.54171682626539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50135</v>
      </c>
      <c r="T4429" s="43">
        <f ca="1">_xll.BInterpol('Base CDI'!$H$4:$H$28,'Base CDI'!$J$4:$J$29,S4429,"Cubic","Extrapolate=Linear","MultiX=Average","Skip=True","Sort=True")</f>
        <v>14.550751025991792</v>
      </c>
      <c r="U4429" s="43">
        <f ca="1">_xll.BInterpol('Base CDI'!$H$4:$H$28,'Base CDI'!$I$4:$I$29,S4429,"Cubic","Extrapolate=Linear","MultiX=Average","Skip=True","Sort=True")</f>
        <v>14.541463748290013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50136</v>
      </c>
      <c r="T4430" s="43">
        <f ca="1">_xll.BInterpol('Base CDI'!$H$4:$H$28,'Base CDI'!$J$4:$J$29,S4430,"Cubic","Extrapolate=Linear","MultiX=Average","Skip=True","Sort=True")</f>
        <v>14.550597811217509</v>
      </c>
      <c r="U4430" s="43">
        <f ca="1">_xll.BInterpol('Base CDI'!$H$4:$H$28,'Base CDI'!$I$4:$I$29,S4430,"Cubic","Extrapolate=Linear","MultiX=Average","Skip=True","Sort=True")</f>
        <v>14.541210670314637</v>
      </c>
    </row>
    <row r="4431" spans="16:21" x14ac:dyDescent="0.25">
      <c r="P4431" s="10">
        <v>40954</v>
      </c>
      <c r="Q4431">
        <v>27.74166</v>
      </c>
      <c r="S4431" s="42">
        <f t="shared" ca="1" si="74"/>
        <v>50137</v>
      </c>
      <c r="T4431" s="43">
        <f ca="1">_xll.BInterpol('Base CDI'!$H$4:$H$28,'Base CDI'!$J$4:$J$29,S4431,"Cubic","Extrapolate=Linear","MultiX=Average","Skip=True","Sort=True")</f>
        <v>14.550444596443228</v>
      </c>
      <c r="U4431" s="43">
        <f ca="1">_xll.BInterpol('Base CDI'!$H$4:$H$28,'Base CDI'!$I$4:$I$29,S4431,"Cubic","Extrapolate=Linear","MultiX=Average","Skip=True","Sort=True")</f>
        <v>14.540957592339261</v>
      </c>
    </row>
    <row r="4432" spans="16:21" x14ac:dyDescent="0.25">
      <c r="P4432" s="10">
        <v>40955</v>
      </c>
      <c r="Q4432">
        <v>27.75244</v>
      </c>
      <c r="S4432" s="42">
        <f t="shared" ca="1" si="74"/>
        <v>50138</v>
      </c>
      <c r="T4432" s="43">
        <f ca="1">_xll.BInterpol('Base CDI'!$H$4:$H$28,'Base CDI'!$J$4:$J$29,S4432,"Cubic","Extrapolate=Linear","MultiX=Average","Skip=True","Sort=True")</f>
        <v>14.550291381668947</v>
      </c>
      <c r="U4432" s="43">
        <f ca="1">_xll.BInterpol('Base CDI'!$H$4:$H$28,'Base CDI'!$I$4:$I$29,S4432,"Cubic","Extrapolate=Linear","MultiX=Average","Skip=True","Sort=True")</f>
        <v>14.540704514363885</v>
      </c>
    </row>
    <row r="4433" spans="16:21" x14ac:dyDescent="0.25">
      <c r="P4433" s="10">
        <v>40956</v>
      </c>
      <c r="Q4433">
        <v>27.76322</v>
      </c>
      <c r="S4433" s="42">
        <f t="shared" ca="1" si="74"/>
        <v>50139</v>
      </c>
      <c r="T4433" s="43">
        <f ca="1">_xll.BInterpol('Base CDI'!$H$4:$H$28,'Base CDI'!$J$4:$J$29,S4433,"Cubic","Extrapolate=Linear","MultiX=Average","Skip=True","Sort=True")</f>
        <v>14.550138166894664</v>
      </c>
      <c r="U4433" s="43">
        <f ca="1">_xll.BInterpol('Base CDI'!$H$4:$H$28,'Base CDI'!$I$4:$I$29,S4433,"Cubic","Extrapolate=Linear","MultiX=Average","Skip=True","Sort=True")</f>
        <v>14.540451436388508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50140</v>
      </c>
      <c r="T4434" s="43">
        <f ca="1">_xll.BInterpol('Base CDI'!$H$4:$H$28,'Base CDI'!$J$4:$J$29,S4434,"Cubic","Extrapolate=Linear","MultiX=Average","Skip=True","Sort=True")</f>
        <v>14.549984952120383</v>
      </c>
      <c r="U4434" s="43">
        <f ca="1">_xll.BInterpol('Base CDI'!$H$4:$H$28,'Base CDI'!$I$4:$I$29,S4434,"Cubic","Extrapolate=Linear","MultiX=Average","Skip=True","Sort=True")</f>
        <v>14.540198358413132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50141</v>
      </c>
      <c r="T4435" s="43">
        <f ca="1">_xll.BInterpol('Base CDI'!$H$4:$H$28,'Base CDI'!$J$4:$J$29,S4435,"Cubic","Extrapolate=Linear","MultiX=Average","Skip=True","Sort=True")</f>
        <v>14.5498317373461</v>
      </c>
      <c r="U4435" s="43">
        <f ca="1">_xll.BInterpol('Base CDI'!$H$4:$H$28,'Base CDI'!$I$4:$I$29,S4435,"Cubic","Extrapolate=Linear","MultiX=Average","Skip=True","Sort=True")</f>
        <v>14.539945280437756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50142</v>
      </c>
      <c r="T4436" s="43">
        <f ca="1">_xll.BInterpol('Base CDI'!$H$4:$H$28,'Base CDI'!$J$4:$J$29,S4436,"Cubic","Extrapolate=Linear","MultiX=Average","Skip=True","Sort=True")</f>
        <v>14.549678522571819</v>
      </c>
      <c r="U4436" s="43">
        <f ca="1">_xll.BInterpol('Base CDI'!$H$4:$H$28,'Base CDI'!$I$4:$I$29,S4436,"Cubic","Extrapolate=Linear","MultiX=Average","Skip=True","Sort=True")</f>
        <v>14.53969220246238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50143</v>
      </c>
      <c r="T4437" s="43">
        <f ca="1">_xll.BInterpol('Base CDI'!$H$4:$H$28,'Base CDI'!$J$4:$J$29,S4437,"Cubic","Extrapolate=Linear","MultiX=Average","Skip=True","Sort=True")</f>
        <v>14.549525307797538</v>
      </c>
      <c r="U4437" s="43">
        <f ca="1">_xll.BInterpol('Base CDI'!$H$4:$H$28,'Base CDI'!$I$4:$I$29,S4437,"Cubic","Extrapolate=Linear","MultiX=Average","Skip=True","Sort=True")</f>
        <v>14.539439124487004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50144</v>
      </c>
      <c r="T4438" s="43">
        <f ca="1">_xll.BInterpol('Base CDI'!$H$4:$H$28,'Base CDI'!$J$4:$J$29,S4438,"Cubic","Extrapolate=Linear","MultiX=Average","Skip=True","Sort=True")</f>
        <v>14.549372093023255</v>
      </c>
      <c r="U4438" s="43">
        <f ca="1">_xll.BInterpol('Base CDI'!$H$4:$H$28,'Base CDI'!$I$4:$I$29,S4438,"Cubic","Extrapolate=Linear","MultiX=Average","Skip=True","Sort=True")</f>
        <v>14.539186046511627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50145</v>
      </c>
      <c r="T4439" s="43">
        <f ca="1">_xll.BInterpol('Base CDI'!$H$4:$H$28,'Base CDI'!$J$4:$J$29,S4439,"Cubic","Extrapolate=Linear","MultiX=Average","Skip=True","Sort=True")</f>
        <v>14.549218878248974</v>
      </c>
      <c r="U4439" s="43">
        <f ca="1">_xll.BInterpol('Base CDI'!$H$4:$H$28,'Base CDI'!$I$4:$I$29,S4439,"Cubic","Extrapolate=Linear","MultiX=Average","Skip=True","Sort=True")</f>
        <v>14.538932968536251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50146</v>
      </c>
      <c r="T4440" s="43">
        <f ca="1">_xll.BInterpol('Base CDI'!$H$4:$H$28,'Base CDI'!$J$4:$J$29,S4440,"Cubic","Extrapolate=Linear","MultiX=Average","Skip=True","Sort=True")</f>
        <v>14.549065663474691</v>
      </c>
      <c r="U4440" s="43">
        <f ca="1">_xll.BInterpol('Base CDI'!$H$4:$H$28,'Base CDI'!$I$4:$I$29,S4440,"Cubic","Extrapolate=Linear","MultiX=Average","Skip=True","Sort=True")</f>
        <v>14.538679890560875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50147</v>
      </c>
      <c r="T4441" s="43">
        <f ca="1">_xll.BInterpol('Base CDI'!$H$4:$H$28,'Base CDI'!$J$4:$J$29,S4441,"Cubic","Extrapolate=Linear","MultiX=Average","Skip=True","Sort=True")</f>
        <v>14.54891244870041</v>
      </c>
      <c r="U4441" s="43">
        <f ca="1">_xll.BInterpol('Base CDI'!$H$4:$H$28,'Base CDI'!$I$4:$I$29,S4441,"Cubic","Extrapolate=Linear","MultiX=Average","Skip=True","Sort=True")</f>
        <v>14.538426812585499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50148</v>
      </c>
      <c r="T4442" s="43">
        <f ca="1">_xll.BInterpol('Base CDI'!$H$4:$H$28,'Base CDI'!$J$4:$J$29,S4442,"Cubic","Extrapolate=Linear","MultiX=Average","Skip=True","Sort=True")</f>
        <v>14.548759233926129</v>
      </c>
      <c r="U4442" s="43">
        <f ca="1">_xll.BInterpol('Base CDI'!$H$4:$H$28,'Base CDI'!$I$4:$I$29,S4442,"Cubic","Extrapolate=Linear","MultiX=Average","Skip=True","Sort=True")</f>
        <v>14.538173734610123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50149</v>
      </c>
      <c r="T4443" s="43">
        <f ca="1">_xll.BInterpol('Base CDI'!$H$4:$H$28,'Base CDI'!$J$4:$J$29,S4443,"Cubic","Extrapolate=Linear","MultiX=Average","Skip=True","Sort=True")</f>
        <v>14.548606019151846</v>
      </c>
      <c r="U4443" s="43">
        <f ca="1">_xll.BInterpol('Base CDI'!$H$4:$H$28,'Base CDI'!$I$4:$I$29,S4443,"Cubic","Extrapolate=Linear","MultiX=Average","Skip=True","Sort=True")</f>
        <v>14.537920656634746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50150</v>
      </c>
      <c r="T4444" s="43">
        <f ca="1">_xll.BInterpol('Base CDI'!$H$4:$H$28,'Base CDI'!$J$4:$J$29,S4444,"Cubic","Extrapolate=Linear","MultiX=Average","Skip=True","Sort=True")</f>
        <v>14.548452804377565</v>
      </c>
      <c r="U4444" s="43">
        <f ca="1">_xll.BInterpol('Base CDI'!$H$4:$H$28,'Base CDI'!$I$4:$I$29,S4444,"Cubic","Extrapolate=Linear","MultiX=Average","Skip=True","Sort=True")</f>
        <v>14.53766757865937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50151</v>
      </c>
      <c r="T4445" s="43">
        <f ca="1">_xll.BInterpol('Base CDI'!$H$4:$H$28,'Base CDI'!$J$4:$J$29,S4445,"Cubic","Extrapolate=Linear","MultiX=Average","Skip=True","Sort=True")</f>
        <v>14.548299589603282</v>
      </c>
      <c r="U4445" s="43">
        <f ca="1">_xll.BInterpol('Base CDI'!$H$4:$H$28,'Base CDI'!$I$4:$I$29,S4445,"Cubic","Extrapolate=Linear","MultiX=Average","Skip=True","Sort=True")</f>
        <v>14.537414500683994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50152</v>
      </c>
      <c r="T4446" s="43">
        <f ca="1">_xll.BInterpol('Base CDI'!$H$4:$H$28,'Base CDI'!$J$4:$J$29,S4446,"Cubic","Extrapolate=Linear","MultiX=Average","Skip=True","Sort=True")</f>
        <v>14.548146374829001</v>
      </c>
      <c r="U4446" s="43">
        <f ca="1">_xll.BInterpol('Base CDI'!$H$4:$H$28,'Base CDI'!$I$4:$I$29,S4446,"Cubic","Extrapolate=Linear","MultiX=Average","Skip=True","Sort=True")</f>
        <v>14.537161422708618</v>
      </c>
    </row>
    <row r="4447" spans="16:21" x14ac:dyDescent="0.25">
      <c r="P4447" s="10">
        <v>40980</v>
      </c>
      <c r="Q4447">
        <v>27.913</v>
      </c>
      <c r="S4447" s="42">
        <f t="shared" ca="1" si="74"/>
        <v>50153</v>
      </c>
      <c r="T4447" s="43">
        <f ca="1">_xll.BInterpol('Base CDI'!$H$4:$H$28,'Base CDI'!$J$4:$J$29,S4447,"Cubic","Extrapolate=Linear","MultiX=Average","Skip=True","Sort=True")</f>
        <v>14.54799316005472</v>
      </c>
      <c r="U4447" s="43">
        <f ca="1">_xll.BInterpol('Base CDI'!$H$4:$H$28,'Base CDI'!$I$4:$I$29,S4447,"Cubic","Extrapolate=Linear","MultiX=Average","Skip=True","Sort=True")</f>
        <v>14.536908344733241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50154</v>
      </c>
      <c r="T4448" s="43">
        <f ca="1">_xll.BInterpol('Base CDI'!$H$4:$H$28,'Base CDI'!$J$4:$J$29,S4448,"Cubic","Extrapolate=Linear","MultiX=Average","Skip=True","Sort=True")</f>
        <v>14.547839945280437</v>
      </c>
      <c r="U4448" s="43">
        <f ca="1">_xll.BInterpol('Base CDI'!$H$4:$H$28,'Base CDI'!$I$4:$I$29,S4448,"Cubic","Extrapolate=Linear","MultiX=Average","Skip=True","Sort=True")</f>
        <v>14.536655266757865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50155</v>
      </c>
      <c r="T4449" s="43">
        <f ca="1">_xll.BInterpol('Base CDI'!$H$4:$H$28,'Base CDI'!$J$4:$J$29,S4449,"Cubic","Extrapolate=Linear","MultiX=Average","Skip=True","Sort=True")</f>
        <v>14.547686730506156</v>
      </c>
      <c r="U4449" s="43">
        <f ca="1">_xll.BInterpol('Base CDI'!$H$4:$H$28,'Base CDI'!$I$4:$I$29,S4449,"Cubic","Extrapolate=Linear","MultiX=Average","Skip=True","Sort=True")</f>
        <v>14.536402188782489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50156</v>
      </c>
      <c r="T4450" s="43">
        <f ca="1">_xll.BInterpol('Base CDI'!$H$4:$H$28,'Base CDI'!$J$4:$J$29,S4450,"Cubic","Extrapolate=Linear","MultiX=Average","Skip=True","Sort=True")</f>
        <v>14.547533515731873</v>
      </c>
      <c r="U4450" s="43">
        <f ca="1">_xll.BInterpol('Base CDI'!$H$4:$H$28,'Base CDI'!$I$4:$I$29,S4450,"Cubic","Extrapolate=Linear","MultiX=Average","Skip=True","Sort=True")</f>
        <v>14.536149110807113</v>
      </c>
    </row>
    <row r="4451" spans="16:21" x14ac:dyDescent="0.25">
      <c r="P4451" s="10">
        <v>40984</v>
      </c>
      <c r="Q4451">
        <v>27.95307</v>
      </c>
      <c r="S4451" s="42">
        <f t="shared" ca="1" si="74"/>
        <v>50157</v>
      </c>
      <c r="T4451" s="43">
        <f ca="1">_xll.BInterpol('Base CDI'!$H$4:$H$28,'Base CDI'!$J$4:$J$29,S4451,"Cubic","Extrapolate=Linear","MultiX=Average","Skip=True","Sort=True")</f>
        <v>14.547380300957592</v>
      </c>
      <c r="U4451" s="43">
        <f ca="1">_xll.BInterpol('Base CDI'!$H$4:$H$28,'Base CDI'!$I$4:$I$29,S4451,"Cubic","Extrapolate=Linear","MultiX=Average","Skip=True","Sort=True")</f>
        <v>14.535896032831737</v>
      </c>
    </row>
    <row r="4452" spans="16:21" x14ac:dyDescent="0.25">
      <c r="P4452" s="10">
        <v>40987</v>
      </c>
      <c r="Q4452">
        <v>27.96313</v>
      </c>
      <c r="S4452" s="42">
        <f t="shared" ca="1" si="74"/>
        <v>50158</v>
      </c>
      <c r="T4452" s="43">
        <f ca="1">_xll.BInterpol('Base CDI'!$H$4:$H$28,'Base CDI'!$J$4:$J$29,S4452,"Cubic","Extrapolate=Linear","MultiX=Average","Skip=True","Sort=True")</f>
        <v>14.547227086183311</v>
      </c>
      <c r="U4452" s="43">
        <f ca="1">_xll.BInterpol('Base CDI'!$H$4:$H$28,'Base CDI'!$I$4:$I$29,S4452,"Cubic","Extrapolate=Linear","MultiX=Average","Skip=True","Sort=True")</f>
        <v>14.53564295485636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50159</v>
      </c>
      <c r="T4453" s="43">
        <f ca="1">_xll.BInterpol('Base CDI'!$H$4:$H$28,'Base CDI'!$J$4:$J$29,S4453,"Cubic","Extrapolate=Linear","MultiX=Average","Skip=True","Sort=True")</f>
        <v>14.547073871409028</v>
      </c>
      <c r="U4453" s="43">
        <f ca="1">_xll.BInterpol('Base CDI'!$H$4:$H$28,'Base CDI'!$I$4:$I$29,S4453,"Cubic","Extrapolate=Linear","MultiX=Average","Skip=True","Sort=True")</f>
        <v>14.535389876880984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50160</v>
      </c>
      <c r="T4454" s="43">
        <f ca="1">_xll.BInterpol('Base CDI'!$H$4:$H$28,'Base CDI'!$J$4:$J$29,S4454,"Cubic","Extrapolate=Linear","MultiX=Average","Skip=True","Sort=True")</f>
        <v>14.546920656634747</v>
      </c>
      <c r="U4454" s="43">
        <f ca="1">_xll.BInterpol('Base CDI'!$H$4:$H$28,'Base CDI'!$I$4:$I$29,S4454,"Cubic","Extrapolate=Linear","MultiX=Average","Skip=True","Sort=True")</f>
        <v>14.535136798905608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50161</v>
      </c>
      <c r="T4455" s="43">
        <f ca="1">_xll.BInterpol('Base CDI'!$H$4:$H$28,'Base CDI'!$J$4:$J$29,S4455,"Cubic","Extrapolate=Linear","MultiX=Average","Skip=True","Sort=True")</f>
        <v>14.546767441860464</v>
      </c>
      <c r="U4455" s="43">
        <f ca="1">_xll.BInterpol('Base CDI'!$H$4:$H$28,'Base CDI'!$I$4:$I$29,S4455,"Cubic","Extrapolate=Linear","MultiX=Average","Skip=True","Sort=True")</f>
        <v>14.534883720930232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50162</v>
      </c>
      <c r="T4456" s="43">
        <f ca="1">_xll.BInterpol('Base CDI'!$H$4:$H$28,'Base CDI'!$J$4:$J$29,S4456,"Cubic","Extrapolate=Linear","MultiX=Average","Skip=True","Sort=True")</f>
        <v>14.546614227086183</v>
      </c>
      <c r="U4456" s="43">
        <f ca="1">_xll.BInterpol('Base CDI'!$H$4:$H$28,'Base CDI'!$I$4:$I$29,S4456,"Cubic","Extrapolate=Linear","MultiX=Average","Skip=True","Sort=True")</f>
        <v>14.534630642954856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50163</v>
      </c>
      <c r="T4457" s="43">
        <f ca="1">_xll.BInterpol('Base CDI'!$H$4:$H$28,'Base CDI'!$J$4:$J$29,S4457,"Cubic","Extrapolate=Linear","MultiX=Average","Skip=True","Sort=True")</f>
        <v>14.546461012311902</v>
      </c>
      <c r="U4457" s="43">
        <f ca="1">_xll.BInterpol('Base CDI'!$H$4:$H$28,'Base CDI'!$I$4:$I$29,S4457,"Cubic","Extrapolate=Linear","MultiX=Average","Skip=True","Sort=True")</f>
        <v>14.534377564979479</v>
      </c>
    </row>
    <row r="4458" spans="16:21" x14ac:dyDescent="0.25">
      <c r="P4458" s="10">
        <v>40995</v>
      </c>
      <c r="Q4458">
        <v>28.02355</v>
      </c>
      <c r="S4458" s="42">
        <f t="shared" ca="1" si="74"/>
        <v>50164</v>
      </c>
      <c r="T4458" s="43">
        <f ca="1">_xll.BInterpol('Base CDI'!$H$4:$H$28,'Base CDI'!$J$4:$J$29,S4458,"Cubic","Extrapolate=Linear","MultiX=Average","Skip=True","Sort=True")</f>
        <v>14.546307797537619</v>
      </c>
      <c r="U4458" s="43">
        <f ca="1">_xll.BInterpol('Base CDI'!$H$4:$H$28,'Base CDI'!$I$4:$I$29,S4458,"Cubic","Extrapolate=Linear","MultiX=Average","Skip=True","Sort=True")</f>
        <v>14.534124487004103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50165</v>
      </c>
      <c r="T4459" s="43">
        <f ca="1">_xll.BInterpol('Base CDI'!$H$4:$H$28,'Base CDI'!$J$4:$J$29,S4459,"Cubic","Extrapolate=Linear","MultiX=Average","Skip=True","Sort=True")</f>
        <v>14.546154582763338</v>
      </c>
      <c r="U4459" s="43">
        <f ca="1">_xll.BInterpol('Base CDI'!$H$4:$H$28,'Base CDI'!$I$4:$I$29,S4459,"Cubic","Extrapolate=Linear","MultiX=Average","Skip=True","Sort=True")</f>
        <v>14.533871409028727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50166</v>
      </c>
      <c r="T4460" s="43">
        <f ca="1">_xll.BInterpol('Base CDI'!$H$4:$H$28,'Base CDI'!$J$4:$J$29,S4460,"Cubic","Extrapolate=Linear","MultiX=Average","Skip=True","Sort=True")</f>
        <v>14.546001367989055</v>
      </c>
      <c r="U4460" s="43">
        <f ca="1">_xll.BInterpol('Base CDI'!$H$4:$H$28,'Base CDI'!$I$4:$I$29,S4460,"Cubic","Extrapolate=Linear","MultiX=Average","Skip=True","Sort=True")</f>
        <v>14.533618331053351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50167</v>
      </c>
      <c r="T4461" s="43">
        <f ca="1">_xll.BInterpol('Base CDI'!$H$4:$H$28,'Base CDI'!$J$4:$J$29,S4461,"Cubic","Extrapolate=Linear","MultiX=Average","Skip=True","Sort=True")</f>
        <v>14.545848153214774</v>
      </c>
      <c r="U4461" s="43">
        <f ca="1">_xll.BInterpol('Base CDI'!$H$4:$H$28,'Base CDI'!$I$4:$I$29,S4461,"Cubic","Extrapolate=Linear","MultiX=Average","Skip=True","Sort=True")</f>
        <v>14.533365253077974</v>
      </c>
    </row>
    <row r="4462" spans="16:21" x14ac:dyDescent="0.25">
      <c r="P4462" s="10">
        <v>41001</v>
      </c>
      <c r="Q4462">
        <v>28.06392</v>
      </c>
      <c r="S4462" s="42">
        <f t="shared" ca="1" si="74"/>
        <v>50168</v>
      </c>
      <c r="T4462" s="43">
        <f ca="1">_xll.BInterpol('Base CDI'!$H$4:$H$28,'Base CDI'!$J$4:$J$29,S4462,"Cubic","Extrapolate=Linear","MultiX=Average","Skip=True","Sort=True")</f>
        <v>14.545694938440493</v>
      </c>
      <c r="U4462" s="43">
        <f ca="1">_xll.BInterpol('Base CDI'!$H$4:$H$28,'Base CDI'!$I$4:$I$29,S4462,"Cubic","Extrapolate=Linear","MultiX=Average","Skip=True","Sort=True")</f>
        <v>14.533112175102598</v>
      </c>
    </row>
    <row r="4463" spans="16:21" x14ac:dyDescent="0.25">
      <c r="P4463" s="10">
        <v>41002</v>
      </c>
      <c r="Q4463">
        <v>28.07403</v>
      </c>
      <c r="S4463" s="42">
        <f t="shared" ca="1" si="74"/>
        <v>50169</v>
      </c>
      <c r="T4463" s="43">
        <f ca="1">_xll.BInterpol('Base CDI'!$H$4:$H$28,'Base CDI'!$J$4:$J$29,S4463,"Cubic","Extrapolate=Linear","MultiX=Average","Skip=True","Sort=True")</f>
        <v>14.54554172366621</v>
      </c>
      <c r="U4463" s="43">
        <f ca="1">_xll.BInterpol('Base CDI'!$H$4:$H$28,'Base CDI'!$I$4:$I$29,S4463,"Cubic","Extrapolate=Linear","MultiX=Average","Skip=True","Sort=True")</f>
        <v>14.532859097127222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50170</v>
      </c>
      <c r="T4464" s="43">
        <f ca="1">_xll.BInterpol('Base CDI'!$H$4:$H$28,'Base CDI'!$J$4:$J$29,S4464,"Cubic","Extrapolate=Linear","MultiX=Average","Skip=True","Sort=True")</f>
        <v>14.545388508891929</v>
      </c>
      <c r="U4464" s="43">
        <f ca="1">_xll.BInterpol('Base CDI'!$H$4:$H$28,'Base CDI'!$I$4:$I$29,S4464,"Cubic","Extrapolate=Linear","MultiX=Average","Skip=True","Sort=True")</f>
        <v>14.532606019151846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50171</v>
      </c>
      <c r="T4465" s="43">
        <f ca="1">_xll.BInterpol('Base CDI'!$H$4:$H$28,'Base CDI'!$J$4:$J$29,S4465,"Cubic","Extrapolate=Linear","MultiX=Average","Skip=True","Sort=True")</f>
        <v>14.545235294117646</v>
      </c>
      <c r="U4465" s="43">
        <f ca="1">_xll.BInterpol('Base CDI'!$H$4:$H$28,'Base CDI'!$I$4:$I$29,S4465,"Cubic","Extrapolate=Linear","MultiX=Average","Skip=True","Sort=True")</f>
        <v>14.53235294117647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50172</v>
      </c>
      <c r="T4466" s="43">
        <f ca="1">_xll.BInterpol('Base CDI'!$H$4:$H$28,'Base CDI'!$J$4:$J$29,S4466,"Cubic","Extrapolate=Linear","MultiX=Average","Skip=True","Sort=True")</f>
        <v>14.545082079343365</v>
      </c>
      <c r="U4466" s="43">
        <f ca="1">_xll.BInterpol('Base CDI'!$H$4:$H$28,'Base CDI'!$I$4:$I$29,S4466,"Cubic","Extrapolate=Linear","MultiX=Average","Skip=True","Sort=True")</f>
        <v>14.532099863201093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50173</v>
      </c>
      <c r="T4467" s="43">
        <f ca="1">_xll.BInterpol('Base CDI'!$H$4:$H$28,'Base CDI'!$J$4:$J$29,S4467,"Cubic","Extrapolate=Linear","MultiX=Average","Skip=True","Sort=True")</f>
        <v>14.544928864569084</v>
      </c>
      <c r="U4467" s="43">
        <f ca="1">_xll.BInterpol('Base CDI'!$H$4:$H$28,'Base CDI'!$I$4:$I$29,S4467,"Cubic","Extrapolate=Linear","MultiX=Average","Skip=True","Sort=True")</f>
        <v>14.531846785225717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50174</v>
      </c>
      <c r="T4468" s="43">
        <f ca="1">_xll.BInterpol('Base CDI'!$H$4:$H$28,'Base CDI'!$J$4:$J$29,S4468,"Cubic","Extrapolate=Linear","MultiX=Average","Skip=True","Sort=True")</f>
        <v>14.544775649794801</v>
      </c>
      <c r="U4468" s="43">
        <f ca="1">_xll.BInterpol('Base CDI'!$H$4:$H$28,'Base CDI'!$I$4:$I$29,S4468,"Cubic","Extrapolate=Linear","MultiX=Average","Skip=True","Sort=True")</f>
        <v>14.531593707250341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50175</v>
      </c>
      <c r="T4469" s="43">
        <f ca="1">_xll.BInterpol('Base CDI'!$H$4:$H$28,'Base CDI'!$J$4:$J$29,S4469,"Cubic","Extrapolate=Linear","MultiX=Average","Skip=True","Sort=True")</f>
        <v>14.54462243502052</v>
      </c>
      <c r="U4469" s="43">
        <f ca="1">_xll.BInterpol('Base CDI'!$H$4:$H$28,'Base CDI'!$I$4:$I$29,S4469,"Cubic","Extrapolate=Linear","MultiX=Average","Skip=True","Sort=True")</f>
        <v>14.531340629274965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50176</v>
      </c>
      <c r="T4470" s="43">
        <f ca="1">_xll.BInterpol('Base CDI'!$H$4:$H$28,'Base CDI'!$J$4:$J$29,S4470,"Cubic","Extrapolate=Linear","MultiX=Average","Skip=True","Sort=True")</f>
        <v>14.544469220246237</v>
      </c>
      <c r="U4470" s="43">
        <f ca="1">_xll.BInterpol('Base CDI'!$H$4:$H$28,'Base CDI'!$I$4:$I$29,S4470,"Cubic","Extrapolate=Linear","MultiX=Average","Skip=True","Sort=True")</f>
        <v>14.531087551299589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50177</v>
      </c>
      <c r="T4471" s="43">
        <f ca="1">_xll.BInterpol('Base CDI'!$H$4:$H$28,'Base CDI'!$J$4:$J$29,S4471,"Cubic","Extrapolate=Linear","MultiX=Average","Skip=True","Sort=True")</f>
        <v>14.544316005471956</v>
      </c>
      <c r="U4471" s="43">
        <f ca="1">_xll.BInterpol('Base CDI'!$H$4:$H$28,'Base CDI'!$I$4:$I$29,S4471,"Cubic","Extrapolate=Linear","MultiX=Average","Skip=True","Sort=True")</f>
        <v>14.530834473324212</v>
      </c>
    </row>
    <row r="4472" spans="16:21" x14ac:dyDescent="0.25">
      <c r="P4472" s="10">
        <v>41016</v>
      </c>
      <c r="Q4472">
        <v>28.16516</v>
      </c>
      <c r="S4472" s="42">
        <f t="shared" ca="1" si="74"/>
        <v>50178</v>
      </c>
      <c r="T4472" s="43">
        <f ca="1">_xll.BInterpol('Base CDI'!$H$4:$H$28,'Base CDI'!$J$4:$J$29,S4472,"Cubic","Extrapolate=Linear","MultiX=Average","Skip=True","Sort=True")</f>
        <v>14.544162790697674</v>
      </c>
      <c r="U4472" s="43">
        <f ca="1">_xll.BInterpol('Base CDI'!$H$4:$H$28,'Base CDI'!$I$4:$I$29,S4472,"Cubic","Extrapolate=Linear","MultiX=Average","Skip=True","Sort=True")</f>
        <v>14.530581395348836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50179</v>
      </c>
      <c r="T4473" s="43">
        <f ca="1">_xll.BInterpol('Base CDI'!$H$4:$H$28,'Base CDI'!$J$4:$J$29,S4473,"Cubic","Extrapolate=Linear","MultiX=Average","Skip=True","Sort=True")</f>
        <v>14.544009575923392</v>
      </c>
      <c r="U4473" s="43">
        <f ca="1">_xll.BInterpol('Base CDI'!$H$4:$H$28,'Base CDI'!$I$4:$I$29,S4473,"Cubic","Extrapolate=Linear","MultiX=Average","Skip=True","Sort=True")</f>
        <v>14.53032831737346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50180</v>
      </c>
      <c r="T4474" s="43">
        <f ca="1">_xll.BInterpol('Base CDI'!$H$4:$H$28,'Base CDI'!$J$4:$J$29,S4474,"Cubic","Extrapolate=Linear","MultiX=Average","Skip=True","Sort=True")</f>
        <v>14.543856361149111</v>
      </c>
      <c r="U4474" s="43">
        <f ca="1">_xll.BInterpol('Base CDI'!$H$4:$H$28,'Base CDI'!$I$4:$I$29,S4474,"Cubic","Extrapolate=Linear","MultiX=Average","Skip=True","Sort=True")</f>
        <v>14.530075239398084</v>
      </c>
    </row>
    <row r="4475" spans="16:21" x14ac:dyDescent="0.25">
      <c r="P4475" s="10">
        <v>41019</v>
      </c>
      <c r="Q4475">
        <v>28.19473</v>
      </c>
      <c r="S4475" s="42">
        <f t="shared" ca="1" si="74"/>
        <v>50181</v>
      </c>
      <c r="T4475" s="43">
        <f ca="1">_xll.BInterpol('Base CDI'!$H$4:$H$28,'Base CDI'!$J$4:$J$29,S4475,"Cubic","Extrapolate=Linear","MultiX=Average","Skip=True","Sort=True")</f>
        <v>14.543703146374828</v>
      </c>
      <c r="U4475" s="43">
        <f ca="1">_xll.BInterpol('Base CDI'!$H$4:$H$28,'Base CDI'!$I$4:$I$29,S4475,"Cubic","Extrapolate=Linear","MultiX=Average","Skip=True","Sort=True")</f>
        <v>14.529822161422707</v>
      </c>
    </row>
    <row r="4476" spans="16:21" x14ac:dyDescent="0.25">
      <c r="P4476" s="10">
        <v>41022</v>
      </c>
      <c r="Q4476">
        <v>28.2041</v>
      </c>
      <c r="S4476" s="42">
        <f t="shared" ca="1" si="74"/>
        <v>50182</v>
      </c>
      <c r="T4476" s="43">
        <f ca="1">_xll.BInterpol('Base CDI'!$H$4:$H$28,'Base CDI'!$J$4:$J$29,S4476,"Cubic","Extrapolate=Linear","MultiX=Average","Skip=True","Sort=True")</f>
        <v>14.543549931600547</v>
      </c>
      <c r="U4476" s="43">
        <f ca="1">_xll.BInterpol('Base CDI'!$H$4:$H$28,'Base CDI'!$I$4:$I$29,S4476,"Cubic","Extrapolate=Linear","MultiX=Average","Skip=True","Sort=True")</f>
        <v>14.529569083447331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50183</v>
      </c>
      <c r="T4477" s="43">
        <f ca="1">_xll.BInterpol('Base CDI'!$H$4:$H$28,'Base CDI'!$J$4:$J$29,S4477,"Cubic","Extrapolate=Linear","MultiX=Average","Skip=True","Sort=True")</f>
        <v>14.543396716826265</v>
      </c>
      <c r="U4477" s="43">
        <f ca="1">_xll.BInterpol('Base CDI'!$H$4:$H$28,'Base CDI'!$I$4:$I$29,S4477,"Cubic","Extrapolate=Linear","MultiX=Average","Skip=True","Sort=True")</f>
        <v>14.529316005471955</v>
      </c>
    </row>
    <row r="4478" spans="16:21" x14ac:dyDescent="0.25">
      <c r="P4478" s="10">
        <v>41024</v>
      </c>
      <c r="Q4478">
        <v>28.22287</v>
      </c>
      <c r="S4478" s="42">
        <f t="shared" ca="1" si="74"/>
        <v>50184</v>
      </c>
      <c r="T4478" s="43">
        <f ca="1">_xll.BInterpol('Base CDI'!$H$4:$H$28,'Base CDI'!$J$4:$J$29,S4478,"Cubic","Extrapolate=Linear","MultiX=Average","Skip=True","Sort=True")</f>
        <v>14.543243502051983</v>
      </c>
      <c r="U4478" s="43">
        <f ca="1">_xll.BInterpol('Base CDI'!$H$4:$H$28,'Base CDI'!$I$4:$I$29,S4478,"Cubic","Extrapolate=Linear","MultiX=Average","Skip=True","Sort=True")</f>
        <v>14.529062927496579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50185</v>
      </c>
      <c r="T4479" s="43">
        <f ca="1">_xll.BInterpol('Base CDI'!$H$4:$H$28,'Base CDI'!$J$4:$J$29,S4479,"Cubic","Extrapolate=Linear","MultiX=Average","Skip=True","Sort=True")</f>
        <v>14.543090287277701</v>
      </c>
      <c r="U4479" s="43">
        <f ca="1">_xll.BInterpol('Base CDI'!$H$4:$H$28,'Base CDI'!$I$4:$I$29,S4479,"Cubic","Extrapolate=Linear","MultiX=Average","Skip=True","Sort=True")</f>
        <v>14.528809849521203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50186</v>
      </c>
      <c r="T4480" s="43">
        <f ca="1">_xll.BInterpol('Base CDI'!$H$4:$H$28,'Base CDI'!$J$4:$J$29,S4480,"Cubic","Extrapolate=Linear","MultiX=Average","Skip=True","Sort=True")</f>
        <v>14.542937072503419</v>
      </c>
      <c r="U4480" s="43">
        <f ca="1">_xll.BInterpol('Base CDI'!$H$4:$H$28,'Base CDI'!$I$4:$I$29,S4480,"Cubic","Extrapolate=Linear","MultiX=Average","Skip=True","Sort=True")</f>
        <v>14.528556771545826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50187</v>
      </c>
      <c r="T4481" s="43">
        <f ca="1">_xll.BInterpol('Base CDI'!$H$4:$H$28,'Base CDI'!$J$4:$J$29,S4481,"Cubic","Extrapolate=Linear","MultiX=Average","Skip=True","Sort=True")</f>
        <v>14.542783857729138</v>
      </c>
      <c r="U4481" s="43">
        <f ca="1">_xll.BInterpol('Base CDI'!$H$4:$H$28,'Base CDI'!$I$4:$I$29,S4481,"Cubic","Extrapolate=Linear","MultiX=Average","Skip=True","Sort=True")</f>
        <v>14.52830369357045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50188</v>
      </c>
      <c r="T4482" s="43">
        <f ca="1">_xll.BInterpol('Base CDI'!$H$4:$H$28,'Base CDI'!$J$4:$J$29,S4482,"Cubic","Extrapolate=Linear","MultiX=Average","Skip=True","Sort=True")</f>
        <v>14.542630642954856</v>
      </c>
      <c r="U4482" s="43">
        <f ca="1">_xll.BInterpol('Base CDI'!$H$4:$H$28,'Base CDI'!$I$4:$I$29,S4482,"Cubic","Extrapolate=Linear","MultiX=Average","Skip=True","Sort=True")</f>
        <v>14.528050615595074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50189</v>
      </c>
      <c r="T4483" s="43">
        <f ca="1">_xll.BInterpol('Base CDI'!$H$4:$H$28,'Base CDI'!$J$4:$J$29,S4483,"Cubic","Extrapolate=Linear","MultiX=Average","Skip=True","Sort=True")</f>
        <v>14.542477428180574</v>
      </c>
      <c r="U4483" s="43">
        <f ca="1">_xll.BInterpol('Base CDI'!$H$4:$H$28,'Base CDI'!$I$4:$I$29,S4483,"Cubic","Extrapolate=Linear","MultiX=Average","Skip=True","Sort=True")</f>
        <v>14.527797537619698</v>
      </c>
    </row>
    <row r="4484" spans="16:21" x14ac:dyDescent="0.25">
      <c r="P4484" s="10">
        <v>41033</v>
      </c>
      <c r="Q4484">
        <v>28.27918</v>
      </c>
      <c r="S4484" s="42">
        <f t="shared" ca="1" si="74"/>
        <v>50190</v>
      </c>
      <c r="T4484" s="43">
        <f ca="1">_xll.BInterpol('Base CDI'!$H$4:$H$28,'Base CDI'!$J$4:$J$29,S4484,"Cubic","Extrapolate=Linear","MultiX=Average","Skip=True","Sort=True")</f>
        <v>14.542324213406292</v>
      </c>
      <c r="U4484" s="43">
        <f ca="1">_xll.BInterpol('Base CDI'!$H$4:$H$28,'Base CDI'!$I$4:$I$29,S4484,"Cubic","Extrapolate=Linear","MultiX=Average","Skip=True","Sort=True")</f>
        <v>14.527544459644322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50191</v>
      </c>
      <c r="T4485" s="43">
        <f ca="1">_xll.BInterpol('Base CDI'!$H$4:$H$28,'Base CDI'!$J$4:$J$29,S4485,"Cubic","Extrapolate=Linear","MultiX=Average","Skip=True","Sort=True")</f>
        <v>14.54217099863201</v>
      </c>
      <c r="U4485" s="43">
        <f ca="1">_xll.BInterpol('Base CDI'!$H$4:$H$28,'Base CDI'!$I$4:$I$29,S4485,"Cubic","Extrapolate=Linear","MultiX=Average","Skip=True","Sort=True")</f>
        <v>14.527291381668945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50192</v>
      </c>
      <c r="T4486" s="43">
        <f ca="1">_xll.BInterpol('Base CDI'!$H$4:$H$28,'Base CDI'!$J$4:$J$29,S4486,"Cubic","Extrapolate=Linear","MultiX=Average","Skip=True","Sort=True")</f>
        <v>14.542017783857728</v>
      </c>
      <c r="U4486" s="43">
        <f ca="1">_xll.BInterpol('Base CDI'!$H$4:$H$28,'Base CDI'!$I$4:$I$29,S4486,"Cubic","Extrapolate=Linear","MultiX=Average","Skip=True","Sort=True")</f>
        <v>14.527038303693569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50193</v>
      </c>
      <c r="T4487" s="43">
        <f ca="1">_xll.BInterpol('Base CDI'!$H$4:$H$28,'Base CDI'!$J$4:$J$29,S4487,"Cubic","Extrapolate=Linear","MultiX=Average","Skip=True","Sort=True")</f>
        <v>14.541864569083447</v>
      </c>
      <c r="U4487" s="43">
        <f ca="1">_xll.BInterpol('Base CDI'!$H$4:$H$28,'Base CDI'!$I$4:$I$29,S4487,"Cubic","Extrapolate=Linear","MultiX=Average","Skip=True","Sort=True")</f>
        <v>14.526785225718193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50194</v>
      </c>
      <c r="T4488" s="43">
        <f ca="1">_xll.BInterpol('Base CDI'!$H$4:$H$28,'Base CDI'!$J$4:$J$29,S4488,"Cubic","Extrapolate=Linear","MultiX=Average","Skip=True","Sort=True")</f>
        <v>14.541711354309165</v>
      </c>
      <c r="U4488" s="43">
        <f ca="1">_xll.BInterpol('Base CDI'!$H$4:$H$28,'Base CDI'!$I$4:$I$29,S4488,"Cubic","Extrapolate=Linear","MultiX=Average","Skip=True","Sort=True")</f>
        <v>14.526532147742817</v>
      </c>
    </row>
    <row r="4489" spans="16:21" x14ac:dyDescent="0.25">
      <c r="P4489" s="10">
        <v>41040</v>
      </c>
      <c r="Q4489">
        <v>28.32601</v>
      </c>
      <c r="S4489" s="42">
        <f t="shared" ca="1" si="74"/>
        <v>50195</v>
      </c>
      <c r="T4489" s="43">
        <f ca="1">_xll.BInterpol('Base CDI'!$H$4:$H$28,'Base CDI'!$J$4:$J$29,S4489,"Cubic","Extrapolate=Linear","MultiX=Average","Skip=True","Sort=True")</f>
        <v>14.541558139534883</v>
      </c>
      <c r="U4489" s="43">
        <f ca="1">_xll.BInterpol('Base CDI'!$H$4:$H$28,'Base CDI'!$I$4:$I$29,S4489,"Cubic","Extrapolate=Linear","MultiX=Average","Skip=True","Sort=True")</f>
        <v>14.52627906976744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50196</v>
      </c>
      <c r="T4490" s="43">
        <f ca="1">_xll.BInterpol('Base CDI'!$H$4:$H$28,'Base CDI'!$J$4:$J$29,S4490,"Cubic","Extrapolate=Linear","MultiX=Average","Skip=True","Sort=True")</f>
        <v>14.541404924760601</v>
      </c>
      <c r="U4490" s="43">
        <f ca="1">_xll.BInterpol('Base CDI'!$H$4:$H$28,'Base CDI'!$I$4:$I$29,S4490,"Cubic","Extrapolate=Linear","MultiX=Average","Skip=True","Sort=True")</f>
        <v>14.526025991792064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50197</v>
      </c>
      <c r="T4491" s="43">
        <f ca="1">_xll.BInterpol('Base CDI'!$H$4:$H$28,'Base CDI'!$J$4:$J$29,S4491,"Cubic","Extrapolate=Linear","MultiX=Average","Skip=True","Sort=True")</f>
        <v>14.541251709986319</v>
      </c>
      <c r="U4491" s="43">
        <f ca="1">_xll.BInterpol('Base CDI'!$H$4:$H$28,'Base CDI'!$I$4:$I$29,S4491,"Cubic","Extrapolate=Linear","MultiX=Average","Skip=True","Sort=True")</f>
        <v>14.525772913816688</v>
      </c>
    </row>
    <row r="4492" spans="16:21" x14ac:dyDescent="0.25">
      <c r="P4492" s="10">
        <v>41045</v>
      </c>
      <c r="Q4492">
        <v>28.35408</v>
      </c>
      <c r="S4492" s="42">
        <f t="shared" ca="1" si="75"/>
        <v>50198</v>
      </c>
      <c r="T4492" s="43">
        <f ca="1">_xll.BInterpol('Base CDI'!$H$4:$H$28,'Base CDI'!$J$4:$J$29,S4492,"Cubic","Extrapolate=Linear","MultiX=Average","Skip=True","Sort=True")</f>
        <v>14.541098495212038</v>
      </c>
      <c r="U4492" s="43">
        <f ca="1">_xll.BInterpol('Base CDI'!$H$4:$H$28,'Base CDI'!$I$4:$I$29,S4492,"Cubic","Extrapolate=Linear","MultiX=Average","Skip=True","Sort=True")</f>
        <v>14.525519835841312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50199</v>
      </c>
      <c r="T4493" s="43">
        <f ca="1">_xll.BInterpol('Base CDI'!$H$4:$H$28,'Base CDI'!$J$4:$J$29,S4493,"Cubic","Extrapolate=Linear","MultiX=Average","Skip=True","Sort=True")</f>
        <v>14.540945280437755</v>
      </c>
      <c r="U4493" s="43">
        <f ca="1">_xll.BInterpol('Base CDI'!$H$4:$H$28,'Base CDI'!$I$4:$I$29,S4493,"Cubic","Extrapolate=Linear","MultiX=Average","Skip=True","Sort=True")</f>
        <v>14.525266757865936</v>
      </c>
    </row>
    <row r="4494" spans="16:21" x14ac:dyDescent="0.25">
      <c r="P4494" s="10">
        <v>41047</v>
      </c>
      <c r="Q4494">
        <v>28.37293</v>
      </c>
      <c r="S4494" s="42">
        <f t="shared" ca="1" si="75"/>
        <v>50200</v>
      </c>
      <c r="T4494" s="43">
        <f ca="1">_xll.BInterpol('Base CDI'!$H$4:$H$28,'Base CDI'!$J$4:$J$29,S4494,"Cubic","Extrapolate=Linear","MultiX=Average","Skip=True","Sort=True")</f>
        <v>14.540792065663474</v>
      </c>
      <c r="U4494" s="43">
        <f ca="1">_xll.BInterpol('Base CDI'!$H$4:$H$28,'Base CDI'!$I$4:$I$29,S4494,"Cubic","Extrapolate=Linear","MultiX=Average","Skip=True","Sort=True")</f>
        <v>14.525013679890561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50201</v>
      </c>
      <c r="T4495" s="43">
        <f ca="1">_xll.BInterpol('Base CDI'!$H$4:$H$28,'Base CDI'!$J$4:$J$29,S4495,"Cubic","Extrapolate=Linear","MultiX=Average","Skip=True","Sort=True")</f>
        <v>14.540638850889192</v>
      </c>
      <c r="U4495" s="43">
        <f ca="1">_xll.BInterpol('Base CDI'!$H$4:$H$28,'Base CDI'!$I$4:$I$29,S4495,"Cubic","Extrapolate=Linear","MultiX=Average","Skip=True","Sort=True")</f>
        <v>14.524760601915185</v>
      </c>
    </row>
    <row r="4496" spans="16:21" x14ac:dyDescent="0.25">
      <c r="P4496" s="10">
        <v>41051</v>
      </c>
      <c r="Q4496">
        <v>28.39181</v>
      </c>
      <c r="S4496" s="42">
        <f t="shared" ca="1" si="75"/>
        <v>50202</v>
      </c>
      <c r="T4496" s="43">
        <f ca="1">_xll.BInterpol('Base CDI'!$H$4:$H$28,'Base CDI'!$J$4:$J$29,S4496,"Cubic","Extrapolate=Linear","MultiX=Average","Skip=True","Sort=True")</f>
        <v>14.54048563611491</v>
      </c>
      <c r="U4496" s="43">
        <f ca="1">_xll.BInterpol('Base CDI'!$H$4:$H$28,'Base CDI'!$I$4:$I$29,S4496,"Cubic","Extrapolate=Linear","MultiX=Average","Skip=True","Sort=True")</f>
        <v>14.524507523939809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50203</v>
      </c>
      <c r="T4497" s="43">
        <f ca="1">_xll.BInterpol('Base CDI'!$H$4:$H$28,'Base CDI'!$J$4:$J$29,S4497,"Cubic","Extrapolate=Linear","MultiX=Average","Skip=True","Sort=True")</f>
        <v>14.540332421340629</v>
      </c>
      <c r="U4497" s="43">
        <f ca="1">_xll.BInterpol('Base CDI'!$H$4:$H$28,'Base CDI'!$I$4:$I$29,S4497,"Cubic","Extrapolate=Linear","MultiX=Average","Skip=True","Sort=True")</f>
        <v>14.524254445964432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50204</v>
      </c>
      <c r="T4498" s="43">
        <f ca="1">_xll.BInterpol('Base CDI'!$H$4:$H$28,'Base CDI'!$J$4:$J$29,S4498,"Cubic","Extrapolate=Linear","MultiX=Average","Skip=True","Sort=True")</f>
        <v>14.540179206566346</v>
      </c>
      <c r="U4498" s="43">
        <f ca="1">_xll.BInterpol('Base CDI'!$H$4:$H$28,'Base CDI'!$I$4:$I$29,S4498,"Cubic","Extrapolate=Linear","MultiX=Average","Skip=True","Sort=True")</f>
        <v>14.524001367989056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50205</v>
      </c>
      <c r="T4499" s="43">
        <f ca="1">_xll.BInterpol('Base CDI'!$H$4:$H$28,'Base CDI'!$J$4:$J$29,S4499,"Cubic","Extrapolate=Linear","MultiX=Average","Skip=True","Sort=True")</f>
        <v>14.540025991792065</v>
      </c>
      <c r="U4499" s="43">
        <f ca="1">_xll.BInterpol('Base CDI'!$H$4:$H$28,'Base CDI'!$I$4:$I$29,S4499,"Cubic","Extrapolate=Linear","MultiX=Average","Skip=True","Sort=True")</f>
        <v>14.52374829001368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50206</v>
      </c>
      <c r="T4500" s="43">
        <f ca="1">_xll.BInterpol('Base CDI'!$H$4:$H$28,'Base CDI'!$J$4:$J$29,S4500,"Cubic","Extrapolate=Linear","MultiX=Average","Skip=True","Sort=True")</f>
        <v>14.539872777017784</v>
      </c>
      <c r="U4500" s="43">
        <f ca="1">_xll.BInterpol('Base CDI'!$H$4:$H$28,'Base CDI'!$I$4:$I$29,S4500,"Cubic","Extrapolate=Linear","MultiX=Average","Skip=True","Sort=True")</f>
        <v>14.523495212038304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50207</v>
      </c>
      <c r="T4501" s="43">
        <f ca="1">_xll.BInterpol('Base CDI'!$H$4:$H$28,'Base CDI'!$J$4:$J$29,S4501,"Cubic","Extrapolate=Linear","MultiX=Average","Skip=True","Sort=True")</f>
        <v>14.539719562243501</v>
      </c>
      <c r="U4501" s="43">
        <f ca="1">_xll.BInterpol('Base CDI'!$H$4:$H$28,'Base CDI'!$I$4:$I$29,S4501,"Cubic","Extrapolate=Linear","MultiX=Average","Skip=True","Sort=True")</f>
        <v>14.523242134062928</v>
      </c>
    </row>
    <row r="4502" spans="16:21" x14ac:dyDescent="0.25">
      <c r="P4502" s="10">
        <v>41059</v>
      </c>
      <c r="Q4502">
        <v>28.44877</v>
      </c>
      <c r="S4502" s="42">
        <f t="shared" ca="1" si="75"/>
        <v>50208</v>
      </c>
      <c r="T4502" s="43">
        <f ca="1">_xll.BInterpol('Base CDI'!$H$4:$H$28,'Base CDI'!$J$4:$J$29,S4502,"Cubic","Extrapolate=Linear","MultiX=Average","Skip=True","Sort=True")</f>
        <v>14.53956634746922</v>
      </c>
      <c r="U4502" s="43">
        <f ca="1">_xll.BInterpol('Base CDI'!$H$4:$H$28,'Base CDI'!$I$4:$I$29,S4502,"Cubic","Extrapolate=Linear","MultiX=Average","Skip=True","Sort=True")</f>
        <v>14.522989056087551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50209</v>
      </c>
      <c r="T4503" s="43">
        <f ca="1">_xll.BInterpol('Base CDI'!$H$4:$H$28,'Base CDI'!$J$4:$J$29,S4503,"Cubic","Extrapolate=Linear","MultiX=Average","Skip=True","Sort=True")</f>
        <v>14.539413132694937</v>
      </c>
      <c r="U4503" s="43">
        <f ca="1">_xll.BInterpol('Base CDI'!$H$4:$H$28,'Base CDI'!$I$4:$I$29,S4503,"Cubic","Extrapolate=Linear","MultiX=Average","Skip=True","Sort=True")</f>
        <v>14.522735978112175</v>
      </c>
    </row>
    <row r="4504" spans="16:21" x14ac:dyDescent="0.25">
      <c r="P4504" s="10">
        <v>41061</v>
      </c>
      <c r="Q4504">
        <v>28.46734</v>
      </c>
      <c r="S4504" s="42">
        <f t="shared" ca="1" si="75"/>
        <v>50210</v>
      </c>
      <c r="T4504" s="43">
        <f ca="1">_xll.BInterpol('Base CDI'!$H$4:$H$28,'Base CDI'!$J$4:$J$29,S4504,"Cubic","Extrapolate=Linear","MultiX=Average","Skip=True","Sort=True")</f>
        <v>14.539259917920656</v>
      </c>
      <c r="U4504" s="43">
        <f ca="1">_xll.BInterpol('Base CDI'!$H$4:$H$28,'Base CDI'!$I$4:$I$29,S4504,"Cubic","Extrapolate=Linear","MultiX=Average","Skip=True","Sort=True")</f>
        <v>14.522482900136799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50211</v>
      </c>
      <c r="T4505" s="43">
        <f ca="1">_xll.BInterpol('Base CDI'!$H$4:$H$28,'Base CDI'!$J$4:$J$29,S4505,"Cubic","Extrapolate=Linear","MultiX=Average","Skip=True","Sort=True")</f>
        <v>14.539106703146373</v>
      </c>
      <c r="U4505" s="43">
        <f ca="1">_xll.BInterpol('Base CDI'!$H$4:$H$28,'Base CDI'!$I$4:$I$29,S4505,"Cubic","Extrapolate=Linear","MultiX=Average","Skip=True","Sort=True")</f>
        <v>14.522229822161423</v>
      </c>
    </row>
    <row r="4506" spans="16:21" x14ac:dyDescent="0.25">
      <c r="P4506" s="10">
        <v>41065</v>
      </c>
      <c r="Q4506">
        <v>28.48546</v>
      </c>
      <c r="S4506" s="42">
        <f t="shared" ca="1" si="75"/>
        <v>50212</v>
      </c>
      <c r="T4506" s="43">
        <f ca="1">_xll.BInterpol('Base CDI'!$H$4:$H$28,'Base CDI'!$J$4:$J$29,S4506,"Cubic","Extrapolate=Linear","MultiX=Average","Skip=True","Sort=True")</f>
        <v>14.538953488372092</v>
      </c>
      <c r="U4506" s="43">
        <f ca="1">_xll.BInterpol('Base CDI'!$H$4:$H$28,'Base CDI'!$I$4:$I$29,S4506,"Cubic","Extrapolate=Linear","MultiX=Average","Skip=True","Sort=True")</f>
        <v>14.521976744186047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50213</v>
      </c>
      <c r="T4507" s="43">
        <f ca="1">_xll.BInterpol('Base CDI'!$H$4:$H$28,'Base CDI'!$J$4:$J$29,S4507,"Cubic","Extrapolate=Linear","MultiX=Average","Skip=True","Sort=True")</f>
        <v>14.538800273597811</v>
      </c>
      <c r="U4507" s="43">
        <f ca="1">_xll.BInterpol('Base CDI'!$H$4:$H$28,'Base CDI'!$I$4:$I$29,S4507,"Cubic","Extrapolate=Linear","MultiX=Average","Skip=True","Sort=True")</f>
        <v>14.52172366621067</v>
      </c>
    </row>
    <row r="4508" spans="16:21" x14ac:dyDescent="0.25">
      <c r="P4508" s="10">
        <v>41068</v>
      </c>
      <c r="Q4508">
        <v>28.50357</v>
      </c>
      <c r="S4508" s="42">
        <f t="shared" ca="1" si="75"/>
        <v>50214</v>
      </c>
      <c r="T4508" s="43">
        <f ca="1">_xll.BInterpol('Base CDI'!$H$4:$H$28,'Base CDI'!$J$4:$J$29,S4508,"Cubic","Extrapolate=Linear","MultiX=Average","Skip=True","Sort=True")</f>
        <v>14.538647058823528</v>
      </c>
      <c r="U4508" s="43">
        <f ca="1">_xll.BInterpol('Base CDI'!$H$4:$H$28,'Base CDI'!$I$4:$I$29,S4508,"Cubic","Extrapolate=Linear","MultiX=Average","Skip=True","Sort=True")</f>
        <v>14.521470588235294</v>
      </c>
    </row>
    <row r="4509" spans="16:21" x14ac:dyDescent="0.25">
      <c r="P4509" s="10">
        <v>41071</v>
      </c>
      <c r="Q4509">
        <v>28.51266</v>
      </c>
      <c r="S4509" s="42">
        <f t="shared" ca="1" si="75"/>
        <v>50215</v>
      </c>
      <c r="T4509" s="43">
        <f ca="1">_xll.BInterpol('Base CDI'!$H$4:$H$28,'Base CDI'!$J$4:$J$29,S4509,"Cubic","Extrapolate=Linear","MultiX=Average","Skip=True","Sort=True")</f>
        <v>14.538493844049247</v>
      </c>
      <c r="U4509" s="43">
        <f ca="1">_xll.BInterpol('Base CDI'!$H$4:$H$28,'Base CDI'!$I$4:$I$29,S4509,"Cubic","Extrapolate=Linear","MultiX=Average","Skip=True","Sort=True")</f>
        <v>14.521217510259918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50216</v>
      </c>
      <c r="T4510" s="43">
        <f ca="1">_xll.BInterpol('Base CDI'!$H$4:$H$28,'Base CDI'!$J$4:$J$29,S4510,"Cubic","Extrapolate=Linear","MultiX=Average","Skip=True","Sort=True")</f>
        <v>14.538340629274966</v>
      </c>
      <c r="U4510" s="43">
        <f ca="1">_xll.BInterpol('Base CDI'!$H$4:$H$28,'Base CDI'!$I$4:$I$29,S4510,"Cubic","Extrapolate=Linear","MultiX=Average","Skip=True","Sort=True")</f>
        <v>14.520964432284542</v>
      </c>
    </row>
    <row r="4511" spans="16:21" x14ac:dyDescent="0.25">
      <c r="P4511" s="10">
        <v>41073</v>
      </c>
      <c r="Q4511">
        <v>28.53077</v>
      </c>
      <c r="S4511" s="42">
        <f t="shared" ca="1" si="75"/>
        <v>50217</v>
      </c>
      <c r="T4511" s="43">
        <f ca="1">_xll.BInterpol('Base CDI'!$H$4:$H$28,'Base CDI'!$J$4:$J$29,S4511,"Cubic","Extrapolate=Linear","MultiX=Average","Skip=True","Sort=True")</f>
        <v>14.538187414500683</v>
      </c>
      <c r="U4511" s="43">
        <f ca="1">_xll.BInterpol('Base CDI'!$H$4:$H$28,'Base CDI'!$I$4:$I$29,S4511,"Cubic","Extrapolate=Linear","MultiX=Average","Skip=True","Sort=True")</f>
        <v>14.520711354309165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50218</v>
      </c>
      <c r="T4512" s="43">
        <f ca="1">_xll.BInterpol('Base CDI'!$H$4:$H$28,'Base CDI'!$J$4:$J$29,S4512,"Cubic","Extrapolate=Linear","MultiX=Average","Skip=True","Sort=True")</f>
        <v>14.538034199726402</v>
      </c>
      <c r="U4512" s="43">
        <f ca="1">_xll.BInterpol('Base CDI'!$H$4:$H$28,'Base CDI'!$I$4:$I$29,S4512,"Cubic","Extrapolate=Linear","MultiX=Average","Skip=True","Sort=True")</f>
        <v>14.520458276333789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50219</v>
      </c>
      <c r="T4513" s="43">
        <f ca="1">_xll.BInterpol('Base CDI'!$H$4:$H$28,'Base CDI'!$J$4:$J$29,S4513,"Cubic","Extrapolate=Linear","MultiX=Average","Skip=True","Sort=True")</f>
        <v>14.537880984952119</v>
      </c>
      <c r="U4513" s="43">
        <f ca="1">_xll.BInterpol('Base CDI'!$H$4:$H$28,'Base CDI'!$I$4:$I$29,S4513,"Cubic","Extrapolate=Linear","MultiX=Average","Skip=True","Sort=True")</f>
        <v>14.520205198358413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50220</v>
      </c>
      <c r="T4514" s="43">
        <f ca="1">_xll.BInterpol('Base CDI'!$H$4:$H$28,'Base CDI'!$J$4:$J$29,S4514,"Cubic","Extrapolate=Linear","MultiX=Average","Skip=True","Sort=True")</f>
        <v>14.537727770177838</v>
      </c>
      <c r="U4514" s="43">
        <f ca="1">_xll.BInterpol('Base CDI'!$H$4:$H$28,'Base CDI'!$I$4:$I$29,S4514,"Cubic","Extrapolate=Linear","MultiX=Average","Skip=True","Sort=True")</f>
        <v>14.519952120383037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50221</v>
      </c>
      <c r="T4515" s="43">
        <f ca="1">_xll.BInterpol('Base CDI'!$H$4:$H$28,'Base CDI'!$J$4:$J$29,S4515,"Cubic","Extrapolate=Linear","MultiX=Average","Skip=True","Sort=True")</f>
        <v>14.537574555403555</v>
      </c>
      <c r="U4515" s="43">
        <f ca="1">_xll.BInterpol('Base CDI'!$H$4:$H$28,'Base CDI'!$I$4:$I$29,S4515,"Cubic","Extrapolate=Linear","MultiX=Average","Skip=True","Sort=True")</f>
        <v>14.519699042407661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50222</v>
      </c>
      <c r="T4516" s="43">
        <f ca="1">_xll.BInterpol('Base CDI'!$H$4:$H$28,'Base CDI'!$J$4:$J$29,S4516,"Cubic","Extrapolate=Linear","MultiX=Average","Skip=True","Sort=True")</f>
        <v>14.537421340629274</v>
      </c>
      <c r="U4516" s="43">
        <f ca="1">_xll.BInterpol('Base CDI'!$H$4:$H$28,'Base CDI'!$I$4:$I$29,S4516,"Cubic","Extrapolate=Linear","MultiX=Average","Skip=True","Sort=True")</f>
        <v>14.519445964432284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50223</v>
      </c>
      <c r="T4517" s="43">
        <f ca="1">_xll.BInterpol('Base CDI'!$H$4:$H$28,'Base CDI'!$J$4:$J$29,S4517,"Cubic","Extrapolate=Linear","MultiX=Average","Skip=True","Sort=True")</f>
        <v>14.537268125854993</v>
      </c>
      <c r="U4517" s="43">
        <f ca="1">_xll.BInterpol('Base CDI'!$H$4:$H$28,'Base CDI'!$I$4:$I$29,S4517,"Cubic","Extrapolate=Linear","MultiX=Average","Skip=True","Sort=True")</f>
        <v>14.519192886456908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50224</v>
      </c>
      <c r="T4518" s="43">
        <f ca="1">_xll.BInterpol('Base CDI'!$H$4:$H$28,'Base CDI'!$J$4:$J$29,S4518,"Cubic","Extrapolate=Linear","MultiX=Average","Skip=True","Sort=True")</f>
        <v>14.53711491108071</v>
      </c>
      <c r="U4518" s="43">
        <f ca="1">_xll.BInterpol('Base CDI'!$H$4:$H$28,'Base CDI'!$I$4:$I$29,S4518,"Cubic","Extrapolate=Linear","MultiX=Average","Skip=True","Sort=True")</f>
        <v>14.518939808481532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50225</v>
      </c>
      <c r="T4519" s="43">
        <f ca="1">_xll.BInterpol('Base CDI'!$H$4:$H$28,'Base CDI'!$J$4:$J$29,S4519,"Cubic","Extrapolate=Linear","MultiX=Average","Skip=True","Sort=True")</f>
        <v>14.536961696306429</v>
      </c>
      <c r="U4519" s="43">
        <f ca="1">_xll.BInterpol('Base CDI'!$H$4:$H$28,'Base CDI'!$I$4:$I$29,S4519,"Cubic","Extrapolate=Linear","MultiX=Average","Skip=True","Sort=True")</f>
        <v>14.518686730506156</v>
      </c>
    </row>
    <row r="4520" spans="16:21" x14ac:dyDescent="0.25">
      <c r="P4520" s="10">
        <v>41086</v>
      </c>
      <c r="Q4520">
        <v>28.61262</v>
      </c>
      <c r="S4520" s="42">
        <f t="shared" ca="1" si="75"/>
        <v>50226</v>
      </c>
      <c r="T4520" s="43">
        <f ca="1">_xll.BInterpol('Base CDI'!$H$4:$H$28,'Base CDI'!$J$4:$J$29,S4520,"Cubic","Extrapolate=Linear","MultiX=Average","Skip=True","Sort=True")</f>
        <v>14.536808481532148</v>
      </c>
      <c r="U4520" s="43">
        <f ca="1">_xll.BInterpol('Base CDI'!$H$4:$H$28,'Base CDI'!$I$4:$I$29,S4520,"Cubic","Extrapolate=Linear","MultiX=Average","Skip=True","Sort=True")</f>
        <v>14.51843365253078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50227</v>
      </c>
      <c r="T4521" s="43">
        <f ca="1">_xll.BInterpol('Base CDI'!$H$4:$H$28,'Base CDI'!$J$4:$J$29,S4521,"Cubic","Extrapolate=Linear","MultiX=Average","Skip=True","Sort=True")</f>
        <v>14.536655266757865</v>
      </c>
      <c r="U4521" s="43">
        <f ca="1">_xll.BInterpol('Base CDI'!$H$4:$H$28,'Base CDI'!$I$4:$I$29,S4521,"Cubic","Extrapolate=Linear","MultiX=Average","Skip=True","Sort=True")</f>
        <v>14.518180574555403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50228</v>
      </c>
      <c r="T4522" s="43">
        <f ca="1">_xll.BInterpol('Base CDI'!$H$4:$H$28,'Base CDI'!$J$4:$J$29,S4522,"Cubic","Extrapolate=Linear","MultiX=Average","Skip=True","Sort=True")</f>
        <v>14.536502051983584</v>
      </c>
      <c r="U4522" s="43">
        <f ca="1">_xll.BInterpol('Base CDI'!$H$4:$H$28,'Base CDI'!$I$4:$I$29,S4522,"Cubic","Extrapolate=Linear","MultiX=Average","Skip=True","Sort=True")</f>
        <v>14.517927496580027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50229</v>
      </c>
      <c r="T4523" s="43">
        <f ca="1">_xll.BInterpol('Base CDI'!$H$4:$H$28,'Base CDI'!$J$4:$J$29,S4523,"Cubic","Extrapolate=Linear","MultiX=Average","Skip=True","Sort=True")</f>
        <v>14.536348837209301</v>
      </c>
      <c r="U4523" s="43">
        <f ca="1">_xll.BInterpol('Base CDI'!$H$4:$H$28,'Base CDI'!$I$4:$I$29,S4523,"Cubic","Extrapolate=Linear","MultiX=Average","Skip=True","Sort=True")</f>
        <v>14.517674418604651</v>
      </c>
    </row>
    <row r="4524" spans="16:21" x14ac:dyDescent="0.25">
      <c r="P4524" s="10">
        <v>41092</v>
      </c>
      <c r="Q4524">
        <v>28.64913</v>
      </c>
      <c r="S4524" s="42">
        <f t="shared" ca="1" si="75"/>
        <v>50230</v>
      </c>
      <c r="T4524" s="43">
        <f ca="1">_xll.BInterpol('Base CDI'!$H$4:$H$28,'Base CDI'!$J$4:$J$29,S4524,"Cubic","Extrapolate=Linear","MultiX=Average","Skip=True","Sort=True")</f>
        <v>14.53619562243502</v>
      </c>
      <c r="U4524" s="43">
        <f ca="1">_xll.BInterpol('Base CDI'!$H$4:$H$28,'Base CDI'!$I$4:$I$29,S4524,"Cubic","Extrapolate=Linear","MultiX=Average","Skip=True","Sort=True")</f>
        <v>14.517421340629275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50231</v>
      </c>
      <c r="T4525" s="43">
        <f ca="1">_xll.BInterpol('Base CDI'!$H$4:$H$28,'Base CDI'!$J$4:$J$29,S4525,"Cubic","Extrapolate=Linear","MultiX=Average","Skip=True","Sort=True")</f>
        <v>14.536042407660737</v>
      </c>
      <c r="U4525" s="43">
        <f ca="1">_xll.BInterpol('Base CDI'!$H$4:$H$28,'Base CDI'!$I$4:$I$29,S4525,"Cubic","Extrapolate=Linear","MultiX=Average","Skip=True","Sort=True")</f>
        <v>14.517168262653898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50232</v>
      </c>
      <c r="T4526" s="43">
        <f ca="1">_xll.BInterpol('Base CDI'!$H$4:$H$28,'Base CDI'!$J$4:$J$29,S4526,"Cubic","Extrapolate=Linear","MultiX=Average","Skip=True","Sort=True")</f>
        <v>14.535889192886456</v>
      </c>
      <c r="U4526" s="43">
        <f ca="1">_xll.BInterpol('Base CDI'!$H$4:$H$28,'Base CDI'!$I$4:$I$29,S4526,"Cubic","Extrapolate=Linear","MultiX=Average","Skip=True","Sort=True")</f>
        <v>14.516915184678522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50233</v>
      </c>
      <c r="T4527" s="43">
        <f ca="1">_xll.BInterpol('Base CDI'!$H$4:$H$28,'Base CDI'!$J$4:$J$29,S4527,"Cubic","Extrapolate=Linear","MultiX=Average","Skip=True","Sort=True")</f>
        <v>14.535735978112175</v>
      </c>
      <c r="U4527" s="43">
        <f ca="1">_xll.BInterpol('Base CDI'!$H$4:$H$28,'Base CDI'!$I$4:$I$29,S4527,"Cubic","Extrapolate=Linear","MultiX=Average","Skip=True","Sort=True")</f>
        <v>14.516662106703146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50234</v>
      </c>
      <c r="T4528" s="43">
        <f ca="1">_xll.BInterpol('Base CDI'!$H$4:$H$28,'Base CDI'!$J$4:$J$29,S4528,"Cubic","Extrapolate=Linear","MultiX=Average","Skip=True","Sort=True")</f>
        <v>14.535582763337892</v>
      </c>
      <c r="U4528" s="43">
        <f ca="1">_xll.BInterpol('Base CDI'!$H$4:$H$28,'Base CDI'!$I$4:$I$29,S4528,"Cubic","Extrapolate=Linear","MultiX=Average","Skip=True","Sort=True")</f>
        <v>14.51640902872777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50235</v>
      </c>
      <c r="T4529" s="43">
        <f ca="1">_xll.BInterpol('Base CDI'!$H$4:$H$28,'Base CDI'!$J$4:$J$29,S4529,"Cubic","Extrapolate=Linear","MultiX=Average","Skip=True","Sort=True")</f>
        <v>14.535429548563611</v>
      </c>
      <c r="U4529" s="43">
        <f ca="1">_xll.BInterpol('Base CDI'!$H$4:$H$28,'Base CDI'!$I$4:$I$29,S4529,"Cubic","Extrapolate=Linear","MultiX=Average","Skip=True","Sort=True")</f>
        <v>14.516155950752394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50236</v>
      </c>
      <c r="T4530" s="43">
        <f ca="1">_xll.BInterpol('Base CDI'!$H$4:$H$28,'Base CDI'!$J$4:$J$29,S4530,"Cubic","Extrapolate=Linear","MultiX=Average","Skip=True","Sort=True")</f>
        <v>14.53527633378933</v>
      </c>
      <c r="U4530" s="43">
        <f ca="1">_xll.BInterpol('Base CDI'!$H$4:$H$28,'Base CDI'!$I$4:$I$29,S4530,"Cubic","Extrapolate=Linear","MultiX=Average","Skip=True","Sort=True")</f>
        <v>14.515902872777017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50237</v>
      </c>
      <c r="T4531" s="43">
        <f ca="1">_xll.BInterpol('Base CDI'!$H$4:$H$28,'Base CDI'!$J$4:$J$29,S4531,"Cubic","Extrapolate=Linear","MultiX=Average","Skip=True","Sort=True")</f>
        <v>14.535123119015047</v>
      </c>
      <c r="U4531" s="43">
        <f ca="1">_xll.BInterpol('Base CDI'!$H$4:$H$28,'Base CDI'!$I$4:$I$29,S4531,"Cubic","Extrapolate=Linear","MultiX=Average","Skip=True","Sort=True")</f>
        <v>14.515649794801641</v>
      </c>
    </row>
    <row r="4532" spans="16:21" x14ac:dyDescent="0.25">
      <c r="P4532" s="10">
        <v>41102</v>
      </c>
      <c r="Q4532">
        <v>28.72213</v>
      </c>
      <c r="S4532" s="42">
        <f t="shared" ca="1" si="75"/>
        <v>50238</v>
      </c>
      <c r="T4532" s="43">
        <f ca="1">_xll.BInterpol('Base CDI'!$H$4:$H$28,'Base CDI'!$J$4:$J$29,S4532,"Cubic","Extrapolate=Linear","MultiX=Average","Skip=True","Sort=True")</f>
        <v>14.534969904240766</v>
      </c>
      <c r="U4532" s="43">
        <f ca="1">_xll.BInterpol('Base CDI'!$H$4:$H$28,'Base CDI'!$I$4:$I$29,S4532,"Cubic","Extrapolate=Linear","MultiX=Average","Skip=True","Sort=True")</f>
        <v>14.515396716826265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50239</v>
      </c>
      <c r="T4533" s="43">
        <f ca="1">_xll.BInterpol('Base CDI'!$H$4:$H$28,'Base CDI'!$J$4:$J$29,S4533,"Cubic","Extrapolate=Linear","MultiX=Average","Skip=True","Sort=True")</f>
        <v>14.534816689466483</v>
      </c>
      <c r="U4533" s="43">
        <f ca="1">_xll.BInterpol('Base CDI'!$H$4:$H$28,'Base CDI'!$I$4:$I$29,S4533,"Cubic","Extrapolate=Linear","MultiX=Average","Skip=True","Sort=True")</f>
        <v>14.515143638850889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50240</v>
      </c>
      <c r="T4534" s="43">
        <f ca="1">_xll.BInterpol('Base CDI'!$H$4:$H$28,'Base CDI'!$J$4:$J$29,S4534,"Cubic","Extrapolate=Linear","MultiX=Average","Skip=True","Sort=True")</f>
        <v>14.534663474692202</v>
      </c>
      <c r="U4534" s="43">
        <f ca="1">_xll.BInterpol('Base CDI'!$H$4:$H$28,'Base CDI'!$I$4:$I$29,S4534,"Cubic","Extrapolate=Linear","MultiX=Average","Skip=True","Sort=True")</f>
        <v>14.514890560875513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50241</v>
      </c>
      <c r="T4535" s="43">
        <f ca="1">_xll.BInterpol('Base CDI'!$H$4:$H$28,'Base CDI'!$J$4:$J$29,S4535,"Cubic","Extrapolate=Linear","MultiX=Average","Skip=True","Sort=True")</f>
        <v>14.534510259917919</v>
      </c>
      <c r="U4535" s="43">
        <f ca="1">_xll.BInterpol('Base CDI'!$H$4:$H$28,'Base CDI'!$I$4:$I$29,S4535,"Cubic","Extrapolate=Linear","MultiX=Average","Skip=True","Sort=True")</f>
        <v>14.514637482900136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50242</v>
      </c>
      <c r="T4536" s="43">
        <f ca="1">_xll.BInterpol('Base CDI'!$H$4:$H$28,'Base CDI'!$J$4:$J$29,S4536,"Cubic","Extrapolate=Linear","MultiX=Average","Skip=True","Sort=True")</f>
        <v>14.534357045143638</v>
      </c>
      <c r="U4536" s="43">
        <f ca="1">_xll.BInterpol('Base CDI'!$H$4:$H$28,'Base CDI'!$I$4:$I$29,S4536,"Cubic","Extrapolate=Linear","MultiX=Average","Skip=True","Sort=True")</f>
        <v>14.51438440492476</v>
      </c>
    </row>
    <row r="4537" spans="16:21" x14ac:dyDescent="0.25">
      <c r="P4537" s="10">
        <v>41109</v>
      </c>
      <c r="Q4537">
        <v>28.76512</v>
      </c>
      <c r="S4537" s="42">
        <f t="shared" ca="1" si="75"/>
        <v>50243</v>
      </c>
      <c r="T4537" s="43">
        <f ca="1">_xll.BInterpol('Base CDI'!$H$4:$H$28,'Base CDI'!$J$4:$J$29,S4537,"Cubic","Extrapolate=Linear","MultiX=Average","Skip=True","Sort=True")</f>
        <v>14.534203830369357</v>
      </c>
      <c r="U4537" s="43">
        <f ca="1">_xll.BInterpol('Base CDI'!$H$4:$H$28,'Base CDI'!$I$4:$I$29,S4537,"Cubic","Extrapolate=Linear","MultiX=Average","Skip=True","Sort=True")</f>
        <v>14.514131326949384</v>
      </c>
    </row>
    <row r="4538" spans="16:21" x14ac:dyDescent="0.25">
      <c r="P4538" s="10">
        <v>41110</v>
      </c>
      <c r="Q4538">
        <v>28.77373</v>
      </c>
      <c r="S4538" s="42">
        <f t="shared" ca="1" si="75"/>
        <v>50244</v>
      </c>
      <c r="T4538" s="43">
        <f ca="1">_xll.BInterpol('Base CDI'!$H$4:$H$28,'Base CDI'!$J$4:$J$29,S4538,"Cubic","Extrapolate=Linear","MultiX=Average","Skip=True","Sort=True")</f>
        <v>14.534050615595074</v>
      </c>
      <c r="U4538" s="43">
        <f ca="1">_xll.BInterpol('Base CDI'!$H$4:$H$28,'Base CDI'!$I$4:$I$29,S4538,"Cubic","Extrapolate=Linear","MultiX=Average","Skip=True","Sort=True")</f>
        <v>14.513878248974008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50245</v>
      </c>
      <c r="T4539" s="43">
        <f ca="1">_xll.BInterpol('Base CDI'!$H$4:$H$28,'Base CDI'!$J$4:$J$29,S4539,"Cubic","Extrapolate=Linear","MultiX=Average","Skip=True","Sort=True")</f>
        <v>14.533897400820793</v>
      </c>
      <c r="U4539" s="43">
        <f ca="1">_xll.BInterpol('Base CDI'!$H$4:$H$28,'Base CDI'!$I$4:$I$29,S4539,"Cubic","Extrapolate=Linear","MultiX=Average","Skip=True","Sort=True")</f>
        <v>14.513625170998631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50246</v>
      </c>
      <c r="T4540" s="43">
        <f ca="1">_xll.BInterpol('Base CDI'!$H$4:$H$28,'Base CDI'!$J$4:$J$29,S4540,"Cubic","Extrapolate=Linear","MultiX=Average","Skip=True","Sort=True")</f>
        <v>14.533744186046512</v>
      </c>
      <c r="U4540" s="43">
        <f ca="1">_xll.BInterpol('Base CDI'!$H$4:$H$28,'Base CDI'!$I$4:$I$29,S4540,"Cubic","Extrapolate=Linear","MultiX=Average","Skip=True","Sort=True")</f>
        <v>14.513372093023255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50247</v>
      </c>
      <c r="T4541" s="43">
        <f ca="1">_xll.BInterpol('Base CDI'!$H$4:$H$28,'Base CDI'!$J$4:$J$29,S4541,"Cubic","Extrapolate=Linear","MultiX=Average","Skip=True","Sort=True")</f>
        <v>14.533590971272229</v>
      </c>
      <c r="U4541" s="43">
        <f ca="1">_xll.BInterpol('Base CDI'!$H$4:$H$28,'Base CDI'!$I$4:$I$29,S4541,"Cubic","Extrapolate=Linear","MultiX=Average","Skip=True","Sort=True")</f>
        <v>14.513119015047879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50248</v>
      </c>
      <c r="T4542" s="43">
        <f ca="1">_xll.BInterpol('Base CDI'!$H$4:$H$28,'Base CDI'!$J$4:$J$29,S4542,"Cubic","Extrapolate=Linear","MultiX=Average","Skip=True","Sort=True")</f>
        <v>14.533437756497948</v>
      </c>
      <c r="U4542" s="43">
        <f ca="1">_xll.BInterpol('Base CDI'!$H$4:$H$28,'Base CDI'!$I$4:$I$29,S4542,"Cubic","Extrapolate=Linear","MultiX=Average","Skip=True","Sort=True")</f>
        <v>14.512865937072503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50249</v>
      </c>
      <c r="T4543" s="43">
        <f ca="1">_xll.BInterpol('Base CDI'!$H$4:$H$28,'Base CDI'!$J$4:$J$29,S4543,"Cubic","Extrapolate=Linear","MultiX=Average","Skip=True","Sort=True")</f>
        <v>14.533284541723665</v>
      </c>
      <c r="U4543" s="43">
        <f ca="1">_xll.BInterpol('Base CDI'!$H$4:$H$28,'Base CDI'!$I$4:$I$29,S4543,"Cubic","Extrapolate=Linear","MultiX=Average","Skip=True","Sort=True")</f>
        <v>14.512612859097127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50250</v>
      </c>
      <c r="T4544" s="43">
        <f ca="1">_xll.BInterpol('Base CDI'!$H$4:$H$28,'Base CDI'!$J$4:$J$29,S4544,"Cubic","Extrapolate=Linear","MultiX=Average","Skip=True","Sort=True")</f>
        <v>14.533131326949384</v>
      </c>
      <c r="U4544" s="43">
        <f ca="1">_xll.BInterpol('Base CDI'!$H$4:$H$28,'Base CDI'!$I$4:$I$29,S4544,"Cubic","Extrapolate=Linear","MultiX=Average","Skip=True","Sort=True")</f>
        <v>14.51235978112175</v>
      </c>
    </row>
    <row r="4545" spans="16:21" x14ac:dyDescent="0.25">
      <c r="P4545" s="10">
        <v>41121</v>
      </c>
      <c r="Q4545">
        <v>28.834</v>
      </c>
      <c r="S4545" s="42">
        <f t="shared" ca="1" si="75"/>
        <v>50251</v>
      </c>
      <c r="T4545" s="43">
        <f ca="1">_xll.BInterpol('Base CDI'!$H$4:$H$28,'Base CDI'!$J$4:$J$29,S4545,"Cubic","Extrapolate=Linear","MultiX=Average","Skip=True","Sort=True")</f>
        <v>14.532978112175103</v>
      </c>
      <c r="U4545" s="43">
        <f ca="1">_xll.BInterpol('Base CDI'!$H$4:$H$28,'Base CDI'!$I$4:$I$29,S4545,"Cubic","Extrapolate=Linear","MultiX=Average","Skip=True","Sort=True")</f>
        <v>14.512106703146374</v>
      </c>
    </row>
    <row r="4546" spans="16:21" x14ac:dyDescent="0.25">
      <c r="P4546" s="10">
        <v>41122</v>
      </c>
      <c r="Q4546">
        <v>28.84263</v>
      </c>
      <c r="S4546" s="42">
        <f t="shared" ca="1" si="75"/>
        <v>50252</v>
      </c>
      <c r="T4546" s="43">
        <f ca="1">_xll.BInterpol('Base CDI'!$H$4:$H$28,'Base CDI'!$J$4:$J$29,S4546,"Cubic","Extrapolate=Linear","MultiX=Average","Skip=True","Sort=True")</f>
        <v>14.53282489740082</v>
      </c>
      <c r="U4546" s="43">
        <f ca="1">_xll.BInterpol('Base CDI'!$H$4:$H$28,'Base CDI'!$I$4:$I$29,S4546,"Cubic","Extrapolate=Linear","MultiX=Average","Skip=True","Sort=True")</f>
        <v>14.511853625170998</v>
      </c>
    </row>
    <row r="4547" spans="16:21" x14ac:dyDescent="0.25">
      <c r="P4547" s="10">
        <v>41123</v>
      </c>
      <c r="Q4547">
        <v>28.85126</v>
      </c>
      <c r="S4547" s="42">
        <f t="shared" ca="1" si="75"/>
        <v>50253</v>
      </c>
      <c r="T4547" s="43">
        <f ca="1">_xll.BInterpol('Base CDI'!$H$4:$H$28,'Base CDI'!$J$4:$J$29,S4547,"Cubic","Extrapolate=Linear","MultiX=Average","Skip=True","Sort=True")</f>
        <v>14.532671682626539</v>
      </c>
      <c r="U4547" s="43">
        <f ca="1">_xll.BInterpol('Base CDI'!$H$4:$H$28,'Base CDI'!$I$4:$I$29,S4547,"Cubic","Extrapolate=Linear","MultiX=Average","Skip=True","Sort=True")</f>
        <v>14.511600547195622</v>
      </c>
    </row>
    <row r="4548" spans="16:21" x14ac:dyDescent="0.25">
      <c r="P4548" s="10">
        <v>41124</v>
      </c>
      <c r="Q4548">
        <v>28.85988</v>
      </c>
      <c r="S4548" s="42">
        <f t="shared" ca="1" si="75"/>
        <v>50254</v>
      </c>
      <c r="T4548" s="43">
        <f ca="1">_xll.BInterpol('Base CDI'!$H$4:$H$28,'Base CDI'!$J$4:$J$29,S4548,"Cubic","Extrapolate=Linear","MultiX=Average","Skip=True","Sort=True")</f>
        <v>14.532518467852256</v>
      </c>
      <c r="U4548" s="43">
        <f ca="1">_xll.BInterpol('Base CDI'!$H$4:$H$28,'Base CDI'!$I$4:$I$29,S4548,"Cubic","Extrapolate=Linear","MultiX=Average","Skip=True","Sort=True")</f>
        <v>14.511347469220246</v>
      </c>
    </row>
    <row r="4549" spans="16:21" x14ac:dyDescent="0.25">
      <c r="P4549" s="10">
        <v>41127</v>
      </c>
      <c r="Q4549">
        <v>28.86852</v>
      </c>
      <c r="S4549" s="42">
        <f t="shared" ca="1" si="75"/>
        <v>50255</v>
      </c>
      <c r="T4549" s="43">
        <f ca="1">_xll.BInterpol('Base CDI'!$H$4:$H$28,'Base CDI'!$J$4:$J$29,S4549,"Cubic","Extrapolate=Linear","MultiX=Average","Skip=True","Sort=True")</f>
        <v>14.532365253077975</v>
      </c>
      <c r="U4549" s="43">
        <f ca="1">_xll.BInterpol('Base CDI'!$H$4:$H$28,'Base CDI'!$I$4:$I$29,S4549,"Cubic","Extrapolate=Linear","MultiX=Average","Skip=True","Sort=True")</f>
        <v>14.511094391244869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50256</v>
      </c>
      <c r="T4550" s="43">
        <f ca="1">_xll.BInterpol('Base CDI'!$H$4:$H$28,'Base CDI'!$J$4:$J$29,S4550,"Cubic","Extrapolate=Linear","MultiX=Average","Skip=True","Sort=True")</f>
        <v>14.532212038303694</v>
      </c>
      <c r="U4550" s="43">
        <f ca="1">_xll.BInterpol('Base CDI'!$H$4:$H$28,'Base CDI'!$I$4:$I$29,S4550,"Cubic","Extrapolate=Linear","MultiX=Average","Skip=True","Sort=True")</f>
        <v>14.510841313269493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50257</v>
      </c>
      <c r="T4551" s="43">
        <f ca="1">_xll.BInterpol('Base CDI'!$H$4:$H$28,'Base CDI'!$J$4:$J$29,S4551,"Cubic","Extrapolate=Linear","MultiX=Average","Skip=True","Sort=True")</f>
        <v>14.532058823529411</v>
      </c>
      <c r="U4551" s="43">
        <f ca="1">_xll.BInterpol('Base CDI'!$H$4:$H$28,'Base CDI'!$I$4:$I$29,S4551,"Cubic","Extrapolate=Linear","MultiX=Average","Skip=True","Sort=True")</f>
        <v>14.510588235294117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50258</v>
      </c>
      <c r="T4552" s="43">
        <f ca="1">_xll.BInterpol('Base CDI'!$H$4:$H$28,'Base CDI'!$J$4:$J$29,S4552,"Cubic","Extrapolate=Linear","MultiX=Average","Skip=True","Sort=True")</f>
        <v>14.53190560875513</v>
      </c>
      <c r="U4552" s="43">
        <f ca="1">_xll.BInterpol('Base CDI'!$H$4:$H$28,'Base CDI'!$I$4:$I$29,S4552,"Cubic","Extrapolate=Linear","MultiX=Average","Skip=True","Sort=True")</f>
        <v>14.510335157318741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50259</v>
      </c>
      <c r="T4553" s="43">
        <f ca="1">_xll.BInterpol('Base CDI'!$H$4:$H$28,'Base CDI'!$J$4:$J$29,S4553,"Cubic","Extrapolate=Linear","MultiX=Average","Skip=True","Sort=True")</f>
        <v>14.531752393980847</v>
      </c>
      <c r="U4553" s="43">
        <f ca="1">_xll.BInterpol('Base CDI'!$H$4:$H$28,'Base CDI'!$I$4:$I$29,S4553,"Cubic","Extrapolate=Linear","MultiX=Average","Skip=True","Sort=True")</f>
        <v>14.510082079343364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50260</v>
      </c>
      <c r="T4554" s="43">
        <f ca="1">_xll.BInterpol('Base CDI'!$H$4:$H$28,'Base CDI'!$J$4:$J$29,S4554,"Cubic","Extrapolate=Linear","MultiX=Average","Skip=True","Sort=True")</f>
        <v>14.531599179206566</v>
      </c>
      <c r="U4554" s="43">
        <f ca="1">_xll.BInterpol('Base CDI'!$H$4:$H$28,'Base CDI'!$I$4:$I$29,S4554,"Cubic","Extrapolate=Linear","MultiX=Average","Skip=True","Sort=True")</f>
        <v>14.509829001367988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50261</v>
      </c>
      <c r="T4555" s="43">
        <f ca="1">_xll.BInterpol('Base CDI'!$H$4:$H$28,'Base CDI'!$J$4:$J$29,S4555,"Cubic","Extrapolate=Linear","MultiX=Average","Skip=True","Sort=True")</f>
        <v>14.531445964432285</v>
      </c>
      <c r="U4555" s="43">
        <f ca="1">_xll.BInterpol('Base CDI'!$H$4:$H$28,'Base CDI'!$I$4:$I$29,S4555,"Cubic","Extrapolate=Linear","MultiX=Average","Skip=True","Sort=True")</f>
        <v>14.509575923392612</v>
      </c>
    </row>
    <row r="4556" spans="16:21" x14ac:dyDescent="0.25">
      <c r="P4556" s="10">
        <v>41136</v>
      </c>
      <c r="Q4556">
        <v>28.92895</v>
      </c>
      <c r="S4556" s="42">
        <f t="shared" ca="1" si="76"/>
        <v>50262</v>
      </c>
      <c r="T4556" s="43">
        <f ca="1">_xll.BInterpol('Base CDI'!$H$4:$H$28,'Base CDI'!$J$4:$J$29,S4556,"Cubic","Extrapolate=Linear","MultiX=Average","Skip=True","Sort=True")</f>
        <v>14.531292749658002</v>
      </c>
      <c r="U4556" s="43">
        <f ca="1">_xll.BInterpol('Base CDI'!$H$4:$H$28,'Base CDI'!$I$4:$I$29,S4556,"Cubic","Extrapolate=Linear","MultiX=Average","Skip=True","Sort=True")</f>
        <v>14.509322845417236</v>
      </c>
    </row>
    <row r="4557" spans="16:21" x14ac:dyDescent="0.25">
      <c r="P4557" s="10">
        <v>41137</v>
      </c>
      <c r="Q4557">
        <v>28.9376</v>
      </c>
      <c r="S4557" s="42">
        <f t="shared" ca="1" si="76"/>
        <v>50263</v>
      </c>
      <c r="T4557" s="43">
        <f ca="1">_xll.BInterpol('Base CDI'!$H$4:$H$28,'Base CDI'!$J$4:$J$29,S4557,"Cubic","Extrapolate=Linear","MultiX=Average","Skip=True","Sort=True")</f>
        <v>14.531139534883721</v>
      </c>
      <c r="U4557" s="43">
        <f ca="1">_xll.BInterpol('Base CDI'!$H$4:$H$28,'Base CDI'!$I$4:$I$29,S4557,"Cubic","Extrapolate=Linear","MultiX=Average","Skip=True","Sort=True")</f>
        <v>14.50906976744186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50264</v>
      </c>
      <c r="T4558" s="43">
        <f ca="1">_xll.BInterpol('Base CDI'!$H$4:$H$28,'Base CDI'!$J$4:$J$29,S4558,"Cubic","Extrapolate=Linear","MultiX=Average","Skip=True","Sort=True")</f>
        <v>14.530986320109438</v>
      </c>
      <c r="U4558" s="43">
        <f ca="1">_xll.BInterpol('Base CDI'!$H$4:$H$28,'Base CDI'!$I$4:$I$29,S4558,"Cubic","Extrapolate=Linear","MultiX=Average","Skip=True","Sort=True")</f>
        <v>14.508816689466483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50265</v>
      </c>
      <c r="T4559" s="43">
        <f ca="1">_xll.BInterpol('Base CDI'!$H$4:$H$28,'Base CDI'!$J$4:$J$29,S4559,"Cubic","Extrapolate=Linear","MultiX=Average","Skip=True","Sort=True")</f>
        <v>14.530833105335157</v>
      </c>
      <c r="U4559" s="43">
        <f ca="1">_xll.BInterpol('Base CDI'!$H$4:$H$28,'Base CDI'!$I$4:$I$29,S4559,"Cubic","Extrapolate=Linear","MultiX=Average","Skip=True","Sort=True")</f>
        <v>14.508563611491107</v>
      </c>
    </row>
    <row r="4560" spans="16:21" x14ac:dyDescent="0.25">
      <c r="P4560" s="10">
        <v>41142</v>
      </c>
      <c r="Q4560">
        <v>28.9636</v>
      </c>
      <c r="S4560" s="42">
        <f t="shared" ca="1" si="76"/>
        <v>50266</v>
      </c>
      <c r="T4560" s="43">
        <f ca="1">_xll.BInterpol('Base CDI'!$H$4:$H$28,'Base CDI'!$J$4:$J$29,S4560,"Cubic","Extrapolate=Linear","MultiX=Average","Skip=True","Sort=True")</f>
        <v>14.530679890560876</v>
      </c>
      <c r="U4560" s="43">
        <f ca="1">_xll.BInterpol('Base CDI'!$H$4:$H$28,'Base CDI'!$I$4:$I$29,S4560,"Cubic","Extrapolate=Linear","MultiX=Average","Skip=True","Sort=True")</f>
        <v>14.508310533515731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50267</v>
      </c>
      <c r="T4561" s="43">
        <f ca="1">_xll.BInterpol('Base CDI'!$H$4:$H$28,'Base CDI'!$J$4:$J$29,S4561,"Cubic","Extrapolate=Linear","MultiX=Average","Skip=True","Sort=True")</f>
        <v>14.530526675786593</v>
      </c>
      <c r="U4561" s="43">
        <f ca="1">_xll.BInterpol('Base CDI'!$H$4:$H$28,'Base CDI'!$I$4:$I$29,S4561,"Cubic","Extrapolate=Linear","MultiX=Average","Skip=True","Sort=True")</f>
        <v>14.508057455540355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50268</v>
      </c>
      <c r="T4562" s="43">
        <f ca="1">_xll.BInterpol('Base CDI'!$H$4:$H$28,'Base CDI'!$J$4:$J$29,S4562,"Cubic","Extrapolate=Linear","MultiX=Average","Skip=True","Sort=True")</f>
        <v>14.530373461012312</v>
      </c>
      <c r="U4562" s="43">
        <f ca="1">_xll.BInterpol('Base CDI'!$H$4:$H$28,'Base CDI'!$I$4:$I$29,S4562,"Cubic","Extrapolate=Linear","MultiX=Average","Skip=True","Sort=True")</f>
        <v>14.507804377564979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50269</v>
      </c>
      <c r="T4563" s="43">
        <f ca="1">_xll.BInterpol('Base CDI'!$H$4:$H$28,'Base CDI'!$J$4:$J$29,S4563,"Cubic","Extrapolate=Linear","MultiX=Average","Skip=True","Sort=True")</f>
        <v>14.530220246238029</v>
      </c>
      <c r="U4563" s="43">
        <f ca="1">_xll.BInterpol('Base CDI'!$H$4:$H$28,'Base CDI'!$I$4:$I$29,S4563,"Cubic","Extrapolate=Linear","MultiX=Average","Skip=True","Sort=True")</f>
        <v>14.507551299589602</v>
      </c>
    </row>
    <row r="4564" spans="16:21" x14ac:dyDescent="0.25">
      <c r="P4564" s="10">
        <v>41148</v>
      </c>
      <c r="Q4564">
        <v>28.99822</v>
      </c>
      <c r="S4564" s="42">
        <f t="shared" ca="1" si="76"/>
        <v>50270</v>
      </c>
      <c r="T4564" s="43">
        <f ca="1">_xll.BInterpol('Base CDI'!$H$4:$H$28,'Base CDI'!$J$4:$J$29,S4564,"Cubic","Extrapolate=Linear","MultiX=Average","Skip=True","Sort=True")</f>
        <v>14.530067031463748</v>
      </c>
      <c r="U4564" s="43">
        <f ca="1">_xll.BInterpol('Base CDI'!$H$4:$H$28,'Base CDI'!$I$4:$I$29,S4564,"Cubic","Extrapolate=Linear","MultiX=Average","Skip=True","Sort=True")</f>
        <v>14.507298221614226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50271</v>
      </c>
      <c r="T4565" s="43">
        <f ca="1">_xll.BInterpol('Base CDI'!$H$4:$H$28,'Base CDI'!$J$4:$J$29,S4565,"Cubic","Extrapolate=Linear","MultiX=Average","Skip=True","Sort=True")</f>
        <v>14.529913816689467</v>
      </c>
      <c r="U4565" s="43">
        <f ca="1">_xll.BInterpol('Base CDI'!$H$4:$H$28,'Base CDI'!$I$4:$I$29,S4565,"Cubic","Extrapolate=Linear","MultiX=Average","Skip=True","Sort=True")</f>
        <v>14.50704514363885</v>
      </c>
    </row>
    <row r="4566" spans="16:21" x14ac:dyDescent="0.25">
      <c r="P4566" s="10">
        <v>41150</v>
      </c>
      <c r="Q4566">
        <v>29.01557</v>
      </c>
      <c r="S4566" s="42">
        <f t="shared" ca="1" si="76"/>
        <v>50272</v>
      </c>
      <c r="T4566" s="43">
        <f ca="1">_xll.BInterpol('Base CDI'!$H$4:$H$28,'Base CDI'!$J$4:$J$29,S4566,"Cubic","Extrapolate=Linear","MultiX=Average","Skip=True","Sort=True")</f>
        <v>14.529760601915184</v>
      </c>
      <c r="U4566" s="43">
        <f ca="1">_xll.BInterpol('Base CDI'!$H$4:$H$28,'Base CDI'!$I$4:$I$29,S4566,"Cubic","Extrapolate=Linear","MultiX=Average","Skip=True","Sort=True")</f>
        <v>14.506792065663474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50273</v>
      </c>
      <c r="T4567" s="43">
        <f ca="1">_xll.BInterpol('Base CDI'!$H$4:$H$28,'Base CDI'!$J$4:$J$29,S4567,"Cubic","Extrapolate=Linear","MultiX=Average","Skip=True","Sort=True")</f>
        <v>14.529607387140903</v>
      </c>
      <c r="U4567" s="43">
        <f ca="1">_xll.BInterpol('Base CDI'!$H$4:$H$28,'Base CDI'!$I$4:$I$29,S4567,"Cubic","Extrapolate=Linear","MultiX=Average","Skip=True","Sort=True")</f>
        <v>14.506538987688097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50274</v>
      </c>
      <c r="T4568" s="43">
        <f ca="1">_xll.BInterpol('Base CDI'!$H$4:$H$28,'Base CDI'!$J$4:$J$29,S4568,"Cubic","Extrapolate=Linear","MultiX=Average","Skip=True","Sort=True")</f>
        <v>14.52945417236662</v>
      </c>
      <c r="U4568" s="43">
        <f ca="1">_xll.BInterpol('Base CDI'!$H$4:$H$28,'Base CDI'!$I$4:$I$29,S4568,"Cubic","Extrapolate=Linear","MultiX=Average","Skip=True","Sort=True")</f>
        <v>14.506285909712721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50275</v>
      </c>
      <c r="T4569" s="43">
        <f ca="1">_xll.BInterpol('Base CDI'!$H$4:$H$28,'Base CDI'!$J$4:$J$29,S4569,"Cubic","Extrapolate=Linear","MultiX=Average","Skip=True","Sort=True")</f>
        <v>14.529300957592339</v>
      </c>
      <c r="U4569" s="43">
        <f ca="1">_xll.BInterpol('Base CDI'!$H$4:$H$28,'Base CDI'!$I$4:$I$29,S4569,"Cubic","Extrapolate=Linear","MultiX=Average","Skip=True","Sort=True")</f>
        <v>14.506032831737345</v>
      </c>
    </row>
    <row r="4570" spans="16:21" x14ac:dyDescent="0.25">
      <c r="P4570" s="10">
        <v>41156</v>
      </c>
      <c r="Q4570">
        <v>29.04889</v>
      </c>
      <c r="S4570" s="42">
        <f t="shared" ca="1" si="76"/>
        <v>50276</v>
      </c>
      <c r="T4570" s="43">
        <f ca="1">_xll.BInterpol('Base CDI'!$H$4:$H$28,'Base CDI'!$J$4:$J$29,S4570,"Cubic","Extrapolate=Linear","MultiX=Average","Skip=True","Sort=True")</f>
        <v>14.529147742818058</v>
      </c>
      <c r="U4570" s="43">
        <f ca="1">_xll.BInterpol('Base CDI'!$H$4:$H$28,'Base CDI'!$I$4:$I$29,S4570,"Cubic","Extrapolate=Linear","MultiX=Average","Skip=True","Sort=True")</f>
        <v>14.505779753761969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50277</v>
      </c>
      <c r="T4571" s="43">
        <f ca="1">_xll.BInterpol('Base CDI'!$H$4:$H$28,'Base CDI'!$J$4:$J$29,S4571,"Cubic","Extrapolate=Linear","MultiX=Average","Skip=True","Sort=True")</f>
        <v>14.528994528043775</v>
      </c>
      <c r="U4571" s="43">
        <f ca="1">_xll.BInterpol('Base CDI'!$H$4:$H$28,'Base CDI'!$I$4:$I$29,S4571,"Cubic","Extrapolate=Linear","MultiX=Average","Skip=True","Sort=True")</f>
        <v>14.505526675786593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50278</v>
      </c>
      <c r="T4572" s="43">
        <f ca="1">_xll.BInterpol('Base CDI'!$H$4:$H$28,'Base CDI'!$J$4:$J$29,S4572,"Cubic","Extrapolate=Linear","MultiX=Average","Skip=True","Sort=True")</f>
        <v>14.528841313269494</v>
      </c>
      <c r="U4572" s="43">
        <f ca="1">_xll.BInterpol('Base CDI'!$H$4:$H$28,'Base CDI'!$I$4:$I$29,S4572,"Cubic","Extrapolate=Linear","MultiX=Average","Skip=True","Sort=True")</f>
        <v>14.505273597811216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50279</v>
      </c>
      <c r="T4573" s="43">
        <f ca="1">_xll.BInterpol('Base CDI'!$H$4:$H$28,'Base CDI'!$J$4:$J$29,S4573,"Cubic","Extrapolate=Linear","MultiX=Average","Skip=True","Sort=True")</f>
        <v>14.528688098495211</v>
      </c>
      <c r="U4573" s="43">
        <f ca="1">_xll.BInterpol('Base CDI'!$H$4:$H$28,'Base CDI'!$I$4:$I$29,S4573,"Cubic","Extrapolate=Linear","MultiX=Average","Skip=True","Sort=True")</f>
        <v>14.50502051983584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50280</v>
      </c>
      <c r="T4574" s="43">
        <f ca="1">_xll.BInterpol('Base CDI'!$H$4:$H$28,'Base CDI'!$J$4:$J$29,S4574,"Cubic","Extrapolate=Linear","MultiX=Average","Skip=True","Sort=True")</f>
        <v>14.52853488372093</v>
      </c>
      <c r="U4574" s="43">
        <f ca="1">_xll.BInterpol('Base CDI'!$H$4:$H$28,'Base CDI'!$I$4:$I$29,S4574,"Cubic","Extrapolate=Linear","MultiX=Average","Skip=True","Sort=True")</f>
        <v>14.504767441860464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50281</v>
      </c>
      <c r="T4575" s="43">
        <f ca="1">_xll.BInterpol('Base CDI'!$H$4:$H$28,'Base CDI'!$J$4:$J$29,S4575,"Cubic","Extrapolate=Linear","MultiX=Average","Skip=True","Sort=True")</f>
        <v>14.528381668946649</v>
      </c>
      <c r="U4575" s="43">
        <f ca="1">_xll.BInterpol('Base CDI'!$H$4:$H$28,'Base CDI'!$I$4:$I$29,S4575,"Cubic","Extrapolate=Linear","MultiX=Average","Skip=True","Sort=True")</f>
        <v>14.504514363885088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50282</v>
      </c>
      <c r="T4576" s="43">
        <f ca="1">_xll.BInterpol('Base CDI'!$H$4:$H$28,'Base CDI'!$J$4:$J$29,S4576,"Cubic","Extrapolate=Linear","MultiX=Average","Skip=True","Sort=True")</f>
        <v>14.528228454172366</v>
      </c>
      <c r="U4576" s="43">
        <f ca="1">_xll.BInterpol('Base CDI'!$H$4:$H$28,'Base CDI'!$I$4:$I$29,S4576,"Cubic","Extrapolate=Linear","MultiX=Average","Skip=True","Sort=True")</f>
        <v>14.504261285909712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50283</v>
      </c>
      <c r="T4577" s="43">
        <f ca="1">_xll.BInterpol('Base CDI'!$H$4:$H$28,'Base CDI'!$J$4:$J$29,S4577,"Cubic","Extrapolate=Linear","MultiX=Average","Skip=True","Sort=True")</f>
        <v>14.528075239398085</v>
      </c>
      <c r="U4577" s="43">
        <f ca="1">_xll.BInterpol('Base CDI'!$H$4:$H$28,'Base CDI'!$I$4:$I$29,S4577,"Cubic","Extrapolate=Linear","MultiX=Average","Skip=True","Sort=True")</f>
        <v>14.504008207934335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50284</v>
      </c>
      <c r="T4578" s="43">
        <f ca="1">_xll.BInterpol('Base CDI'!$H$4:$H$28,'Base CDI'!$J$4:$J$29,S4578,"Cubic","Extrapolate=Linear","MultiX=Average","Skip=True","Sort=True")</f>
        <v>14.527922024623802</v>
      </c>
      <c r="U4578" s="43">
        <f ca="1">_xll.BInterpol('Base CDI'!$H$4:$H$28,'Base CDI'!$I$4:$I$29,S4578,"Cubic","Extrapolate=Linear","MultiX=Average","Skip=True","Sort=True")</f>
        <v>14.503755129958959</v>
      </c>
    </row>
    <row r="4579" spans="16:21" x14ac:dyDescent="0.25">
      <c r="P4579" s="10">
        <v>41170</v>
      </c>
      <c r="Q4579">
        <v>29.12276</v>
      </c>
      <c r="S4579" s="42">
        <f t="shared" ca="1" si="76"/>
        <v>50285</v>
      </c>
      <c r="T4579" s="43">
        <f ca="1">_xll.BInterpol('Base CDI'!$H$4:$H$28,'Base CDI'!$J$4:$J$29,S4579,"Cubic","Extrapolate=Linear","MultiX=Average","Skip=True","Sort=True")</f>
        <v>14.527768809849521</v>
      </c>
      <c r="U4579" s="43">
        <f ca="1">_xll.BInterpol('Base CDI'!$H$4:$H$28,'Base CDI'!$I$4:$I$29,S4579,"Cubic","Extrapolate=Linear","MultiX=Average","Skip=True","Sort=True")</f>
        <v>14.503502051983583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50286</v>
      </c>
      <c r="T4580" s="43">
        <f ca="1">_xll.BInterpol('Base CDI'!$H$4:$H$28,'Base CDI'!$J$4:$J$29,S4580,"Cubic","Extrapolate=Linear","MultiX=Average","Skip=True","Sort=True")</f>
        <v>14.52761559507524</v>
      </c>
      <c r="U4580" s="43">
        <f ca="1">_xll.BInterpol('Base CDI'!$H$4:$H$28,'Base CDI'!$I$4:$I$29,S4580,"Cubic","Extrapolate=Linear","MultiX=Average","Skip=True","Sort=True")</f>
        <v>14.503248974008207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50287</v>
      </c>
      <c r="T4581" s="43">
        <f ca="1">_xll.BInterpol('Base CDI'!$H$4:$H$28,'Base CDI'!$J$4:$J$29,S4581,"Cubic","Extrapolate=Linear","MultiX=Average","Skip=True","Sort=True")</f>
        <v>14.527462380300957</v>
      </c>
      <c r="U4581" s="43">
        <f ca="1">_xll.BInterpol('Base CDI'!$H$4:$H$28,'Base CDI'!$I$4:$I$29,S4581,"Cubic","Extrapolate=Linear","MultiX=Average","Skip=True","Sort=True")</f>
        <v>14.50299589603283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50288</v>
      </c>
      <c r="T4582" s="43">
        <f ca="1">_xll.BInterpol('Base CDI'!$H$4:$H$28,'Base CDI'!$J$4:$J$29,S4582,"Cubic","Extrapolate=Linear","MultiX=Average","Skip=True","Sort=True")</f>
        <v>14.527309165526676</v>
      </c>
      <c r="U4582" s="43">
        <f ca="1">_xll.BInterpol('Base CDI'!$H$4:$H$28,'Base CDI'!$I$4:$I$29,S4582,"Cubic","Extrapolate=Linear","MultiX=Average","Skip=True","Sort=True")</f>
        <v>14.502742818057454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50289</v>
      </c>
      <c r="T4583" s="43">
        <f ca="1">_xll.BInterpol('Base CDI'!$H$4:$H$28,'Base CDI'!$J$4:$J$29,S4583,"Cubic","Extrapolate=Linear","MultiX=Average","Skip=True","Sort=True")</f>
        <v>14.527155950752393</v>
      </c>
      <c r="U4583" s="43">
        <f ca="1">_xll.BInterpol('Base CDI'!$H$4:$H$28,'Base CDI'!$I$4:$I$29,S4583,"Cubic","Extrapolate=Linear","MultiX=Average","Skip=True","Sort=True")</f>
        <v>14.502489740082078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50290</v>
      </c>
      <c r="T4584" s="43">
        <f ca="1">_xll.BInterpol('Base CDI'!$H$4:$H$28,'Base CDI'!$J$4:$J$29,S4584,"Cubic","Extrapolate=Linear","MultiX=Average","Skip=True","Sort=True")</f>
        <v>14.527002735978112</v>
      </c>
      <c r="U4584" s="43">
        <f ca="1">_xll.BInterpol('Base CDI'!$H$4:$H$28,'Base CDI'!$I$4:$I$29,S4584,"Cubic","Extrapolate=Linear","MultiX=Average","Skip=True","Sort=True")</f>
        <v>14.502236662106702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50291</v>
      </c>
      <c r="T4585" s="43">
        <f ca="1">_xll.BInterpol('Base CDI'!$H$4:$H$28,'Base CDI'!$J$4:$J$29,S4585,"Cubic","Extrapolate=Linear","MultiX=Average","Skip=True","Sort=True")</f>
        <v>14.526849521203831</v>
      </c>
      <c r="U4585" s="43">
        <f ca="1">_xll.BInterpol('Base CDI'!$H$4:$H$28,'Base CDI'!$I$4:$I$29,S4585,"Cubic","Extrapolate=Linear","MultiX=Average","Skip=True","Sort=True")</f>
        <v>14.501983584131326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50292</v>
      </c>
      <c r="T4586" s="43">
        <f ca="1">_xll.BInterpol('Base CDI'!$H$4:$H$28,'Base CDI'!$J$4:$J$29,S4586,"Cubic","Extrapolate=Linear","MultiX=Average","Skip=True","Sort=True")</f>
        <v>14.526696306429548</v>
      </c>
      <c r="U4586" s="43">
        <f ca="1">_xll.BInterpol('Base CDI'!$H$4:$H$28,'Base CDI'!$I$4:$I$29,S4586,"Cubic","Extrapolate=Linear","MultiX=Average","Skip=True","Sort=True")</f>
        <v>14.501730506155949</v>
      </c>
    </row>
    <row r="4587" spans="16:21" x14ac:dyDescent="0.25">
      <c r="P4587" s="10">
        <v>41180</v>
      </c>
      <c r="Q4587">
        <v>29.18843</v>
      </c>
      <c r="S4587" s="42">
        <f t="shared" ca="1" si="76"/>
        <v>50293</v>
      </c>
      <c r="T4587" s="43">
        <f ca="1">_xll.BInterpol('Base CDI'!$H$4:$H$28,'Base CDI'!$J$4:$J$29,S4587,"Cubic","Extrapolate=Linear","MultiX=Average","Skip=True","Sort=True")</f>
        <v>14.526543091655267</v>
      </c>
      <c r="U4587" s="43">
        <f ca="1">_xll.BInterpol('Base CDI'!$H$4:$H$28,'Base CDI'!$I$4:$I$29,S4587,"Cubic","Extrapolate=Linear","MultiX=Average","Skip=True","Sort=True")</f>
        <v>14.501477428180573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50294</v>
      </c>
      <c r="T4588" s="43">
        <f ca="1">_xll.BInterpol('Base CDI'!$H$4:$H$28,'Base CDI'!$J$4:$J$29,S4588,"Cubic","Extrapolate=Linear","MultiX=Average","Skip=True","Sort=True")</f>
        <v>14.526389876880984</v>
      </c>
      <c r="U4588" s="43">
        <f ca="1">_xll.BInterpol('Base CDI'!$H$4:$H$28,'Base CDI'!$I$4:$I$29,S4588,"Cubic","Extrapolate=Linear","MultiX=Average","Skip=True","Sort=True")</f>
        <v>14.501224350205197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50295</v>
      </c>
      <c r="T4589" s="43">
        <f ca="1">_xll.BInterpol('Base CDI'!$H$4:$H$28,'Base CDI'!$J$4:$J$29,S4589,"Cubic","Extrapolate=Linear","MultiX=Average","Skip=True","Sort=True")</f>
        <v>14.526236662106703</v>
      </c>
      <c r="U4589" s="43">
        <f ca="1">_xll.BInterpol('Base CDI'!$H$4:$H$28,'Base CDI'!$I$4:$I$29,S4589,"Cubic","Extrapolate=Linear","MultiX=Average","Skip=True","Sort=True")</f>
        <v>14.500971272229821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50296</v>
      </c>
      <c r="T4590" s="43">
        <f ca="1">_xll.BInterpol('Base CDI'!$H$4:$H$28,'Base CDI'!$J$4:$J$29,S4590,"Cubic","Extrapolate=Linear","MultiX=Average","Skip=True","Sort=True")</f>
        <v>14.526083447332422</v>
      </c>
      <c r="U4590" s="43">
        <f ca="1">_xll.BInterpol('Base CDI'!$H$4:$H$28,'Base CDI'!$I$4:$I$29,S4590,"Cubic","Extrapolate=Linear","MultiX=Average","Skip=True","Sort=True")</f>
        <v>14.500718194254445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50297</v>
      </c>
      <c r="T4591" s="43">
        <f ca="1">_xll.BInterpol('Base CDI'!$H$4:$H$28,'Base CDI'!$J$4:$J$29,S4591,"Cubic","Extrapolate=Linear","MultiX=Average","Skip=True","Sort=True")</f>
        <v>14.525930232558139</v>
      </c>
      <c r="U4591" s="43">
        <f ca="1">_xll.BInterpol('Base CDI'!$H$4:$H$28,'Base CDI'!$I$4:$I$29,S4591,"Cubic","Extrapolate=Linear","MultiX=Average","Skip=True","Sort=True")</f>
        <v>14.500465116279068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50298</v>
      </c>
      <c r="T4592" s="43">
        <f ca="1">_xll.BInterpol('Base CDI'!$H$4:$H$28,'Base CDI'!$J$4:$J$29,S4592,"Cubic","Extrapolate=Linear","MultiX=Average","Skip=True","Sort=True")</f>
        <v>14.525777017783858</v>
      </c>
      <c r="U4592" s="43">
        <f ca="1">_xll.BInterpol('Base CDI'!$H$4:$H$28,'Base CDI'!$I$4:$I$29,S4592,"Cubic","Extrapolate=Linear","MultiX=Average","Skip=True","Sort=True")</f>
        <v>14.500212038303692</v>
      </c>
    </row>
    <row r="4593" spans="16:21" x14ac:dyDescent="0.25">
      <c r="P4593" s="10">
        <v>41190</v>
      </c>
      <c r="Q4593">
        <v>29.23781</v>
      </c>
      <c r="S4593" s="42">
        <f t="shared" ca="1" si="76"/>
        <v>50299</v>
      </c>
      <c r="T4593" s="43">
        <f ca="1">_xll.BInterpol('Base CDI'!$H$4:$H$28,'Base CDI'!$J$4:$J$29,S4593,"Cubic","Extrapolate=Linear","MultiX=Average","Skip=True","Sort=True")</f>
        <v>14.525623803009575</v>
      </c>
      <c r="U4593" s="43">
        <f ca="1">_xll.BInterpol('Base CDI'!$H$4:$H$28,'Base CDI'!$I$4:$I$29,S4593,"Cubic","Extrapolate=Linear","MultiX=Average","Skip=True","Sort=True")</f>
        <v>14.499958960328316</v>
      </c>
    </row>
    <row r="4594" spans="16:21" x14ac:dyDescent="0.25">
      <c r="P4594" s="10">
        <v>41191</v>
      </c>
      <c r="Q4594">
        <v>29.24605</v>
      </c>
      <c r="S4594" s="42">
        <f t="shared" ca="1" si="76"/>
        <v>50300</v>
      </c>
      <c r="T4594" s="43">
        <f ca="1">_xll.BInterpol('Base CDI'!$H$4:$H$28,'Base CDI'!$J$4:$J$29,S4594,"Cubic","Extrapolate=Linear","MultiX=Average","Skip=True","Sort=True")</f>
        <v>14.525470588235294</v>
      </c>
      <c r="U4594" s="43">
        <f ca="1">_xll.BInterpol('Base CDI'!$H$4:$H$28,'Base CDI'!$I$4:$I$29,S4594,"Cubic","Extrapolate=Linear","MultiX=Average","Skip=True","Sort=True")</f>
        <v>14.49970588235294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50301</v>
      </c>
      <c r="T4595" s="43">
        <f ca="1">_xll.BInterpol('Base CDI'!$H$4:$H$28,'Base CDI'!$J$4:$J$29,S4595,"Cubic","Extrapolate=Linear","MultiX=Average","Skip=True","Sort=True")</f>
        <v>14.525317373461013</v>
      </c>
      <c r="U4595" s="43">
        <f ca="1">_xll.BInterpol('Base CDI'!$H$4:$H$28,'Base CDI'!$I$4:$I$29,S4595,"Cubic","Extrapolate=Linear","MultiX=Average","Skip=True","Sort=True")</f>
        <v>14.499452804377565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50302</v>
      </c>
      <c r="T4596" s="43">
        <f ca="1">_xll.BInterpol('Base CDI'!$H$4:$H$28,'Base CDI'!$J$4:$J$29,S4596,"Cubic","Extrapolate=Linear","MultiX=Average","Skip=True","Sort=True")</f>
        <v>14.52516415868673</v>
      </c>
      <c r="U4596" s="43">
        <f ca="1">_xll.BInterpol('Base CDI'!$H$4:$H$28,'Base CDI'!$I$4:$I$29,S4596,"Cubic","Extrapolate=Linear","MultiX=Average","Skip=True","Sort=True")</f>
        <v>14.499199726402189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50303</v>
      </c>
      <c r="T4597" s="43">
        <f ca="1">_xll.BInterpol('Base CDI'!$H$4:$H$28,'Base CDI'!$J$4:$J$29,S4597,"Cubic","Extrapolate=Linear","MultiX=Average","Skip=True","Sort=True")</f>
        <v>14.525010943912449</v>
      </c>
      <c r="U4597" s="43">
        <f ca="1">_xll.BInterpol('Base CDI'!$H$4:$H$28,'Base CDI'!$I$4:$I$29,S4597,"Cubic","Extrapolate=Linear","MultiX=Average","Skip=True","Sort=True")</f>
        <v>14.498946648426813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50304</v>
      </c>
      <c r="T4598" s="43">
        <f ca="1">_xll.BInterpol('Base CDI'!$H$4:$H$28,'Base CDI'!$J$4:$J$29,S4598,"Cubic","Extrapolate=Linear","MultiX=Average","Skip=True","Sort=True")</f>
        <v>14.524857729138166</v>
      </c>
      <c r="U4598" s="43">
        <f ca="1">_xll.BInterpol('Base CDI'!$H$4:$H$28,'Base CDI'!$I$4:$I$29,S4598,"Cubic","Extrapolate=Linear","MultiX=Average","Skip=True","Sort=True")</f>
        <v>14.498693570451437</v>
      </c>
    </row>
    <row r="4599" spans="16:21" x14ac:dyDescent="0.25">
      <c r="P4599" s="10">
        <v>41199</v>
      </c>
      <c r="Q4599">
        <v>29.28622</v>
      </c>
      <c r="S4599" s="42">
        <f t="shared" ca="1" si="76"/>
        <v>50305</v>
      </c>
      <c r="T4599" s="43">
        <f ca="1">_xll.BInterpol('Base CDI'!$H$4:$H$28,'Base CDI'!$J$4:$J$29,S4599,"Cubic","Extrapolate=Linear","MultiX=Average","Skip=True","Sort=True")</f>
        <v>14.524704514363885</v>
      </c>
      <c r="U4599" s="43">
        <f ca="1">_xll.BInterpol('Base CDI'!$H$4:$H$28,'Base CDI'!$I$4:$I$29,S4599,"Cubic","Extrapolate=Linear","MultiX=Average","Skip=True","Sort=True")</f>
        <v>14.49844049247606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50306</v>
      </c>
      <c r="T4600" s="43">
        <f ca="1">_xll.BInterpol('Base CDI'!$H$4:$H$28,'Base CDI'!$J$4:$J$29,S4600,"Cubic","Extrapolate=Linear","MultiX=Average","Skip=True","Sort=True")</f>
        <v>14.524551299589604</v>
      </c>
      <c r="U4600" s="43">
        <f ca="1">_xll.BInterpol('Base CDI'!$H$4:$H$28,'Base CDI'!$I$4:$I$29,S4600,"Cubic","Extrapolate=Linear","MultiX=Average","Skip=True","Sort=True")</f>
        <v>14.498187414500684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50307</v>
      </c>
      <c r="T4601" s="43">
        <f ca="1">_xll.BInterpol('Base CDI'!$H$4:$H$28,'Base CDI'!$J$4:$J$29,S4601,"Cubic","Extrapolate=Linear","MultiX=Average","Skip=True","Sort=True")</f>
        <v>14.524398084815321</v>
      </c>
      <c r="U4601" s="43">
        <f ca="1">_xll.BInterpol('Base CDI'!$H$4:$H$28,'Base CDI'!$I$4:$I$29,S4601,"Cubic","Extrapolate=Linear","MultiX=Average","Skip=True","Sort=True")</f>
        <v>14.497934336525308</v>
      </c>
    </row>
    <row r="4602" spans="16:21" x14ac:dyDescent="0.25">
      <c r="P4602" s="10">
        <v>41204</v>
      </c>
      <c r="Q4602">
        <v>29.31006</v>
      </c>
      <c r="S4602" s="42">
        <f t="shared" ca="1" si="76"/>
        <v>50308</v>
      </c>
      <c r="T4602" s="43">
        <f ca="1">_xll.BInterpol('Base CDI'!$H$4:$H$28,'Base CDI'!$J$4:$J$29,S4602,"Cubic","Extrapolate=Linear","MultiX=Average","Skip=True","Sort=True")</f>
        <v>14.52424487004104</v>
      </c>
      <c r="U4602" s="43">
        <f ca="1">_xll.BInterpol('Base CDI'!$H$4:$H$28,'Base CDI'!$I$4:$I$29,S4602,"Cubic","Extrapolate=Linear","MultiX=Average","Skip=True","Sort=True")</f>
        <v>14.497681258549932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50309</v>
      </c>
      <c r="T4603" s="43">
        <f ca="1">_xll.BInterpol('Base CDI'!$H$4:$H$28,'Base CDI'!$J$4:$J$29,S4603,"Cubic","Extrapolate=Linear","MultiX=Average","Skip=True","Sort=True")</f>
        <v>14.524091655266757</v>
      </c>
      <c r="U4603" s="43">
        <f ca="1">_xll.BInterpol('Base CDI'!$H$4:$H$28,'Base CDI'!$I$4:$I$29,S4603,"Cubic","Extrapolate=Linear","MultiX=Average","Skip=True","Sort=True")</f>
        <v>14.497428180574556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50310</v>
      </c>
      <c r="T4604" s="43">
        <f ca="1">_xll.BInterpol('Base CDI'!$H$4:$H$28,'Base CDI'!$J$4:$J$29,S4604,"Cubic","Extrapolate=Linear","MultiX=Average","Skip=True","Sort=True")</f>
        <v>14.523938440492476</v>
      </c>
      <c r="U4604" s="43">
        <f ca="1">_xll.BInterpol('Base CDI'!$H$4:$H$28,'Base CDI'!$I$4:$I$29,S4604,"Cubic","Extrapolate=Linear","MultiX=Average","Skip=True","Sort=True")</f>
        <v>14.497175102599179</v>
      </c>
    </row>
    <row r="4605" spans="16:21" x14ac:dyDescent="0.25">
      <c r="P4605" s="10">
        <v>41207</v>
      </c>
      <c r="Q4605">
        <v>29.33408</v>
      </c>
      <c r="S4605" s="42">
        <f t="shared" ca="1" si="76"/>
        <v>50311</v>
      </c>
      <c r="T4605" s="43">
        <f ca="1">_xll.BInterpol('Base CDI'!$H$4:$H$28,'Base CDI'!$J$4:$J$29,S4605,"Cubic","Extrapolate=Linear","MultiX=Average","Skip=True","Sort=True")</f>
        <v>14.523785225718195</v>
      </c>
      <c r="U4605" s="43">
        <f ca="1">_xll.BInterpol('Base CDI'!$H$4:$H$28,'Base CDI'!$I$4:$I$29,S4605,"Cubic","Extrapolate=Linear","MultiX=Average","Skip=True","Sort=True")</f>
        <v>14.496922024623803</v>
      </c>
    </row>
    <row r="4606" spans="16:21" x14ac:dyDescent="0.25">
      <c r="P4606" s="10">
        <v>41208</v>
      </c>
      <c r="Q4606">
        <v>29.34207</v>
      </c>
      <c r="S4606" s="42">
        <f t="shared" ca="1" si="76"/>
        <v>50312</v>
      </c>
      <c r="T4606" s="43">
        <f ca="1">_xll.BInterpol('Base CDI'!$H$4:$H$28,'Base CDI'!$J$4:$J$29,S4606,"Cubic","Extrapolate=Linear","MultiX=Average","Skip=True","Sort=True")</f>
        <v>14.523632010943912</v>
      </c>
      <c r="U4606" s="43">
        <f ca="1">_xll.BInterpol('Base CDI'!$H$4:$H$28,'Base CDI'!$I$4:$I$29,S4606,"Cubic","Extrapolate=Linear","MultiX=Average","Skip=True","Sort=True")</f>
        <v>14.496668946648427</v>
      </c>
    </row>
    <row r="4607" spans="16:21" x14ac:dyDescent="0.25">
      <c r="P4607" s="10">
        <v>41211</v>
      </c>
      <c r="Q4607">
        <v>29.35005</v>
      </c>
      <c r="S4607" s="42">
        <f t="shared" ca="1" si="76"/>
        <v>50313</v>
      </c>
      <c r="T4607" s="43">
        <f ca="1">_xll.BInterpol('Base CDI'!$H$4:$H$28,'Base CDI'!$J$4:$J$29,S4607,"Cubic","Extrapolate=Linear","MultiX=Average","Skip=True","Sort=True")</f>
        <v>14.523478796169631</v>
      </c>
      <c r="U4607" s="43">
        <f ca="1">_xll.BInterpol('Base CDI'!$H$4:$H$28,'Base CDI'!$I$4:$I$29,S4607,"Cubic","Extrapolate=Linear","MultiX=Average","Skip=True","Sort=True")</f>
        <v>14.496415868673051</v>
      </c>
    </row>
    <row r="4608" spans="16:21" x14ac:dyDescent="0.25">
      <c r="P4608" s="10">
        <v>41212</v>
      </c>
      <c r="Q4608">
        <v>29.35802</v>
      </c>
      <c r="S4608" s="42">
        <f t="shared" ca="1" si="76"/>
        <v>50314</v>
      </c>
      <c r="T4608" s="43">
        <f ca="1">_xll.BInterpol('Base CDI'!$H$4:$H$28,'Base CDI'!$J$4:$J$29,S4608,"Cubic","Extrapolate=Linear","MultiX=Average","Skip=True","Sort=True")</f>
        <v>14.523325581395348</v>
      </c>
      <c r="U4608" s="43">
        <f ca="1">_xll.BInterpol('Base CDI'!$H$4:$H$28,'Base CDI'!$I$4:$I$29,S4608,"Cubic","Extrapolate=Linear","MultiX=Average","Skip=True","Sort=True")</f>
        <v>14.496162790697674</v>
      </c>
    </row>
    <row r="4609" spans="16:21" x14ac:dyDescent="0.25">
      <c r="P4609" s="10">
        <v>41213</v>
      </c>
      <c r="Q4609">
        <v>29.36598</v>
      </c>
      <c r="S4609" s="42">
        <f t="shared" ca="1" si="76"/>
        <v>50315</v>
      </c>
      <c r="T4609" s="43">
        <f ca="1">_xll.BInterpol('Base CDI'!$H$4:$H$28,'Base CDI'!$J$4:$J$29,S4609,"Cubic","Extrapolate=Linear","MultiX=Average","Skip=True","Sort=True")</f>
        <v>14.523172366621067</v>
      </c>
      <c r="U4609" s="43">
        <f ca="1">_xll.BInterpol('Base CDI'!$H$4:$H$28,'Base CDI'!$I$4:$I$29,S4609,"Cubic","Extrapolate=Linear","MultiX=Average","Skip=True","Sort=True")</f>
        <v>14.495909712722298</v>
      </c>
    </row>
    <row r="4610" spans="16:21" x14ac:dyDescent="0.25">
      <c r="P4610" s="10">
        <v>41214</v>
      </c>
      <c r="Q4610">
        <v>29.37396</v>
      </c>
      <c r="S4610" s="42">
        <f t="shared" ca="1" si="76"/>
        <v>50316</v>
      </c>
      <c r="T4610" s="43">
        <f ca="1">_xll.BInterpol('Base CDI'!$H$4:$H$28,'Base CDI'!$J$4:$J$29,S4610,"Cubic","Extrapolate=Linear","MultiX=Average","Skip=True","Sort=True")</f>
        <v>14.523019151846785</v>
      </c>
      <c r="U4610" s="43">
        <f ca="1">_xll.BInterpol('Base CDI'!$H$4:$H$28,'Base CDI'!$I$4:$I$29,S4610,"Cubic","Extrapolate=Linear","MultiX=Average","Skip=True","Sort=True")</f>
        <v>14.495656634746922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50317</v>
      </c>
      <c r="T4611" s="43">
        <f ca="1">_xll.BInterpol('Base CDI'!$H$4:$H$28,'Base CDI'!$J$4:$J$29,S4611,"Cubic","Extrapolate=Linear","MultiX=Average","Skip=True","Sort=True")</f>
        <v>14.522865937072503</v>
      </c>
      <c r="U4611" s="43">
        <f ca="1">_xll.BInterpol('Base CDI'!$H$4:$H$28,'Base CDI'!$I$4:$I$29,S4611,"Cubic","Extrapolate=Linear","MultiX=Average","Skip=True","Sort=True")</f>
        <v>14.495403556771546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50318</v>
      </c>
      <c r="T4612" s="43">
        <f ca="1">_xll.BInterpol('Base CDI'!$H$4:$H$28,'Base CDI'!$J$4:$J$29,S4612,"Cubic","Extrapolate=Linear","MultiX=Average","Skip=True","Sort=True")</f>
        <v>14.522712722298222</v>
      </c>
      <c r="U4612" s="43">
        <f ca="1">_xll.BInterpol('Base CDI'!$H$4:$H$28,'Base CDI'!$I$4:$I$29,S4612,"Cubic","Extrapolate=Linear","MultiX=Average","Skip=True","Sort=True")</f>
        <v>14.49515047879617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50319</v>
      </c>
      <c r="T4613" s="43">
        <f ca="1">_xll.BInterpol('Base CDI'!$H$4:$H$28,'Base CDI'!$J$4:$J$29,S4613,"Cubic","Extrapolate=Linear","MultiX=Average","Skip=True","Sort=True")</f>
        <v>14.522559507523939</v>
      </c>
      <c r="U4613" s="43">
        <f ca="1">_xll.BInterpol('Base CDI'!$H$4:$H$28,'Base CDI'!$I$4:$I$29,S4613,"Cubic","Extrapolate=Linear","MultiX=Average","Skip=True","Sort=True")</f>
        <v>14.494897400820793</v>
      </c>
    </row>
    <row r="4614" spans="16:21" x14ac:dyDescent="0.25">
      <c r="P4614" s="10">
        <v>41221</v>
      </c>
      <c r="Q4614">
        <v>29.40605</v>
      </c>
      <c r="S4614" s="42">
        <f t="shared" ca="1" si="76"/>
        <v>50320</v>
      </c>
      <c r="T4614" s="43">
        <f ca="1">_xll.BInterpol('Base CDI'!$H$4:$H$28,'Base CDI'!$J$4:$J$29,S4614,"Cubic","Extrapolate=Linear","MultiX=Average","Skip=True","Sort=True")</f>
        <v>14.522406292749658</v>
      </c>
      <c r="U4614" s="43">
        <f ca="1">_xll.BInterpol('Base CDI'!$H$4:$H$28,'Base CDI'!$I$4:$I$29,S4614,"Cubic","Extrapolate=Linear","MultiX=Average","Skip=True","Sort=True")</f>
        <v>14.494644322845417</v>
      </c>
    </row>
    <row r="4615" spans="16:21" x14ac:dyDescent="0.25">
      <c r="P4615" s="10">
        <v>41222</v>
      </c>
      <c r="Q4615">
        <v>29.41404</v>
      </c>
      <c r="S4615" s="42">
        <f t="shared" ca="1" si="76"/>
        <v>50321</v>
      </c>
      <c r="T4615" s="43">
        <f ca="1">_xll.BInterpol('Base CDI'!$H$4:$H$28,'Base CDI'!$J$4:$J$29,S4615,"Cubic","Extrapolate=Linear","MultiX=Average","Skip=True","Sort=True")</f>
        <v>14.522253077975376</v>
      </c>
      <c r="U4615" s="43">
        <f ca="1">_xll.BInterpol('Base CDI'!$H$4:$H$28,'Base CDI'!$I$4:$I$29,S4615,"Cubic","Extrapolate=Linear","MultiX=Average","Skip=True","Sort=True")</f>
        <v>14.494391244870041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50322</v>
      </c>
      <c r="T4616" s="43">
        <f ca="1">_xll.BInterpol('Base CDI'!$H$4:$H$28,'Base CDI'!$J$4:$J$29,S4616,"Cubic","Extrapolate=Linear","MultiX=Average","Skip=True","Sort=True")</f>
        <v>14.522099863201094</v>
      </c>
      <c r="U4616" s="43">
        <f ca="1">_xll.BInterpol('Base CDI'!$H$4:$H$28,'Base CDI'!$I$4:$I$29,S4616,"Cubic","Extrapolate=Linear","MultiX=Average","Skip=True","Sort=True")</f>
        <v>14.494138166894665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50323</v>
      </c>
      <c r="T4617" s="43">
        <f ca="1">_xll.BInterpol('Base CDI'!$H$4:$H$28,'Base CDI'!$J$4:$J$29,S4617,"Cubic","Extrapolate=Linear","MultiX=Average","Skip=True","Sort=True")</f>
        <v>14.521946648426812</v>
      </c>
      <c r="U4617" s="43">
        <f ca="1">_xll.BInterpol('Base CDI'!$H$4:$H$28,'Base CDI'!$I$4:$I$29,S4617,"Cubic","Extrapolate=Linear","MultiX=Average","Skip=True","Sort=True")</f>
        <v>14.493885088919289</v>
      </c>
    </row>
    <row r="4618" spans="16:21" x14ac:dyDescent="0.25">
      <c r="P4618" s="10">
        <v>41227</v>
      </c>
      <c r="Q4618">
        <v>29.43798</v>
      </c>
      <c r="S4618" s="42">
        <f t="shared" ca="1" si="76"/>
        <v>50324</v>
      </c>
      <c r="T4618" s="43">
        <f ca="1">_xll.BInterpol('Base CDI'!$H$4:$H$28,'Base CDI'!$J$4:$J$29,S4618,"Cubic","Extrapolate=Linear","MultiX=Average","Skip=True","Sort=True")</f>
        <v>14.52179343365253</v>
      </c>
      <c r="U4618" s="43">
        <f ca="1">_xll.BInterpol('Base CDI'!$H$4:$H$28,'Base CDI'!$I$4:$I$29,S4618,"Cubic","Extrapolate=Linear","MultiX=Average","Skip=True","Sort=True")</f>
        <v>14.493632010943912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50325</v>
      </c>
      <c r="T4619" s="43">
        <f ca="1">_xll.BInterpol('Base CDI'!$H$4:$H$28,'Base CDI'!$J$4:$J$29,S4619,"Cubic","Extrapolate=Linear","MultiX=Average","Skip=True","Sort=True")</f>
        <v>14.521640218878249</v>
      </c>
      <c r="U4619" s="43">
        <f ca="1">_xll.BInterpol('Base CDI'!$H$4:$H$28,'Base CDI'!$I$4:$I$29,S4619,"Cubic","Extrapolate=Linear","MultiX=Average","Skip=True","Sort=True")</f>
        <v>14.493378932968536</v>
      </c>
    </row>
    <row r="4620" spans="16:21" x14ac:dyDescent="0.25">
      <c r="P4620" s="10">
        <v>41232</v>
      </c>
      <c r="Q4620">
        <v>29.45391</v>
      </c>
      <c r="S4620" s="42">
        <f t="shared" ca="1" si="77"/>
        <v>50326</v>
      </c>
      <c r="T4620" s="43">
        <f ca="1">_xll.BInterpol('Base CDI'!$H$4:$H$28,'Base CDI'!$J$4:$J$29,S4620,"Cubic","Extrapolate=Linear","MultiX=Average","Skip=True","Sort=True")</f>
        <v>14.521487004103967</v>
      </c>
      <c r="U4620" s="43">
        <f ca="1">_xll.BInterpol('Base CDI'!$H$4:$H$28,'Base CDI'!$I$4:$I$29,S4620,"Cubic","Extrapolate=Linear","MultiX=Average","Skip=True","Sort=True")</f>
        <v>14.49312585499316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50327</v>
      </c>
      <c r="T4621" s="43">
        <f ca="1">_xll.BInterpol('Base CDI'!$H$4:$H$28,'Base CDI'!$J$4:$J$29,S4621,"Cubic","Extrapolate=Linear","MultiX=Average","Skip=True","Sort=True")</f>
        <v>14.521333789329685</v>
      </c>
      <c r="U4621" s="43">
        <f ca="1">_xll.BInterpol('Base CDI'!$H$4:$H$28,'Base CDI'!$I$4:$I$29,S4621,"Cubic","Extrapolate=Linear","MultiX=Average","Skip=True","Sort=True")</f>
        <v>14.492872777017784</v>
      </c>
    </row>
    <row r="4622" spans="16:21" x14ac:dyDescent="0.25">
      <c r="P4622" s="10">
        <v>41234</v>
      </c>
      <c r="Q4622">
        <v>29.46978</v>
      </c>
      <c r="S4622" s="42">
        <f t="shared" ca="1" si="77"/>
        <v>50328</v>
      </c>
      <c r="T4622" s="43">
        <f ca="1">_xll.BInterpol('Base CDI'!$H$4:$H$28,'Base CDI'!$J$4:$J$29,S4622,"Cubic","Extrapolate=Linear","MultiX=Average","Skip=True","Sort=True")</f>
        <v>14.521180574555403</v>
      </c>
      <c r="U4622" s="43">
        <f ca="1">_xll.BInterpol('Base CDI'!$H$4:$H$28,'Base CDI'!$I$4:$I$29,S4622,"Cubic","Extrapolate=Linear","MultiX=Average","Skip=True","Sort=True")</f>
        <v>14.492619699042407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50329</v>
      </c>
      <c r="T4623" s="43">
        <f ca="1">_xll.BInterpol('Base CDI'!$H$4:$H$28,'Base CDI'!$J$4:$J$29,S4623,"Cubic","Extrapolate=Linear","MultiX=Average","Skip=True","Sort=True")</f>
        <v>14.521027359781121</v>
      </c>
      <c r="U4623" s="43">
        <f ca="1">_xll.BInterpol('Base CDI'!$H$4:$H$28,'Base CDI'!$I$4:$I$29,S4623,"Cubic","Extrapolate=Linear","MultiX=Average","Skip=True","Sort=True")</f>
        <v>14.492366621067031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50330</v>
      </c>
      <c r="T4624" s="43">
        <f ca="1">_xll.BInterpol('Base CDI'!$H$4:$H$28,'Base CDI'!$J$4:$J$29,S4624,"Cubic","Extrapolate=Linear","MultiX=Average","Skip=True","Sort=True")</f>
        <v>14.520874145006839</v>
      </c>
      <c r="U4624" s="43">
        <f ca="1">_xll.BInterpol('Base CDI'!$H$4:$H$28,'Base CDI'!$I$4:$I$29,S4624,"Cubic","Extrapolate=Linear","MultiX=Average","Skip=True","Sort=True")</f>
        <v>14.492113543091655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50331</v>
      </c>
      <c r="T4625" s="43">
        <f ca="1">_xll.BInterpol('Base CDI'!$H$4:$H$28,'Base CDI'!$J$4:$J$29,S4625,"Cubic","Extrapolate=Linear","MultiX=Average","Skip=True","Sort=True")</f>
        <v>14.520720930232558</v>
      </c>
      <c r="U4625" s="43">
        <f ca="1">_xll.BInterpol('Base CDI'!$H$4:$H$28,'Base CDI'!$I$4:$I$29,S4625,"Cubic","Extrapolate=Linear","MultiX=Average","Skip=True","Sort=True")</f>
        <v>14.491860465116279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50332</v>
      </c>
      <c r="T4626" s="43">
        <f ca="1">_xll.BInterpol('Base CDI'!$H$4:$H$28,'Base CDI'!$J$4:$J$29,S4626,"Cubic","Extrapolate=Linear","MultiX=Average","Skip=True","Sort=True")</f>
        <v>14.520567715458276</v>
      </c>
      <c r="U4626" s="43">
        <f ca="1">_xll.BInterpol('Base CDI'!$H$4:$H$28,'Base CDI'!$I$4:$I$29,S4626,"Cubic","Extrapolate=Linear","MultiX=Average","Skip=True","Sort=True")</f>
        <v>14.491607387140903</v>
      </c>
    </row>
    <row r="4627" spans="16:21" x14ac:dyDescent="0.25">
      <c r="P4627" s="10">
        <v>41241</v>
      </c>
      <c r="Q4627">
        <v>29.50986</v>
      </c>
      <c r="S4627" s="42">
        <f t="shared" ca="1" si="77"/>
        <v>50333</v>
      </c>
      <c r="T4627" s="43">
        <f ca="1">_xll.BInterpol('Base CDI'!$H$4:$H$28,'Base CDI'!$J$4:$J$29,S4627,"Cubic","Extrapolate=Linear","MultiX=Average","Skip=True","Sort=True")</f>
        <v>14.520414500683994</v>
      </c>
      <c r="U4627" s="43">
        <f ca="1">_xll.BInterpol('Base CDI'!$H$4:$H$28,'Base CDI'!$I$4:$I$29,S4627,"Cubic","Extrapolate=Linear","MultiX=Average","Skip=True","Sort=True")</f>
        <v>14.491354309165526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50334</v>
      </c>
      <c r="T4628" s="43">
        <f ca="1">_xll.BInterpol('Base CDI'!$H$4:$H$28,'Base CDI'!$J$4:$J$29,S4628,"Cubic","Extrapolate=Linear","MultiX=Average","Skip=True","Sort=True")</f>
        <v>14.520261285909712</v>
      </c>
      <c r="U4628" s="43">
        <f ca="1">_xll.BInterpol('Base CDI'!$H$4:$H$28,'Base CDI'!$I$4:$I$29,S4628,"Cubic","Extrapolate=Linear","MultiX=Average","Skip=True","Sort=True")</f>
        <v>14.49110123119015</v>
      </c>
    </row>
    <row r="4629" spans="16:21" x14ac:dyDescent="0.25">
      <c r="P4629" s="10">
        <v>41243</v>
      </c>
      <c r="Q4629">
        <v>29.52591</v>
      </c>
      <c r="S4629" s="42">
        <f t="shared" ca="1" si="77"/>
        <v>50335</v>
      </c>
      <c r="T4629" s="43">
        <f ca="1">_xll.BInterpol('Base CDI'!$H$4:$H$28,'Base CDI'!$J$4:$J$29,S4629,"Cubic","Extrapolate=Linear","MultiX=Average","Skip=True","Sort=True")</f>
        <v>14.52010807113543</v>
      </c>
      <c r="U4629" s="43">
        <f ca="1">_xll.BInterpol('Base CDI'!$H$4:$H$28,'Base CDI'!$I$4:$I$29,S4629,"Cubic","Extrapolate=Linear","MultiX=Average","Skip=True","Sort=True")</f>
        <v>14.490848153214774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50336</v>
      </c>
      <c r="T4630" s="43">
        <f ca="1">_xll.BInterpol('Base CDI'!$H$4:$H$28,'Base CDI'!$J$4:$J$29,S4630,"Cubic","Extrapolate=Linear","MultiX=Average","Skip=True","Sort=True")</f>
        <v>14.519954856361149</v>
      </c>
      <c r="U4630" s="43">
        <f ca="1">_xll.BInterpol('Base CDI'!$H$4:$H$28,'Base CDI'!$I$4:$I$29,S4630,"Cubic","Extrapolate=Linear","MultiX=Average","Skip=True","Sort=True")</f>
        <v>14.490595075239398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50337</v>
      </c>
      <c r="T4631" s="43">
        <f ca="1">_xll.BInterpol('Base CDI'!$H$4:$H$28,'Base CDI'!$J$4:$J$29,S4631,"Cubic","Extrapolate=Linear","MultiX=Average","Skip=True","Sort=True")</f>
        <v>14.519801641586866</v>
      </c>
      <c r="U4631" s="43">
        <f ca="1">_xll.BInterpol('Base CDI'!$H$4:$H$28,'Base CDI'!$I$4:$I$29,S4631,"Cubic","Extrapolate=Linear","MultiX=Average","Skip=True","Sort=True")</f>
        <v>14.490341997264022</v>
      </c>
    </row>
    <row r="4632" spans="16:21" x14ac:dyDescent="0.25">
      <c r="P4632" s="10">
        <v>41248</v>
      </c>
      <c r="Q4632">
        <v>29.54992</v>
      </c>
      <c r="S4632" s="42">
        <f t="shared" ca="1" si="77"/>
        <v>50338</v>
      </c>
      <c r="T4632" s="43">
        <f ca="1">_xll.BInterpol('Base CDI'!$H$4:$H$28,'Base CDI'!$J$4:$J$29,S4632,"Cubic","Extrapolate=Linear","MultiX=Average","Skip=True","Sort=True")</f>
        <v>14.519648426812585</v>
      </c>
      <c r="U4632" s="43">
        <f ca="1">_xll.BInterpol('Base CDI'!$H$4:$H$28,'Base CDI'!$I$4:$I$29,S4632,"Cubic","Extrapolate=Linear","MultiX=Average","Skip=True","Sort=True")</f>
        <v>14.490088919288645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50339</v>
      </c>
      <c r="T4633" s="43">
        <f ca="1">_xll.BInterpol('Base CDI'!$H$4:$H$28,'Base CDI'!$J$4:$J$29,S4633,"Cubic","Extrapolate=Linear","MultiX=Average","Skip=True","Sort=True")</f>
        <v>14.519495212038303</v>
      </c>
      <c r="U4633" s="43">
        <f ca="1">_xll.BInterpol('Base CDI'!$H$4:$H$28,'Base CDI'!$I$4:$I$29,S4633,"Cubic","Extrapolate=Linear","MultiX=Average","Skip=True","Sort=True")</f>
        <v>14.489835841313269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50340</v>
      </c>
      <c r="T4634" s="43">
        <f ca="1">_xll.BInterpol('Base CDI'!$H$4:$H$28,'Base CDI'!$J$4:$J$29,S4634,"Cubic","Extrapolate=Linear","MultiX=Average","Skip=True","Sort=True")</f>
        <v>14.519341997264021</v>
      </c>
      <c r="U4634" s="43">
        <f ca="1">_xll.BInterpol('Base CDI'!$H$4:$H$28,'Base CDI'!$I$4:$I$29,S4634,"Cubic","Extrapolate=Linear","MultiX=Average","Skip=True","Sort=True")</f>
        <v>14.489582763337893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50341</v>
      </c>
      <c r="T4635" s="43">
        <f ca="1">_xll.BInterpol('Base CDI'!$H$4:$H$28,'Base CDI'!$J$4:$J$29,S4635,"Cubic","Extrapolate=Linear","MultiX=Average","Skip=True","Sort=True")</f>
        <v>14.51918878248974</v>
      </c>
      <c r="U4635" s="43">
        <f ca="1">_xll.BInterpol('Base CDI'!$H$4:$H$28,'Base CDI'!$I$4:$I$29,S4635,"Cubic","Extrapolate=Linear","MultiX=Average","Skip=True","Sort=True")</f>
        <v>14.489329685362517</v>
      </c>
    </row>
    <row r="4636" spans="16:21" x14ac:dyDescent="0.25">
      <c r="P4636" s="10">
        <v>41254</v>
      </c>
      <c r="Q4636">
        <v>29.58184</v>
      </c>
      <c r="S4636" s="42">
        <f t="shared" ca="1" si="77"/>
        <v>50342</v>
      </c>
      <c r="T4636" s="43">
        <f ca="1">_xll.BInterpol('Base CDI'!$H$4:$H$28,'Base CDI'!$J$4:$J$29,S4636,"Cubic","Extrapolate=Linear","MultiX=Average","Skip=True","Sort=True")</f>
        <v>14.519035567715457</v>
      </c>
      <c r="U4636" s="43">
        <f ca="1">_xll.BInterpol('Base CDI'!$H$4:$H$28,'Base CDI'!$I$4:$I$29,S4636,"Cubic","Extrapolate=Linear","MultiX=Average","Skip=True","Sort=True")</f>
        <v>14.48907660738714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50343</v>
      </c>
      <c r="T4637" s="43">
        <f ca="1">_xll.BInterpol('Base CDI'!$H$4:$H$28,'Base CDI'!$J$4:$J$29,S4637,"Cubic","Extrapolate=Linear","MultiX=Average","Skip=True","Sort=True")</f>
        <v>14.518882352941176</v>
      </c>
      <c r="U4637" s="43">
        <f ca="1">_xll.BInterpol('Base CDI'!$H$4:$H$28,'Base CDI'!$I$4:$I$29,S4637,"Cubic","Extrapolate=Linear","MultiX=Average","Skip=True","Sort=True")</f>
        <v>14.488823529411764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50344</v>
      </c>
      <c r="T4638" s="43">
        <f ca="1">_xll.BInterpol('Base CDI'!$H$4:$H$28,'Base CDI'!$J$4:$J$29,S4638,"Cubic","Extrapolate=Linear","MultiX=Average","Skip=True","Sort=True")</f>
        <v>14.518729138166893</v>
      </c>
      <c r="U4638" s="43">
        <f ca="1">_xll.BInterpol('Base CDI'!$H$4:$H$28,'Base CDI'!$I$4:$I$29,S4638,"Cubic","Extrapolate=Linear","MultiX=Average","Skip=True","Sort=True")</f>
        <v>14.488570451436388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50345</v>
      </c>
      <c r="T4639" s="43">
        <f ca="1">_xll.BInterpol('Base CDI'!$H$4:$H$28,'Base CDI'!$J$4:$J$29,S4639,"Cubic","Extrapolate=Linear","MultiX=Average","Skip=True","Sort=True")</f>
        <v>14.518575923392612</v>
      </c>
      <c r="U4639" s="43">
        <f ca="1">_xll.BInterpol('Base CDI'!$H$4:$H$28,'Base CDI'!$I$4:$I$29,S4639,"Cubic","Extrapolate=Linear","MultiX=Average","Skip=True","Sort=True")</f>
        <v>14.488317373461012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50346</v>
      </c>
      <c r="T4640" s="43">
        <f ca="1">_xll.BInterpol('Base CDI'!$H$4:$H$28,'Base CDI'!$J$4:$J$29,S4640,"Cubic","Extrapolate=Linear","MultiX=Average","Skip=True","Sort=True")</f>
        <v>14.518422708618331</v>
      </c>
      <c r="U4640" s="43">
        <f ca="1">_xll.BInterpol('Base CDI'!$H$4:$H$28,'Base CDI'!$I$4:$I$29,S4640,"Cubic","Extrapolate=Linear","MultiX=Average","Skip=True","Sort=True")</f>
        <v>14.488064295485636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50347</v>
      </c>
      <c r="T4641" s="43">
        <f ca="1">_xll.BInterpol('Base CDI'!$H$4:$H$28,'Base CDI'!$J$4:$J$29,S4641,"Cubic","Extrapolate=Linear","MultiX=Average","Skip=True","Sort=True")</f>
        <v>14.518269493844048</v>
      </c>
      <c r="U4641" s="43">
        <f ca="1">_xll.BInterpol('Base CDI'!$H$4:$H$28,'Base CDI'!$I$4:$I$29,S4641,"Cubic","Extrapolate=Linear","MultiX=Average","Skip=True","Sort=True")</f>
        <v>14.487811217510259</v>
      </c>
    </row>
    <row r="4642" spans="16:21" x14ac:dyDescent="0.25">
      <c r="P4642" s="10">
        <v>41262</v>
      </c>
      <c r="Q4642">
        <v>29.62904</v>
      </c>
      <c r="S4642" s="42">
        <f t="shared" ca="1" si="77"/>
        <v>50348</v>
      </c>
      <c r="T4642" s="43">
        <f ca="1">_xll.BInterpol('Base CDI'!$H$4:$H$28,'Base CDI'!$J$4:$J$29,S4642,"Cubic","Extrapolate=Linear","MultiX=Average","Skip=True","Sort=True")</f>
        <v>14.518116279069767</v>
      </c>
      <c r="U4642" s="43">
        <f ca="1">_xll.BInterpol('Base CDI'!$H$4:$H$28,'Base CDI'!$I$4:$I$29,S4642,"Cubic","Extrapolate=Linear","MultiX=Average","Skip=True","Sort=True")</f>
        <v>14.487558139534883</v>
      </c>
    </row>
    <row r="4643" spans="16:21" x14ac:dyDescent="0.25">
      <c r="P4643" s="10">
        <v>41263</v>
      </c>
      <c r="Q4643">
        <v>29.63682</v>
      </c>
      <c r="S4643" s="42">
        <f t="shared" ca="1" si="77"/>
        <v>50349</v>
      </c>
      <c r="T4643" s="43">
        <f ca="1">_xll.BInterpol('Base CDI'!$H$4:$H$28,'Base CDI'!$J$4:$J$29,S4643,"Cubic","Extrapolate=Linear","MultiX=Average","Skip=True","Sort=True")</f>
        <v>14.517963064295484</v>
      </c>
      <c r="U4643" s="43">
        <f ca="1">_xll.BInterpol('Base CDI'!$H$4:$H$28,'Base CDI'!$I$4:$I$29,S4643,"Cubic","Extrapolate=Linear","MultiX=Average","Skip=True","Sort=True")</f>
        <v>14.487305061559507</v>
      </c>
    </row>
    <row r="4644" spans="16:21" x14ac:dyDescent="0.25">
      <c r="P4644" s="10">
        <v>41264</v>
      </c>
      <c r="Q4644">
        <v>29.64462</v>
      </c>
      <c r="S4644" s="42">
        <f t="shared" ca="1" si="77"/>
        <v>50350</v>
      </c>
      <c r="T4644" s="43">
        <f ca="1">_xll.BInterpol('Base CDI'!$H$4:$H$28,'Base CDI'!$J$4:$J$29,S4644,"Cubic","Extrapolate=Linear","MultiX=Average","Skip=True","Sort=True")</f>
        <v>14.517809849521203</v>
      </c>
      <c r="U4644" s="43">
        <f ca="1">_xll.BInterpol('Base CDI'!$H$4:$H$28,'Base CDI'!$I$4:$I$29,S4644,"Cubic","Extrapolate=Linear","MultiX=Average","Skip=True","Sort=True")</f>
        <v>14.487051983584131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50351</v>
      </c>
      <c r="T4645" s="43">
        <f ca="1">_xll.BInterpol('Base CDI'!$H$4:$H$28,'Base CDI'!$J$4:$J$29,S4645,"Cubic","Extrapolate=Linear","MultiX=Average","Skip=True","Sort=True")</f>
        <v>14.517656634746922</v>
      </c>
      <c r="U4645" s="43">
        <f ca="1">_xll.BInterpol('Base CDI'!$H$4:$H$28,'Base CDI'!$I$4:$I$29,S4645,"Cubic","Extrapolate=Linear","MultiX=Average","Skip=True","Sort=True")</f>
        <v>14.486798905608754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50352</v>
      </c>
      <c r="T4646" s="43">
        <f ca="1">_xll.BInterpol('Base CDI'!$H$4:$H$28,'Base CDI'!$J$4:$J$29,S4646,"Cubic","Extrapolate=Linear","MultiX=Average","Skip=True","Sort=True")</f>
        <v>14.517503419972639</v>
      </c>
      <c r="U4646" s="43">
        <f ca="1">_xll.BInterpol('Base CDI'!$H$4:$H$28,'Base CDI'!$I$4:$I$29,S4646,"Cubic","Extrapolate=Linear","MultiX=Average","Skip=True","Sort=True")</f>
        <v>14.486545827633378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50353</v>
      </c>
      <c r="T4647" s="43">
        <f ca="1">_xll.BInterpol('Base CDI'!$H$4:$H$28,'Base CDI'!$J$4:$J$29,S4647,"Cubic","Extrapolate=Linear","MultiX=Average","Skip=True","Sort=True")</f>
        <v>14.517350205198358</v>
      </c>
      <c r="U4647" s="43">
        <f ca="1">_xll.BInterpol('Base CDI'!$H$4:$H$28,'Base CDI'!$I$4:$I$29,S4647,"Cubic","Extrapolate=Linear","MultiX=Average","Skip=True","Sort=True")</f>
        <v>14.486292749658002</v>
      </c>
    </row>
    <row r="4648" spans="16:21" x14ac:dyDescent="0.25">
      <c r="P4648" s="10">
        <v>41271</v>
      </c>
      <c r="Q4648">
        <v>29.67596</v>
      </c>
      <c r="S4648" s="42">
        <f t="shared" ca="1" si="77"/>
        <v>50354</v>
      </c>
      <c r="T4648" s="43">
        <f ca="1">_xll.BInterpol('Base CDI'!$H$4:$H$28,'Base CDI'!$J$4:$J$29,S4648,"Cubic","Extrapolate=Linear","MultiX=Average","Skip=True","Sort=True")</f>
        <v>14.517196990424075</v>
      </c>
      <c r="U4648" s="43">
        <f ca="1">_xll.BInterpol('Base CDI'!$H$4:$H$28,'Base CDI'!$I$4:$I$29,S4648,"Cubic","Extrapolate=Linear","MultiX=Average","Skip=True","Sort=True")</f>
        <v>14.486039671682626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50355</v>
      </c>
      <c r="T4649" s="43">
        <f ca="1">_xll.BInterpol('Base CDI'!$H$4:$H$28,'Base CDI'!$J$4:$J$29,S4649,"Cubic","Extrapolate=Linear","MultiX=Average","Skip=True","Sort=True")</f>
        <v>14.517043775649794</v>
      </c>
      <c r="U4649" s="43">
        <f ca="1">_xll.BInterpol('Base CDI'!$H$4:$H$28,'Base CDI'!$I$4:$I$29,S4649,"Cubic","Extrapolate=Linear","MultiX=Average","Skip=True","Sort=True")</f>
        <v>14.48578659370725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50356</v>
      </c>
      <c r="T4650" s="43">
        <f ca="1">_xll.BInterpol('Base CDI'!$H$4:$H$28,'Base CDI'!$J$4:$J$29,S4650,"Cubic","Extrapolate=Linear","MultiX=Average","Skip=True","Sort=True")</f>
        <v>14.516890560875513</v>
      </c>
      <c r="U4650" s="43">
        <f ca="1">_xll.BInterpol('Base CDI'!$H$4:$H$28,'Base CDI'!$I$4:$I$29,S4650,"Cubic","Extrapolate=Linear","MultiX=Average","Skip=True","Sort=True")</f>
        <v>14.485533515731873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50357</v>
      </c>
      <c r="T4651" s="43">
        <f ca="1">_xll.BInterpol('Base CDI'!$H$4:$H$28,'Base CDI'!$J$4:$J$29,S4651,"Cubic","Extrapolate=Linear","MultiX=Average","Skip=True","Sort=True")</f>
        <v>14.51673734610123</v>
      </c>
      <c r="U4651" s="43">
        <f ca="1">_xll.BInterpol('Base CDI'!$H$4:$H$28,'Base CDI'!$I$4:$I$29,S4651,"Cubic","Extrapolate=Linear","MultiX=Average","Skip=True","Sort=True")</f>
        <v>14.485280437756497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50358</v>
      </c>
      <c r="T4652" s="43">
        <f ca="1">_xll.BInterpol('Base CDI'!$H$4:$H$28,'Base CDI'!$J$4:$J$29,S4652,"Cubic","Extrapolate=Linear","MultiX=Average","Skip=True","Sort=True")</f>
        <v>14.516584131326949</v>
      </c>
      <c r="U4652" s="43">
        <f ca="1">_xll.BInterpol('Base CDI'!$H$4:$H$28,'Base CDI'!$I$4:$I$29,S4652,"Cubic","Extrapolate=Linear","MultiX=Average","Skip=True","Sort=True")</f>
        <v>14.485027359781121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50359</v>
      </c>
      <c r="T4653" s="43">
        <f ca="1">_xll.BInterpol('Base CDI'!$H$4:$H$28,'Base CDI'!$J$4:$J$29,S4653,"Cubic","Extrapolate=Linear","MultiX=Average","Skip=True","Sort=True")</f>
        <v>14.516430916552666</v>
      </c>
      <c r="U4653" s="43">
        <f ca="1">_xll.BInterpol('Base CDI'!$H$4:$H$28,'Base CDI'!$I$4:$I$29,S4653,"Cubic","Extrapolate=Linear","MultiX=Average","Skip=True","Sort=True")</f>
        <v>14.484774281805745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50360</v>
      </c>
      <c r="T4654" s="43">
        <f ca="1">_xll.BInterpol('Base CDI'!$H$4:$H$28,'Base CDI'!$J$4:$J$29,S4654,"Cubic","Extrapolate=Linear","MultiX=Average","Skip=True","Sort=True")</f>
        <v>14.516277701778385</v>
      </c>
      <c r="U4654" s="43">
        <f ca="1">_xll.BInterpol('Base CDI'!$H$4:$H$28,'Base CDI'!$I$4:$I$29,S4654,"Cubic","Extrapolate=Linear","MultiX=Average","Skip=True","Sort=True")</f>
        <v>14.484521203830369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50361</v>
      </c>
      <c r="T4655" s="43">
        <f ca="1">_xll.BInterpol('Base CDI'!$H$4:$H$28,'Base CDI'!$J$4:$J$29,S4655,"Cubic","Extrapolate=Linear","MultiX=Average","Skip=True","Sort=True")</f>
        <v>14.516124487004104</v>
      </c>
      <c r="U4655" s="43">
        <f ca="1">_xll.BInterpol('Base CDI'!$H$4:$H$28,'Base CDI'!$I$4:$I$29,S4655,"Cubic","Extrapolate=Linear","MultiX=Average","Skip=True","Sort=True")</f>
        <v>14.484268125854992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50362</v>
      </c>
      <c r="T4656" s="43">
        <f ca="1">_xll.BInterpol('Base CDI'!$H$4:$H$28,'Base CDI'!$J$4:$J$29,S4656,"Cubic","Extrapolate=Linear","MultiX=Average","Skip=True","Sort=True")</f>
        <v>14.515971272229821</v>
      </c>
      <c r="U4656" s="43">
        <f ca="1">_xll.BInterpol('Base CDI'!$H$4:$H$28,'Base CDI'!$I$4:$I$29,S4656,"Cubic","Extrapolate=Linear","MultiX=Average","Skip=True","Sort=True")</f>
        <v>14.484015047879616</v>
      </c>
    </row>
    <row r="4657" spans="16:21" x14ac:dyDescent="0.25">
      <c r="P4657" s="10">
        <v>41285</v>
      </c>
      <c r="Q4657">
        <v>29.74689</v>
      </c>
      <c r="S4657" s="42">
        <f t="shared" ca="1" si="77"/>
        <v>50363</v>
      </c>
      <c r="T4657" s="43">
        <f ca="1">_xll.BInterpol('Base CDI'!$H$4:$H$28,'Base CDI'!$J$4:$J$29,S4657,"Cubic","Extrapolate=Linear","MultiX=Average","Skip=True","Sort=True")</f>
        <v>14.51581805745554</v>
      </c>
      <c r="U4657" s="43">
        <f ca="1">_xll.BInterpol('Base CDI'!$H$4:$H$28,'Base CDI'!$I$4:$I$29,S4657,"Cubic","Extrapolate=Linear","MultiX=Average","Skip=True","Sort=True")</f>
        <v>14.48376196990424</v>
      </c>
    </row>
    <row r="4658" spans="16:21" x14ac:dyDescent="0.25">
      <c r="P4658" s="10">
        <v>41288</v>
      </c>
      <c r="Q4658">
        <v>29.75478</v>
      </c>
      <c r="S4658" s="42">
        <f t="shared" ca="1" si="77"/>
        <v>50364</v>
      </c>
      <c r="T4658" s="43">
        <f ca="1">_xll.BInterpol('Base CDI'!$H$4:$H$28,'Base CDI'!$J$4:$J$29,S4658,"Cubic","Extrapolate=Linear","MultiX=Average","Skip=True","Sort=True")</f>
        <v>14.515664842681257</v>
      </c>
      <c r="U4658" s="43">
        <f ca="1">_xll.BInterpol('Base CDI'!$H$4:$H$28,'Base CDI'!$I$4:$I$29,S4658,"Cubic","Extrapolate=Linear","MultiX=Average","Skip=True","Sort=True")</f>
        <v>14.483508891928864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50365</v>
      </c>
      <c r="T4659" s="43">
        <f ca="1">_xll.BInterpol('Base CDI'!$H$4:$H$28,'Base CDI'!$J$4:$J$29,S4659,"Cubic","Extrapolate=Linear","MultiX=Average","Skip=True","Sort=True")</f>
        <v>14.515511627906976</v>
      </c>
      <c r="U4659" s="43">
        <f ca="1">_xll.BInterpol('Base CDI'!$H$4:$H$28,'Base CDI'!$I$4:$I$29,S4659,"Cubic","Extrapolate=Linear","MultiX=Average","Skip=True","Sort=True")</f>
        <v>14.483255813953487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50366</v>
      </c>
      <c r="T4660" s="43">
        <f ca="1">_xll.BInterpol('Base CDI'!$H$4:$H$28,'Base CDI'!$J$4:$J$29,S4660,"Cubic","Extrapolate=Linear","MultiX=Average","Skip=True","Sort=True")</f>
        <v>14.515358413132695</v>
      </c>
      <c r="U4660" s="43">
        <f ca="1">_xll.BInterpol('Base CDI'!$H$4:$H$28,'Base CDI'!$I$4:$I$29,S4660,"Cubic","Extrapolate=Linear","MultiX=Average","Skip=True","Sort=True")</f>
        <v>14.483002735978111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50367</v>
      </c>
      <c r="T4661" s="43">
        <f ca="1">_xll.BInterpol('Base CDI'!$H$4:$H$28,'Base CDI'!$J$4:$J$29,S4661,"Cubic","Extrapolate=Linear","MultiX=Average","Skip=True","Sort=True")</f>
        <v>14.515205198358412</v>
      </c>
      <c r="U4661" s="43">
        <f ca="1">_xll.BInterpol('Base CDI'!$H$4:$H$28,'Base CDI'!$I$4:$I$29,S4661,"Cubic","Extrapolate=Linear","MultiX=Average","Skip=True","Sort=True")</f>
        <v>14.482749658002735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50368</v>
      </c>
      <c r="T4662" s="43">
        <f ca="1">_xll.BInterpol('Base CDI'!$H$4:$H$28,'Base CDI'!$J$4:$J$29,S4662,"Cubic","Extrapolate=Linear","MultiX=Average","Skip=True","Sort=True")</f>
        <v>14.515051983584131</v>
      </c>
      <c r="U4662" s="43">
        <f ca="1">_xll.BInterpol('Base CDI'!$H$4:$H$28,'Base CDI'!$I$4:$I$29,S4662,"Cubic","Extrapolate=Linear","MultiX=Average","Skip=True","Sort=True")</f>
        <v>14.482496580027359</v>
      </c>
    </row>
    <row r="4663" spans="16:21" x14ac:dyDescent="0.25">
      <c r="P4663" s="10">
        <v>41295</v>
      </c>
      <c r="Q4663">
        <v>29.79439</v>
      </c>
      <c r="S4663" s="42">
        <f t="shared" ca="1" si="77"/>
        <v>50369</v>
      </c>
      <c r="T4663" s="43">
        <f ca="1">_xll.BInterpol('Base CDI'!$H$4:$H$28,'Base CDI'!$J$4:$J$29,S4663,"Cubic","Extrapolate=Linear","MultiX=Average","Skip=True","Sort=True")</f>
        <v>14.514898768809848</v>
      </c>
      <c r="U4663" s="43">
        <f ca="1">_xll.BInterpol('Base CDI'!$H$4:$H$28,'Base CDI'!$I$4:$I$29,S4663,"Cubic","Extrapolate=Linear","MultiX=Average","Skip=True","Sort=True")</f>
        <v>14.482243502051983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50370</v>
      </c>
      <c r="T4664" s="43">
        <f ca="1">_xll.BInterpol('Base CDI'!$H$4:$H$28,'Base CDI'!$J$4:$J$29,S4664,"Cubic","Extrapolate=Linear","MultiX=Average","Skip=True","Sort=True")</f>
        <v>14.514745554035567</v>
      </c>
      <c r="U4664" s="43">
        <f ca="1">_xll.BInterpol('Base CDI'!$H$4:$H$28,'Base CDI'!$I$4:$I$29,S4664,"Cubic","Extrapolate=Linear","MultiX=Average","Skip=True","Sort=True")</f>
        <v>14.481990424076606</v>
      </c>
    </row>
    <row r="4665" spans="16:21" x14ac:dyDescent="0.25">
      <c r="P4665" s="10">
        <v>41297</v>
      </c>
      <c r="Q4665">
        <v>29.81024</v>
      </c>
      <c r="S4665" s="42">
        <f t="shared" ca="1" si="77"/>
        <v>50371</v>
      </c>
      <c r="T4665" s="43">
        <f ca="1">_xll.BInterpol('Base CDI'!$H$4:$H$28,'Base CDI'!$J$4:$J$29,S4665,"Cubic","Extrapolate=Linear","MultiX=Average","Skip=True","Sort=True")</f>
        <v>14.514592339261286</v>
      </c>
      <c r="U4665" s="43">
        <f ca="1">_xll.BInterpol('Base CDI'!$H$4:$H$28,'Base CDI'!$I$4:$I$29,S4665,"Cubic","Extrapolate=Linear","MultiX=Average","Skip=True","Sort=True")</f>
        <v>14.48173734610123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50372</v>
      </c>
      <c r="T4666" s="43">
        <f ca="1">_xll.BInterpol('Base CDI'!$H$4:$H$28,'Base CDI'!$J$4:$J$29,S4666,"Cubic","Extrapolate=Linear","MultiX=Average","Skip=True","Sort=True")</f>
        <v>14.514439124487003</v>
      </c>
      <c r="U4666" s="43">
        <f ca="1">_xll.BInterpol('Base CDI'!$H$4:$H$28,'Base CDI'!$I$4:$I$29,S4666,"Cubic","Extrapolate=Linear","MultiX=Average","Skip=True","Sort=True")</f>
        <v>14.481484268125854</v>
      </c>
    </row>
    <row r="4667" spans="16:21" x14ac:dyDescent="0.25">
      <c r="P4667" s="10">
        <v>41299</v>
      </c>
      <c r="Q4667">
        <v>29.8261</v>
      </c>
      <c r="S4667" s="42">
        <f t="shared" ca="1" si="77"/>
        <v>50373</v>
      </c>
      <c r="T4667" s="43">
        <f ca="1">_xll.BInterpol('Base CDI'!$H$4:$H$28,'Base CDI'!$J$4:$J$29,S4667,"Cubic","Extrapolate=Linear","MultiX=Average","Skip=True","Sort=True")</f>
        <v>14.514285909712722</v>
      </c>
      <c r="U4667" s="43">
        <f ca="1">_xll.BInterpol('Base CDI'!$H$4:$H$28,'Base CDI'!$I$4:$I$29,S4667,"Cubic","Extrapolate=Linear","MultiX=Average","Skip=True","Sort=True")</f>
        <v>14.481231190150478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50374</v>
      </c>
      <c r="T4668" s="43">
        <f ca="1">_xll.BInterpol('Base CDI'!$H$4:$H$28,'Base CDI'!$J$4:$J$29,S4668,"Cubic","Extrapolate=Linear","MultiX=Average","Skip=True","Sort=True")</f>
        <v>14.514132694938439</v>
      </c>
      <c r="U4668" s="43">
        <f ca="1">_xll.BInterpol('Base CDI'!$H$4:$H$28,'Base CDI'!$I$4:$I$29,S4668,"Cubic","Extrapolate=Linear","MultiX=Average","Skip=True","Sort=True")</f>
        <v>14.480978112175102</v>
      </c>
    </row>
    <row r="4669" spans="16:21" x14ac:dyDescent="0.25">
      <c r="P4669" s="10">
        <v>41303</v>
      </c>
      <c r="Q4669">
        <v>29.84198</v>
      </c>
      <c r="S4669" s="42">
        <f t="shared" ca="1" si="77"/>
        <v>50375</v>
      </c>
      <c r="T4669" s="43">
        <f ca="1">_xll.BInterpol('Base CDI'!$H$4:$H$28,'Base CDI'!$J$4:$J$29,S4669,"Cubic","Extrapolate=Linear","MultiX=Average","Skip=True","Sort=True")</f>
        <v>14.513979480164158</v>
      </c>
      <c r="U4669" s="43">
        <f ca="1">_xll.BInterpol('Base CDI'!$H$4:$H$28,'Base CDI'!$I$4:$I$29,S4669,"Cubic","Extrapolate=Linear","MultiX=Average","Skip=True","Sort=True")</f>
        <v>14.480725034199725</v>
      </c>
    </row>
    <row r="4670" spans="16:21" x14ac:dyDescent="0.25">
      <c r="P4670" s="10">
        <v>41304</v>
      </c>
      <c r="Q4670">
        <v>29.84994</v>
      </c>
      <c r="S4670" s="42">
        <f t="shared" ca="1" si="77"/>
        <v>50376</v>
      </c>
      <c r="T4670" s="43">
        <f ca="1">_xll.BInterpol('Base CDI'!$H$4:$H$28,'Base CDI'!$J$4:$J$29,S4670,"Cubic","Extrapolate=Linear","MultiX=Average","Skip=True","Sort=True")</f>
        <v>14.513826265389877</v>
      </c>
      <c r="U4670" s="43">
        <f ca="1">_xll.BInterpol('Base CDI'!$H$4:$H$28,'Base CDI'!$I$4:$I$29,S4670,"Cubic","Extrapolate=Linear","MultiX=Average","Skip=True","Sort=True")</f>
        <v>14.480471956224349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50377</v>
      </c>
      <c r="T4671" s="43">
        <f ca="1">_xll.BInterpol('Base CDI'!$H$4:$H$28,'Base CDI'!$J$4:$J$29,S4671,"Cubic","Extrapolate=Linear","MultiX=Average","Skip=True","Sort=True")</f>
        <v>14.513673050615594</v>
      </c>
      <c r="U4671" s="43">
        <f ca="1">_xll.BInterpol('Base CDI'!$H$4:$H$28,'Base CDI'!$I$4:$I$29,S4671,"Cubic","Extrapolate=Linear","MultiX=Average","Skip=True","Sort=True")</f>
        <v>14.480218878248973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50378</v>
      </c>
      <c r="T4672" s="43">
        <f ca="1">_xll.BInterpol('Base CDI'!$H$4:$H$28,'Base CDI'!$J$4:$J$29,S4672,"Cubic","Extrapolate=Linear","MultiX=Average","Skip=True","Sort=True")</f>
        <v>14.513519835841313</v>
      </c>
      <c r="U4672" s="43">
        <f ca="1">_xll.BInterpol('Base CDI'!$H$4:$H$28,'Base CDI'!$I$4:$I$29,S4672,"Cubic","Extrapolate=Linear","MultiX=Average","Skip=True","Sort=True")</f>
        <v>14.479965800273597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50379</v>
      </c>
      <c r="T4673" s="43">
        <f ca="1">_xll.BInterpol('Base CDI'!$H$4:$H$28,'Base CDI'!$J$4:$J$29,S4673,"Cubic","Extrapolate=Linear","MultiX=Average","Skip=True","Sort=True")</f>
        <v>14.51336662106703</v>
      </c>
      <c r="U4673" s="43">
        <f ca="1">_xll.BInterpol('Base CDI'!$H$4:$H$28,'Base CDI'!$I$4:$I$29,S4673,"Cubic","Extrapolate=Linear","MultiX=Average","Skip=True","Sort=True")</f>
        <v>14.47971272229822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50380</v>
      </c>
      <c r="T4674" s="43">
        <f ca="1">_xll.BInterpol('Base CDI'!$H$4:$H$28,'Base CDI'!$J$4:$J$29,S4674,"Cubic","Extrapolate=Linear","MultiX=Average","Skip=True","Sort=True")</f>
        <v>14.513213406292749</v>
      </c>
      <c r="U4674" s="43">
        <f ca="1">_xll.BInterpol('Base CDI'!$H$4:$H$28,'Base CDI'!$I$4:$I$29,S4674,"Cubic","Extrapolate=Linear","MultiX=Average","Skip=True","Sort=True")</f>
        <v>14.479459644322844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50381</v>
      </c>
      <c r="T4675" s="43">
        <f ca="1">_xll.BInterpol('Base CDI'!$H$4:$H$28,'Base CDI'!$J$4:$J$29,S4675,"Cubic","Extrapolate=Linear","MultiX=Average","Skip=True","Sort=True")</f>
        <v>14.513060191518468</v>
      </c>
      <c r="U4675" s="43">
        <f ca="1">_xll.BInterpol('Base CDI'!$H$4:$H$28,'Base CDI'!$I$4:$I$29,S4675,"Cubic","Extrapolate=Linear","MultiX=Average","Skip=True","Sort=True")</f>
        <v>14.479206566347468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50382</v>
      </c>
      <c r="T4676" s="43">
        <f ca="1">_xll.BInterpol('Base CDI'!$H$4:$H$28,'Base CDI'!$J$4:$J$29,S4676,"Cubic","Extrapolate=Linear","MultiX=Average","Skip=True","Sort=True")</f>
        <v>14.512906976744185</v>
      </c>
      <c r="U4676" s="43">
        <f ca="1">_xll.BInterpol('Base CDI'!$H$4:$H$28,'Base CDI'!$I$4:$I$29,S4676,"Cubic","Extrapolate=Linear","MultiX=Average","Skip=True","Sort=True")</f>
        <v>14.478953488372092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50383</v>
      </c>
      <c r="T4677" s="43">
        <f ca="1">_xll.BInterpol('Base CDI'!$H$4:$H$28,'Base CDI'!$J$4:$J$29,S4677,"Cubic","Extrapolate=Linear","MultiX=Average","Skip=True","Sort=True")</f>
        <v>14.512753761969904</v>
      </c>
      <c r="U4677" s="43">
        <f ca="1">_xll.BInterpol('Base CDI'!$H$4:$H$28,'Base CDI'!$I$4:$I$29,S4677,"Cubic","Extrapolate=Linear","MultiX=Average","Skip=True","Sort=True")</f>
        <v>14.478700410396716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50384</v>
      </c>
      <c r="T4678" s="43">
        <f ca="1">_xll.BInterpol('Base CDI'!$H$4:$H$28,'Base CDI'!$J$4:$J$29,S4678,"Cubic","Extrapolate=Linear","MultiX=Average","Skip=True","Sort=True")</f>
        <v>14.512600547195621</v>
      </c>
      <c r="U4678" s="43">
        <f ca="1">_xll.BInterpol('Base CDI'!$H$4:$H$28,'Base CDI'!$I$4:$I$29,S4678,"Cubic","Extrapolate=Linear","MultiX=Average","Skip=True","Sort=True")</f>
        <v>14.478447332421339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50385</v>
      </c>
      <c r="T4679" s="43">
        <f ca="1">_xll.BInterpol('Base CDI'!$H$4:$H$28,'Base CDI'!$J$4:$J$29,S4679,"Cubic","Extrapolate=Linear","MultiX=Average","Skip=True","Sort=True")</f>
        <v>14.51244733242134</v>
      </c>
      <c r="U4679" s="43">
        <f ca="1">_xll.BInterpol('Base CDI'!$H$4:$H$28,'Base CDI'!$I$4:$I$29,S4679,"Cubic","Extrapolate=Linear","MultiX=Average","Skip=True","Sort=True")</f>
        <v>14.478194254445963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50386</v>
      </c>
      <c r="T4680" s="43">
        <f ca="1">_xll.BInterpol('Base CDI'!$H$4:$H$28,'Base CDI'!$J$4:$J$29,S4680,"Cubic","Extrapolate=Linear","MultiX=Average","Skip=True","Sort=True")</f>
        <v>14.512294117647059</v>
      </c>
      <c r="U4680" s="43">
        <f ca="1">_xll.BInterpol('Base CDI'!$H$4:$H$28,'Base CDI'!$I$4:$I$29,S4680,"Cubic","Extrapolate=Linear","MultiX=Average","Skip=True","Sort=True")</f>
        <v>14.477941176470587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50387</v>
      </c>
      <c r="T4681" s="43">
        <f ca="1">_xll.BInterpol('Base CDI'!$H$4:$H$28,'Base CDI'!$J$4:$J$29,S4681,"Cubic","Extrapolate=Linear","MultiX=Average","Skip=True","Sort=True")</f>
        <v>14.512140902872776</v>
      </c>
      <c r="U4681" s="43">
        <f ca="1">_xll.BInterpol('Base CDI'!$H$4:$H$28,'Base CDI'!$I$4:$I$29,S4681,"Cubic","Extrapolate=Linear","MultiX=Average","Skip=True","Sort=True")</f>
        <v>14.477688098495211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50388</v>
      </c>
      <c r="T4682" s="43">
        <f ca="1">_xll.BInterpol('Base CDI'!$H$4:$H$28,'Base CDI'!$J$4:$J$29,S4682,"Cubic","Extrapolate=Linear","MultiX=Average","Skip=True","Sort=True")</f>
        <v>14.511987688098495</v>
      </c>
      <c r="U4682" s="43">
        <f ca="1">_xll.BInterpol('Base CDI'!$H$4:$H$28,'Base CDI'!$I$4:$I$29,S4682,"Cubic","Extrapolate=Linear","MultiX=Average","Skip=True","Sort=True")</f>
        <v>14.477435020519835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50389</v>
      </c>
      <c r="T4683" s="43">
        <f ca="1">_xll.BInterpol('Base CDI'!$H$4:$H$28,'Base CDI'!$J$4:$J$29,S4683,"Cubic","Extrapolate=Linear","MultiX=Average","Skip=True","Sort=True")</f>
        <v>14.511834473324212</v>
      </c>
      <c r="U4683" s="43">
        <f ca="1">_xll.BInterpol('Base CDI'!$H$4:$H$28,'Base CDI'!$I$4:$I$29,S4683,"Cubic","Extrapolate=Linear","MultiX=Average","Skip=True","Sort=True")</f>
        <v>14.477181942544458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50390</v>
      </c>
      <c r="T4684" s="43">
        <f ca="1">_xll.BInterpol('Base CDI'!$H$4:$H$28,'Base CDI'!$J$4:$J$29,S4684,"Cubic","Extrapolate=Linear","MultiX=Average","Skip=True","Sort=True")</f>
        <v>14.511681258549931</v>
      </c>
      <c r="U4684" s="43">
        <f ca="1">_xll.BInterpol('Base CDI'!$H$4:$H$28,'Base CDI'!$I$4:$I$29,S4684,"Cubic","Extrapolate=Linear","MultiX=Average","Skip=True","Sort=True")</f>
        <v>14.476928864569082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50391</v>
      </c>
      <c r="T4685" s="43">
        <f ca="1">_xll.BInterpol('Base CDI'!$H$4:$H$28,'Base CDI'!$J$4:$J$29,S4685,"Cubic","Extrapolate=Linear","MultiX=Average","Skip=True","Sort=True")</f>
        <v>14.51152804377565</v>
      </c>
      <c r="U4685" s="43">
        <f ca="1">_xll.BInterpol('Base CDI'!$H$4:$H$28,'Base CDI'!$I$4:$I$29,S4685,"Cubic","Extrapolate=Linear","MultiX=Average","Skip=True","Sort=True")</f>
        <v>14.476675786593706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50392</v>
      </c>
      <c r="T4686" s="43">
        <f ca="1">_xll.BInterpol('Base CDI'!$H$4:$H$28,'Base CDI'!$J$4:$J$29,S4686,"Cubic","Extrapolate=Linear","MultiX=Average","Skip=True","Sort=True")</f>
        <v>14.511374829001367</v>
      </c>
      <c r="U4686" s="43">
        <f ca="1">_xll.BInterpol('Base CDI'!$H$4:$H$28,'Base CDI'!$I$4:$I$29,S4686,"Cubic","Extrapolate=Linear","MultiX=Average","Skip=True","Sort=True")</f>
        <v>14.47642270861833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50393</v>
      </c>
      <c r="T4687" s="43">
        <f ca="1">_xll.BInterpol('Base CDI'!$H$4:$H$28,'Base CDI'!$J$4:$J$29,S4687,"Cubic","Extrapolate=Linear","MultiX=Average","Skip=True","Sort=True")</f>
        <v>14.511221614227086</v>
      </c>
      <c r="U4687" s="43">
        <f ca="1">_xll.BInterpol('Base CDI'!$H$4:$H$28,'Base CDI'!$I$4:$I$29,S4687,"Cubic","Extrapolate=Linear","MultiX=Average","Skip=True","Sort=True")</f>
        <v>14.476169630642953</v>
      </c>
    </row>
    <row r="4688" spans="16:21" x14ac:dyDescent="0.25">
      <c r="P4688" s="10">
        <v>41332</v>
      </c>
      <c r="Q4688">
        <v>29.99363</v>
      </c>
      <c r="S4688" s="42">
        <f t="shared" ca="1" si="78"/>
        <v>50394</v>
      </c>
      <c r="T4688" s="43">
        <f ca="1">_xll.BInterpol('Base CDI'!$H$4:$H$28,'Base CDI'!$J$4:$J$29,S4688,"Cubic","Extrapolate=Linear","MultiX=Average","Skip=True","Sort=True")</f>
        <v>14.511068399452803</v>
      </c>
      <c r="U4688" s="43">
        <f ca="1">_xll.BInterpol('Base CDI'!$H$4:$H$28,'Base CDI'!$I$4:$I$29,S4688,"Cubic","Extrapolate=Linear","MultiX=Average","Skip=True","Sort=True")</f>
        <v>14.475916552667577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50395</v>
      </c>
      <c r="T4689" s="43">
        <f ca="1">_xll.BInterpol('Base CDI'!$H$4:$H$28,'Base CDI'!$J$4:$J$29,S4689,"Cubic","Extrapolate=Linear","MultiX=Average","Skip=True","Sort=True")</f>
        <v>14.510915184678522</v>
      </c>
      <c r="U4689" s="43">
        <f ca="1">_xll.BInterpol('Base CDI'!$H$4:$H$28,'Base CDI'!$I$4:$I$29,S4689,"Cubic","Extrapolate=Linear","MultiX=Average","Skip=True","Sort=True")</f>
        <v>14.475663474692201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50396</v>
      </c>
      <c r="T4690" s="43">
        <f ca="1">_xll.BInterpol('Base CDI'!$H$4:$H$28,'Base CDI'!$J$4:$J$29,S4690,"Cubic","Extrapolate=Linear","MultiX=Average","Skip=True","Sort=True")</f>
        <v>14.510761969904241</v>
      </c>
      <c r="U4690" s="43">
        <f ca="1">_xll.BInterpol('Base CDI'!$H$4:$H$28,'Base CDI'!$I$4:$I$29,S4690,"Cubic","Extrapolate=Linear","MultiX=Average","Skip=True","Sort=True")</f>
        <v>14.475410396716825</v>
      </c>
    </row>
    <row r="4691" spans="16:21" x14ac:dyDescent="0.25">
      <c r="P4691" s="10">
        <v>41337</v>
      </c>
      <c r="Q4691">
        <v>30.01773</v>
      </c>
      <c r="S4691" s="42">
        <f t="shared" ca="1" si="78"/>
        <v>50397</v>
      </c>
      <c r="T4691" s="43">
        <f ca="1">_xll.BInterpol('Base CDI'!$H$4:$H$28,'Base CDI'!$J$4:$J$29,S4691,"Cubic","Extrapolate=Linear","MultiX=Average","Skip=True","Sort=True")</f>
        <v>14.510608755129958</v>
      </c>
      <c r="U4691" s="43">
        <f ca="1">_xll.BInterpol('Base CDI'!$H$4:$H$28,'Base CDI'!$I$4:$I$29,S4691,"Cubic","Extrapolate=Linear","MultiX=Average","Skip=True","Sort=True")</f>
        <v>14.475157318741449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50398</v>
      </c>
      <c r="T4692" s="43">
        <f ca="1">_xll.BInterpol('Base CDI'!$H$4:$H$28,'Base CDI'!$J$4:$J$29,S4692,"Cubic","Extrapolate=Linear","MultiX=Average","Skip=True","Sort=True")</f>
        <v>14.510455540355677</v>
      </c>
      <c r="U4692" s="43">
        <f ca="1">_xll.BInterpol('Base CDI'!$H$4:$H$28,'Base CDI'!$I$4:$I$29,S4692,"Cubic","Extrapolate=Linear","MultiX=Average","Skip=True","Sort=True")</f>
        <v>14.474904240766072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50399</v>
      </c>
      <c r="T4693" s="43">
        <f ca="1">_xll.BInterpol('Base CDI'!$H$4:$H$28,'Base CDI'!$J$4:$J$29,S4693,"Cubic","Extrapolate=Linear","MultiX=Average","Skip=True","Sort=True")</f>
        <v>14.510302325581394</v>
      </c>
      <c r="U4693" s="43">
        <f ca="1">_xll.BInterpol('Base CDI'!$H$4:$H$28,'Base CDI'!$I$4:$I$29,S4693,"Cubic","Extrapolate=Linear","MultiX=Average","Skip=True","Sort=True")</f>
        <v>14.474651162790696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50400</v>
      </c>
      <c r="T4694" s="43">
        <f ca="1">_xll.BInterpol('Base CDI'!$H$4:$H$28,'Base CDI'!$J$4:$J$29,S4694,"Cubic","Extrapolate=Linear","MultiX=Average","Skip=True","Sort=True")</f>
        <v>14.510149110807113</v>
      </c>
      <c r="U4694" s="43">
        <f ca="1">_xll.BInterpol('Base CDI'!$H$4:$H$28,'Base CDI'!$I$4:$I$29,S4694,"Cubic","Extrapolate=Linear","MultiX=Average","Skip=True","Sort=True")</f>
        <v>14.47439808481532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50401</v>
      </c>
      <c r="T4695" s="43">
        <f ca="1">_xll.BInterpol('Base CDI'!$H$4:$H$28,'Base CDI'!$J$4:$J$29,S4695,"Cubic","Extrapolate=Linear","MultiX=Average","Skip=True","Sort=True")</f>
        <v>14.509995896032832</v>
      </c>
      <c r="U4695" s="43">
        <f ca="1">_xll.BInterpol('Base CDI'!$H$4:$H$28,'Base CDI'!$I$4:$I$29,S4695,"Cubic","Extrapolate=Linear","MultiX=Average","Skip=True","Sort=True")</f>
        <v>14.474145006839944</v>
      </c>
    </row>
    <row r="4696" spans="16:21" x14ac:dyDescent="0.25">
      <c r="P4696" s="10">
        <v>41344</v>
      </c>
      <c r="Q4696">
        <v>30.05799</v>
      </c>
      <c r="S4696" s="42">
        <f t="shared" ca="1" si="78"/>
        <v>50402</v>
      </c>
      <c r="T4696" s="43">
        <f ca="1">_xll.BInterpol('Base CDI'!$H$4:$H$28,'Base CDI'!$J$4:$J$29,S4696,"Cubic","Extrapolate=Linear","MultiX=Average","Skip=True","Sort=True")</f>
        <v>14.509842681258549</v>
      </c>
      <c r="U4696" s="43">
        <f ca="1">_xll.BInterpol('Base CDI'!$H$4:$H$28,'Base CDI'!$I$4:$I$29,S4696,"Cubic","Extrapolate=Linear","MultiX=Average","Skip=True","Sort=True")</f>
        <v>14.473891928864568</v>
      </c>
    </row>
    <row r="4697" spans="16:21" x14ac:dyDescent="0.25">
      <c r="P4697" s="10">
        <v>41345</v>
      </c>
      <c r="Q4697">
        <v>30.06606</v>
      </c>
      <c r="S4697" s="42">
        <f t="shared" ca="1" si="78"/>
        <v>50403</v>
      </c>
      <c r="T4697" s="43">
        <f ca="1">_xll.BInterpol('Base CDI'!$H$4:$H$28,'Base CDI'!$J$4:$J$29,S4697,"Cubic","Extrapolate=Linear","MultiX=Average","Skip=True","Sort=True")</f>
        <v>14.509689466484268</v>
      </c>
      <c r="U4697" s="43">
        <f ca="1">_xll.BInterpol('Base CDI'!$H$4:$H$28,'Base CDI'!$I$4:$I$29,S4697,"Cubic","Extrapolate=Linear","MultiX=Average","Skip=True","Sort=True")</f>
        <v>14.473638850889191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50404</v>
      </c>
      <c r="T4698" s="43">
        <f ca="1">_xll.BInterpol('Base CDI'!$H$4:$H$28,'Base CDI'!$J$4:$J$29,S4698,"Cubic","Extrapolate=Linear","MultiX=Average","Skip=True","Sort=True")</f>
        <v>14.509536251709985</v>
      </c>
      <c r="U4698" s="43">
        <f ca="1">_xll.BInterpol('Base CDI'!$H$4:$H$28,'Base CDI'!$I$4:$I$29,S4698,"Cubic","Extrapolate=Linear","MultiX=Average","Skip=True","Sort=True")</f>
        <v>14.473385772913815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50405</v>
      </c>
      <c r="T4699" s="43">
        <f ca="1">_xll.BInterpol('Base CDI'!$H$4:$H$28,'Base CDI'!$J$4:$J$29,S4699,"Cubic","Extrapolate=Linear","MultiX=Average","Skip=True","Sort=True")</f>
        <v>14.509383036935704</v>
      </c>
      <c r="U4699" s="43">
        <f ca="1">_xll.BInterpol('Base CDI'!$H$4:$H$28,'Base CDI'!$I$4:$I$29,S4699,"Cubic","Extrapolate=Linear","MultiX=Average","Skip=True","Sort=True")</f>
        <v>14.473132694938439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50406</v>
      </c>
      <c r="T4700" s="43">
        <f ca="1">_xll.BInterpol('Base CDI'!$H$4:$H$28,'Base CDI'!$J$4:$J$29,S4700,"Cubic","Extrapolate=Linear","MultiX=Average","Skip=True","Sort=True")</f>
        <v>14.509229822161423</v>
      </c>
      <c r="U4700" s="43">
        <f ca="1">_xll.BInterpol('Base CDI'!$H$4:$H$28,'Base CDI'!$I$4:$I$29,S4700,"Cubic","Extrapolate=Linear","MultiX=Average","Skip=True","Sort=True")</f>
        <v>14.472879616963063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50407</v>
      </c>
      <c r="T4701" s="43">
        <f ca="1">_xll.BInterpol('Base CDI'!$H$4:$H$28,'Base CDI'!$J$4:$J$29,S4701,"Cubic","Extrapolate=Linear","MultiX=Average","Skip=True","Sort=True")</f>
        <v>14.50907660738714</v>
      </c>
      <c r="U4701" s="43">
        <f ca="1">_xll.BInterpol('Base CDI'!$H$4:$H$28,'Base CDI'!$I$4:$I$29,S4701,"Cubic","Extrapolate=Linear","MultiX=Average","Skip=True","Sort=True")</f>
        <v>14.472626538987686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50408</v>
      </c>
      <c r="T4702" s="43">
        <f ca="1">_xll.BInterpol('Base CDI'!$H$4:$H$28,'Base CDI'!$J$4:$J$29,S4702,"Cubic","Extrapolate=Linear","MultiX=Average","Skip=True","Sort=True")</f>
        <v>14.508923392612859</v>
      </c>
      <c r="U4702" s="43">
        <f ca="1">_xll.BInterpol('Base CDI'!$H$4:$H$28,'Base CDI'!$I$4:$I$29,S4702,"Cubic","Extrapolate=Linear","MultiX=Average","Skip=True","Sort=True")</f>
        <v>14.47237346101231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50409</v>
      </c>
      <c r="T4703" s="43">
        <f ca="1">_xll.BInterpol('Base CDI'!$H$4:$H$28,'Base CDI'!$J$4:$J$29,S4703,"Cubic","Extrapolate=Linear","MultiX=Average","Skip=True","Sort=True")</f>
        <v>14.508770177838576</v>
      </c>
      <c r="U4703" s="43">
        <f ca="1">_xll.BInterpol('Base CDI'!$H$4:$H$28,'Base CDI'!$I$4:$I$29,S4703,"Cubic","Extrapolate=Linear","MultiX=Average","Skip=True","Sort=True")</f>
        <v>14.472120383036936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50410</v>
      </c>
      <c r="T4704" s="43">
        <f ca="1">_xll.BInterpol('Base CDI'!$H$4:$H$28,'Base CDI'!$J$4:$J$29,S4704,"Cubic","Extrapolate=Linear","MultiX=Average","Skip=True","Sort=True")</f>
        <v>14.508616963064295</v>
      </c>
      <c r="U4704" s="43">
        <f ca="1">_xll.BInterpol('Base CDI'!$H$4:$H$28,'Base CDI'!$I$4:$I$29,S4704,"Cubic","Extrapolate=Linear","MultiX=Average","Skip=True","Sort=True")</f>
        <v>14.47186730506156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50411</v>
      </c>
      <c r="T4705" s="43">
        <f ca="1">_xll.BInterpol('Base CDI'!$H$4:$H$28,'Base CDI'!$J$4:$J$29,S4705,"Cubic","Extrapolate=Linear","MultiX=Average","Skip=True","Sort=True")</f>
        <v>14.508463748290014</v>
      </c>
      <c r="U4705" s="43">
        <f ca="1">_xll.BInterpol('Base CDI'!$H$4:$H$28,'Base CDI'!$I$4:$I$29,S4705,"Cubic","Extrapolate=Linear","MultiX=Average","Skip=True","Sort=True")</f>
        <v>14.471614227086183</v>
      </c>
    </row>
    <row r="4706" spans="16:21" x14ac:dyDescent="0.25">
      <c r="P4706" s="10">
        <v>41358</v>
      </c>
      <c r="Q4706">
        <v>30.13869</v>
      </c>
      <c r="S4706" s="42">
        <f t="shared" ca="1" si="78"/>
        <v>50412</v>
      </c>
      <c r="T4706" s="43">
        <f ca="1">_xll.BInterpol('Base CDI'!$H$4:$H$28,'Base CDI'!$J$4:$J$29,S4706,"Cubic","Extrapolate=Linear","MultiX=Average","Skip=True","Sort=True")</f>
        <v>14.508310533515731</v>
      </c>
      <c r="U4706" s="43">
        <f ca="1">_xll.BInterpol('Base CDI'!$H$4:$H$28,'Base CDI'!$I$4:$I$29,S4706,"Cubic","Extrapolate=Linear","MultiX=Average","Skip=True","Sort=True")</f>
        <v>14.471361149110807</v>
      </c>
    </row>
    <row r="4707" spans="16:21" x14ac:dyDescent="0.25">
      <c r="P4707" s="10">
        <v>41359</v>
      </c>
      <c r="Q4707">
        <v>30.14677</v>
      </c>
      <c r="S4707" s="42">
        <f t="shared" ca="1" si="78"/>
        <v>50413</v>
      </c>
      <c r="T4707" s="43">
        <f ca="1">_xll.BInterpol('Base CDI'!$H$4:$H$28,'Base CDI'!$J$4:$J$29,S4707,"Cubic","Extrapolate=Linear","MultiX=Average","Skip=True","Sort=True")</f>
        <v>14.50815731874145</v>
      </c>
      <c r="U4707" s="43">
        <f ca="1">_xll.BInterpol('Base CDI'!$H$4:$H$28,'Base CDI'!$I$4:$I$29,S4707,"Cubic","Extrapolate=Linear","MultiX=Average","Skip=True","Sort=True")</f>
        <v>14.471108071135431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50414</v>
      </c>
      <c r="T4708" s="43">
        <f ca="1">_xll.BInterpol('Base CDI'!$H$4:$H$28,'Base CDI'!$J$4:$J$29,S4708,"Cubic","Extrapolate=Linear","MultiX=Average","Skip=True","Sort=True")</f>
        <v>14.508004103967167</v>
      </c>
      <c r="U4708" s="43">
        <f ca="1">_xll.BInterpol('Base CDI'!$H$4:$H$28,'Base CDI'!$I$4:$I$29,S4708,"Cubic","Extrapolate=Linear","MultiX=Average","Skip=True","Sort=True")</f>
        <v>14.470854993160055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50415</v>
      </c>
      <c r="T4709" s="43">
        <f ca="1">_xll.BInterpol('Base CDI'!$H$4:$H$28,'Base CDI'!$J$4:$J$29,S4709,"Cubic","Extrapolate=Linear","MultiX=Average","Skip=True","Sort=True")</f>
        <v>14.507850889192886</v>
      </c>
      <c r="U4709" s="43">
        <f ca="1">_xll.BInterpol('Base CDI'!$H$4:$H$28,'Base CDI'!$I$4:$I$29,S4709,"Cubic","Extrapolate=Linear","MultiX=Average","Skip=True","Sort=True")</f>
        <v>14.470601915184679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50416</v>
      </c>
      <c r="T4710" s="43">
        <f ca="1">_xll.BInterpol('Base CDI'!$H$4:$H$28,'Base CDI'!$J$4:$J$29,S4710,"Cubic","Extrapolate=Linear","MultiX=Average","Skip=True","Sort=True")</f>
        <v>14.507697674418605</v>
      </c>
      <c r="U4710" s="43">
        <f ca="1">_xll.BInterpol('Base CDI'!$H$4:$H$28,'Base CDI'!$I$4:$I$29,S4710,"Cubic","Extrapolate=Linear","MultiX=Average","Skip=True","Sort=True")</f>
        <v>14.470348837209302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50417</v>
      </c>
      <c r="T4711" s="43">
        <f ca="1">_xll.BInterpol('Base CDI'!$H$4:$H$28,'Base CDI'!$J$4:$J$29,S4711,"Cubic","Extrapolate=Linear","MultiX=Average","Skip=True","Sort=True")</f>
        <v>14.507544459644322</v>
      </c>
      <c r="U4711" s="43">
        <f ca="1">_xll.BInterpol('Base CDI'!$H$4:$H$28,'Base CDI'!$I$4:$I$29,S4711,"Cubic","Extrapolate=Linear","MultiX=Average","Skip=True","Sort=True")</f>
        <v>14.470095759233926</v>
      </c>
    </row>
    <row r="4712" spans="16:21" x14ac:dyDescent="0.25">
      <c r="P4712" s="10">
        <v>41367</v>
      </c>
      <c r="Q4712">
        <v>30.18731</v>
      </c>
      <c r="S4712" s="42">
        <f t="shared" ca="1" si="78"/>
        <v>50418</v>
      </c>
      <c r="T4712" s="43">
        <f ca="1">_xll.BInterpol('Base CDI'!$H$4:$H$28,'Base CDI'!$J$4:$J$29,S4712,"Cubic","Extrapolate=Linear","MultiX=Average","Skip=True","Sort=True")</f>
        <v>14.507391244870041</v>
      </c>
      <c r="U4712" s="43">
        <f ca="1">_xll.BInterpol('Base CDI'!$H$4:$H$28,'Base CDI'!$I$4:$I$29,S4712,"Cubic","Extrapolate=Linear","MultiX=Average","Skip=True","Sort=True")</f>
        <v>14.46984268125855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50419</v>
      </c>
      <c r="T4713" s="43">
        <f ca="1">_xll.BInterpol('Base CDI'!$H$4:$H$28,'Base CDI'!$J$4:$J$29,S4713,"Cubic","Extrapolate=Linear","MultiX=Average","Skip=True","Sort=True")</f>
        <v>14.507238030095758</v>
      </c>
      <c r="U4713" s="43">
        <f ca="1">_xll.BInterpol('Base CDI'!$H$4:$H$28,'Base CDI'!$I$4:$I$29,S4713,"Cubic","Extrapolate=Linear","MultiX=Average","Skip=True","Sort=True")</f>
        <v>14.469589603283174</v>
      </c>
    </row>
    <row r="4714" spans="16:21" x14ac:dyDescent="0.25">
      <c r="P4714" s="10">
        <v>41369</v>
      </c>
      <c r="Q4714">
        <v>30.20354</v>
      </c>
      <c r="S4714" s="42">
        <f t="shared" ca="1" si="78"/>
        <v>50420</v>
      </c>
      <c r="T4714" s="43">
        <f ca="1">_xll.BInterpol('Base CDI'!$H$4:$H$28,'Base CDI'!$J$4:$J$29,S4714,"Cubic","Extrapolate=Linear","MultiX=Average","Skip=True","Sort=True")</f>
        <v>14.507084815321477</v>
      </c>
      <c r="U4714" s="43">
        <f ca="1">_xll.BInterpol('Base CDI'!$H$4:$H$28,'Base CDI'!$I$4:$I$29,S4714,"Cubic","Extrapolate=Linear","MultiX=Average","Skip=True","Sort=True")</f>
        <v>14.469336525307797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50421</v>
      </c>
      <c r="T4715" s="43">
        <f ca="1">_xll.BInterpol('Base CDI'!$H$4:$H$28,'Base CDI'!$J$4:$J$29,S4715,"Cubic","Extrapolate=Linear","MultiX=Average","Skip=True","Sort=True")</f>
        <v>14.506931600547196</v>
      </c>
      <c r="U4715" s="43">
        <f ca="1">_xll.BInterpol('Base CDI'!$H$4:$H$28,'Base CDI'!$I$4:$I$29,S4715,"Cubic","Extrapolate=Linear","MultiX=Average","Skip=True","Sort=True")</f>
        <v>14.469083447332421</v>
      </c>
    </row>
    <row r="4716" spans="16:21" x14ac:dyDescent="0.25">
      <c r="P4716" s="10">
        <v>41373</v>
      </c>
      <c r="Q4716">
        <v>30.21979</v>
      </c>
      <c r="S4716" s="42">
        <f t="shared" ca="1" si="78"/>
        <v>50422</v>
      </c>
      <c r="T4716" s="43">
        <f ca="1">_xll.BInterpol('Base CDI'!$H$4:$H$28,'Base CDI'!$J$4:$J$29,S4716,"Cubic","Extrapolate=Linear","MultiX=Average","Skip=True","Sort=True")</f>
        <v>14.506778385772913</v>
      </c>
      <c r="U4716" s="43">
        <f ca="1">_xll.BInterpol('Base CDI'!$H$4:$H$28,'Base CDI'!$I$4:$I$29,S4716,"Cubic","Extrapolate=Linear","MultiX=Average","Skip=True","Sort=True")</f>
        <v>14.468830369357045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50423</v>
      </c>
      <c r="T4717" s="43">
        <f ca="1">_xll.BInterpol('Base CDI'!$H$4:$H$28,'Base CDI'!$J$4:$J$29,S4717,"Cubic","Extrapolate=Linear","MultiX=Average","Skip=True","Sort=True")</f>
        <v>14.506625170998632</v>
      </c>
      <c r="U4717" s="43">
        <f ca="1">_xll.BInterpol('Base CDI'!$H$4:$H$28,'Base CDI'!$I$4:$I$29,S4717,"Cubic","Extrapolate=Linear","MultiX=Average","Skip=True","Sort=True")</f>
        <v>14.468577291381669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50424</v>
      </c>
      <c r="T4718" s="43">
        <f ca="1">_xll.BInterpol('Base CDI'!$H$4:$H$28,'Base CDI'!$J$4:$J$29,S4718,"Cubic","Extrapolate=Linear","MultiX=Average","Skip=True","Sort=True")</f>
        <v>14.506471956224349</v>
      </c>
      <c r="U4718" s="43">
        <f ca="1">_xll.BInterpol('Base CDI'!$H$4:$H$28,'Base CDI'!$I$4:$I$29,S4718,"Cubic","Extrapolate=Linear","MultiX=Average","Skip=True","Sort=True")</f>
        <v>14.468324213406293</v>
      </c>
    </row>
    <row r="4719" spans="16:21" x14ac:dyDescent="0.25">
      <c r="P4719" s="10">
        <v>41376</v>
      </c>
      <c r="Q4719">
        <v>30.24417</v>
      </c>
      <c r="S4719" s="42">
        <f t="shared" ca="1" si="78"/>
        <v>50425</v>
      </c>
      <c r="T4719" s="43">
        <f ca="1">_xll.BInterpol('Base CDI'!$H$4:$H$28,'Base CDI'!$J$4:$J$29,S4719,"Cubic","Extrapolate=Linear","MultiX=Average","Skip=True","Sort=True")</f>
        <v>14.506318741450068</v>
      </c>
      <c r="U4719" s="43">
        <f ca="1">_xll.BInterpol('Base CDI'!$H$4:$H$28,'Base CDI'!$I$4:$I$29,S4719,"Cubic","Extrapolate=Linear","MultiX=Average","Skip=True","Sort=True")</f>
        <v>14.468071135430916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50426</v>
      </c>
      <c r="T4720" s="43">
        <f ca="1">_xll.BInterpol('Base CDI'!$H$4:$H$28,'Base CDI'!$J$4:$J$29,S4720,"Cubic","Extrapolate=Linear","MultiX=Average","Skip=True","Sort=True")</f>
        <v>14.506165526675787</v>
      </c>
      <c r="U4720" s="43">
        <f ca="1">_xll.BInterpol('Base CDI'!$H$4:$H$28,'Base CDI'!$I$4:$I$29,S4720,"Cubic","Extrapolate=Linear","MultiX=Average","Skip=True","Sort=True")</f>
        <v>14.46781805745554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50427</v>
      </c>
      <c r="T4721" s="43">
        <f ca="1">_xll.BInterpol('Base CDI'!$H$4:$H$28,'Base CDI'!$J$4:$J$29,S4721,"Cubic","Extrapolate=Linear","MultiX=Average","Skip=True","Sort=True")</f>
        <v>14.506012311901504</v>
      </c>
      <c r="U4721" s="43">
        <f ca="1">_xll.BInterpol('Base CDI'!$H$4:$H$28,'Base CDI'!$I$4:$I$29,S4721,"Cubic","Extrapolate=Linear","MultiX=Average","Skip=True","Sort=True")</f>
        <v>14.467564979480164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50428</v>
      </c>
      <c r="T4722" s="43">
        <f ca="1">_xll.BInterpol('Base CDI'!$H$4:$H$28,'Base CDI'!$J$4:$J$29,S4722,"Cubic","Extrapolate=Linear","MultiX=Average","Skip=True","Sort=True")</f>
        <v>14.505859097127223</v>
      </c>
      <c r="U4722" s="43">
        <f ca="1">_xll.BInterpol('Base CDI'!$H$4:$H$28,'Base CDI'!$I$4:$I$29,S4722,"Cubic","Extrapolate=Linear","MultiX=Average","Skip=True","Sort=True")</f>
        <v>14.467311901504788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50429</v>
      </c>
      <c r="T4723" s="43">
        <f ca="1">_xll.BInterpol('Base CDI'!$H$4:$H$28,'Base CDI'!$J$4:$J$29,S4723,"Cubic","Extrapolate=Linear","MultiX=Average","Skip=True","Sort=True")</f>
        <v>14.50570588235294</v>
      </c>
      <c r="U4723" s="43">
        <f ca="1">_xll.BInterpol('Base CDI'!$H$4:$H$28,'Base CDI'!$I$4:$I$29,S4723,"Cubic","Extrapolate=Linear","MultiX=Average","Skip=True","Sort=True")</f>
        <v>14.467058823529412</v>
      </c>
    </row>
    <row r="4724" spans="16:21" x14ac:dyDescent="0.25">
      <c r="P4724" s="10">
        <v>41383</v>
      </c>
      <c r="Q4724">
        <v>30.28509</v>
      </c>
      <c r="S4724" s="42">
        <f t="shared" ca="1" si="78"/>
        <v>50430</v>
      </c>
      <c r="T4724" s="43">
        <f ca="1">_xll.BInterpol('Base CDI'!$H$4:$H$28,'Base CDI'!$J$4:$J$29,S4724,"Cubic","Extrapolate=Linear","MultiX=Average","Skip=True","Sort=True")</f>
        <v>14.505552667578659</v>
      </c>
      <c r="U4724" s="43">
        <f ca="1">_xll.BInterpol('Base CDI'!$H$4:$H$28,'Base CDI'!$I$4:$I$29,S4724,"Cubic","Extrapolate=Linear","MultiX=Average","Skip=True","Sort=True")</f>
        <v>14.466805745554035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50431</v>
      </c>
      <c r="T4725" s="43">
        <f ca="1">_xll.BInterpol('Base CDI'!$H$4:$H$28,'Base CDI'!$J$4:$J$29,S4725,"Cubic","Extrapolate=Linear","MultiX=Average","Skip=True","Sort=True")</f>
        <v>14.505399452804378</v>
      </c>
      <c r="U4725" s="43">
        <f ca="1">_xll.BInterpol('Base CDI'!$H$4:$H$28,'Base CDI'!$I$4:$I$29,S4725,"Cubic","Extrapolate=Linear","MultiX=Average","Skip=True","Sort=True")</f>
        <v>14.466552667578659</v>
      </c>
    </row>
    <row r="4726" spans="16:21" x14ac:dyDescent="0.25">
      <c r="P4726" s="10">
        <v>41387</v>
      </c>
      <c r="Q4726">
        <v>30.3019</v>
      </c>
      <c r="S4726" s="42">
        <f t="shared" ca="1" si="78"/>
        <v>50432</v>
      </c>
      <c r="T4726" s="43">
        <f ca="1">_xll.BInterpol('Base CDI'!$H$4:$H$28,'Base CDI'!$J$4:$J$29,S4726,"Cubic","Extrapolate=Linear","MultiX=Average","Skip=True","Sort=True")</f>
        <v>14.505246238030095</v>
      </c>
      <c r="U4726" s="43">
        <f ca="1">_xll.BInterpol('Base CDI'!$H$4:$H$28,'Base CDI'!$I$4:$I$29,S4726,"Cubic","Extrapolate=Linear","MultiX=Average","Skip=True","Sort=True")</f>
        <v>14.466299589603283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50433</v>
      </c>
      <c r="T4727" s="43">
        <f ca="1">_xll.BInterpol('Base CDI'!$H$4:$H$28,'Base CDI'!$J$4:$J$29,S4727,"Cubic","Extrapolate=Linear","MultiX=Average","Skip=True","Sort=True")</f>
        <v>14.505093023255814</v>
      </c>
      <c r="U4727" s="43">
        <f ca="1">_xll.BInterpol('Base CDI'!$H$4:$H$28,'Base CDI'!$I$4:$I$29,S4727,"Cubic","Extrapolate=Linear","MultiX=Average","Skip=True","Sort=True")</f>
        <v>14.466046511627907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50434</v>
      </c>
      <c r="T4728" s="43">
        <f ca="1">_xll.BInterpol('Base CDI'!$H$4:$H$28,'Base CDI'!$J$4:$J$29,S4728,"Cubic","Extrapolate=Linear","MultiX=Average","Skip=True","Sort=True")</f>
        <v>14.504939808481531</v>
      </c>
      <c r="U4728" s="43">
        <f ca="1">_xll.BInterpol('Base CDI'!$H$4:$H$28,'Base CDI'!$I$4:$I$29,S4728,"Cubic","Extrapolate=Linear","MultiX=Average","Skip=True","Sort=True")</f>
        <v>14.46579343365253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50435</v>
      </c>
      <c r="T4729" s="43">
        <f ca="1">_xll.BInterpol('Base CDI'!$H$4:$H$28,'Base CDI'!$J$4:$J$29,S4729,"Cubic","Extrapolate=Linear","MultiX=Average","Skip=True","Sort=True")</f>
        <v>14.50478659370725</v>
      </c>
      <c r="U4729" s="43">
        <f ca="1">_xll.BInterpol('Base CDI'!$H$4:$H$28,'Base CDI'!$I$4:$I$29,S4729,"Cubic","Extrapolate=Linear","MultiX=Average","Skip=True","Sort=True")</f>
        <v>14.465540355677154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50436</v>
      </c>
      <c r="T4730" s="43">
        <f ca="1">_xll.BInterpol('Base CDI'!$H$4:$H$28,'Base CDI'!$J$4:$J$29,S4730,"Cubic","Extrapolate=Linear","MultiX=Average","Skip=True","Sort=True")</f>
        <v>14.504633378932969</v>
      </c>
      <c r="U4730" s="43">
        <f ca="1">_xll.BInterpol('Base CDI'!$H$4:$H$28,'Base CDI'!$I$4:$I$29,S4730,"Cubic","Extrapolate=Linear","MultiX=Average","Skip=True","Sort=True")</f>
        <v>14.465287277701778</v>
      </c>
    </row>
    <row r="4731" spans="16:21" x14ac:dyDescent="0.25">
      <c r="P4731" s="10">
        <v>41394</v>
      </c>
      <c r="Q4731">
        <v>30.34393</v>
      </c>
      <c r="S4731" s="42">
        <f t="shared" ca="1" si="78"/>
        <v>50437</v>
      </c>
      <c r="T4731" s="43">
        <f ca="1">_xll.BInterpol('Base CDI'!$H$4:$H$28,'Base CDI'!$J$4:$J$29,S4731,"Cubic","Extrapolate=Linear","MultiX=Average","Skip=True","Sort=True")</f>
        <v>14.504480164158686</v>
      </c>
      <c r="U4731" s="43">
        <f ca="1">_xll.BInterpol('Base CDI'!$H$4:$H$28,'Base CDI'!$I$4:$I$29,S4731,"Cubic","Extrapolate=Linear","MultiX=Average","Skip=True","Sort=True")</f>
        <v>14.465034199726402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50438</v>
      </c>
      <c r="T4732" s="43">
        <f ca="1">_xll.BInterpol('Base CDI'!$H$4:$H$28,'Base CDI'!$J$4:$J$29,S4732,"Cubic","Extrapolate=Linear","MultiX=Average","Skip=True","Sort=True")</f>
        <v>14.504326949384405</v>
      </c>
      <c r="U4732" s="43">
        <f ca="1">_xll.BInterpol('Base CDI'!$H$4:$H$28,'Base CDI'!$I$4:$I$29,S4732,"Cubic","Extrapolate=Linear","MultiX=Average","Skip=True","Sort=True")</f>
        <v>14.464781121751026</v>
      </c>
    </row>
    <row r="4733" spans="16:21" x14ac:dyDescent="0.25">
      <c r="P4733" s="10">
        <v>41397</v>
      </c>
      <c r="Q4733">
        <v>30.36074</v>
      </c>
      <c r="S4733" s="42">
        <f t="shared" ca="1" si="78"/>
        <v>50439</v>
      </c>
      <c r="T4733" s="43">
        <f ca="1">_xll.BInterpol('Base CDI'!$H$4:$H$28,'Base CDI'!$J$4:$J$29,S4733,"Cubic","Extrapolate=Linear","MultiX=Average","Skip=True","Sort=True")</f>
        <v>14.504173734610122</v>
      </c>
      <c r="U4733" s="43">
        <f ca="1">_xll.BInterpol('Base CDI'!$H$4:$H$28,'Base CDI'!$I$4:$I$29,S4733,"Cubic","Extrapolate=Linear","MultiX=Average","Skip=True","Sort=True")</f>
        <v>14.464528043775649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50440</v>
      </c>
      <c r="T4734" s="43">
        <f ca="1">_xll.BInterpol('Base CDI'!$H$4:$H$28,'Base CDI'!$J$4:$J$29,S4734,"Cubic","Extrapolate=Linear","MultiX=Average","Skip=True","Sort=True")</f>
        <v>14.504020519835841</v>
      </c>
      <c r="U4734" s="43">
        <f ca="1">_xll.BInterpol('Base CDI'!$H$4:$H$28,'Base CDI'!$I$4:$I$29,S4734,"Cubic","Extrapolate=Linear","MultiX=Average","Skip=True","Sort=True")</f>
        <v>14.464274965800273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50441</v>
      </c>
      <c r="T4735" s="43">
        <f ca="1">_xll.BInterpol('Base CDI'!$H$4:$H$28,'Base CDI'!$J$4:$J$29,S4735,"Cubic","Extrapolate=Linear","MultiX=Average","Skip=True","Sort=True")</f>
        <v>14.50386730506156</v>
      </c>
      <c r="U4735" s="43">
        <f ca="1">_xll.BInterpol('Base CDI'!$H$4:$H$28,'Base CDI'!$I$4:$I$29,S4735,"Cubic","Extrapolate=Linear","MultiX=Average","Skip=True","Sort=True")</f>
        <v>14.464021887824897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50442</v>
      </c>
      <c r="T4736" s="43">
        <f ca="1">_xll.BInterpol('Base CDI'!$H$4:$H$28,'Base CDI'!$J$4:$J$29,S4736,"Cubic","Extrapolate=Linear","MultiX=Average","Skip=True","Sort=True")</f>
        <v>14.503714090287277</v>
      </c>
      <c r="U4736" s="43">
        <f ca="1">_xll.BInterpol('Base CDI'!$H$4:$H$28,'Base CDI'!$I$4:$I$29,S4736,"Cubic","Extrapolate=Linear","MultiX=Average","Skip=True","Sort=True")</f>
        <v>14.463768809849521</v>
      </c>
    </row>
    <row r="4737" spans="16:21" x14ac:dyDescent="0.25">
      <c r="P4737" s="10">
        <v>41403</v>
      </c>
      <c r="Q4737">
        <v>30.39443</v>
      </c>
      <c r="S4737" s="42">
        <f t="shared" ca="1" si="78"/>
        <v>50443</v>
      </c>
      <c r="T4737" s="43">
        <f ca="1">_xll.BInterpol('Base CDI'!$H$4:$H$28,'Base CDI'!$J$4:$J$29,S4737,"Cubic","Extrapolate=Linear","MultiX=Average","Skip=True","Sort=True")</f>
        <v>14.503560875512996</v>
      </c>
      <c r="U4737" s="43">
        <f ca="1">_xll.BInterpol('Base CDI'!$H$4:$H$28,'Base CDI'!$I$4:$I$29,S4737,"Cubic","Extrapolate=Linear","MultiX=Average","Skip=True","Sort=True")</f>
        <v>14.463515731874145</v>
      </c>
    </row>
    <row r="4738" spans="16:21" x14ac:dyDescent="0.25">
      <c r="P4738" s="10">
        <v>41404</v>
      </c>
      <c r="Q4738">
        <v>30.40286</v>
      </c>
      <c r="S4738" s="42">
        <f t="shared" ca="1" si="78"/>
        <v>50444</v>
      </c>
      <c r="T4738" s="43">
        <f ca="1">_xll.BInterpol('Base CDI'!$H$4:$H$28,'Base CDI'!$J$4:$J$29,S4738,"Cubic","Extrapolate=Linear","MultiX=Average","Skip=True","Sort=True")</f>
        <v>14.503407660738713</v>
      </c>
      <c r="U4738" s="43">
        <f ca="1">_xll.BInterpol('Base CDI'!$H$4:$H$28,'Base CDI'!$I$4:$I$29,S4738,"Cubic","Extrapolate=Linear","MultiX=Average","Skip=True","Sort=True")</f>
        <v>14.463262653898768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50445</v>
      </c>
      <c r="T4739" s="43">
        <f ca="1">_xll.BInterpol('Base CDI'!$H$4:$H$28,'Base CDI'!$J$4:$J$29,S4739,"Cubic","Extrapolate=Linear","MultiX=Average","Skip=True","Sort=True")</f>
        <v>14.503254445964432</v>
      </c>
      <c r="U4739" s="43">
        <f ca="1">_xll.BInterpol('Base CDI'!$H$4:$H$28,'Base CDI'!$I$4:$I$29,S4739,"Cubic","Extrapolate=Linear","MultiX=Average","Skip=True","Sort=True")</f>
        <v>14.463009575923392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50446</v>
      </c>
      <c r="T4740" s="43">
        <f ca="1">_xll.BInterpol('Base CDI'!$H$4:$H$28,'Base CDI'!$J$4:$J$29,S4740,"Cubic","Extrapolate=Linear","MultiX=Average","Skip=True","Sort=True")</f>
        <v>14.503101231190151</v>
      </c>
      <c r="U4740" s="43">
        <f ca="1">_xll.BInterpol('Base CDI'!$H$4:$H$28,'Base CDI'!$I$4:$I$29,S4740,"Cubic","Extrapolate=Linear","MultiX=Average","Skip=True","Sort=True")</f>
        <v>14.462756497948016</v>
      </c>
    </row>
    <row r="4741" spans="16:21" x14ac:dyDescent="0.25">
      <c r="P4741" s="10">
        <v>41409</v>
      </c>
      <c r="Q4741">
        <v>30.42811</v>
      </c>
      <c r="S4741" s="42">
        <f t="shared" ca="1" si="78"/>
        <v>50447</v>
      </c>
      <c r="T4741" s="43">
        <f ca="1">_xll.BInterpol('Base CDI'!$H$4:$H$28,'Base CDI'!$J$4:$J$29,S4741,"Cubic","Extrapolate=Linear","MultiX=Average","Skip=True","Sort=True")</f>
        <v>14.502948016415868</v>
      </c>
      <c r="U4741" s="43">
        <f ca="1">_xll.BInterpol('Base CDI'!$H$4:$H$28,'Base CDI'!$I$4:$I$29,S4741,"Cubic","Extrapolate=Linear","MultiX=Average","Skip=True","Sort=True")</f>
        <v>14.46250341997264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50448</v>
      </c>
      <c r="T4742" s="43">
        <f ca="1">_xll.BInterpol('Base CDI'!$H$4:$H$28,'Base CDI'!$J$4:$J$29,S4742,"Cubic","Extrapolate=Linear","MultiX=Average","Skip=True","Sort=True")</f>
        <v>14.502794801641587</v>
      </c>
      <c r="U4742" s="43">
        <f ca="1">_xll.BInterpol('Base CDI'!$H$4:$H$28,'Base CDI'!$I$4:$I$29,S4742,"Cubic","Extrapolate=Linear","MultiX=Average","Skip=True","Sort=True")</f>
        <v>14.462250341997263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50449</v>
      </c>
      <c r="T4743" s="43">
        <f ca="1">_xll.BInterpol('Base CDI'!$H$4:$H$28,'Base CDI'!$J$4:$J$29,S4743,"Cubic","Extrapolate=Linear","MultiX=Average","Skip=True","Sort=True")</f>
        <v>14.502641586867304</v>
      </c>
      <c r="U4743" s="43">
        <f ca="1">_xll.BInterpol('Base CDI'!$H$4:$H$28,'Base CDI'!$I$4:$I$29,S4743,"Cubic","Extrapolate=Linear","MultiX=Average","Skip=True","Sort=True")</f>
        <v>14.461997264021887</v>
      </c>
    </row>
    <row r="4744" spans="16:21" x14ac:dyDescent="0.25">
      <c r="P4744" s="10">
        <v>41414</v>
      </c>
      <c r="Q4744">
        <v>30.45337</v>
      </c>
      <c r="S4744" s="42">
        <f t="shared" ca="1" si="78"/>
        <v>50450</v>
      </c>
      <c r="T4744" s="43">
        <f ca="1">_xll.BInterpol('Base CDI'!$H$4:$H$28,'Base CDI'!$J$4:$J$29,S4744,"Cubic","Extrapolate=Linear","MultiX=Average","Skip=True","Sort=True")</f>
        <v>14.502488372093023</v>
      </c>
      <c r="U4744" s="43">
        <f ca="1">_xll.BInterpol('Base CDI'!$H$4:$H$28,'Base CDI'!$I$4:$I$29,S4744,"Cubic","Extrapolate=Linear","MultiX=Average","Skip=True","Sort=True")</f>
        <v>14.461744186046511</v>
      </c>
    </row>
    <row r="4745" spans="16:21" x14ac:dyDescent="0.25">
      <c r="P4745" s="10">
        <v>41415</v>
      </c>
      <c r="Q4745">
        <v>30.4618</v>
      </c>
      <c r="S4745" s="42">
        <f t="shared" ca="1" si="78"/>
        <v>50451</v>
      </c>
      <c r="T4745" s="43">
        <f ca="1">_xll.BInterpol('Base CDI'!$H$4:$H$28,'Base CDI'!$J$4:$J$29,S4745,"Cubic","Extrapolate=Linear","MultiX=Average","Skip=True","Sort=True")</f>
        <v>14.502335157318742</v>
      </c>
      <c r="U4745" s="43">
        <f ca="1">_xll.BInterpol('Base CDI'!$H$4:$H$28,'Base CDI'!$I$4:$I$29,S4745,"Cubic","Extrapolate=Linear","MultiX=Average","Skip=True","Sort=True")</f>
        <v>14.461491108071135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50452</v>
      </c>
      <c r="T4746" s="43">
        <f ca="1">_xll.BInterpol('Base CDI'!$H$4:$H$28,'Base CDI'!$J$4:$J$29,S4746,"Cubic","Extrapolate=Linear","MultiX=Average","Skip=True","Sort=True")</f>
        <v>14.502181942544459</v>
      </c>
      <c r="U4746" s="43">
        <f ca="1">_xll.BInterpol('Base CDI'!$H$4:$H$28,'Base CDI'!$I$4:$I$29,S4746,"Cubic","Extrapolate=Linear","MultiX=Average","Skip=True","Sort=True")</f>
        <v>14.461238030095759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50453</v>
      </c>
      <c r="T4747" s="43">
        <f ca="1">_xll.BInterpol('Base CDI'!$H$4:$H$28,'Base CDI'!$J$4:$J$29,S4747,"Cubic","Extrapolate=Linear","MultiX=Average","Skip=True","Sort=True")</f>
        <v>14.502028727770178</v>
      </c>
      <c r="U4747" s="43">
        <f ca="1">_xll.BInterpol('Base CDI'!$H$4:$H$28,'Base CDI'!$I$4:$I$29,S4747,"Cubic","Extrapolate=Linear","MultiX=Average","Skip=True","Sort=True")</f>
        <v>14.460984952120382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50454</v>
      </c>
      <c r="T4748" s="43">
        <f ca="1">_xll.BInterpol('Base CDI'!$H$4:$H$28,'Base CDI'!$J$4:$J$29,S4748,"Cubic","Extrapolate=Linear","MultiX=Average","Skip=True","Sort=True")</f>
        <v>14.501875512995895</v>
      </c>
      <c r="U4748" s="43">
        <f ca="1">_xll.BInterpol('Base CDI'!$H$4:$H$28,'Base CDI'!$I$4:$I$29,S4748,"Cubic","Extrapolate=Linear","MultiX=Average","Skip=True","Sort=True")</f>
        <v>14.460731874145006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50455</v>
      </c>
      <c r="T4749" s="43">
        <f ca="1">_xll.BInterpol('Base CDI'!$H$4:$H$28,'Base CDI'!$J$4:$J$29,S4749,"Cubic","Extrapolate=Linear","MultiX=Average","Skip=True","Sort=True")</f>
        <v>14.501722298221614</v>
      </c>
      <c r="U4749" s="43">
        <f ca="1">_xll.BInterpol('Base CDI'!$H$4:$H$28,'Base CDI'!$I$4:$I$29,S4749,"Cubic","Extrapolate=Linear","MultiX=Average","Skip=True","Sort=True")</f>
        <v>14.46047879616963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50456</v>
      </c>
      <c r="T4750" s="43">
        <f ca="1">_xll.BInterpol('Base CDI'!$H$4:$H$28,'Base CDI'!$J$4:$J$29,S4750,"Cubic","Extrapolate=Linear","MultiX=Average","Skip=True","Sort=True")</f>
        <v>14.501569083447333</v>
      </c>
      <c r="U4750" s="43">
        <f ca="1">_xll.BInterpol('Base CDI'!$H$4:$H$28,'Base CDI'!$I$4:$I$29,S4750,"Cubic","Extrapolate=Linear","MultiX=Average","Skip=True","Sort=True")</f>
        <v>14.460225718194254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50457</v>
      </c>
      <c r="T4751" s="43">
        <f ca="1">_xll.BInterpol('Base CDI'!$H$4:$H$28,'Base CDI'!$J$4:$J$29,S4751,"Cubic","Extrapolate=Linear","MultiX=Average","Skip=True","Sort=True")</f>
        <v>14.50141586867305</v>
      </c>
      <c r="U4751" s="43">
        <f ca="1">_xll.BInterpol('Base CDI'!$H$4:$H$28,'Base CDI'!$I$4:$I$29,S4751,"Cubic","Extrapolate=Linear","MultiX=Average","Skip=True","Sort=True")</f>
        <v>14.459972640218878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50458</v>
      </c>
      <c r="T4752" s="43">
        <f ca="1">_xll.BInterpol('Base CDI'!$H$4:$H$28,'Base CDI'!$J$4:$J$29,S4752,"Cubic","Extrapolate=Linear","MultiX=Average","Skip=True","Sort=True")</f>
        <v>14.501262653898769</v>
      </c>
      <c r="U4752" s="43">
        <f ca="1">_xll.BInterpol('Base CDI'!$H$4:$H$28,'Base CDI'!$I$4:$I$29,S4752,"Cubic","Extrapolate=Linear","MultiX=Average","Skip=True","Sort=True")</f>
        <v>14.459719562243501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50459</v>
      </c>
      <c r="T4753" s="43">
        <f ca="1">_xll.BInterpol('Base CDI'!$H$4:$H$28,'Base CDI'!$J$4:$J$29,S4753,"Cubic","Extrapolate=Linear","MultiX=Average","Skip=True","Sort=True")</f>
        <v>14.501109439124486</v>
      </c>
      <c r="U4753" s="43">
        <f ca="1">_xll.BInterpol('Base CDI'!$H$4:$H$28,'Base CDI'!$I$4:$I$29,S4753,"Cubic","Extrapolate=Linear","MultiX=Average","Skip=True","Sort=True")</f>
        <v>14.459466484268125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50460</v>
      </c>
      <c r="T4754" s="43">
        <f ca="1">_xll.BInterpol('Base CDI'!$H$4:$H$28,'Base CDI'!$J$4:$J$29,S4754,"Cubic","Extrapolate=Linear","MultiX=Average","Skip=True","Sort=True")</f>
        <v>14.500956224350205</v>
      </c>
      <c r="U4754" s="43">
        <f ca="1">_xll.BInterpol('Base CDI'!$H$4:$H$28,'Base CDI'!$I$4:$I$29,S4754,"Cubic","Extrapolate=Linear","MultiX=Average","Skip=True","Sort=True")</f>
        <v>14.459213406292749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50461</v>
      </c>
      <c r="T4755" s="43">
        <f ca="1">_xll.BInterpol('Base CDI'!$H$4:$H$28,'Base CDI'!$J$4:$J$29,S4755,"Cubic","Extrapolate=Linear","MultiX=Average","Skip=True","Sort=True")</f>
        <v>14.500803009575923</v>
      </c>
      <c r="U4755" s="43">
        <f ca="1">_xll.BInterpol('Base CDI'!$H$4:$H$28,'Base CDI'!$I$4:$I$29,S4755,"Cubic","Extrapolate=Linear","MultiX=Average","Skip=True","Sort=True")</f>
        <v>14.458960328317373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50462</v>
      </c>
      <c r="T4756" s="43">
        <f ca="1">_xll.BInterpol('Base CDI'!$H$4:$H$28,'Base CDI'!$J$4:$J$29,S4756,"Cubic","Extrapolate=Linear","MultiX=Average","Skip=True","Sort=True")</f>
        <v>14.500649794801641</v>
      </c>
      <c r="U4756" s="43">
        <f ca="1">_xll.BInterpol('Base CDI'!$H$4:$H$28,'Base CDI'!$I$4:$I$29,S4756,"Cubic","Extrapolate=Linear","MultiX=Average","Skip=True","Sort=True")</f>
        <v>14.458707250341996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50463</v>
      </c>
      <c r="T4757" s="43">
        <f ca="1">_xll.BInterpol('Base CDI'!$H$4:$H$28,'Base CDI'!$J$4:$J$29,S4757,"Cubic","Extrapolate=Linear","MultiX=Average","Skip=True","Sort=True")</f>
        <v>14.50049658002736</v>
      </c>
      <c r="U4757" s="43">
        <f ca="1">_xll.BInterpol('Base CDI'!$H$4:$H$28,'Base CDI'!$I$4:$I$29,S4757,"Cubic","Extrapolate=Linear","MultiX=Average","Skip=True","Sort=True")</f>
        <v>14.45845417236662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50464</v>
      </c>
      <c r="T4758" s="43">
        <f ca="1">_xll.BInterpol('Base CDI'!$H$4:$H$28,'Base CDI'!$J$4:$J$29,S4758,"Cubic","Extrapolate=Linear","MultiX=Average","Skip=True","Sort=True")</f>
        <v>14.500343365253077</v>
      </c>
      <c r="U4758" s="43">
        <f ca="1">_xll.BInterpol('Base CDI'!$H$4:$H$28,'Base CDI'!$I$4:$I$29,S4758,"Cubic","Extrapolate=Linear","MultiX=Average","Skip=True","Sort=True")</f>
        <v>14.458201094391244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50465</v>
      </c>
      <c r="T4759" s="43">
        <f ca="1">_xll.BInterpol('Base CDI'!$H$4:$H$28,'Base CDI'!$J$4:$J$29,S4759,"Cubic","Extrapolate=Linear","MultiX=Average","Skip=True","Sort=True")</f>
        <v>14.500190150478796</v>
      </c>
      <c r="U4759" s="43">
        <f ca="1">_xll.BInterpol('Base CDI'!$H$4:$H$28,'Base CDI'!$I$4:$I$29,S4759,"Cubic","Extrapolate=Linear","MultiX=Average","Skip=True","Sort=True")</f>
        <v>14.457948016415868</v>
      </c>
    </row>
    <row r="4760" spans="16:21" x14ac:dyDescent="0.25">
      <c r="P4760" s="10">
        <v>41437</v>
      </c>
      <c r="Q4760">
        <v>30.59299</v>
      </c>
      <c r="S4760" s="42">
        <f t="shared" ca="1" si="79"/>
        <v>50466</v>
      </c>
      <c r="T4760" s="43">
        <f ca="1">_xll.BInterpol('Base CDI'!$H$4:$H$28,'Base CDI'!$J$4:$J$29,S4760,"Cubic","Extrapolate=Linear","MultiX=Average","Skip=True","Sort=True")</f>
        <v>14.500036935704514</v>
      </c>
      <c r="U4760" s="43">
        <f ca="1">_xll.BInterpol('Base CDI'!$H$4:$H$28,'Base CDI'!$I$4:$I$29,S4760,"Cubic","Extrapolate=Linear","MultiX=Average","Skip=True","Sort=True")</f>
        <v>14.457694938440492</v>
      </c>
    </row>
    <row r="4761" spans="16:21" x14ac:dyDescent="0.25">
      <c r="P4761" s="10">
        <v>41438</v>
      </c>
      <c r="Q4761">
        <v>30.60201</v>
      </c>
      <c r="S4761" s="42">
        <f t="shared" ca="1" si="79"/>
        <v>50467</v>
      </c>
      <c r="T4761" s="43">
        <f ca="1">_xll.BInterpol('Base CDI'!$H$4:$H$28,'Base CDI'!$J$4:$J$29,S4761,"Cubic","Extrapolate=Linear","MultiX=Average","Skip=True","Sort=True")</f>
        <v>14.499883720930232</v>
      </c>
      <c r="U4761" s="43">
        <f ca="1">_xll.BInterpol('Base CDI'!$H$4:$H$28,'Base CDI'!$I$4:$I$29,S4761,"Cubic","Extrapolate=Linear","MultiX=Average","Skip=True","Sort=True")</f>
        <v>14.457441860465115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50468</v>
      </c>
      <c r="T4762" s="43">
        <f ca="1">_xll.BInterpol('Base CDI'!$H$4:$H$28,'Base CDI'!$J$4:$J$29,S4762,"Cubic","Extrapolate=Linear","MultiX=Average","Skip=True","Sort=True")</f>
        <v>14.49973050615595</v>
      </c>
      <c r="U4762" s="43">
        <f ca="1">_xll.BInterpol('Base CDI'!$H$4:$H$28,'Base CDI'!$I$4:$I$29,S4762,"Cubic","Extrapolate=Linear","MultiX=Average","Skip=True","Sort=True")</f>
        <v>14.457188782489739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50469</v>
      </c>
      <c r="T4763" s="43">
        <f ca="1">_xll.BInterpol('Base CDI'!$H$4:$H$28,'Base CDI'!$J$4:$J$29,S4763,"Cubic","Extrapolate=Linear","MultiX=Average","Skip=True","Sort=True")</f>
        <v>14.499577291381668</v>
      </c>
      <c r="U4763" s="43">
        <f ca="1">_xll.BInterpol('Base CDI'!$H$4:$H$28,'Base CDI'!$I$4:$I$29,S4763,"Cubic","Extrapolate=Linear","MultiX=Average","Skip=True","Sort=True")</f>
        <v>14.456935704514363</v>
      </c>
    </row>
    <row r="4764" spans="16:21" x14ac:dyDescent="0.25">
      <c r="P4764" s="10">
        <v>41443</v>
      </c>
      <c r="Q4764">
        <v>30.62912</v>
      </c>
      <c r="S4764" s="42">
        <f t="shared" ca="1" si="79"/>
        <v>50470</v>
      </c>
      <c r="T4764" s="43">
        <f ca="1">_xll.BInterpol('Base CDI'!$H$4:$H$28,'Base CDI'!$J$4:$J$29,S4764,"Cubic","Extrapolate=Linear","MultiX=Average","Skip=True","Sort=True")</f>
        <v>14.499424076607387</v>
      </c>
      <c r="U4764" s="43">
        <f ca="1">_xll.BInterpol('Base CDI'!$H$4:$H$28,'Base CDI'!$I$4:$I$29,S4764,"Cubic","Extrapolate=Linear","MultiX=Average","Skip=True","Sort=True")</f>
        <v>14.456682626538987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50471</v>
      </c>
      <c r="T4765" s="43">
        <f ca="1">_xll.BInterpol('Base CDI'!$H$4:$H$28,'Base CDI'!$J$4:$J$29,S4765,"Cubic","Extrapolate=Linear","MultiX=Average","Skip=True","Sort=True")</f>
        <v>14.499270861833105</v>
      </c>
      <c r="U4765" s="43">
        <f ca="1">_xll.BInterpol('Base CDI'!$H$4:$H$28,'Base CDI'!$I$4:$I$29,S4765,"Cubic","Extrapolate=Linear","MultiX=Average","Skip=True","Sort=True")</f>
        <v>14.456429548563611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50472</v>
      </c>
      <c r="T4766" s="43">
        <f ca="1">_xll.BInterpol('Base CDI'!$H$4:$H$28,'Base CDI'!$J$4:$J$29,S4766,"Cubic","Extrapolate=Linear","MultiX=Average","Skip=True","Sort=True")</f>
        <v>14.499117647058823</v>
      </c>
      <c r="U4766" s="43">
        <f ca="1">_xll.BInterpol('Base CDI'!$H$4:$H$28,'Base CDI'!$I$4:$I$29,S4766,"Cubic","Extrapolate=Linear","MultiX=Average","Skip=True","Sort=True")</f>
        <v>14.456176470588234</v>
      </c>
    </row>
    <row r="4767" spans="16:21" x14ac:dyDescent="0.25">
      <c r="P4767" s="10">
        <v>41446</v>
      </c>
      <c r="Q4767">
        <v>30.65625</v>
      </c>
      <c r="S4767" s="42">
        <f t="shared" ca="1" si="79"/>
        <v>50473</v>
      </c>
      <c r="T4767" s="43">
        <f ca="1">_xll.BInterpol('Base CDI'!$H$4:$H$28,'Base CDI'!$J$4:$J$29,S4767,"Cubic","Extrapolate=Linear","MultiX=Average","Skip=True","Sort=True")</f>
        <v>14.498964432284541</v>
      </c>
      <c r="U4767" s="43">
        <f ca="1">_xll.BInterpol('Base CDI'!$H$4:$H$28,'Base CDI'!$I$4:$I$29,S4767,"Cubic","Extrapolate=Linear","MultiX=Average","Skip=True","Sort=True")</f>
        <v>14.455923392612858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50474</v>
      </c>
      <c r="T4768" s="43">
        <f ca="1">_xll.BInterpol('Base CDI'!$H$4:$H$28,'Base CDI'!$J$4:$J$29,S4768,"Cubic","Extrapolate=Linear","MultiX=Average","Skip=True","Sort=True")</f>
        <v>14.498811217510259</v>
      </c>
      <c r="U4768" s="43">
        <f ca="1">_xll.BInterpol('Base CDI'!$H$4:$H$28,'Base CDI'!$I$4:$I$29,S4768,"Cubic","Extrapolate=Linear","MultiX=Average","Skip=True","Sort=True")</f>
        <v>14.455670314637482</v>
      </c>
    </row>
    <row r="4769" spans="16:21" x14ac:dyDescent="0.25">
      <c r="P4769" s="10">
        <v>41450</v>
      </c>
      <c r="Q4769">
        <v>30.67435</v>
      </c>
      <c r="S4769" s="42">
        <f t="shared" ca="1" si="79"/>
        <v>50475</v>
      </c>
      <c r="T4769" s="43">
        <f ca="1">_xll.BInterpol('Base CDI'!$H$4:$H$28,'Base CDI'!$J$4:$J$29,S4769,"Cubic","Extrapolate=Linear","MultiX=Average","Skip=True","Sort=True")</f>
        <v>14.498658002735977</v>
      </c>
      <c r="U4769" s="43">
        <f ca="1">_xll.BInterpol('Base CDI'!$H$4:$H$28,'Base CDI'!$I$4:$I$29,S4769,"Cubic","Extrapolate=Linear","MultiX=Average","Skip=True","Sort=True")</f>
        <v>14.455417236662106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50476</v>
      </c>
      <c r="T4770" s="43">
        <f ca="1">_xll.BInterpol('Base CDI'!$H$4:$H$28,'Base CDI'!$J$4:$J$29,S4770,"Cubic","Extrapolate=Linear","MultiX=Average","Skip=True","Sort=True")</f>
        <v>14.498504787961696</v>
      </c>
      <c r="U4770" s="43">
        <f ca="1">_xll.BInterpol('Base CDI'!$H$4:$H$28,'Base CDI'!$I$4:$I$29,S4770,"Cubic","Extrapolate=Linear","MultiX=Average","Skip=True","Sort=True")</f>
        <v>14.455164158686729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50477</v>
      </c>
      <c r="T4771" s="43">
        <f ca="1">_xll.BInterpol('Base CDI'!$H$4:$H$28,'Base CDI'!$J$4:$J$29,S4771,"Cubic","Extrapolate=Linear","MultiX=Average","Skip=True","Sort=True")</f>
        <v>14.498351573187414</v>
      </c>
      <c r="U4771" s="43">
        <f ca="1">_xll.BInterpol('Base CDI'!$H$4:$H$28,'Base CDI'!$I$4:$I$29,S4771,"Cubic","Extrapolate=Linear","MultiX=Average","Skip=True","Sort=True")</f>
        <v>14.454911080711353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50478</v>
      </c>
      <c r="T4772" s="43">
        <f ca="1">_xll.BInterpol('Base CDI'!$H$4:$H$28,'Base CDI'!$J$4:$J$29,S4772,"Cubic","Extrapolate=Linear","MultiX=Average","Skip=True","Sort=True")</f>
        <v>14.498198358413132</v>
      </c>
      <c r="U4772" s="43">
        <f ca="1">_xll.BInterpol('Base CDI'!$H$4:$H$28,'Base CDI'!$I$4:$I$29,S4772,"Cubic","Extrapolate=Linear","MultiX=Average","Skip=True","Sort=True")</f>
        <v>14.454658002735977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50479</v>
      </c>
      <c r="T4773" s="43">
        <f ca="1">_xll.BInterpol('Base CDI'!$H$4:$H$28,'Base CDI'!$J$4:$J$29,S4773,"Cubic","Extrapolate=Linear","MultiX=Average","Skip=True","Sort=True")</f>
        <v>14.49804514363885</v>
      </c>
      <c r="U4773" s="43">
        <f ca="1">_xll.BInterpol('Base CDI'!$H$4:$H$28,'Base CDI'!$I$4:$I$29,S4773,"Cubic","Extrapolate=Linear","MultiX=Average","Skip=True","Sort=True")</f>
        <v>14.454404924760601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50480</v>
      </c>
      <c r="T4774" s="43">
        <f ca="1">_xll.BInterpol('Base CDI'!$H$4:$H$28,'Base CDI'!$J$4:$J$29,S4774,"Cubic","Extrapolate=Linear","MultiX=Average","Skip=True","Sort=True")</f>
        <v>14.497891928864568</v>
      </c>
      <c r="U4774" s="43">
        <f ca="1">_xll.BInterpol('Base CDI'!$H$4:$H$28,'Base CDI'!$I$4:$I$29,S4774,"Cubic","Extrapolate=Linear","MultiX=Average","Skip=True","Sort=True")</f>
        <v>14.454151846785225</v>
      </c>
    </row>
    <row r="4775" spans="16:21" x14ac:dyDescent="0.25">
      <c r="P4775" s="10">
        <v>41458</v>
      </c>
      <c r="Q4775">
        <v>30.7287</v>
      </c>
      <c r="S4775" s="42">
        <f t="shared" ca="1" si="79"/>
        <v>50481</v>
      </c>
      <c r="T4775" s="43">
        <f ca="1">_xll.BInterpol('Base CDI'!$H$4:$H$28,'Base CDI'!$J$4:$J$29,S4775,"Cubic","Extrapolate=Linear","MultiX=Average","Skip=True","Sort=True")</f>
        <v>14.497738714090287</v>
      </c>
      <c r="U4775" s="43">
        <f ca="1">_xll.BInterpol('Base CDI'!$H$4:$H$28,'Base CDI'!$I$4:$I$29,S4775,"Cubic","Extrapolate=Linear","MultiX=Average","Skip=True","Sort=True")</f>
        <v>14.453898768809848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50482</v>
      </c>
      <c r="T4776" s="43">
        <f ca="1">_xll.BInterpol('Base CDI'!$H$4:$H$28,'Base CDI'!$J$4:$J$29,S4776,"Cubic","Extrapolate=Linear","MultiX=Average","Skip=True","Sort=True")</f>
        <v>14.497585499316004</v>
      </c>
      <c r="U4776" s="43">
        <f ca="1">_xll.BInterpol('Base CDI'!$H$4:$H$28,'Base CDI'!$I$4:$I$29,S4776,"Cubic","Extrapolate=Linear","MultiX=Average","Skip=True","Sort=True")</f>
        <v>14.453645690834472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50483</v>
      </c>
      <c r="T4777" s="43">
        <f ca="1">_xll.BInterpol('Base CDI'!$H$4:$H$28,'Base CDI'!$J$4:$J$29,S4777,"Cubic","Extrapolate=Linear","MultiX=Average","Skip=True","Sort=True")</f>
        <v>14.497432284541723</v>
      </c>
      <c r="U4777" s="43">
        <f ca="1">_xll.BInterpol('Base CDI'!$H$4:$H$28,'Base CDI'!$I$4:$I$29,S4777,"Cubic","Extrapolate=Linear","MultiX=Average","Skip=True","Sort=True")</f>
        <v>14.453392612859096</v>
      </c>
    </row>
    <row r="4778" spans="16:21" x14ac:dyDescent="0.25">
      <c r="P4778" s="10">
        <v>41463</v>
      </c>
      <c r="Q4778">
        <v>30.75592</v>
      </c>
      <c r="S4778" s="42">
        <f t="shared" ca="1" si="79"/>
        <v>50484</v>
      </c>
      <c r="T4778" s="43">
        <f ca="1">_xll.BInterpol('Base CDI'!$H$4:$H$28,'Base CDI'!$J$4:$J$29,S4778,"Cubic","Extrapolate=Linear","MultiX=Average","Skip=True","Sort=True")</f>
        <v>14.497279069767441</v>
      </c>
      <c r="U4778" s="43">
        <f ca="1">_xll.BInterpol('Base CDI'!$H$4:$H$28,'Base CDI'!$I$4:$I$29,S4778,"Cubic","Extrapolate=Linear","MultiX=Average","Skip=True","Sort=True")</f>
        <v>14.45313953488372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50485</v>
      </c>
      <c r="T4779" s="43">
        <f ca="1">_xll.BInterpol('Base CDI'!$H$4:$H$28,'Base CDI'!$J$4:$J$29,S4779,"Cubic","Extrapolate=Linear","MultiX=Average","Skip=True","Sort=True")</f>
        <v>14.497125854993159</v>
      </c>
      <c r="U4779" s="43">
        <f ca="1">_xll.BInterpol('Base CDI'!$H$4:$H$28,'Base CDI'!$I$4:$I$29,S4779,"Cubic","Extrapolate=Linear","MultiX=Average","Skip=True","Sort=True")</f>
        <v>14.452886456908344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50486</v>
      </c>
      <c r="T4780" s="43">
        <f ca="1">_xll.BInterpol('Base CDI'!$H$4:$H$28,'Base CDI'!$J$4:$J$29,S4780,"Cubic","Extrapolate=Linear","MultiX=Average","Skip=True","Sort=True")</f>
        <v>14.496972640218878</v>
      </c>
      <c r="U4780" s="43">
        <f ca="1">_xll.BInterpol('Base CDI'!$H$4:$H$28,'Base CDI'!$I$4:$I$29,S4780,"Cubic","Extrapolate=Linear","MultiX=Average","Skip=True","Sort=True")</f>
        <v>14.452633378932967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50487</v>
      </c>
      <c r="T4781" s="43">
        <f ca="1">_xll.BInterpol('Base CDI'!$H$4:$H$28,'Base CDI'!$J$4:$J$29,S4781,"Cubic","Extrapolate=Linear","MultiX=Average","Skip=True","Sort=True")</f>
        <v>14.496819425444595</v>
      </c>
      <c r="U4781" s="43">
        <f ca="1">_xll.BInterpol('Base CDI'!$H$4:$H$28,'Base CDI'!$I$4:$I$29,S4781,"Cubic","Extrapolate=Linear","MultiX=Average","Skip=True","Sort=True")</f>
        <v>14.452380300957591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50488</v>
      </c>
      <c r="T4782" s="43">
        <f ca="1">_xll.BInterpol('Base CDI'!$H$4:$H$28,'Base CDI'!$J$4:$J$29,S4782,"Cubic","Extrapolate=Linear","MultiX=Average","Skip=True","Sort=True")</f>
        <v>14.496666210670314</v>
      </c>
      <c r="U4782" s="43">
        <f ca="1">_xll.BInterpol('Base CDI'!$H$4:$H$28,'Base CDI'!$I$4:$I$29,S4782,"Cubic","Extrapolate=Linear","MultiX=Average","Skip=True","Sort=True")</f>
        <v>14.452127222982215</v>
      </c>
    </row>
    <row r="4783" spans="16:21" x14ac:dyDescent="0.25">
      <c r="P4783" s="10">
        <v>41470</v>
      </c>
      <c r="Q4783">
        <v>30.80247</v>
      </c>
      <c r="S4783" s="42">
        <f t="shared" ca="1" si="79"/>
        <v>50489</v>
      </c>
      <c r="T4783" s="43">
        <f ca="1">_xll.BInterpol('Base CDI'!$H$4:$H$28,'Base CDI'!$J$4:$J$29,S4783,"Cubic","Extrapolate=Linear","MultiX=Average","Skip=True","Sort=True")</f>
        <v>14.496512995896031</v>
      </c>
      <c r="U4783" s="43">
        <f ca="1">_xll.BInterpol('Base CDI'!$H$4:$H$28,'Base CDI'!$I$4:$I$29,S4783,"Cubic","Extrapolate=Linear","MultiX=Average","Skip=True","Sort=True")</f>
        <v>14.451874145006839</v>
      </c>
    </row>
    <row r="4784" spans="16:21" x14ac:dyDescent="0.25">
      <c r="P4784" s="10">
        <v>41471</v>
      </c>
      <c r="Q4784">
        <v>30.81212</v>
      </c>
      <c r="S4784" s="42">
        <f t="shared" ca="1" si="79"/>
        <v>50490</v>
      </c>
      <c r="T4784" s="43">
        <f ca="1">_xll.BInterpol('Base CDI'!$H$4:$H$28,'Base CDI'!$J$4:$J$29,S4784,"Cubic","Extrapolate=Linear","MultiX=Average","Skip=True","Sort=True")</f>
        <v>14.49635978112175</v>
      </c>
      <c r="U4784" s="43">
        <f ca="1">_xll.BInterpol('Base CDI'!$H$4:$H$28,'Base CDI'!$I$4:$I$29,S4784,"Cubic","Extrapolate=Linear","MultiX=Average","Skip=True","Sort=True")</f>
        <v>14.451621067031462</v>
      </c>
    </row>
    <row r="4785" spans="16:21" x14ac:dyDescent="0.25">
      <c r="P4785" s="10">
        <v>41472</v>
      </c>
      <c r="Q4785">
        <v>30.82178</v>
      </c>
      <c r="S4785" s="42">
        <f t="shared" ca="1" si="79"/>
        <v>50491</v>
      </c>
      <c r="T4785" s="43">
        <f ca="1">_xll.BInterpol('Base CDI'!$H$4:$H$28,'Base CDI'!$J$4:$J$29,S4785,"Cubic","Extrapolate=Linear","MultiX=Average","Skip=True","Sort=True")</f>
        <v>14.496206566347469</v>
      </c>
      <c r="U4785" s="43">
        <f ca="1">_xll.BInterpol('Base CDI'!$H$4:$H$28,'Base CDI'!$I$4:$I$29,S4785,"Cubic","Extrapolate=Linear","MultiX=Average","Skip=True","Sort=True")</f>
        <v>14.451367989056086</v>
      </c>
    </row>
    <row r="4786" spans="16:21" x14ac:dyDescent="0.25">
      <c r="P4786" s="10">
        <v>41473</v>
      </c>
      <c r="Q4786">
        <v>30.83145</v>
      </c>
      <c r="S4786" s="42">
        <f t="shared" ca="1" si="79"/>
        <v>50492</v>
      </c>
      <c r="T4786" s="43">
        <f ca="1">_xll.BInterpol('Base CDI'!$H$4:$H$28,'Base CDI'!$J$4:$J$29,S4786,"Cubic","Extrapolate=Linear","MultiX=Average","Skip=True","Sort=True")</f>
        <v>14.496053351573186</v>
      </c>
      <c r="U4786" s="43">
        <f ca="1">_xll.BInterpol('Base CDI'!$H$4:$H$28,'Base CDI'!$I$4:$I$29,S4786,"Cubic","Extrapolate=Linear","MultiX=Average","Skip=True","Sort=True")</f>
        <v>14.45111491108071</v>
      </c>
    </row>
    <row r="4787" spans="16:21" x14ac:dyDescent="0.25">
      <c r="P4787" s="10">
        <v>41474</v>
      </c>
      <c r="Q4787">
        <v>30.84111</v>
      </c>
      <c r="S4787" s="42">
        <f t="shared" ca="1" si="79"/>
        <v>50493</v>
      </c>
      <c r="T4787" s="43">
        <f ca="1">_xll.BInterpol('Base CDI'!$H$4:$H$28,'Base CDI'!$J$4:$J$29,S4787,"Cubic","Extrapolate=Linear","MultiX=Average","Skip=True","Sort=True")</f>
        <v>14.495900136798905</v>
      </c>
      <c r="U4787" s="43">
        <f ca="1">_xll.BInterpol('Base CDI'!$H$4:$H$28,'Base CDI'!$I$4:$I$29,S4787,"Cubic","Extrapolate=Linear","MultiX=Average","Skip=True","Sort=True")</f>
        <v>14.450861833105334</v>
      </c>
    </row>
    <row r="4788" spans="16:21" x14ac:dyDescent="0.25">
      <c r="P4788" s="10">
        <v>41477</v>
      </c>
      <c r="Q4788">
        <v>30.85078</v>
      </c>
      <c r="S4788" s="42">
        <f t="shared" ca="1" si="79"/>
        <v>50494</v>
      </c>
      <c r="T4788" s="43">
        <f ca="1">_xll.BInterpol('Base CDI'!$H$4:$H$28,'Base CDI'!$J$4:$J$29,S4788,"Cubic","Extrapolate=Linear","MultiX=Average","Skip=True","Sort=True")</f>
        <v>14.495746922024622</v>
      </c>
      <c r="U4788" s="43">
        <f ca="1">_xll.BInterpol('Base CDI'!$H$4:$H$28,'Base CDI'!$I$4:$I$29,S4788,"Cubic","Extrapolate=Linear","MultiX=Average","Skip=True","Sort=True")</f>
        <v>14.450608755129958</v>
      </c>
    </row>
    <row r="4789" spans="16:21" x14ac:dyDescent="0.25">
      <c r="P4789" s="10">
        <v>41478</v>
      </c>
      <c r="Q4789">
        <v>30.86046</v>
      </c>
      <c r="S4789" s="42">
        <f t="shared" ca="1" si="79"/>
        <v>50495</v>
      </c>
      <c r="T4789" s="43">
        <f ca="1">_xll.BInterpol('Base CDI'!$H$4:$H$28,'Base CDI'!$J$4:$J$29,S4789,"Cubic","Extrapolate=Linear","MultiX=Average","Skip=True","Sort=True")</f>
        <v>14.495593707250341</v>
      </c>
      <c r="U4789" s="43">
        <f ca="1">_xll.BInterpol('Base CDI'!$H$4:$H$28,'Base CDI'!$I$4:$I$29,S4789,"Cubic","Extrapolate=Linear","MultiX=Average","Skip=True","Sort=True")</f>
        <v>14.450355677154581</v>
      </c>
    </row>
    <row r="4790" spans="16:21" x14ac:dyDescent="0.25">
      <c r="P4790" s="10">
        <v>41479</v>
      </c>
      <c r="Q4790">
        <v>30.87013</v>
      </c>
      <c r="S4790" s="42">
        <f t="shared" ca="1" si="79"/>
        <v>50496</v>
      </c>
      <c r="T4790" s="43">
        <f ca="1">_xll.BInterpol('Base CDI'!$H$4:$H$28,'Base CDI'!$J$4:$J$29,S4790,"Cubic","Extrapolate=Linear","MultiX=Average","Skip=True","Sort=True")</f>
        <v>14.49544049247606</v>
      </c>
      <c r="U4790" s="43">
        <f ca="1">_xll.BInterpol('Base CDI'!$H$4:$H$28,'Base CDI'!$I$4:$I$29,S4790,"Cubic","Extrapolate=Linear","MultiX=Average","Skip=True","Sort=True")</f>
        <v>14.450102599179205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50497</v>
      </c>
      <c r="T4791" s="43">
        <f ca="1">_xll.BInterpol('Base CDI'!$H$4:$H$28,'Base CDI'!$J$4:$J$29,S4791,"Cubic","Extrapolate=Linear","MultiX=Average","Skip=True","Sort=True")</f>
        <v>14.495287277701777</v>
      </c>
      <c r="U4791" s="43">
        <f ca="1">_xll.BInterpol('Base CDI'!$H$4:$H$28,'Base CDI'!$I$4:$I$29,S4791,"Cubic","Extrapolate=Linear","MultiX=Average","Skip=True","Sort=True")</f>
        <v>14.449849521203829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50498</v>
      </c>
      <c r="T4792" s="43">
        <f ca="1">_xll.BInterpol('Base CDI'!$H$4:$H$28,'Base CDI'!$J$4:$J$29,S4792,"Cubic","Extrapolate=Linear","MultiX=Average","Skip=True","Sort=True")</f>
        <v>14.495134062927496</v>
      </c>
      <c r="U4792" s="43">
        <f ca="1">_xll.BInterpol('Base CDI'!$H$4:$H$28,'Base CDI'!$I$4:$I$29,S4792,"Cubic","Extrapolate=Linear","MultiX=Average","Skip=True","Sort=True")</f>
        <v>14.449596443228453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50499</v>
      </c>
      <c r="T4793" s="43">
        <f ca="1">_xll.BInterpol('Base CDI'!$H$4:$H$28,'Base CDI'!$J$4:$J$29,S4793,"Cubic","Extrapolate=Linear","MultiX=Average","Skip=True","Sort=True")</f>
        <v>14.494980848153213</v>
      </c>
      <c r="U4793" s="43">
        <f ca="1">_xll.BInterpol('Base CDI'!$H$4:$H$28,'Base CDI'!$I$4:$I$29,S4793,"Cubic","Extrapolate=Linear","MultiX=Average","Skip=True","Sort=True")</f>
        <v>14.449343365253076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50500</v>
      </c>
      <c r="T4794" s="43">
        <f ca="1">_xll.BInterpol('Base CDI'!$H$4:$H$28,'Base CDI'!$J$4:$J$29,S4794,"Cubic","Extrapolate=Linear","MultiX=Average","Skip=True","Sort=True")</f>
        <v>14.494827633378932</v>
      </c>
      <c r="U4794" s="43">
        <f ca="1">_xll.BInterpol('Base CDI'!$H$4:$H$28,'Base CDI'!$I$4:$I$29,S4794,"Cubic","Extrapolate=Linear","MultiX=Average","Skip=True","Sort=True")</f>
        <v>14.4490902872777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50501</v>
      </c>
      <c r="T4795" s="43">
        <f ca="1">_xll.BInterpol('Base CDI'!$H$4:$H$28,'Base CDI'!$J$4:$J$29,S4795,"Cubic","Extrapolate=Linear","MultiX=Average","Skip=True","Sort=True")</f>
        <v>14.494674418604651</v>
      </c>
      <c r="U4795" s="43">
        <f ca="1">_xll.BInterpol('Base CDI'!$H$4:$H$28,'Base CDI'!$I$4:$I$29,S4795,"Cubic","Extrapolate=Linear","MultiX=Average","Skip=True","Sort=True")</f>
        <v>14.448837209302324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50502</v>
      </c>
      <c r="T4796" s="43">
        <f ca="1">_xll.BInterpol('Base CDI'!$H$4:$H$28,'Base CDI'!$J$4:$J$29,S4796,"Cubic","Extrapolate=Linear","MultiX=Average","Skip=True","Sort=True")</f>
        <v>14.494521203830368</v>
      </c>
      <c r="U4796" s="43">
        <f ca="1">_xll.BInterpol('Base CDI'!$H$4:$H$28,'Base CDI'!$I$4:$I$29,S4796,"Cubic","Extrapolate=Linear","MultiX=Average","Skip=True","Sort=True")</f>
        <v>14.448584131326948</v>
      </c>
    </row>
    <row r="4797" spans="16:21" x14ac:dyDescent="0.25">
      <c r="P4797" s="10">
        <v>41488</v>
      </c>
      <c r="Q4797">
        <v>30.93796</v>
      </c>
      <c r="S4797" s="42">
        <f t="shared" ca="1" si="79"/>
        <v>50503</v>
      </c>
      <c r="T4797" s="43">
        <f ca="1">_xll.BInterpol('Base CDI'!$H$4:$H$28,'Base CDI'!$J$4:$J$29,S4797,"Cubic","Extrapolate=Linear","MultiX=Average","Skip=True","Sort=True")</f>
        <v>14.494367989056087</v>
      </c>
      <c r="U4797" s="43">
        <f ca="1">_xll.BInterpol('Base CDI'!$H$4:$H$28,'Base CDI'!$I$4:$I$29,S4797,"Cubic","Extrapolate=Linear","MultiX=Average","Skip=True","Sort=True")</f>
        <v>14.448331053351572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50504</v>
      </c>
      <c r="T4798" s="43">
        <f ca="1">_xll.BInterpol('Base CDI'!$H$4:$H$28,'Base CDI'!$J$4:$J$29,S4798,"Cubic","Extrapolate=Linear","MultiX=Average","Skip=True","Sort=True")</f>
        <v>14.494214774281804</v>
      </c>
      <c r="U4798" s="43">
        <f ca="1">_xll.BInterpol('Base CDI'!$H$4:$H$28,'Base CDI'!$I$4:$I$29,S4798,"Cubic","Extrapolate=Linear","MultiX=Average","Skip=True","Sort=True")</f>
        <v>14.448077975376195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50505</v>
      </c>
      <c r="T4799" s="43">
        <f ca="1">_xll.BInterpol('Base CDI'!$H$4:$H$28,'Base CDI'!$J$4:$J$29,S4799,"Cubic","Extrapolate=Linear","MultiX=Average","Skip=True","Sort=True")</f>
        <v>14.494061559507523</v>
      </c>
      <c r="U4799" s="43">
        <f ca="1">_xll.BInterpol('Base CDI'!$H$4:$H$28,'Base CDI'!$I$4:$I$29,S4799,"Cubic","Extrapolate=Linear","MultiX=Average","Skip=True","Sort=True")</f>
        <v>14.447824897400819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50506</v>
      </c>
      <c r="T4800" s="43">
        <f ca="1">_xll.BInterpol('Base CDI'!$H$4:$H$28,'Base CDI'!$J$4:$J$29,S4800,"Cubic","Extrapolate=Linear","MultiX=Average","Skip=True","Sort=True")</f>
        <v>14.493908344733242</v>
      </c>
      <c r="U4800" s="43">
        <f ca="1">_xll.BInterpol('Base CDI'!$H$4:$H$28,'Base CDI'!$I$4:$I$29,S4800,"Cubic","Extrapolate=Linear","MultiX=Average","Skip=True","Sort=True")</f>
        <v>14.447571819425443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50507</v>
      </c>
      <c r="T4801" s="43">
        <f ca="1">_xll.BInterpol('Base CDI'!$H$4:$H$28,'Base CDI'!$J$4:$J$29,S4801,"Cubic","Extrapolate=Linear","MultiX=Average","Skip=True","Sort=True")</f>
        <v>14.493755129958959</v>
      </c>
      <c r="U4801" s="43">
        <f ca="1">_xll.BInterpol('Base CDI'!$H$4:$H$28,'Base CDI'!$I$4:$I$29,S4801,"Cubic","Extrapolate=Linear","MultiX=Average","Skip=True","Sort=True")</f>
        <v>14.447318741450067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50508</v>
      </c>
      <c r="T4802" s="43">
        <f ca="1">_xll.BInterpol('Base CDI'!$H$4:$H$28,'Base CDI'!$J$4:$J$29,S4802,"Cubic","Extrapolate=Linear","MultiX=Average","Skip=True","Sort=True")</f>
        <v>14.493601915184678</v>
      </c>
      <c r="U4802" s="43">
        <f ca="1">_xll.BInterpol('Base CDI'!$H$4:$H$28,'Base CDI'!$I$4:$I$29,S4802,"Cubic","Extrapolate=Linear","MultiX=Average","Skip=True","Sort=True")</f>
        <v>14.447065663474691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50509</v>
      </c>
      <c r="T4803" s="43">
        <f ca="1">_xll.BInterpol('Base CDI'!$H$4:$H$28,'Base CDI'!$J$4:$J$29,S4803,"Cubic","Extrapolate=Linear","MultiX=Average","Skip=True","Sort=True")</f>
        <v>14.493448700410395</v>
      </c>
      <c r="U4803" s="43">
        <f ca="1">_xll.BInterpol('Base CDI'!$H$4:$H$28,'Base CDI'!$I$4:$I$29,S4803,"Cubic","Extrapolate=Linear","MultiX=Average","Skip=True","Sort=True")</f>
        <v>14.446812585499314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50510</v>
      </c>
      <c r="T4804" s="43">
        <f ca="1">_xll.BInterpol('Base CDI'!$H$4:$H$28,'Base CDI'!$J$4:$J$29,S4804,"Cubic","Extrapolate=Linear","MultiX=Average","Skip=True","Sort=True")</f>
        <v>14.493295485636114</v>
      </c>
      <c r="U4804" s="43">
        <f ca="1">_xll.BInterpol('Base CDI'!$H$4:$H$28,'Base CDI'!$I$4:$I$29,S4804,"Cubic","Extrapolate=Linear","MultiX=Average","Skip=True","Sort=True")</f>
        <v>14.44655950752394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50511</v>
      </c>
      <c r="T4805" s="43">
        <f ca="1">_xll.BInterpol('Base CDI'!$H$4:$H$28,'Base CDI'!$J$4:$J$29,S4805,"Cubic","Extrapolate=Linear","MultiX=Average","Skip=True","Sort=True")</f>
        <v>14.493142270861833</v>
      </c>
      <c r="U4805" s="43">
        <f ca="1">_xll.BInterpol('Base CDI'!$H$4:$H$28,'Base CDI'!$I$4:$I$29,S4805,"Cubic","Extrapolate=Linear","MultiX=Average","Skip=True","Sort=True")</f>
        <v>14.446306429548564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50512</v>
      </c>
      <c r="T4806" s="43">
        <f ca="1">_xll.BInterpol('Base CDI'!$H$4:$H$28,'Base CDI'!$J$4:$J$29,S4806,"Cubic","Extrapolate=Linear","MultiX=Average","Skip=True","Sort=True")</f>
        <v>14.49298905608755</v>
      </c>
      <c r="U4806" s="43">
        <f ca="1">_xll.BInterpol('Base CDI'!$H$4:$H$28,'Base CDI'!$I$4:$I$29,S4806,"Cubic","Extrapolate=Linear","MultiX=Average","Skip=True","Sort=True")</f>
        <v>14.446053351573187</v>
      </c>
    </row>
    <row r="4807" spans="16:21" x14ac:dyDescent="0.25">
      <c r="P4807" s="10">
        <v>41502</v>
      </c>
      <c r="Q4807">
        <v>31.0351</v>
      </c>
      <c r="S4807" s="42">
        <f t="shared" ca="1" si="79"/>
        <v>50513</v>
      </c>
      <c r="T4807" s="43">
        <f ca="1">_xll.BInterpol('Base CDI'!$H$4:$H$28,'Base CDI'!$J$4:$J$29,S4807,"Cubic","Extrapolate=Linear","MultiX=Average","Skip=True","Sort=True")</f>
        <v>14.492835841313269</v>
      </c>
      <c r="U4807" s="43">
        <f ca="1">_xll.BInterpol('Base CDI'!$H$4:$H$28,'Base CDI'!$I$4:$I$29,S4807,"Cubic","Extrapolate=Linear","MultiX=Average","Skip=True","Sort=True")</f>
        <v>14.445800273597811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50514</v>
      </c>
      <c r="T4808" s="43">
        <f ca="1">_xll.BInterpol('Base CDI'!$H$4:$H$28,'Base CDI'!$J$4:$J$29,S4808,"Cubic","Extrapolate=Linear","MultiX=Average","Skip=True","Sort=True")</f>
        <v>14.492682626538986</v>
      </c>
      <c r="U4808" s="43">
        <f ca="1">_xll.BInterpol('Base CDI'!$H$4:$H$28,'Base CDI'!$I$4:$I$29,S4808,"Cubic","Extrapolate=Linear","MultiX=Average","Skip=True","Sort=True")</f>
        <v>14.445547195622435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50515</v>
      </c>
      <c r="T4809" s="43">
        <f ca="1">_xll.BInterpol('Base CDI'!$H$4:$H$28,'Base CDI'!$J$4:$J$29,S4809,"Cubic","Extrapolate=Linear","MultiX=Average","Skip=True","Sort=True")</f>
        <v>14.492529411764705</v>
      </c>
      <c r="U4809" s="43">
        <f ca="1">_xll.BInterpol('Base CDI'!$H$4:$H$28,'Base CDI'!$I$4:$I$29,S4809,"Cubic","Extrapolate=Linear","MultiX=Average","Skip=True","Sort=True")</f>
        <v>14.445294117647059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50516</v>
      </c>
      <c r="T4810" s="43">
        <f ca="1">_xll.BInterpol('Base CDI'!$H$4:$H$28,'Base CDI'!$J$4:$J$29,S4810,"Cubic","Extrapolate=Linear","MultiX=Average","Skip=True","Sort=True")</f>
        <v>14.492376196990424</v>
      </c>
      <c r="U4810" s="43">
        <f ca="1">_xll.BInterpol('Base CDI'!$H$4:$H$28,'Base CDI'!$I$4:$I$29,S4810,"Cubic","Extrapolate=Linear","MultiX=Average","Skip=True","Sort=True")</f>
        <v>14.445041039671683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50517</v>
      </c>
      <c r="T4811" s="43">
        <f ca="1">_xll.BInterpol('Base CDI'!$H$4:$H$28,'Base CDI'!$J$4:$J$29,S4811,"Cubic","Extrapolate=Linear","MultiX=Average","Skip=True","Sort=True")</f>
        <v>14.492222982216141</v>
      </c>
      <c r="U4811" s="43">
        <f ca="1">_xll.BInterpol('Base CDI'!$H$4:$H$28,'Base CDI'!$I$4:$I$29,S4811,"Cubic","Extrapolate=Linear","MultiX=Average","Skip=True","Sort=True")</f>
        <v>14.444787961696306</v>
      </c>
    </row>
    <row r="4812" spans="16:21" x14ac:dyDescent="0.25">
      <c r="P4812" s="10">
        <v>41509</v>
      </c>
      <c r="Q4812">
        <v>31.08379</v>
      </c>
      <c r="S4812" s="42">
        <f t="shared" ca="1" si="80"/>
        <v>50518</v>
      </c>
      <c r="T4812" s="43">
        <f ca="1">_xll.BInterpol('Base CDI'!$H$4:$H$28,'Base CDI'!$J$4:$J$29,S4812,"Cubic","Extrapolate=Linear","MultiX=Average","Skip=True","Sort=True")</f>
        <v>14.49206976744186</v>
      </c>
      <c r="U4812" s="43">
        <f ca="1">_xll.BInterpol('Base CDI'!$H$4:$H$28,'Base CDI'!$I$4:$I$29,S4812,"Cubic","Extrapolate=Linear","MultiX=Average","Skip=True","Sort=True")</f>
        <v>14.44453488372093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50519</v>
      </c>
      <c r="T4813" s="43">
        <f ca="1">_xll.BInterpol('Base CDI'!$H$4:$H$28,'Base CDI'!$J$4:$J$29,S4813,"Cubic","Extrapolate=Linear","MultiX=Average","Skip=True","Sort=True")</f>
        <v>14.491916552667577</v>
      </c>
      <c r="U4813" s="43">
        <f ca="1">_xll.BInterpol('Base CDI'!$H$4:$H$28,'Base CDI'!$I$4:$I$29,S4813,"Cubic","Extrapolate=Linear","MultiX=Average","Skip=True","Sort=True")</f>
        <v>14.444281805745554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50520</v>
      </c>
      <c r="T4814" s="43">
        <f ca="1">_xll.BInterpol('Base CDI'!$H$4:$H$28,'Base CDI'!$J$4:$J$29,S4814,"Cubic","Extrapolate=Linear","MultiX=Average","Skip=True","Sort=True")</f>
        <v>14.491763337893296</v>
      </c>
      <c r="U4814" s="43">
        <f ca="1">_xll.BInterpol('Base CDI'!$H$4:$H$28,'Base CDI'!$I$4:$I$29,S4814,"Cubic","Extrapolate=Linear","MultiX=Average","Skip=True","Sort=True")</f>
        <v>14.444028727770178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50521</v>
      </c>
      <c r="T4815" s="43">
        <f ca="1">_xll.BInterpol('Base CDI'!$H$4:$H$28,'Base CDI'!$J$4:$J$29,S4815,"Cubic","Extrapolate=Linear","MultiX=Average","Skip=True","Sort=True")</f>
        <v>14.491610123119015</v>
      </c>
      <c r="U4815" s="43">
        <f ca="1">_xll.BInterpol('Base CDI'!$H$4:$H$28,'Base CDI'!$I$4:$I$29,S4815,"Cubic","Extrapolate=Linear","MultiX=Average","Skip=True","Sort=True")</f>
        <v>14.443775649794802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50522</v>
      </c>
      <c r="T4816" s="43">
        <f ca="1">_xll.BInterpol('Base CDI'!$H$4:$H$28,'Base CDI'!$J$4:$J$29,S4816,"Cubic","Extrapolate=Linear","MultiX=Average","Skip=True","Sort=True")</f>
        <v>14.491456908344732</v>
      </c>
      <c r="U4816" s="43">
        <f ca="1">_xll.BInterpol('Base CDI'!$H$4:$H$28,'Base CDI'!$I$4:$I$29,S4816,"Cubic","Extrapolate=Linear","MultiX=Average","Skip=True","Sort=True")</f>
        <v>14.443522571819425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50523</v>
      </c>
      <c r="T4817" s="43">
        <f ca="1">_xll.BInterpol('Base CDI'!$H$4:$H$28,'Base CDI'!$J$4:$J$29,S4817,"Cubic","Extrapolate=Linear","MultiX=Average","Skip=True","Sort=True")</f>
        <v>14.491303693570451</v>
      </c>
      <c r="U4817" s="43">
        <f ca="1">_xll.BInterpol('Base CDI'!$H$4:$H$28,'Base CDI'!$I$4:$I$29,S4817,"Cubic","Extrapolate=Linear","MultiX=Average","Skip=True","Sort=True")</f>
        <v>14.443269493844049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50524</v>
      </c>
      <c r="T4818" s="43">
        <f ca="1">_xll.BInterpol('Base CDI'!$H$4:$H$28,'Base CDI'!$J$4:$J$29,S4818,"Cubic","Extrapolate=Linear","MultiX=Average","Skip=True","Sort=True")</f>
        <v>14.491150478796168</v>
      </c>
      <c r="U4818" s="43">
        <f ca="1">_xll.BInterpol('Base CDI'!$H$4:$H$28,'Base CDI'!$I$4:$I$29,S4818,"Cubic","Extrapolate=Linear","MultiX=Average","Skip=True","Sort=True")</f>
        <v>14.443016415868673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50525</v>
      </c>
      <c r="T4819" s="43">
        <f ca="1">_xll.BInterpol('Base CDI'!$H$4:$H$28,'Base CDI'!$J$4:$J$29,S4819,"Cubic","Extrapolate=Linear","MultiX=Average","Skip=True","Sort=True")</f>
        <v>14.490997264021887</v>
      </c>
      <c r="U4819" s="43">
        <f ca="1">_xll.BInterpol('Base CDI'!$H$4:$H$28,'Base CDI'!$I$4:$I$29,S4819,"Cubic","Extrapolate=Linear","MultiX=Average","Skip=True","Sort=True")</f>
        <v>14.442763337893297</v>
      </c>
    </row>
    <row r="4820" spans="16:21" x14ac:dyDescent="0.25">
      <c r="P4820" s="10">
        <v>41521</v>
      </c>
      <c r="Q4820">
        <v>31.16412</v>
      </c>
      <c r="S4820" s="42">
        <f t="shared" ca="1" si="80"/>
        <v>50526</v>
      </c>
      <c r="T4820" s="43">
        <f ca="1">_xll.BInterpol('Base CDI'!$H$4:$H$28,'Base CDI'!$J$4:$J$29,S4820,"Cubic","Extrapolate=Linear","MultiX=Average","Skip=True","Sort=True")</f>
        <v>14.490844049247606</v>
      </c>
      <c r="U4820" s="43">
        <f ca="1">_xll.BInterpol('Base CDI'!$H$4:$H$28,'Base CDI'!$I$4:$I$29,S4820,"Cubic","Extrapolate=Linear","MultiX=Average","Skip=True","Sort=True")</f>
        <v>14.44251025991792</v>
      </c>
    </row>
    <row r="4821" spans="16:21" x14ac:dyDescent="0.25">
      <c r="P4821" s="10">
        <v>41522</v>
      </c>
      <c r="Q4821">
        <v>31.17446</v>
      </c>
      <c r="S4821" s="42">
        <f t="shared" ca="1" si="80"/>
        <v>50527</v>
      </c>
      <c r="T4821" s="43">
        <f ca="1">_xll.BInterpol('Base CDI'!$H$4:$H$28,'Base CDI'!$J$4:$J$29,S4821,"Cubic","Extrapolate=Linear","MultiX=Average","Skip=True","Sort=True")</f>
        <v>14.490690834473323</v>
      </c>
      <c r="U4821" s="43">
        <f ca="1">_xll.BInterpol('Base CDI'!$H$4:$H$28,'Base CDI'!$I$4:$I$29,S4821,"Cubic","Extrapolate=Linear","MultiX=Average","Skip=True","Sort=True")</f>
        <v>14.442257181942544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50528</v>
      </c>
      <c r="T4822" s="43">
        <f ca="1">_xll.BInterpol('Base CDI'!$H$4:$H$28,'Base CDI'!$J$4:$J$29,S4822,"Cubic","Extrapolate=Linear","MultiX=Average","Skip=True","Sort=True")</f>
        <v>14.490537619699042</v>
      </c>
      <c r="U4822" s="43">
        <f ca="1">_xll.BInterpol('Base CDI'!$H$4:$H$28,'Base CDI'!$I$4:$I$29,S4822,"Cubic","Extrapolate=Linear","MultiX=Average","Skip=True","Sort=True")</f>
        <v>14.442004103967168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50529</v>
      </c>
      <c r="T4823" s="43">
        <f ca="1">_xll.BInterpol('Base CDI'!$H$4:$H$28,'Base CDI'!$J$4:$J$29,S4823,"Cubic","Extrapolate=Linear","MultiX=Average","Skip=True","Sort=True")</f>
        <v>14.490384404924759</v>
      </c>
      <c r="U4823" s="43">
        <f ca="1">_xll.BInterpol('Base CDI'!$H$4:$H$28,'Base CDI'!$I$4:$I$29,S4823,"Cubic","Extrapolate=Linear","MultiX=Average","Skip=True","Sort=True")</f>
        <v>14.441751025991792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50530</v>
      </c>
      <c r="T4824" s="43">
        <f ca="1">_xll.BInterpol('Base CDI'!$H$4:$H$28,'Base CDI'!$J$4:$J$29,S4824,"Cubic","Extrapolate=Linear","MultiX=Average","Skip=True","Sort=True")</f>
        <v>14.490231190150478</v>
      </c>
      <c r="U4824" s="43">
        <f ca="1">_xll.BInterpol('Base CDI'!$H$4:$H$28,'Base CDI'!$I$4:$I$29,S4824,"Cubic","Extrapolate=Linear","MultiX=Average","Skip=True","Sort=True")</f>
        <v>14.441497948016416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50531</v>
      </c>
      <c r="T4825" s="43">
        <f ca="1">_xll.BInterpol('Base CDI'!$H$4:$H$28,'Base CDI'!$J$4:$J$29,S4825,"Cubic","Extrapolate=Linear","MultiX=Average","Skip=True","Sort=True")</f>
        <v>14.490077975376197</v>
      </c>
      <c r="U4825" s="43">
        <f ca="1">_xll.BInterpol('Base CDI'!$H$4:$H$28,'Base CDI'!$I$4:$I$29,S4825,"Cubic","Extrapolate=Linear","MultiX=Average","Skip=True","Sort=True")</f>
        <v>14.441244870041039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50532</v>
      </c>
      <c r="T4826" s="43">
        <f ca="1">_xll.BInterpol('Base CDI'!$H$4:$H$28,'Base CDI'!$J$4:$J$29,S4826,"Cubic","Extrapolate=Linear","MultiX=Average","Skip=True","Sort=True")</f>
        <v>14.489924760601914</v>
      </c>
      <c r="U4826" s="43">
        <f ca="1">_xll.BInterpol('Base CDI'!$H$4:$H$28,'Base CDI'!$I$4:$I$29,S4826,"Cubic","Extrapolate=Linear","MultiX=Average","Skip=True","Sort=True")</f>
        <v>14.440991792065663</v>
      </c>
    </row>
    <row r="4827" spans="16:21" x14ac:dyDescent="0.25">
      <c r="P4827" s="10">
        <v>41530</v>
      </c>
      <c r="Q4827">
        <v>31.23658</v>
      </c>
      <c r="S4827" s="42">
        <f t="shared" ca="1" si="80"/>
        <v>50533</v>
      </c>
      <c r="T4827" s="43">
        <f ca="1">_xll.BInterpol('Base CDI'!$H$4:$H$28,'Base CDI'!$J$4:$J$29,S4827,"Cubic","Extrapolate=Linear","MultiX=Average","Skip=True","Sort=True")</f>
        <v>14.489771545827633</v>
      </c>
      <c r="U4827" s="43">
        <f ca="1">_xll.BInterpol('Base CDI'!$H$4:$H$28,'Base CDI'!$I$4:$I$29,S4827,"Cubic","Extrapolate=Linear","MultiX=Average","Skip=True","Sort=True")</f>
        <v>14.440738714090287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50534</v>
      </c>
      <c r="T4828" s="43">
        <f ca="1">_xll.BInterpol('Base CDI'!$H$4:$H$28,'Base CDI'!$J$4:$J$29,S4828,"Cubic","Extrapolate=Linear","MultiX=Average","Skip=True","Sort=True")</f>
        <v>14.48961833105335</v>
      </c>
      <c r="U4828" s="43">
        <f ca="1">_xll.BInterpol('Base CDI'!$H$4:$H$28,'Base CDI'!$I$4:$I$29,S4828,"Cubic","Extrapolate=Linear","MultiX=Average","Skip=True","Sort=True")</f>
        <v>14.440485636114911</v>
      </c>
    </row>
    <row r="4829" spans="16:21" x14ac:dyDescent="0.25">
      <c r="P4829" s="10">
        <v>41534</v>
      </c>
      <c r="Q4829">
        <v>31.25731</v>
      </c>
      <c r="S4829" s="42">
        <f t="shared" ca="1" si="80"/>
        <v>50535</v>
      </c>
      <c r="T4829" s="43">
        <f ca="1">_xll.BInterpol('Base CDI'!$H$4:$H$28,'Base CDI'!$J$4:$J$29,S4829,"Cubic","Extrapolate=Linear","MultiX=Average","Skip=True","Sort=True")</f>
        <v>14.489465116279069</v>
      </c>
      <c r="U4829" s="43">
        <f ca="1">_xll.BInterpol('Base CDI'!$H$4:$H$28,'Base CDI'!$I$4:$I$29,S4829,"Cubic","Extrapolate=Linear","MultiX=Average","Skip=True","Sort=True")</f>
        <v>14.440232558139535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50536</v>
      </c>
      <c r="T4830" s="43">
        <f ca="1">_xll.BInterpol('Base CDI'!$H$4:$H$28,'Base CDI'!$J$4:$J$29,S4830,"Cubic","Extrapolate=Linear","MultiX=Average","Skip=True","Sort=True")</f>
        <v>14.489311901504788</v>
      </c>
      <c r="U4830" s="43">
        <f ca="1">_xll.BInterpol('Base CDI'!$H$4:$H$28,'Base CDI'!$I$4:$I$29,S4830,"Cubic","Extrapolate=Linear","MultiX=Average","Skip=True","Sort=True")</f>
        <v>14.439979480164158</v>
      </c>
    </row>
    <row r="4831" spans="16:21" x14ac:dyDescent="0.25">
      <c r="P4831" s="10">
        <v>41536</v>
      </c>
      <c r="Q4831">
        <v>31.27806</v>
      </c>
      <c r="S4831" s="42">
        <f t="shared" ca="1" si="80"/>
        <v>50537</v>
      </c>
      <c r="T4831" s="43">
        <f ca="1">_xll.BInterpol('Base CDI'!$H$4:$H$28,'Base CDI'!$J$4:$J$29,S4831,"Cubic","Extrapolate=Linear","MultiX=Average","Skip=True","Sort=True")</f>
        <v>14.489158686730505</v>
      </c>
      <c r="U4831" s="43">
        <f ca="1">_xll.BInterpol('Base CDI'!$H$4:$H$28,'Base CDI'!$I$4:$I$29,S4831,"Cubic","Extrapolate=Linear","MultiX=Average","Skip=True","Sort=True")</f>
        <v>14.439726402188782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50538</v>
      </c>
      <c r="T4832" s="43">
        <f ca="1">_xll.BInterpol('Base CDI'!$H$4:$H$28,'Base CDI'!$J$4:$J$29,S4832,"Cubic","Extrapolate=Linear","MultiX=Average","Skip=True","Sort=True")</f>
        <v>14.489005471956224</v>
      </c>
      <c r="U4832" s="43">
        <f ca="1">_xll.BInterpol('Base CDI'!$H$4:$H$28,'Base CDI'!$I$4:$I$29,S4832,"Cubic","Extrapolate=Linear","MultiX=Average","Skip=True","Sort=True")</f>
        <v>14.439473324213406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50539</v>
      </c>
      <c r="T4833" s="43">
        <f ca="1">_xll.BInterpol('Base CDI'!$H$4:$H$28,'Base CDI'!$J$4:$J$29,S4833,"Cubic","Extrapolate=Linear","MultiX=Average","Skip=True","Sort=True")</f>
        <v>14.488852257181941</v>
      </c>
      <c r="U4833" s="43">
        <f ca="1">_xll.BInterpol('Base CDI'!$H$4:$H$28,'Base CDI'!$I$4:$I$29,S4833,"Cubic","Extrapolate=Linear","MultiX=Average","Skip=True","Sort=True")</f>
        <v>14.43922024623803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50540</v>
      </c>
      <c r="T4834" s="43">
        <f ca="1">_xll.BInterpol('Base CDI'!$H$4:$H$28,'Base CDI'!$J$4:$J$29,S4834,"Cubic","Extrapolate=Linear","MultiX=Average","Skip=True","Sort=True")</f>
        <v>14.48869904240766</v>
      </c>
      <c r="U4834" s="43">
        <f ca="1">_xll.BInterpol('Base CDI'!$H$4:$H$28,'Base CDI'!$I$4:$I$29,S4834,"Cubic","Extrapolate=Linear","MultiX=Average","Skip=True","Sort=True")</f>
        <v>14.438967168262653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50541</v>
      </c>
      <c r="T4835" s="43">
        <f ca="1">_xll.BInterpol('Base CDI'!$H$4:$H$28,'Base CDI'!$J$4:$J$29,S4835,"Cubic","Extrapolate=Linear","MultiX=Average","Skip=True","Sort=True")</f>
        <v>14.488545827633379</v>
      </c>
      <c r="U4835" s="43">
        <f ca="1">_xll.BInterpol('Base CDI'!$H$4:$H$28,'Base CDI'!$I$4:$I$29,S4835,"Cubic","Extrapolate=Linear","MultiX=Average","Skip=True","Sort=True")</f>
        <v>14.438714090287277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50542</v>
      </c>
      <c r="T4836" s="43">
        <f ca="1">_xll.BInterpol('Base CDI'!$H$4:$H$28,'Base CDI'!$J$4:$J$29,S4836,"Cubic","Extrapolate=Linear","MultiX=Average","Skip=True","Sort=True")</f>
        <v>14.488392612859096</v>
      </c>
      <c r="U4836" s="43">
        <f ca="1">_xll.BInterpol('Base CDI'!$H$4:$H$28,'Base CDI'!$I$4:$I$29,S4836,"Cubic","Extrapolate=Linear","MultiX=Average","Skip=True","Sort=True")</f>
        <v>14.438461012311901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50543</v>
      </c>
      <c r="T4837" s="43">
        <f ca="1">_xll.BInterpol('Base CDI'!$H$4:$H$28,'Base CDI'!$J$4:$J$29,S4837,"Cubic","Extrapolate=Linear","MultiX=Average","Skip=True","Sort=True")</f>
        <v>14.488239398084815</v>
      </c>
      <c r="U4837" s="43">
        <f ca="1">_xll.BInterpol('Base CDI'!$H$4:$H$28,'Base CDI'!$I$4:$I$29,S4837,"Cubic","Extrapolate=Linear","MultiX=Average","Skip=True","Sort=True")</f>
        <v>14.438207934336525</v>
      </c>
    </row>
    <row r="4838" spans="16:21" x14ac:dyDescent="0.25">
      <c r="P4838" s="10">
        <v>41547</v>
      </c>
      <c r="Q4838">
        <v>31.35079</v>
      </c>
      <c r="S4838" s="42">
        <f t="shared" ca="1" si="80"/>
        <v>50544</v>
      </c>
      <c r="T4838" s="43">
        <f ca="1">_xll.BInterpol('Base CDI'!$H$4:$H$28,'Base CDI'!$J$4:$J$29,S4838,"Cubic","Extrapolate=Linear","MultiX=Average","Skip=True","Sort=True")</f>
        <v>14.488086183310532</v>
      </c>
      <c r="U4838" s="43">
        <f ca="1">_xll.BInterpol('Base CDI'!$H$4:$H$28,'Base CDI'!$I$4:$I$29,S4838,"Cubic","Extrapolate=Linear","MultiX=Average","Skip=True","Sort=True")</f>
        <v>14.437954856361149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50545</v>
      </c>
      <c r="T4839" s="43">
        <f ca="1">_xll.BInterpol('Base CDI'!$H$4:$H$28,'Base CDI'!$J$4:$J$29,S4839,"Cubic","Extrapolate=Linear","MultiX=Average","Skip=True","Sort=True")</f>
        <v>14.487932968536251</v>
      </c>
      <c r="U4839" s="43">
        <f ca="1">_xll.BInterpol('Base CDI'!$H$4:$H$28,'Base CDI'!$I$4:$I$29,S4839,"Cubic","Extrapolate=Linear","MultiX=Average","Skip=True","Sort=True")</f>
        <v>14.437701778385772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50546</v>
      </c>
      <c r="T4840" s="43">
        <f ca="1">_xll.BInterpol('Base CDI'!$H$4:$H$28,'Base CDI'!$J$4:$J$29,S4840,"Cubic","Extrapolate=Linear","MultiX=Average","Skip=True","Sort=True")</f>
        <v>14.48777975376197</v>
      </c>
      <c r="U4840" s="43">
        <f ca="1">_xll.BInterpol('Base CDI'!$H$4:$H$28,'Base CDI'!$I$4:$I$29,S4840,"Cubic","Extrapolate=Linear","MultiX=Average","Skip=True","Sort=True")</f>
        <v>14.437448700410396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50547</v>
      </c>
      <c r="T4841" s="43">
        <f ca="1">_xll.BInterpol('Base CDI'!$H$4:$H$28,'Base CDI'!$J$4:$J$29,S4841,"Cubic","Extrapolate=Linear","MultiX=Average","Skip=True","Sort=True")</f>
        <v>14.487626538987687</v>
      </c>
      <c r="U4841" s="43">
        <f ca="1">_xll.BInterpol('Base CDI'!$H$4:$H$28,'Base CDI'!$I$4:$I$29,S4841,"Cubic","Extrapolate=Linear","MultiX=Average","Skip=True","Sort=True")</f>
        <v>14.43719562243502</v>
      </c>
    </row>
    <row r="4842" spans="16:21" x14ac:dyDescent="0.25">
      <c r="P4842" s="10">
        <v>41551</v>
      </c>
      <c r="Q4842">
        <v>31.39235</v>
      </c>
      <c r="S4842" s="42">
        <f t="shared" ca="1" si="80"/>
        <v>50548</v>
      </c>
      <c r="T4842" s="43">
        <f ca="1">_xll.BInterpol('Base CDI'!$H$4:$H$28,'Base CDI'!$J$4:$J$29,S4842,"Cubic","Extrapolate=Linear","MultiX=Average","Skip=True","Sort=True")</f>
        <v>14.487473324213406</v>
      </c>
      <c r="U4842" s="43">
        <f ca="1">_xll.BInterpol('Base CDI'!$H$4:$H$28,'Base CDI'!$I$4:$I$29,S4842,"Cubic","Extrapolate=Linear","MultiX=Average","Skip=True","Sort=True")</f>
        <v>14.436942544459644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50549</v>
      </c>
      <c r="T4843" s="43">
        <f ca="1">_xll.BInterpol('Base CDI'!$H$4:$H$28,'Base CDI'!$J$4:$J$29,S4843,"Cubic","Extrapolate=Linear","MultiX=Average","Skip=True","Sort=True")</f>
        <v>14.487320109439123</v>
      </c>
      <c r="U4843" s="43">
        <f ca="1">_xll.BInterpol('Base CDI'!$H$4:$H$28,'Base CDI'!$I$4:$I$29,S4843,"Cubic","Extrapolate=Linear","MultiX=Average","Skip=True","Sort=True")</f>
        <v>14.436689466484268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50550</v>
      </c>
      <c r="T4844" s="43">
        <f ca="1">_xll.BInterpol('Base CDI'!$H$4:$H$28,'Base CDI'!$J$4:$J$29,S4844,"Cubic","Extrapolate=Linear","MultiX=Average","Skip=True","Sort=True")</f>
        <v>14.487166894664842</v>
      </c>
      <c r="U4844" s="43">
        <f ca="1">_xll.BInterpol('Base CDI'!$H$4:$H$28,'Base CDI'!$I$4:$I$29,S4844,"Cubic","Extrapolate=Linear","MultiX=Average","Skip=True","Sort=True")</f>
        <v>14.436436388508891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50551</v>
      </c>
      <c r="T4845" s="43">
        <f ca="1">_xll.BInterpol('Base CDI'!$H$4:$H$28,'Base CDI'!$J$4:$J$29,S4845,"Cubic","Extrapolate=Linear","MultiX=Average","Skip=True","Sort=True")</f>
        <v>14.487013679890561</v>
      </c>
      <c r="U4845" s="43">
        <f ca="1">_xll.BInterpol('Base CDI'!$H$4:$H$28,'Base CDI'!$I$4:$I$29,S4845,"Cubic","Extrapolate=Linear","MultiX=Average","Skip=True","Sort=True")</f>
        <v>14.436183310533515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50552</v>
      </c>
      <c r="T4846" s="43">
        <f ca="1">_xll.BInterpol('Base CDI'!$H$4:$H$28,'Base CDI'!$J$4:$J$29,S4846,"Cubic","Extrapolate=Linear","MultiX=Average","Skip=True","Sort=True")</f>
        <v>14.486860465116278</v>
      </c>
      <c r="U4846" s="43">
        <f ca="1">_xll.BInterpol('Base CDI'!$H$4:$H$28,'Base CDI'!$I$4:$I$29,S4846,"Cubic","Extrapolate=Linear","MultiX=Average","Skip=True","Sort=True")</f>
        <v>14.435930232558139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50553</v>
      </c>
      <c r="T4847" s="43">
        <f ca="1">_xll.BInterpol('Base CDI'!$H$4:$H$28,'Base CDI'!$J$4:$J$29,S4847,"Cubic","Extrapolate=Linear","MultiX=Average","Skip=True","Sort=True")</f>
        <v>14.486707250341997</v>
      </c>
      <c r="U4847" s="43">
        <f ca="1">_xll.BInterpol('Base CDI'!$H$4:$H$28,'Base CDI'!$I$4:$I$29,S4847,"Cubic","Extrapolate=Linear","MultiX=Average","Skip=True","Sort=True")</f>
        <v>14.435677154582763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50554</v>
      </c>
      <c r="T4848" s="43">
        <f ca="1">_xll.BInterpol('Base CDI'!$H$4:$H$28,'Base CDI'!$J$4:$J$29,S4848,"Cubic","Extrapolate=Linear","MultiX=Average","Skip=True","Sort=True")</f>
        <v>14.486554035567714</v>
      </c>
      <c r="U4848" s="43">
        <f ca="1">_xll.BInterpol('Base CDI'!$H$4:$H$28,'Base CDI'!$I$4:$I$29,S4848,"Cubic","Extrapolate=Linear","MultiX=Average","Skip=True","Sort=True")</f>
        <v>14.435424076607386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50555</v>
      </c>
      <c r="T4849" s="43">
        <f ca="1">_xll.BInterpol('Base CDI'!$H$4:$H$28,'Base CDI'!$J$4:$J$29,S4849,"Cubic","Extrapolate=Linear","MultiX=Average","Skip=True","Sort=True")</f>
        <v>14.486400820793433</v>
      </c>
      <c r="U4849" s="43">
        <f ca="1">_xll.BInterpol('Base CDI'!$H$4:$H$28,'Base CDI'!$I$4:$I$29,S4849,"Cubic","Extrapolate=Linear","MultiX=Average","Skip=True","Sort=True")</f>
        <v>14.43517099863201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50556</v>
      </c>
      <c r="T4850" s="43">
        <f ca="1">_xll.BInterpol('Base CDI'!$H$4:$H$28,'Base CDI'!$J$4:$J$29,S4850,"Cubic","Extrapolate=Linear","MultiX=Average","Skip=True","Sort=True")</f>
        <v>14.486247606019152</v>
      </c>
      <c r="U4850" s="43">
        <f ca="1">_xll.BInterpol('Base CDI'!$H$4:$H$28,'Base CDI'!$I$4:$I$29,S4850,"Cubic","Extrapolate=Linear","MultiX=Average","Skip=True","Sort=True")</f>
        <v>14.434917920656634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50557</v>
      </c>
      <c r="T4851" s="43">
        <f ca="1">_xll.BInterpol('Base CDI'!$H$4:$H$28,'Base CDI'!$J$4:$J$29,S4851,"Cubic","Extrapolate=Linear","MultiX=Average","Skip=True","Sort=True")</f>
        <v>14.486094391244869</v>
      </c>
      <c r="U4851" s="43">
        <f ca="1">_xll.BInterpol('Base CDI'!$H$4:$H$28,'Base CDI'!$I$4:$I$29,S4851,"Cubic","Extrapolate=Linear","MultiX=Average","Skip=True","Sort=True")</f>
        <v>14.434664842681258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50558</v>
      </c>
      <c r="T4852" s="43">
        <f ca="1">_xll.BInterpol('Base CDI'!$H$4:$H$28,'Base CDI'!$J$4:$J$29,S4852,"Cubic","Extrapolate=Linear","MultiX=Average","Skip=True","Sort=True")</f>
        <v>14.485941176470588</v>
      </c>
      <c r="U4852" s="43">
        <f ca="1">_xll.BInterpol('Base CDI'!$H$4:$H$28,'Base CDI'!$I$4:$I$29,S4852,"Cubic","Extrapolate=Linear","MultiX=Average","Skip=True","Sort=True")</f>
        <v>14.434411764705882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50559</v>
      </c>
      <c r="T4853" s="43">
        <f ca="1">_xll.BInterpol('Base CDI'!$H$4:$H$28,'Base CDI'!$J$4:$J$29,S4853,"Cubic","Extrapolate=Linear","MultiX=Average","Skip=True","Sort=True")</f>
        <v>14.485787961696305</v>
      </c>
      <c r="U4853" s="43">
        <f ca="1">_xll.BInterpol('Base CDI'!$H$4:$H$28,'Base CDI'!$I$4:$I$29,S4853,"Cubic","Extrapolate=Linear","MultiX=Average","Skip=True","Sort=True")</f>
        <v>14.434158686730505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50560</v>
      </c>
      <c r="T4854" s="43">
        <f ca="1">_xll.BInterpol('Base CDI'!$H$4:$H$28,'Base CDI'!$J$4:$J$29,S4854,"Cubic","Extrapolate=Linear","MultiX=Average","Skip=True","Sort=True")</f>
        <v>14.485634746922024</v>
      </c>
      <c r="U4854" s="43">
        <f ca="1">_xll.BInterpol('Base CDI'!$H$4:$H$28,'Base CDI'!$I$4:$I$29,S4854,"Cubic","Extrapolate=Linear","MultiX=Average","Skip=True","Sort=True")</f>
        <v>14.433905608755129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50561</v>
      </c>
      <c r="T4855" s="43">
        <f ca="1">_xll.BInterpol('Base CDI'!$H$4:$H$28,'Base CDI'!$J$4:$J$29,S4855,"Cubic","Extrapolate=Linear","MultiX=Average","Skip=True","Sort=True")</f>
        <v>14.485481532147743</v>
      </c>
      <c r="U4855" s="43">
        <f ca="1">_xll.BInterpol('Base CDI'!$H$4:$H$28,'Base CDI'!$I$4:$I$29,S4855,"Cubic","Extrapolate=Linear","MultiX=Average","Skip=True","Sort=True")</f>
        <v>14.433652530779753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50562</v>
      </c>
      <c r="T4856" s="43">
        <f ca="1">_xll.BInterpol('Base CDI'!$H$4:$H$28,'Base CDI'!$J$4:$J$29,S4856,"Cubic","Extrapolate=Linear","MultiX=Average","Skip=True","Sort=True")</f>
        <v>14.48532831737346</v>
      </c>
      <c r="U4856" s="43">
        <f ca="1">_xll.BInterpol('Base CDI'!$H$4:$H$28,'Base CDI'!$I$4:$I$29,S4856,"Cubic","Extrapolate=Linear","MultiX=Average","Skip=True","Sort=True")</f>
        <v>14.433399452804377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50563</v>
      </c>
      <c r="T4857" s="43">
        <f ca="1">_xll.BInterpol('Base CDI'!$H$4:$H$28,'Base CDI'!$J$4:$J$29,S4857,"Cubic","Extrapolate=Linear","MultiX=Average","Skip=True","Sort=True")</f>
        <v>14.485175102599179</v>
      </c>
      <c r="U4857" s="43">
        <f ca="1">_xll.BInterpol('Base CDI'!$H$4:$H$28,'Base CDI'!$I$4:$I$29,S4857,"Cubic","Extrapolate=Linear","MultiX=Average","Skip=True","Sort=True")</f>
        <v>14.433146374829001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50564</v>
      </c>
      <c r="T4858" s="43">
        <f ca="1">_xll.BInterpol('Base CDI'!$H$4:$H$28,'Base CDI'!$J$4:$J$29,S4858,"Cubic","Extrapolate=Linear","MultiX=Average","Skip=True","Sort=True")</f>
        <v>14.485021887824896</v>
      </c>
      <c r="U4858" s="43">
        <f ca="1">_xll.BInterpol('Base CDI'!$H$4:$H$28,'Base CDI'!$I$4:$I$29,S4858,"Cubic","Extrapolate=Linear","MultiX=Average","Skip=True","Sort=True")</f>
        <v>14.432893296853624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50565</v>
      </c>
      <c r="T4859" s="43">
        <f ca="1">_xll.BInterpol('Base CDI'!$H$4:$H$28,'Base CDI'!$J$4:$J$29,S4859,"Cubic","Extrapolate=Linear","MultiX=Average","Skip=True","Sort=True")</f>
        <v>14.484868673050615</v>
      </c>
      <c r="U4859" s="43">
        <f ca="1">_xll.BInterpol('Base CDI'!$H$4:$H$28,'Base CDI'!$I$4:$I$29,S4859,"Cubic","Extrapolate=Linear","MultiX=Average","Skip=True","Sort=True")</f>
        <v>14.432640218878248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50566</v>
      </c>
      <c r="T4860" s="43">
        <f ca="1">_xll.BInterpol('Base CDI'!$H$4:$H$28,'Base CDI'!$J$4:$J$29,S4860,"Cubic","Extrapolate=Linear","MultiX=Average","Skip=True","Sort=True")</f>
        <v>14.484715458276334</v>
      </c>
      <c r="U4860" s="43">
        <f ca="1">_xll.BInterpol('Base CDI'!$H$4:$H$28,'Base CDI'!$I$4:$I$29,S4860,"Cubic","Extrapolate=Linear","MultiX=Average","Skip=True","Sort=True")</f>
        <v>14.432387140902872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50567</v>
      </c>
      <c r="T4861" s="43">
        <f ca="1">_xll.BInterpol('Base CDI'!$H$4:$H$28,'Base CDI'!$J$4:$J$29,S4861,"Cubic","Extrapolate=Linear","MultiX=Average","Skip=True","Sort=True")</f>
        <v>14.484562243502051</v>
      </c>
      <c r="U4861" s="43">
        <f ca="1">_xll.BInterpol('Base CDI'!$H$4:$H$28,'Base CDI'!$I$4:$I$29,S4861,"Cubic","Extrapolate=Linear","MultiX=Average","Skip=True","Sort=True")</f>
        <v>14.432134062927496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50568</v>
      </c>
      <c r="T4862" s="43">
        <f ca="1">_xll.BInterpol('Base CDI'!$H$4:$H$28,'Base CDI'!$J$4:$J$29,S4862,"Cubic","Extrapolate=Linear","MultiX=Average","Skip=True","Sort=True")</f>
        <v>14.48440902872777</v>
      </c>
      <c r="U4862" s="43">
        <f ca="1">_xll.BInterpol('Base CDI'!$H$4:$H$28,'Base CDI'!$I$4:$I$29,S4862,"Cubic","Extrapolate=Linear","MultiX=Average","Skip=True","Sort=True")</f>
        <v>14.431880984952119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50569</v>
      </c>
      <c r="T4863" s="43">
        <f ca="1">_xll.BInterpol('Base CDI'!$H$4:$H$28,'Base CDI'!$J$4:$J$29,S4863,"Cubic","Extrapolate=Linear","MultiX=Average","Skip=True","Sort=True")</f>
        <v>14.484255813953487</v>
      </c>
      <c r="U4863" s="43">
        <f ca="1">_xll.BInterpol('Base CDI'!$H$4:$H$28,'Base CDI'!$I$4:$I$29,S4863,"Cubic","Extrapolate=Linear","MultiX=Average","Skip=True","Sort=True")</f>
        <v>14.431627906976743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50570</v>
      </c>
      <c r="T4864" s="43">
        <f ca="1">_xll.BInterpol('Base CDI'!$H$4:$H$28,'Base CDI'!$J$4:$J$29,S4864,"Cubic","Extrapolate=Linear","MultiX=Average","Skip=True","Sort=True")</f>
        <v>14.484102599179206</v>
      </c>
      <c r="U4864" s="43">
        <f ca="1">_xll.BInterpol('Base CDI'!$H$4:$H$28,'Base CDI'!$I$4:$I$29,S4864,"Cubic","Extrapolate=Linear","MultiX=Average","Skip=True","Sort=True")</f>
        <v>14.431374829001367</v>
      </c>
    </row>
    <row r="4865" spans="16:21" x14ac:dyDescent="0.25">
      <c r="P4865" s="10">
        <v>41584</v>
      </c>
      <c r="Q4865">
        <v>31.64659</v>
      </c>
      <c r="S4865" s="42">
        <f t="shared" ca="1" si="80"/>
        <v>50571</v>
      </c>
      <c r="T4865" s="43">
        <f ca="1">_xll.BInterpol('Base CDI'!$H$4:$H$28,'Base CDI'!$J$4:$J$29,S4865,"Cubic","Extrapolate=Linear","MultiX=Average","Skip=True","Sort=True")</f>
        <v>14.483949384404925</v>
      </c>
      <c r="U4865" s="43">
        <f ca="1">_xll.BInterpol('Base CDI'!$H$4:$H$28,'Base CDI'!$I$4:$I$29,S4865,"Cubic","Extrapolate=Linear","MultiX=Average","Skip=True","Sort=True")</f>
        <v>14.431121751025991</v>
      </c>
    </row>
    <row r="4866" spans="16:21" x14ac:dyDescent="0.25">
      <c r="P4866" s="10">
        <v>41585</v>
      </c>
      <c r="Q4866">
        <v>31.65774</v>
      </c>
      <c r="S4866" s="42">
        <f t="shared" ca="1" si="80"/>
        <v>50572</v>
      </c>
      <c r="T4866" s="43">
        <f ca="1">_xll.BInterpol('Base CDI'!$H$4:$H$28,'Base CDI'!$J$4:$J$29,S4866,"Cubic","Extrapolate=Linear","MultiX=Average","Skip=True","Sort=True")</f>
        <v>14.483796169630642</v>
      </c>
      <c r="U4866" s="43">
        <f ca="1">_xll.BInterpol('Base CDI'!$H$4:$H$28,'Base CDI'!$I$4:$I$29,S4866,"Cubic","Extrapolate=Linear","MultiX=Average","Skip=True","Sort=True")</f>
        <v>14.430868673050615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50573</v>
      </c>
      <c r="T4867" s="43">
        <f ca="1">_xll.BInterpol('Base CDI'!$H$4:$H$28,'Base CDI'!$J$4:$J$29,S4867,"Cubic","Extrapolate=Linear","MultiX=Average","Skip=True","Sort=True")</f>
        <v>14.483642954856361</v>
      </c>
      <c r="U4867" s="43">
        <f ca="1">_xll.BInterpol('Base CDI'!$H$4:$H$28,'Base CDI'!$I$4:$I$29,S4867,"Cubic","Extrapolate=Linear","MultiX=Average","Skip=True","Sort=True")</f>
        <v>14.430615595075238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50574</v>
      </c>
      <c r="T4868" s="43">
        <f ca="1">_xll.BInterpol('Base CDI'!$H$4:$H$28,'Base CDI'!$J$4:$J$29,S4868,"Cubic","Extrapolate=Linear","MultiX=Average","Skip=True","Sort=True")</f>
        <v>14.483489740082078</v>
      </c>
      <c r="U4868" s="43">
        <f ca="1">_xll.BInterpol('Base CDI'!$H$4:$H$28,'Base CDI'!$I$4:$I$29,S4868,"Cubic","Extrapolate=Linear","MultiX=Average","Skip=True","Sort=True")</f>
        <v>14.430362517099862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50575</v>
      </c>
      <c r="T4869" s="43">
        <f ca="1">_xll.BInterpol('Base CDI'!$H$4:$H$28,'Base CDI'!$J$4:$J$29,S4869,"Cubic","Extrapolate=Linear","MultiX=Average","Skip=True","Sort=True")</f>
        <v>14.483336525307797</v>
      </c>
      <c r="U4869" s="43">
        <f ca="1">_xll.BInterpol('Base CDI'!$H$4:$H$28,'Base CDI'!$I$4:$I$29,S4869,"Cubic","Extrapolate=Linear","MultiX=Average","Skip=True","Sort=True")</f>
        <v>14.430109439124486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50576</v>
      </c>
      <c r="T4870" s="43">
        <f ca="1">_xll.BInterpol('Base CDI'!$H$4:$H$28,'Base CDI'!$J$4:$J$29,S4870,"Cubic","Extrapolate=Linear","MultiX=Average","Skip=True","Sort=True")</f>
        <v>14.483183310533516</v>
      </c>
      <c r="U4870" s="43">
        <f ca="1">_xll.BInterpol('Base CDI'!$H$4:$H$28,'Base CDI'!$I$4:$I$29,S4870,"Cubic","Extrapolate=Linear","MultiX=Average","Skip=True","Sort=True")</f>
        <v>14.42985636114911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50577</v>
      </c>
      <c r="T4871" s="43">
        <f ca="1">_xll.BInterpol('Base CDI'!$H$4:$H$28,'Base CDI'!$J$4:$J$29,S4871,"Cubic","Extrapolate=Linear","MultiX=Average","Skip=True","Sort=True")</f>
        <v>14.483030095759233</v>
      </c>
      <c r="U4871" s="43">
        <f ca="1">_xll.BInterpol('Base CDI'!$H$4:$H$28,'Base CDI'!$I$4:$I$29,S4871,"Cubic","Extrapolate=Linear","MultiX=Average","Skip=True","Sort=True")</f>
        <v>14.429603283173734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50578</v>
      </c>
      <c r="T4872" s="43">
        <f ca="1">_xll.BInterpol('Base CDI'!$H$4:$H$28,'Base CDI'!$J$4:$J$29,S4872,"Cubic","Extrapolate=Linear","MultiX=Average","Skip=True","Sort=True")</f>
        <v>14.482876880984952</v>
      </c>
      <c r="U4872" s="43">
        <f ca="1">_xll.BInterpol('Base CDI'!$H$4:$H$28,'Base CDI'!$I$4:$I$29,S4872,"Cubic","Extrapolate=Linear","MultiX=Average","Skip=True","Sort=True")</f>
        <v>14.429350205198357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50579</v>
      </c>
      <c r="T4873" s="43">
        <f ca="1">_xll.BInterpol('Base CDI'!$H$4:$H$28,'Base CDI'!$J$4:$J$29,S4873,"Cubic","Extrapolate=Linear","MultiX=Average","Skip=True","Sort=True")</f>
        <v>14.482723666210671</v>
      </c>
      <c r="U4873" s="43">
        <f ca="1">_xll.BInterpol('Base CDI'!$H$4:$H$28,'Base CDI'!$I$4:$I$29,S4873,"Cubic","Extrapolate=Linear","MultiX=Average","Skip=True","Sort=True")</f>
        <v>14.429097127222981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50580</v>
      </c>
      <c r="T4874" s="43">
        <f ca="1">_xll.BInterpol('Base CDI'!$H$4:$H$28,'Base CDI'!$J$4:$J$29,S4874,"Cubic","Extrapolate=Linear","MultiX=Average","Skip=True","Sort=True")</f>
        <v>14.482570451436388</v>
      </c>
      <c r="U4874" s="43">
        <f ca="1">_xll.BInterpol('Base CDI'!$H$4:$H$28,'Base CDI'!$I$4:$I$29,S4874,"Cubic","Extrapolate=Linear","MultiX=Average","Skip=True","Sort=True")</f>
        <v>14.428844049247605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50581</v>
      </c>
      <c r="T4875" s="43">
        <f ca="1">_xll.BInterpol('Base CDI'!$H$4:$H$28,'Base CDI'!$J$4:$J$29,S4875,"Cubic","Extrapolate=Linear","MultiX=Average","Skip=True","Sort=True")</f>
        <v>14.482417236662107</v>
      </c>
      <c r="U4875" s="43">
        <f ca="1">_xll.BInterpol('Base CDI'!$H$4:$H$28,'Base CDI'!$I$4:$I$29,S4875,"Cubic","Extrapolate=Linear","MultiX=Average","Skip=True","Sort=True")</f>
        <v>14.428590971272229</v>
      </c>
    </row>
    <row r="4876" spans="16:21" x14ac:dyDescent="0.25">
      <c r="P4876" s="10">
        <v>41600</v>
      </c>
      <c r="Q4876">
        <v>31.76942</v>
      </c>
      <c r="S4876" s="42">
        <f t="shared" ca="1" si="81"/>
        <v>50582</v>
      </c>
      <c r="T4876" s="43">
        <f ca="1">_xll.BInterpol('Base CDI'!$H$4:$H$28,'Base CDI'!$J$4:$J$29,S4876,"Cubic","Extrapolate=Linear","MultiX=Average","Skip=True","Sort=True")</f>
        <v>14.482264021887824</v>
      </c>
      <c r="U4876" s="43">
        <f ca="1">_xll.BInterpol('Base CDI'!$H$4:$H$28,'Base CDI'!$I$4:$I$29,S4876,"Cubic","Extrapolate=Linear","MultiX=Average","Skip=True","Sort=True")</f>
        <v>14.428337893296852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50583</v>
      </c>
      <c r="T4877" s="43">
        <f ca="1">_xll.BInterpol('Base CDI'!$H$4:$H$28,'Base CDI'!$J$4:$J$29,S4877,"Cubic","Extrapolate=Linear","MultiX=Average","Skip=True","Sort=True")</f>
        <v>14.482110807113543</v>
      </c>
      <c r="U4877" s="43">
        <f ca="1">_xll.BInterpol('Base CDI'!$H$4:$H$28,'Base CDI'!$I$4:$I$29,S4877,"Cubic","Extrapolate=Linear","MultiX=Average","Skip=True","Sort=True")</f>
        <v>14.428084815321476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50584</v>
      </c>
      <c r="T4878" s="43">
        <f ca="1">_xll.BInterpol('Base CDI'!$H$4:$H$28,'Base CDI'!$J$4:$J$29,S4878,"Cubic","Extrapolate=Linear","MultiX=Average","Skip=True","Sort=True")</f>
        <v>14.48195759233926</v>
      </c>
      <c r="U4878" s="43">
        <f ca="1">_xll.BInterpol('Base CDI'!$H$4:$H$28,'Base CDI'!$I$4:$I$29,S4878,"Cubic","Extrapolate=Linear","MultiX=Average","Skip=True","Sort=True")</f>
        <v>14.4278317373461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50585</v>
      </c>
      <c r="T4879" s="43">
        <f ca="1">_xll.BInterpol('Base CDI'!$H$4:$H$28,'Base CDI'!$J$4:$J$29,S4879,"Cubic","Extrapolate=Linear","MultiX=Average","Skip=True","Sort=True")</f>
        <v>14.481804377564979</v>
      </c>
      <c r="U4879" s="43">
        <f ca="1">_xll.BInterpol('Base CDI'!$H$4:$H$28,'Base CDI'!$I$4:$I$29,S4879,"Cubic","Extrapolate=Linear","MultiX=Average","Skip=True","Sort=True")</f>
        <v>14.427578659370724</v>
      </c>
    </row>
    <row r="4880" spans="16:21" x14ac:dyDescent="0.25">
      <c r="P4880" s="10">
        <v>41606</v>
      </c>
      <c r="Q4880">
        <v>31.8142</v>
      </c>
      <c r="S4880" s="42">
        <f t="shared" ca="1" si="81"/>
        <v>50586</v>
      </c>
      <c r="T4880" s="43">
        <f ca="1">_xll.BInterpol('Base CDI'!$H$4:$H$28,'Base CDI'!$J$4:$J$29,S4880,"Cubic","Extrapolate=Linear","MultiX=Average","Skip=True","Sort=True")</f>
        <v>14.481651162790698</v>
      </c>
      <c r="U4880" s="43">
        <f ca="1">_xll.BInterpol('Base CDI'!$H$4:$H$28,'Base CDI'!$I$4:$I$29,S4880,"Cubic","Extrapolate=Linear","MultiX=Average","Skip=True","Sort=True")</f>
        <v>14.427325581395348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50587</v>
      </c>
      <c r="T4881" s="43">
        <f ca="1">_xll.BInterpol('Base CDI'!$H$4:$H$28,'Base CDI'!$J$4:$J$29,S4881,"Cubic","Extrapolate=Linear","MultiX=Average","Skip=True","Sort=True")</f>
        <v>14.481497948016415</v>
      </c>
      <c r="U4881" s="43">
        <f ca="1">_xll.BInterpol('Base CDI'!$H$4:$H$28,'Base CDI'!$I$4:$I$29,S4881,"Cubic","Extrapolate=Linear","MultiX=Average","Skip=True","Sort=True")</f>
        <v>14.427072503419971</v>
      </c>
    </row>
    <row r="4882" spans="16:21" x14ac:dyDescent="0.25">
      <c r="P4882" s="10">
        <v>41610</v>
      </c>
      <c r="Q4882">
        <v>31.83775</v>
      </c>
      <c r="S4882" s="42">
        <f t="shared" ca="1" si="81"/>
        <v>50588</v>
      </c>
      <c r="T4882" s="43">
        <f ca="1">_xll.BInterpol('Base CDI'!$H$4:$H$28,'Base CDI'!$J$4:$J$29,S4882,"Cubic","Extrapolate=Linear","MultiX=Average","Skip=True","Sort=True")</f>
        <v>14.481344733242134</v>
      </c>
      <c r="U4882" s="43">
        <f ca="1">_xll.BInterpol('Base CDI'!$H$4:$H$28,'Base CDI'!$I$4:$I$29,S4882,"Cubic","Extrapolate=Linear","MultiX=Average","Skip=True","Sort=True")</f>
        <v>14.426819425444595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50589</v>
      </c>
      <c r="T4883" s="43">
        <f ca="1">_xll.BInterpol('Base CDI'!$H$4:$H$28,'Base CDI'!$J$4:$J$29,S4883,"Cubic","Extrapolate=Linear","MultiX=Average","Skip=True","Sort=True")</f>
        <v>14.481191518467853</v>
      </c>
      <c r="U4883" s="43">
        <f ca="1">_xll.BInterpol('Base CDI'!$H$4:$H$28,'Base CDI'!$I$4:$I$29,S4883,"Cubic","Extrapolate=Linear","MultiX=Average","Skip=True","Sort=True")</f>
        <v>14.426566347469219</v>
      </c>
    </row>
    <row r="4884" spans="16:21" x14ac:dyDescent="0.25">
      <c r="P4884" s="10">
        <v>41612</v>
      </c>
      <c r="Q4884">
        <v>31.86131</v>
      </c>
      <c r="S4884" s="42">
        <f t="shared" ca="1" si="81"/>
        <v>50590</v>
      </c>
      <c r="T4884" s="43">
        <f ca="1">_xll.BInterpol('Base CDI'!$H$4:$H$28,'Base CDI'!$J$4:$J$29,S4884,"Cubic","Extrapolate=Linear","MultiX=Average","Skip=True","Sort=True")</f>
        <v>14.48103830369357</v>
      </c>
      <c r="U4884" s="43">
        <f ca="1">_xll.BInterpol('Base CDI'!$H$4:$H$28,'Base CDI'!$I$4:$I$29,S4884,"Cubic","Extrapolate=Linear","MultiX=Average","Skip=True","Sort=True")</f>
        <v>14.426313269493843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50591</v>
      </c>
      <c r="T4885" s="43">
        <f ca="1">_xll.BInterpol('Base CDI'!$H$4:$H$28,'Base CDI'!$J$4:$J$29,S4885,"Cubic","Extrapolate=Linear","MultiX=Average","Skip=True","Sort=True")</f>
        <v>14.480885088919289</v>
      </c>
      <c r="U4885" s="43">
        <f ca="1">_xll.BInterpol('Base CDI'!$H$4:$H$28,'Base CDI'!$I$4:$I$29,S4885,"Cubic","Extrapolate=Linear","MultiX=Average","Skip=True","Sort=True")</f>
        <v>14.426060191518467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50592</v>
      </c>
      <c r="T4886" s="43">
        <f ca="1">_xll.BInterpol('Base CDI'!$H$4:$H$28,'Base CDI'!$J$4:$J$29,S4886,"Cubic","Extrapolate=Linear","MultiX=Average","Skip=True","Sort=True")</f>
        <v>14.480731874145006</v>
      </c>
      <c r="U4886" s="43">
        <f ca="1">_xll.BInterpol('Base CDI'!$H$4:$H$28,'Base CDI'!$I$4:$I$29,S4886,"Cubic","Extrapolate=Linear","MultiX=Average","Skip=True","Sort=True")</f>
        <v>14.42580711354309</v>
      </c>
    </row>
    <row r="4887" spans="16:21" x14ac:dyDescent="0.25">
      <c r="P4887" s="10">
        <v>41617</v>
      </c>
      <c r="Q4887">
        <v>31.89668</v>
      </c>
      <c r="S4887" s="42">
        <f t="shared" ca="1" si="81"/>
        <v>50593</v>
      </c>
      <c r="T4887" s="43">
        <f ca="1">_xll.BInterpol('Base CDI'!$H$4:$H$28,'Base CDI'!$J$4:$J$29,S4887,"Cubic","Extrapolate=Linear","MultiX=Average","Skip=True","Sort=True")</f>
        <v>14.480578659370725</v>
      </c>
      <c r="U4887" s="43">
        <f ca="1">_xll.BInterpol('Base CDI'!$H$4:$H$28,'Base CDI'!$I$4:$I$29,S4887,"Cubic","Extrapolate=Linear","MultiX=Average","Skip=True","Sort=True")</f>
        <v>14.425554035567714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50594</v>
      </c>
      <c r="T4888" s="43">
        <f ca="1">_xll.BInterpol('Base CDI'!$H$4:$H$28,'Base CDI'!$J$4:$J$29,S4888,"Cubic","Extrapolate=Linear","MultiX=Average","Skip=True","Sort=True")</f>
        <v>14.480425444596442</v>
      </c>
      <c r="U4888" s="43">
        <f ca="1">_xll.BInterpol('Base CDI'!$H$4:$H$28,'Base CDI'!$I$4:$I$29,S4888,"Cubic","Extrapolate=Linear","MultiX=Average","Skip=True","Sort=True")</f>
        <v>14.425300957592338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50595</v>
      </c>
      <c r="T4889" s="43">
        <f ca="1">_xll.BInterpol('Base CDI'!$H$4:$H$28,'Base CDI'!$J$4:$J$29,S4889,"Cubic","Extrapolate=Linear","MultiX=Average","Skip=True","Sort=True")</f>
        <v>14.480272229822161</v>
      </c>
      <c r="U4889" s="43">
        <f ca="1">_xll.BInterpol('Base CDI'!$H$4:$H$28,'Base CDI'!$I$4:$I$29,S4889,"Cubic","Extrapolate=Linear","MultiX=Average","Skip=True","Sort=True")</f>
        <v>14.425047879616962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50596</v>
      </c>
      <c r="T4890" s="43">
        <f ca="1">_xll.BInterpol('Base CDI'!$H$4:$H$28,'Base CDI'!$J$4:$J$29,S4890,"Cubic","Extrapolate=Linear","MultiX=Average","Skip=True","Sort=True")</f>
        <v>14.48011901504788</v>
      </c>
      <c r="U4890" s="43">
        <f ca="1">_xll.BInterpol('Base CDI'!$H$4:$H$28,'Base CDI'!$I$4:$I$29,S4890,"Cubic","Extrapolate=Linear","MultiX=Average","Skip=True","Sort=True")</f>
        <v>14.424794801641585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50597</v>
      </c>
      <c r="T4891" s="43">
        <f ca="1">_xll.BInterpol('Base CDI'!$H$4:$H$28,'Base CDI'!$J$4:$J$29,S4891,"Cubic","Extrapolate=Linear","MultiX=Average","Skip=True","Sort=True")</f>
        <v>14.479965800273597</v>
      </c>
      <c r="U4891" s="43">
        <f ca="1">_xll.BInterpol('Base CDI'!$H$4:$H$28,'Base CDI'!$I$4:$I$29,S4891,"Cubic","Extrapolate=Linear","MultiX=Average","Skip=True","Sort=True")</f>
        <v>14.424541723666209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50598</v>
      </c>
      <c r="T4892" s="43">
        <f ca="1">_xll.BInterpol('Base CDI'!$H$4:$H$28,'Base CDI'!$J$4:$J$29,S4892,"Cubic","Extrapolate=Linear","MultiX=Average","Skip=True","Sort=True")</f>
        <v>14.479812585499316</v>
      </c>
      <c r="U4892" s="43">
        <f ca="1">_xll.BInterpol('Base CDI'!$H$4:$H$28,'Base CDI'!$I$4:$I$29,S4892,"Cubic","Extrapolate=Linear","MultiX=Average","Skip=True","Sort=True")</f>
        <v>14.424288645690833</v>
      </c>
    </row>
    <row r="4893" spans="16:21" x14ac:dyDescent="0.25">
      <c r="P4893" s="10">
        <v>41625</v>
      </c>
      <c r="Q4893">
        <v>31.96773</v>
      </c>
      <c r="S4893" s="42">
        <f t="shared" ca="1" si="81"/>
        <v>50599</v>
      </c>
      <c r="T4893" s="43">
        <f ca="1">_xll.BInterpol('Base CDI'!$H$4:$H$28,'Base CDI'!$J$4:$J$29,S4893,"Cubic","Extrapolate=Linear","MultiX=Average","Skip=True","Sort=True")</f>
        <v>14.479659370725035</v>
      </c>
      <c r="U4893" s="43">
        <f ca="1">_xll.BInterpol('Base CDI'!$H$4:$H$28,'Base CDI'!$I$4:$I$29,S4893,"Cubic","Extrapolate=Linear","MultiX=Average","Skip=True","Sort=True")</f>
        <v>14.424035567715457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50600</v>
      </c>
      <c r="T4894" s="43">
        <f ca="1">_xll.BInterpol('Base CDI'!$H$4:$H$28,'Base CDI'!$J$4:$J$29,S4894,"Cubic","Extrapolate=Linear","MultiX=Average","Skip=True","Sort=True")</f>
        <v>14.479506155950752</v>
      </c>
      <c r="U4894" s="43">
        <f ca="1">_xll.BInterpol('Base CDI'!$H$4:$H$28,'Base CDI'!$I$4:$I$29,S4894,"Cubic","Extrapolate=Linear","MultiX=Average","Skip=True","Sort=True")</f>
        <v>14.423782489740081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50601</v>
      </c>
      <c r="T4895" s="43">
        <f ca="1">_xll.BInterpol('Base CDI'!$H$4:$H$28,'Base CDI'!$J$4:$J$29,S4895,"Cubic","Extrapolate=Linear","MultiX=Average","Skip=True","Sort=True")</f>
        <v>14.479352941176471</v>
      </c>
      <c r="U4895" s="43">
        <f ca="1">_xll.BInterpol('Base CDI'!$H$4:$H$28,'Base CDI'!$I$4:$I$29,S4895,"Cubic","Extrapolate=Linear","MultiX=Average","Skip=True","Sort=True")</f>
        <v>14.423529411764704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50602</v>
      </c>
      <c r="T4896" s="43">
        <f ca="1">_xll.BInterpol('Base CDI'!$H$4:$H$28,'Base CDI'!$J$4:$J$29,S4896,"Cubic","Extrapolate=Linear","MultiX=Average","Skip=True","Sort=True")</f>
        <v>14.479199726402188</v>
      </c>
      <c r="U4896" s="43">
        <f ca="1">_xll.BInterpol('Base CDI'!$H$4:$H$28,'Base CDI'!$I$4:$I$29,S4896,"Cubic","Extrapolate=Linear","MultiX=Average","Skip=True","Sort=True")</f>
        <v>14.423276333789328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50603</v>
      </c>
      <c r="T4897" s="43">
        <f ca="1">_xll.BInterpol('Base CDI'!$H$4:$H$28,'Base CDI'!$J$4:$J$29,S4897,"Cubic","Extrapolate=Linear","MultiX=Average","Skip=True","Sort=True")</f>
        <v>14.479046511627907</v>
      </c>
      <c r="U4897" s="43">
        <f ca="1">_xll.BInterpol('Base CDI'!$H$4:$H$28,'Base CDI'!$I$4:$I$29,S4897,"Cubic","Extrapolate=Linear","MultiX=Average","Skip=True","Sort=True")</f>
        <v>14.423023255813952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50604</v>
      </c>
      <c r="T4898" s="43">
        <f ca="1">_xll.BInterpol('Base CDI'!$H$4:$H$28,'Base CDI'!$J$4:$J$29,S4898,"Cubic","Extrapolate=Linear","MultiX=Average","Skip=True","Sort=True")</f>
        <v>14.478893296853624</v>
      </c>
      <c r="U4898" s="43">
        <f ca="1">_xll.BInterpol('Base CDI'!$H$4:$H$28,'Base CDI'!$I$4:$I$29,S4898,"Cubic","Extrapolate=Linear","MultiX=Average","Skip=True","Sort=True")</f>
        <v>14.422770177838576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50605</v>
      </c>
      <c r="T4899" s="43">
        <f ca="1">_xll.BInterpol('Base CDI'!$H$4:$H$28,'Base CDI'!$J$4:$J$29,S4899,"Cubic","Extrapolate=Linear","MultiX=Average","Skip=True","Sort=True")</f>
        <v>14.478740082079343</v>
      </c>
      <c r="U4899" s="43">
        <f ca="1">_xll.BInterpol('Base CDI'!$H$4:$H$28,'Base CDI'!$I$4:$I$29,S4899,"Cubic","Extrapolate=Linear","MultiX=Average","Skip=True","Sort=True")</f>
        <v>14.4225170998632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50606</v>
      </c>
      <c r="T4900" s="43">
        <f ca="1">_xll.BInterpol('Base CDI'!$H$4:$H$28,'Base CDI'!$J$4:$J$29,S4900,"Cubic","Extrapolate=Linear","MultiX=Average","Skip=True","Sort=True")</f>
        <v>14.478586867305062</v>
      </c>
      <c r="U4900" s="43">
        <f ca="1">_xll.BInterpol('Base CDI'!$H$4:$H$28,'Base CDI'!$I$4:$I$29,S4900,"Cubic","Extrapolate=Linear","MultiX=Average","Skip=True","Sort=True")</f>
        <v>14.422264021887823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50607</v>
      </c>
      <c r="T4901" s="43">
        <f ca="1">_xll.BInterpol('Base CDI'!$H$4:$H$28,'Base CDI'!$J$4:$J$29,S4901,"Cubic","Extrapolate=Linear","MultiX=Average","Skip=True","Sort=True")</f>
        <v>14.478433652530779</v>
      </c>
      <c r="U4901" s="43">
        <f ca="1">_xll.BInterpol('Base CDI'!$H$4:$H$28,'Base CDI'!$I$4:$I$29,S4901,"Cubic","Extrapolate=Linear","MultiX=Average","Skip=True","Sort=True")</f>
        <v>14.422010943912447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50608</v>
      </c>
      <c r="T4902" s="43">
        <f ca="1">_xll.BInterpol('Base CDI'!$H$4:$H$28,'Base CDI'!$J$4:$J$29,S4902,"Cubic","Extrapolate=Linear","MultiX=Average","Skip=True","Sort=True")</f>
        <v>14.478280437756498</v>
      </c>
      <c r="U4902" s="43">
        <f ca="1">_xll.BInterpol('Base CDI'!$H$4:$H$28,'Base CDI'!$I$4:$I$29,S4902,"Cubic","Extrapolate=Linear","MultiX=Average","Skip=True","Sort=True")</f>
        <v>14.421757865937071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50609</v>
      </c>
      <c r="T4903" s="43">
        <f ca="1">_xll.BInterpol('Base CDI'!$H$4:$H$28,'Base CDI'!$J$4:$J$29,S4903,"Cubic","Extrapolate=Linear","MultiX=Average","Skip=True","Sort=True")</f>
        <v>14.478127222982216</v>
      </c>
      <c r="U4903" s="43">
        <f ca="1">_xll.BInterpol('Base CDI'!$H$4:$H$28,'Base CDI'!$I$4:$I$29,S4903,"Cubic","Extrapolate=Linear","MultiX=Average","Skip=True","Sort=True")</f>
        <v>14.421504787961695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50610</v>
      </c>
      <c r="T4904" s="43">
        <f ca="1">_xll.BInterpol('Base CDI'!$H$4:$H$28,'Base CDI'!$J$4:$J$29,S4904,"Cubic","Extrapolate=Linear","MultiX=Average","Skip=True","Sort=True")</f>
        <v>14.477974008207934</v>
      </c>
      <c r="U4904" s="43">
        <f ca="1">_xll.BInterpol('Base CDI'!$H$4:$H$28,'Base CDI'!$I$4:$I$29,S4904,"Cubic","Extrapolate=Linear","MultiX=Average","Skip=True","Sort=True")</f>
        <v>14.421251709986318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50611</v>
      </c>
      <c r="T4905" s="43">
        <f ca="1">_xll.BInterpol('Base CDI'!$H$4:$H$28,'Base CDI'!$J$4:$J$29,S4905,"Cubic","Extrapolate=Linear","MultiX=Average","Skip=True","Sort=True")</f>
        <v>14.477820793433652</v>
      </c>
      <c r="U4905" s="43">
        <f ca="1">_xll.BInterpol('Base CDI'!$H$4:$H$28,'Base CDI'!$I$4:$I$29,S4905,"Cubic","Extrapolate=Linear","MultiX=Average","Skip=True","Sort=True")</f>
        <v>14.420998632010942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50612</v>
      </c>
      <c r="T4906" s="43">
        <f ca="1">_xll.BInterpol('Base CDI'!$H$4:$H$28,'Base CDI'!$J$4:$J$29,S4906,"Cubic","Extrapolate=Linear","MultiX=Average","Skip=True","Sort=True")</f>
        <v>14.47766757865937</v>
      </c>
      <c r="U4906" s="43">
        <f ca="1">_xll.BInterpol('Base CDI'!$H$4:$H$28,'Base CDI'!$I$4:$I$29,S4906,"Cubic","Extrapolate=Linear","MultiX=Average","Skip=True","Sort=True")</f>
        <v>14.420745554035566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50613</v>
      </c>
      <c r="T4907" s="43">
        <f ca="1">_xll.BInterpol('Base CDI'!$H$4:$H$28,'Base CDI'!$J$4:$J$29,S4907,"Cubic","Extrapolate=Linear","MultiX=Average","Skip=True","Sort=True")</f>
        <v>14.477514363885088</v>
      </c>
      <c r="U4907" s="43">
        <f ca="1">_xll.BInterpol('Base CDI'!$H$4:$H$28,'Base CDI'!$I$4:$I$29,S4907,"Cubic","Extrapolate=Linear","MultiX=Average","Skip=True","Sort=True")</f>
        <v>14.42049247606019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50614</v>
      </c>
      <c r="T4908" s="43">
        <f ca="1">_xll.BInterpol('Base CDI'!$H$4:$H$28,'Base CDI'!$J$4:$J$29,S4908,"Cubic","Extrapolate=Linear","MultiX=Average","Skip=True","Sort=True")</f>
        <v>14.477361149110807</v>
      </c>
      <c r="U4908" s="43">
        <f ca="1">_xll.BInterpol('Base CDI'!$H$4:$H$28,'Base CDI'!$I$4:$I$29,S4908,"Cubic","Extrapolate=Linear","MultiX=Average","Skip=True","Sort=True")</f>
        <v>14.420239398084814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50615</v>
      </c>
      <c r="T4909" s="43">
        <f ca="1">_xll.BInterpol('Base CDI'!$H$4:$H$28,'Base CDI'!$J$4:$J$29,S4909,"Cubic","Extrapolate=Linear","MultiX=Average","Skip=True","Sort=True")</f>
        <v>14.477207934336525</v>
      </c>
      <c r="U4909" s="43">
        <f ca="1">_xll.BInterpol('Base CDI'!$H$4:$H$28,'Base CDI'!$I$4:$I$29,S4909,"Cubic","Extrapolate=Linear","MultiX=Average","Skip=True","Sort=True")</f>
        <v>14.419986320109437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50616</v>
      </c>
      <c r="T4910" s="43">
        <f ca="1">_xll.BInterpol('Base CDI'!$H$4:$H$28,'Base CDI'!$J$4:$J$29,S4910,"Cubic","Extrapolate=Linear","MultiX=Average","Skip=True","Sort=True")</f>
        <v>14.477054719562243</v>
      </c>
      <c r="U4910" s="43">
        <f ca="1">_xll.BInterpol('Base CDI'!$H$4:$H$28,'Base CDI'!$I$4:$I$29,S4910,"Cubic","Extrapolate=Linear","MultiX=Average","Skip=True","Sort=True")</f>
        <v>14.419733242134061</v>
      </c>
    </row>
    <row r="4911" spans="16:21" x14ac:dyDescent="0.25">
      <c r="P4911" s="10">
        <v>41653</v>
      </c>
      <c r="Q4911">
        <v>32.1813</v>
      </c>
      <c r="S4911" s="42">
        <f t="shared" ca="1" si="81"/>
        <v>50617</v>
      </c>
      <c r="T4911" s="43">
        <f ca="1">_xll.BInterpol('Base CDI'!$H$4:$H$28,'Base CDI'!$J$4:$J$29,S4911,"Cubic","Extrapolate=Linear","MultiX=Average","Skip=True","Sort=True")</f>
        <v>14.476901504787961</v>
      </c>
      <c r="U4911" s="43">
        <f ca="1">_xll.BInterpol('Base CDI'!$H$4:$H$28,'Base CDI'!$I$4:$I$29,S4911,"Cubic","Extrapolate=Linear","MultiX=Average","Skip=True","Sort=True")</f>
        <v>14.419480164158685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50618</v>
      </c>
      <c r="T4912" s="43">
        <f ca="1">_xll.BInterpol('Base CDI'!$H$4:$H$28,'Base CDI'!$J$4:$J$29,S4912,"Cubic","Extrapolate=Linear","MultiX=Average","Skip=True","Sort=True")</f>
        <v>14.476748290013679</v>
      </c>
      <c r="U4912" s="43">
        <f ca="1">_xll.BInterpol('Base CDI'!$H$4:$H$28,'Base CDI'!$I$4:$I$29,S4912,"Cubic","Extrapolate=Linear","MultiX=Average","Skip=True","Sort=True")</f>
        <v>14.419227086183311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50619</v>
      </c>
      <c r="T4913" s="43">
        <f ca="1">_xll.BInterpol('Base CDI'!$H$4:$H$28,'Base CDI'!$J$4:$J$29,S4913,"Cubic","Extrapolate=Linear","MultiX=Average","Skip=True","Sort=True")</f>
        <v>14.476595075239398</v>
      </c>
      <c r="U4913" s="43">
        <f ca="1">_xll.BInterpol('Base CDI'!$H$4:$H$28,'Base CDI'!$I$4:$I$29,S4913,"Cubic","Extrapolate=Linear","MultiX=Average","Skip=True","Sort=True")</f>
        <v>14.418974008207934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50620</v>
      </c>
      <c r="T4914" s="43">
        <f ca="1">_xll.BInterpol('Base CDI'!$H$4:$H$28,'Base CDI'!$J$4:$J$29,S4914,"Cubic","Extrapolate=Linear","MultiX=Average","Skip=True","Sort=True")</f>
        <v>14.476441860465115</v>
      </c>
      <c r="U4914" s="43">
        <f ca="1">_xll.BInterpol('Base CDI'!$H$4:$H$28,'Base CDI'!$I$4:$I$29,S4914,"Cubic","Extrapolate=Linear","MultiX=Average","Skip=True","Sort=True")</f>
        <v>14.418720930232558</v>
      </c>
    </row>
    <row r="4915" spans="16:21" x14ac:dyDescent="0.25">
      <c r="P4915" s="10">
        <v>41659</v>
      </c>
      <c r="Q4915">
        <v>32.23019</v>
      </c>
      <c r="S4915" s="42">
        <f t="shared" ca="1" si="81"/>
        <v>50621</v>
      </c>
      <c r="T4915" s="43">
        <f ca="1">_xll.BInterpol('Base CDI'!$H$4:$H$28,'Base CDI'!$J$4:$J$29,S4915,"Cubic","Extrapolate=Linear","MultiX=Average","Skip=True","Sort=True")</f>
        <v>14.476288645690834</v>
      </c>
      <c r="U4915" s="43">
        <f ca="1">_xll.BInterpol('Base CDI'!$H$4:$H$28,'Base CDI'!$I$4:$I$29,S4915,"Cubic","Extrapolate=Linear","MultiX=Average","Skip=True","Sort=True")</f>
        <v>14.418467852257182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50622</v>
      </c>
      <c r="T4916" s="43">
        <f ca="1">_xll.BInterpol('Base CDI'!$H$4:$H$28,'Base CDI'!$J$4:$J$29,S4916,"Cubic","Extrapolate=Linear","MultiX=Average","Skip=True","Sort=True")</f>
        <v>14.476135430916552</v>
      </c>
      <c r="U4916" s="43">
        <f ca="1">_xll.BInterpol('Base CDI'!$H$4:$H$28,'Base CDI'!$I$4:$I$29,S4916,"Cubic","Extrapolate=Linear","MultiX=Average","Skip=True","Sort=True")</f>
        <v>14.418214774281806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50623</v>
      </c>
      <c r="T4917" s="43">
        <f ca="1">_xll.BInterpol('Base CDI'!$H$4:$H$28,'Base CDI'!$J$4:$J$29,S4917,"Cubic","Extrapolate=Linear","MultiX=Average","Skip=True","Sort=True")</f>
        <v>14.47598221614227</v>
      </c>
      <c r="U4917" s="43">
        <f ca="1">_xll.BInterpol('Base CDI'!$H$4:$H$28,'Base CDI'!$I$4:$I$29,S4917,"Cubic","Extrapolate=Linear","MultiX=Average","Skip=True","Sort=True")</f>
        <v>14.417961696306429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50624</v>
      </c>
      <c r="T4918" s="43">
        <f ca="1">_xll.BInterpol('Base CDI'!$H$4:$H$28,'Base CDI'!$J$4:$J$29,S4918,"Cubic","Extrapolate=Linear","MultiX=Average","Skip=True","Sort=True")</f>
        <v>14.475829001367989</v>
      </c>
      <c r="U4918" s="43">
        <f ca="1">_xll.BInterpol('Base CDI'!$H$4:$H$28,'Base CDI'!$I$4:$I$29,S4918,"Cubic","Extrapolate=Linear","MultiX=Average","Skip=True","Sort=True")</f>
        <v>14.417708618331053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50625</v>
      </c>
      <c r="T4919" s="43">
        <f ca="1">_xll.BInterpol('Base CDI'!$H$4:$H$28,'Base CDI'!$J$4:$J$29,S4919,"Cubic","Extrapolate=Linear","MultiX=Average","Skip=True","Sort=True")</f>
        <v>14.475675786593706</v>
      </c>
      <c r="U4919" s="43">
        <f ca="1">_xll.BInterpol('Base CDI'!$H$4:$H$28,'Base CDI'!$I$4:$I$29,S4919,"Cubic","Extrapolate=Linear","MultiX=Average","Skip=True","Sort=True")</f>
        <v>14.417455540355677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50626</v>
      </c>
      <c r="T4920" s="43">
        <f ca="1">_xll.BInterpol('Base CDI'!$H$4:$H$28,'Base CDI'!$J$4:$J$29,S4920,"Cubic","Extrapolate=Linear","MultiX=Average","Skip=True","Sort=True")</f>
        <v>14.475522571819425</v>
      </c>
      <c r="U4920" s="43">
        <f ca="1">_xll.BInterpol('Base CDI'!$H$4:$H$28,'Base CDI'!$I$4:$I$29,S4920,"Cubic","Extrapolate=Linear","MultiX=Average","Skip=True","Sort=True")</f>
        <v>14.417202462380301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50627</v>
      </c>
      <c r="T4921" s="43">
        <f ca="1">_xll.BInterpol('Base CDI'!$H$4:$H$28,'Base CDI'!$J$4:$J$29,S4921,"Cubic","Extrapolate=Linear","MultiX=Average","Skip=True","Sort=True")</f>
        <v>14.475369357045142</v>
      </c>
      <c r="U4921" s="43">
        <f ca="1">_xll.BInterpol('Base CDI'!$H$4:$H$28,'Base CDI'!$I$4:$I$29,S4921,"Cubic","Extrapolate=Linear","MultiX=Average","Skip=True","Sort=True")</f>
        <v>14.416949384404925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50628</v>
      </c>
      <c r="T4922" s="43">
        <f ca="1">_xll.BInterpol('Base CDI'!$H$4:$H$28,'Base CDI'!$J$4:$J$29,S4922,"Cubic","Extrapolate=Linear","MultiX=Average","Skip=True","Sort=True")</f>
        <v>14.475216142270861</v>
      </c>
      <c r="U4922" s="43">
        <f ca="1">_xll.BInterpol('Base CDI'!$H$4:$H$28,'Base CDI'!$I$4:$I$29,S4922,"Cubic","Extrapolate=Linear","MultiX=Average","Skip=True","Sort=True")</f>
        <v>14.416696306429548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50629</v>
      </c>
      <c r="T4923" s="43">
        <f ca="1">_xll.BInterpol('Base CDI'!$H$4:$H$28,'Base CDI'!$J$4:$J$29,S4923,"Cubic","Extrapolate=Linear","MultiX=Average","Skip=True","Sort=True")</f>
        <v>14.47506292749658</v>
      </c>
      <c r="U4923" s="43">
        <f ca="1">_xll.BInterpol('Base CDI'!$H$4:$H$28,'Base CDI'!$I$4:$I$29,S4923,"Cubic","Extrapolate=Linear","MultiX=Average","Skip=True","Sort=True")</f>
        <v>14.416443228454172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50630</v>
      </c>
      <c r="T4924" s="43">
        <f ca="1">_xll.BInterpol('Base CDI'!$H$4:$H$28,'Base CDI'!$J$4:$J$29,S4924,"Cubic","Extrapolate=Linear","MultiX=Average","Skip=True","Sort=True")</f>
        <v>14.474909712722297</v>
      </c>
      <c r="U4924" s="43">
        <f ca="1">_xll.BInterpol('Base CDI'!$H$4:$H$28,'Base CDI'!$I$4:$I$29,S4924,"Cubic","Extrapolate=Linear","MultiX=Average","Skip=True","Sort=True")</f>
        <v>14.416190150478796</v>
      </c>
    </row>
    <row r="4925" spans="16:21" x14ac:dyDescent="0.25">
      <c r="P4925" s="10">
        <v>41673</v>
      </c>
      <c r="Q4925">
        <v>32.35566</v>
      </c>
      <c r="S4925" s="42">
        <f t="shared" ca="1" si="81"/>
        <v>50631</v>
      </c>
      <c r="T4925" s="43">
        <f ca="1">_xll.BInterpol('Base CDI'!$H$4:$H$28,'Base CDI'!$J$4:$J$29,S4925,"Cubic","Extrapolate=Linear","MultiX=Average","Skip=True","Sort=True")</f>
        <v>14.474756497948016</v>
      </c>
      <c r="U4925" s="43">
        <f ca="1">_xll.BInterpol('Base CDI'!$H$4:$H$28,'Base CDI'!$I$4:$I$29,S4925,"Cubic","Extrapolate=Linear","MultiX=Average","Skip=True","Sort=True")</f>
        <v>14.41593707250342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50632</v>
      </c>
      <c r="T4926" s="43">
        <f ca="1">_xll.BInterpol('Base CDI'!$H$4:$H$28,'Base CDI'!$J$4:$J$29,S4926,"Cubic","Extrapolate=Linear","MultiX=Average","Skip=True","Sort=True")</f>
        <v>14.474603283173733</v>
      </c>
      <c r="U4926" s="43">
        <f ca="1">_xll.BInterpol('Base CDI'!$H$4:$H$28,'Base CDI'!$I$4:$I$29,S4926,"Cubic","Extrapolate=Linear","MultiX=Average","Skip=True","Sort=True")</f>
        <v>14.415683994528043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50633</v>
      </c>
      <c r="T4927" s="43">
        <f ca="1">_xll.BInterpol('Base CDI'!$H$4:$H$28,'Base CDI'!$J$4:$J$29,S4927,"Cubic","Extrapolate=Linear","MultiX=Average","Skip=True","Sort=True")</f>
        <v>14.474450068399452</v>
      </c>
      <c r="U4927" s="43">
        <f ca="1">_xll.BInterpol('Base CDI'!$H$4:$H$28,'Base CDI'!$I$4:$I$29,S4927,"Cubic","Extrapolate=Linear","MultiX=Average","Skip=True","Sort=True")</f>
        <v>14.415430916552667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50634</v>
      </c>
      <c r="T4928" s="43">
        <f ca="1">_xll.BInterpol('Base CDI'!$H$4:$H$28,'Base CDI'!$J$4:$J$29,S4928,"Cubic","Extrapolate=Linear","MultiX=Average","Skip=True","Sort=True")</f>
        <v>14.474296853625171</v>
      </c>
      <c r="U4928" s="43">
        <f ca="1">_xll.BInterpol('Base CDI'!$H$4:$H$28,'Base CDI'!$I$4:$I$29,S4928,"Cubic","Extrapolate=Linear","MultiX=Average","Skip=True","Sort=True")</f>
        <v>14.415177838577291</v>
      </c>
    </row>
    <row r="4929" spans="16:21" x14ac:dyDescent="0.25">
      <c r="P4929" s="10">
        <v>41677</v>
      </c>
      <c r="Q4929">
        <v>32.40598</v>
      </c>
      <c r="S4929" s="42">
        <f t="shared" ca="1" si="81"/>
        <v>50635</v>
      </c>
      <c r="T4929" s="43">
        <f ca="1">_xll.BInterpol('Base CDI'!$H$4:$H$28,'Base CDI'!$J$4:$J$29,S4929,"Cubic","Extrapolate=Linear","MultiX=Average","Skip=True","Sort=True")</f>
        <v>14.474143638850888</v>
      </c>
      <c r="U4929" s="43">
        <f ca="1">_xll.BInterpol('Base CDI'!$H$4:$H$28,'Base CDI'!$I$4:$I$29,S4929,"Cubic","Extrapolate=Linear","MultiX=Average","Skip=True","Sort=True")</f>
        <v>14.414924760601915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50636</v>
      </c>
      <c r="T4930" s="43">
        <f ca="1">_xll.BInterpol('Base CDI'!$H$4:$H$28,'Base CDI'!$J$4:$J$29,S4930,"Cubic","Extrapolate=Linear","MultiX=Average","Skip=True","Sort=True")</f>
        <v>14.473990424076607</v>
      </c>
      <c r="U4930" s="43">
        <f ca="1">_xll.BInterpol('Base CDI'!$H$4:$H$28,'Base CDI'!$I$4:$I$29,S4930,"Cubic","Extrapolate=Linear","MultiX=Average","Skip=True","Sort=True")</f>
        <v>14.414671682626539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50637</v>
      </c>
      <c r="T4931" s="43">
        <f ca="1">_xll.BInterpol('Base CDI'!$H$4:$H$28,'Base CDI'!$J$4:$J$29,S4931,"Cubic","Extrapolate=Linear","MultiX=Average","Skip=True","Sort=True")</f>
        <v>14.473837209302324</v>
      </c>
      <c r="U4931" s="43">
        <f ca="1">_xll.BInterpol('Base CDI'!$H$4:$H$28,'Base CDI'!$I$4:$I$29,S4931,"Cubic","Extrapolate=Linear","MultiX=Average","Skip=True","Sort=True")</f>
        <v>14.414418604651162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50638</v>
      </c>
      <c r="T4932" s="43">
        <f ca="1">_xll.BInterpol('Base CDI'!$H$4:$H$28,'Base CDI'!$J$4:$J$29,S4932,"Cubic","Extrapolate=Linear","MultiX=Average","Skip=True","Sort=True")</f>
        <v>14.473683994528043</v>
      </c>
      <c r="U4932" s="43">
        <f ca="1">_xll.BInterpol('Base CDI'!$H$4:$H$28,'Base CDI'!$I$4:$I$29,S4932,"Cubic","Extrapolate=Linear","MultiX=Average","Skip=True","Sort=True")</f>
        <v>14.414165526675786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50639</v>
      </c>
      <c r="T4933" s="43">
        <f ca="1">_xll.BInterpol('Base CDI'!$H$4:$H$28,'Base CDI'!$J$4:$J$29,S4933,"Cubic","Extrapolate=Linear","MultiX=Average","Skip=True","Sort=True")</f>
        <v>14.473530779753762</v>
      </c>
      <c r="U4933" s="43">
        <f ca="1">_xll.BInterpol('Base CDI'!$H$4:$H$28,'Base CDI'!$I$4:$I$29,S4933,"Cubic","Extrapolate=Linear","MultiX=Average","Skip=True","Sort=True")</f>
        <v>14.41391244870041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50640</v>
      </c>
      <c r="T4934" s="43">
        <f ca="1">_xll.BInterpol('Base CDI'!$H$4:$H$28,'Base CDI'!$J$4:$J$29,S4934,"Cubic","Extrapolate=Linear","MultiX=Average","Skip=True","Sort=True")</f>
        <v>14.473377564979479</v>
      </c>
      <c r="U4934" s="43">
        <f ca="1">_xll.BInterpol('Base CDI'!$H$4:$H$28,'Base CDI'!$I$4:$I$29,S4934,"Cubic","Extrapolate=Linear","MultiX=Average","Skip=True","Sort=True")</f>
        <v>14.413659370725034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50641</v>
      </c>
      <c r="T4935" s="43">
        <f ca="1">_xll.BInterpol('Base CDI'!$H$4:$H$28,'Base CDI'!$J$4:$J$29,S4935,"Cubic","Extrapolate=Linear","MultiX=Average","Skip=True","Sort=True")</f>
        <v>14.473224350205198</v>
      </c>
      <c r="U4935" s="43">
        <f ca="1">_xll.BInterpol('Base CDI'!$H$4:$H$28,'Base CDI'!$I$4:$I$29,S4935,"Cubic","Extrapolate=Linear","MultiX=Average","Skip=True","Sort=True")</f>
        <v>14.413406292749658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50642</v>
      </c>
      <c r="T4936" s="43">
        <f ca="1">_xll.BInterpol('Base CDI'!$H$4:$H$28,'Base CDI'!$J$4:$J$29,S4936,"Cubic","Extrapolate=Linear","MultiX=Average","Skip=True","Sort=True")</f>
        <v>14.473071135430915</v>
      </c>
      <c r="U4936" s="43">
        <f ca="1">_xll.BInterpol('Base CDI'!$H$4:$H$28,'Base CDI'!$I$4:$I$29,S4936,"Cubic","Extrapolate=Linear","MultiX=Average","Skip=True","Sort=True")</f>
        <v>14.413153214774281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50643</v>
      </c>
      <c r="T4937" s="43">
        <f ca="1">_xll.BInterpol('Base CDI'!$H$4:$H$28,'Base CDI'!$J$4:$J$29,S4937,"Cubic","Extrapolate=Linear","MultiX=Average","Skip=True","Sort=True")</f>
        <v>14.472917920656634</v>
      </c>
      <c r="U4937" s="43">
        <f ca="1">_xll.BInterpol('Base CDI'!$H$4:$H$28,'Base CDI'!$I$4:$I$29,S4937,"Cubic","Extrapolate=Linear","MultiX=Average","Skip=True","Sort=True")</f>
        <v>14.412900136798905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50644</v>
      </c>
      <c r="T4938" s="43">
        <f ca="1">_xll.BInterpol('Base CDI'!$H$4:$H$28,'Base CDI'!$J$4:$J$29,S4938,"Cubic","Extrapolate=Linear","MultiX=Average","Skip=True","Sort=True")</f>
        <v>14.472764705882353</v>
      </c>
      <c r="U4938" s="43">
        <f ca="1">_xll.BInterpol('Base CDI'!$H$4:$H$28,'Base CDI'!$I$4:$I$29,S4938,"Cubic","Extrapolate=Linear","MultiX=Average","Skip=True","Sort=True")</f>
        <v>14.412647058823529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50645</v>
      </c>
      <c r="T4939" s="43">
        <f ca="1">_xll.BInterpol('Base CDI'!$H$4:$H$28,'Base CDI'!$J$4:$J$29,S4939,"Cubic","Extrapolate=Linear","MultiX=Average","Skip=True","Sort=True")</f>
        <v>14.47261149110807</v>
      </c>
      <c r="U4939" s="43">
        <f ca="1">_xll.BInterpol('Base CDI'!$H$4:$H$28,'Base CDI'!$I$4:$I$29,S4939,"Cubic","Extrapolate=Linear","MultiX=Average","Skip=True","Sort=True")</f>
        <v>14.412393980848153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50646</v>
      </c>
      <c r="T4940" s="43">
        <f ca="1">_xll.BInterpol('Base CDI'!$H$4:$H$28,'Base CDI'!$J$4:$J$29,S4940,"Cubic","Extrapolate=Linear","MultiX=Average","Skip=True","Sort=True")</f>
        <v>14.472458276333789</v>
      </c>
      <c r="U4940" s="43">
        <f ca="1">_xll.BInterpol('Base CDI'!$H$4:$H$28,'Base CDI'!$I$4:$I$29,S4940,"Cubic","Extrapolate=Linear","MultiX=Average","Skip=True","Sort=True")</f>
        <v>14.412140902872776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50647</v>
      </c>
      <c r="T4941" s="43">
        <f ca="1">_xll.BInterpol('Base CDI'!$H$4:$H$28,'Base CDI'!$J$4:$J$29,S4941,"Cubic","Extrapolate=Linear","MultiX=Average","Skip=True","Sort=True")</f>
        <v>14.472305061559506</v>
      </c>
      <c r="U4941" s="43">
        <f ca="1">_xll.BInterpol('Base CDI'!$H$4:$H$28,'Base CDI'!$I$4:$I$29,S4941,"Cubic","Extrapolate=Linear","MultiX=Average","Skip=True","Sort=True")</f>
        <v>14.4118878248974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50648</v>
      </c>
      <c r="T4942" s="43">
        <f ca="1">_xll.BInterpol('Base CDI'!$H$4:$H$28,'Base CDI'!$J$4:$J$29,S4942,"Cubic","Extrapolate=Linear","MultiX=Average","Skip=True","Sort=True")</f>
        <v>14.472151846785225</v>
      </c>
      <c r="U4942" s="43">
        <f ca="1">_xll.BInterpol('Base CDI'!$H$4:$H$28,'Base CDI'!$I$4:$I$29,S4942,"Cubic","Extrapolate=Linear","MultiX=Average","Skip=True","Sort=True")</f>
        <v>14.411634746922024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50649</v>
      </c>
      <c r="T4943" s="43">
        <f ca="1">_xll.BInterpol('Base CDI'!$H$4:$H$28,'Base CDI'!$J$4:$J$29,S4943,"Cubic","Extrapolate=Linear","MultiX=Average","Skip=True","Sort=True")</f>
        <v>14.471998632010944</v>
      </c>
      <c r="U4943" s="43">
        <f ca="1">_xll.BInterpol('Base CDI'!$H$4:$H$28,'Base CDI'!$I$4:$I$29,S4943,"Cubic","Extrapolate=Linear","MultiX=Average","Skip=True","Sort=True")</f>
        <v>14.411381668946648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50650</v>
      </c>
      <c r="T4944" s="43">
        <f ca="1">_xll.BInterpol('Base CDI'!$H$4:$H$28,'Base CDI'!$J$4:$J$29,S4944,"Cubic","Extrapolate=Linear","MultiX=Average","Skip=True","Sort=True")</f>
        <v>14.471845417236661</v>
      </c>
      <c r="U4944" s="43">
        <f ca="1">_xll.BInterpol('Base CDI'!$H$4:$H$28,'Base CDI'!$I$4:$I$29,S4944,"Cubic","Extrapolate=Linear","MultiX=Average","Skip=True","Sort=True")</f>
        <v>14.411128590971272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50651</v>
      </c>
      <c r="T4945" s="43">
        <f ca="1">_xll.BInterpol('Base CDI'!$H$4:$H$28,'Base CDI'!$J$4:$J$29,S4945,"Cubic","Extrapolate=Linear","MultiX=Average","Skip=True","Sort=True")</f>
        <v>14.47169220246238</v>
      </c>
      <c r="U4945" s="43">
        <f ca="1">_xll.BInterpol('Base CDI'!$H$4:$H$28,'Base CDI'!$I$4:$I$29,S4945,"Cubic","Extrapolate=Linear","MultiX=Average","Skip=True","Sort=True")</f>
        <v>14.410875512995895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50652</v>
      </c>
      <c r="T4946" s="43">
        <f ca="1">_xll.BInterpol('Base CDI'!$H$4:$H$28,'Base CDI'!$J$4:$J$29,S4946,"Cubic","Extrapolate=Linear","MultiX=Average","Skip=True","Sort=True")</f>
        <v>14.471538987688097</v>
      </c>
      <c r="U4946" s="43">
        <f ca="1">_xll.BInterpol('Base CDI'!$H$4:$H$28,'Base CDI'!$I$4:$I$29,S4946,"Cubic","Extrapolate=Linear","MultiX=Average","Skip=True","Sort=True")</f>
        <v>14.410622435020519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50653</v>
      </c>
      <c r="T4947" s="43">
        <f ca="1">_xll.BInterpol('Base CDI'!$H$4:$H$28,'Base CDI'!$J$4:$J$29,S4947,"Cubic","Extrapolate=Linear","MultiX=Average","Skip=True","Sort=True")</f>
        <v>14.471385772913816</v>
      </c>
      <c r="U4947" s="43">
        <f ca="1">_xll.BInterpol('Base CDI'!$H$4:$H$28,'Base CDI'!$I$4:$I$29,S4947,"Cubic","Extrapolate=Linear","MultiX=Average","Skip=True","Sort=True")</f>
        <v>14.410369357045143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50654</v>
      </c>
      <c r="T4948" s="43">
        <f ca="1">_xll.BInterpol('Base CDI'!$H$4:$H$28,'Base CDI'!$J$4:$J$29,S4948,"Cubic","Extrapolate=Linear","MultiX=Average","Skip=True","Sort=True")</f>
        <v>14.471232558139535</v>
      </c>
      <c r="U4948" s="43">
        <f ca="1">_xll.BInterpol('Base CDI'!$H$4:$H$28,'Base CDI'!$I$4:$I$29,S4948,"Cubic","Extrapolate=Linear","MultiX=Average","Skip=True","Sort=True")</f>
        <v>14.410116279069767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50655</v>
      </c>
      <c r="T4949" s="43">
        <f ca="1">_xll.BInterpol('Base CDI'!$H$4:$H$28,'Base CDI'!$J$4:$J$29,S4949,"Cubic","Extrapolate=Linear","MultiX=Average","Skip=True","Sort=True")</f>
        <v>14.471079343365252</v>
      </c>
      <c r="U4949" s="43">
        <f ca="1">_xll.BInterpol('Base CDI'!$H$4:$H$28,'Base CDI'!$I$4:$I$29,S4949,"Cubic","Extrapolate=Linear","MultiX=Average","Skip=True","Sort=True")</f>
        <v>14.409863201094391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50656</v>
      </c>
      <c r="T4950" s="43">
        <f ca="1">_xll.BInterpol('Base CDI'!$H$4:$H$28,'Base CDI'!$J$4:$J$29,S4950,"Cubic","Extrapolate=Linear","MultiX=Average","Skip=True","Sort=True")</f>
        <v>14.470926128590971</v>
      </c>
      <c r="U4950" s="43">
        <f ca="1">_xll.BInterpol('Base CDI'!$H$4:$H$28,'Base CDI'!$I$4:$I$29,S4950,"Cubic","Extrapolate=Linear","MultiX=Average","Skip=True","Sort=True")</f>
        <v>14.409610123119014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50657</v>
      </c>
      <c r="T4951" s="43">
        <f ca="1">_xll.BInterpol('Base CDI'!$H$4:$H$28,'Base CDI'!$J$4:$J$29,S4951,"Cubic","Extrapolate=Linear","MultiX=Average","Skip=True","Sort=True")</f>
        <v>14.470772913816688</v>
      </c>
      <c r="U4951" s="43">
        <f ca="1">_xll.BInterpol('Base CDI'!$H$4:$H$28,'Base CDI'!$I$4:$I$29,S4951,"Cubic","Extrapolate=Linear","MultiX=Average","Skip=True","Sort=True")</f>
        <v>14.409357045143638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50658</v>
      </c>
      <c r="T4952" s="43">
        <f ca="1">_xll.BInterpol('Base CDI'!$H$4:$H$28,'Base CDI'!$J$4:$J$29,S4952,"Cubic","Extrapolate=Linear","MultiX=Average","Skip=True","Sort=True")</f>
        <v>14.470619699042407</v>
      </c>
      <c r="U4952" s="43">
        <f ca="1">_xll.BInterpol('Base CDI'!$H$4:$H$28,'Base CDI'!$I$4:$I$29,S4952,"Cubic","Extrapolate=Linear","MultiX=Average","Skip=True","Sort=True")</f>
        <v>14.409103967168262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50659</v>
      </c>
      <c r="T4953" s="43">
        <f ca="1">_xll.BInterpol('Base CDI'!$H$4:$H$28,'Base CDI'!$J$4:$J$29,S4953,"Cubic","Extrapolate=Linear","MultiX=Average","Skip=True","Sort=True")</f>
        <v>14.470466484268126</v>
      </c>
      <c r="U4953" s="43">
        <f ca="1">_xll.BInterpol('Base CDI'!$H$4:$H$28,'Base CDI'!$I$4:$I$29,S4953,"Cubic","Extrapolate=Linear","MultiX=Average","Skip=True","Sort=True")</f>
        <v>14.408850889192886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50660</v>
      </c>
      <c r="T4954" s="43">
        <f ca="1">_xll.BInterpol('Base CDI'!$H$4:$H$28,'Base CDI'!$J$4:$J$29,S4954,"Cubic","Extrapolate=Linear","MultiX=Average","Skip=True","Sort=True")</f>
        <v>14.470313269493843</v>
      </c>
      <c r="U4954" s="43">
        <f ca="1">_xll.BInterpol('Base CDI'!$H$4:$H$28,'Base CDI'!$I$4:$I$29,S4954,"Cubic","Extrapolate=Linear","MultiX=Average","Skip=True","Sort=True")</f>
        <v>14.408597811217509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50661</v>
      </c>
      <c r="T4955" s="43">
        <f ca="1">_xll.BInterpol('Base CDI'!$H$4:$H$28,'Base CDI'!$J$4:$J$29,S4955,"Cubic","Extrapolate=Linear","MultiX=Average","Skip=True","Sort=True")</f>
        <v>14.470160054719562</v>
      </c>
      <c r="U4955" s="43">
        <f ca="1">_xll.BInterpol('Base CDI'!$H$4:$H$28,'Base CDI'!$I$4:$I$29,S4955,"Cubic","Extrapolate=Linear","MultiX=Average","Skip=True","Sort=True")</f>
        <v>14.408344733242133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50662</v>
      </c>
      <c r="T4956" s="43">
        <f ca="1">_xll.BInterpol('Base CDI'!$H$4:$H$28,'Base CDI'!$J$4:$J$29,S4956,"Cubic","Extrapolate=Linear","MultiX=Average","Skip=True","Sort=True")</f>
        <v>14.470006839945279</v>
      </c>
      <c r="U4956" s="43">
        <f ca="1">_xll.BInterpol('Base CDI'!$H$4:$H$28,'Base CDI'!$I$4:$I$29,S4956,"Cubic","Extrapolate=Linear","MultiX=Average","Skip=True","Sort=True")</f>
        <v>14.408091655266757</v>
      </c>
    </row>
    <row r="4957" spans="16:21" x14ac:dyDescent="0.25">
      <c r="P4957" s="10">
        <v>41719</v>
      </c>
      <c r="Q4957">
        <v>32.76511</v>
      </c>
      <c r="S4957" s="42">
        <f t="shared" ca="1" si="82"/>
        <v>50663</v>
      </c>
      <c r="T4957" s="43">
        <f ca="1">_xll.BInterpol('Base CDI'!$H$4:$H$28,'Base CDI'!$J$4:$J$29,S4957,"Cubic","Extrapolate=Linear","MultiX=Average","Skip=True","Sort=True")</f>
        <v>14.469853625170998</v>
      </c>
      <c r="U4957" s="43">
        <f ca="1">_xll.BInterpol('Base CDI'!$H$4:$H$28,'Base CDI'!$I$4:$I$29,S4957,"Cubic","Extrapolate=Linear","MultiX=Average","Skip=True","Sort=True")</f>
        <v>14.407838577291381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50664</v>
      </c>
      <c r="T4958" s="43">
        <f ca="1">_xll.BInterpol('Base CDI'!$H$4:$H$28,'Base CDI'!$J$4:$J$29,S4958,"Cubic","Extrapolate=Linear","MultiX=Average","Skip=True","Sort=True")</f>
        <v>14.469700410396717</v>
      </c>
      <c r="U4958" s="43">
        <f ca="1">_xll.BInterpol('Base CDI'!$H$4:$H$28,'Base CDI'!$I$4:$I$29,S4958,"Cubic","Extrapolate=Linear","MultiX=Average","Skip=True","Sort=True")</f>
        <v>14.407585499316005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50665</v>
      </c>
      <c r="T4959" s="43">
        <f ca="1">_xll.BInterpol('Base CDI'!$H$4:$H$28,'Base CDI'!$J$4:$J$29,S4959,"Cubic","Extrapolate=Linear","MultiX=Average","Skip=True","Sort=True")</f>
        <v>14.469547195622434</v>
      </c>
      <c r="U4959" s="43">
        <f ca="1">_xll.BInterpol('Base CDI'!$H$4:$H$28,'Base CDI'!$I$4:$I$29,S4959,"Cubic","Extrapolate=Linear","MultiX=Average","Skip=True","Sort=True")</f>
        <v>14.407332421340628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50666</v>
      </c>
      <c r="T4960" s="43">
        <f ca="1">_xll.BInterpol('Base CDI'!$H$4:$H$28,'Base CDI'!$J$4:$J$29,S4960,"Cubic","Extrapolate=Linear","MultiX=Average","Skip=True","Sort=True")</f>
        <v>14.469393980848153</v>
      </c>
      <c r="U4960" s="43">
        <f ca="1">_xll.BInterpol('Base CDI'!$H$4:$H$28,'Base CDI'!$I$4:$I$29,S4960,"Cubic","Extrapolate=Linear","MultiX=Average","Skip=True","Sort=True")</f>
        <v>14.407079343365252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50667</v>
      </c>
      <c r="T4961" s="43">
        <f ca="1">_xll.BInterpol('Base CDI'!$H$4:$H$28,'Base CDI'!$J$4:$J$29,S4961,"Cubic","Extrapolate=Linear","MultiX=Average","Skip=True","Sort=True")</f>
        <v>14.46924076607387</v>
      </c>
      <c r="U4961" s="43">
        <f ca="1">_xll.BInterpol('Base CDI'!$H$4:$H$28,'Base CDI'!$I$4:$I$29,S4961,"Cubic","Extrapolate=Linear","MultiX=Average","Skip=True","Sort=True")</f>
        <v>14.406826265389876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50668</v>
      </c>
      <c r="T4962" s="43">
        <f ca="1">_xll.BInterpol('Base CDI'!$H$4:$H$28,'Base CDI'!$J$4:$J$29,S4962,"Cubic","Extrapolate=Linear","MultiX=Average","Skip=True","Sort=True")</f>
        <v>14.469087551299589</v>
      </c>
      <c r="U4962" s="43">
        <f ca="1">_xll.BInterpol('Base CDI'!$H$4:$H$28,'Base CDI'!$I$4:$I$29,S4962,"Cubic","Extrapolate=Linear","MultiX=Average","Skip=True","Sort=True")</f>
        <v>14.4065731874145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50669</v>
      </c>
      <c r="T4963" s="43">
        <f ca="1">_xll.BInterpol('Base CDI'!$H$4:$H$28,'Base CDI'!$J$4:$J$29,S4963,"Cubic","Extrapolate=Linear","MultiX=Average","Skip=True","Sort=True")</f>
        <v>14.468934336525308</v>
      </c>
      <c r="U4963" s="43">
        <f ca="1">_xll.BInterpol('Base CDI'!$H$4:$H$28,'Base CDI'!$I$4:$I$29,S4963,"Cubic","Extrapolate=Linear","MultiX=Average","Skip=True","Sort=True")</f>
        <v>14.406320109439124</v>
      </c>
    </row>
    <row r="4964" spans="16:21" x14ac:dyDescent="0.25">
      <c r="P4964" s="10">
        <v>41730</v>
      </c>
      <c r="Q4964">
        <v>32.85671</v>
      </c>
      <c r="S4964" s="42">
        <f t="shared" ca="1" si="82"/>
        <v>50670</v>
      </c>
      <c r="T4964" s="43">
        <f ca="1">_xll.BInterpol('Base CDI'!$H$4:$H$28,'Base CDI'!$J$4:$J$29,S4964,"Cubic","Extrapolate=Linear","MultiX=Average","Skip=True","Sort=True")</f>
        <v>14.468781121751025</v>
      </c>
      <c r="U4964" s="43">
        <f ca="1">_xll.BInterpol('Base CDI'!$H$4:$H$28,'Base CDI'!$I$4:$I$29,S4964,"Cubic","Extrapolate=Linear","MultiX=Average","Skip=True","Sort=True")</f>
        <v>14.406067031463747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50671</v>
      </c>
      <c r="T4965" s="43">
        <f ca="1">_xll.BInterpol('Base CDI'!$H$4:$H$28,'Base CDI'!$J$4:$J$29,S4965,"Cubic","Extrapolate=Linear","MultiX=Average","Skip=True","Sort=True")</f>
        <v>14.468627906976744</v>
      </c>
      <c r="U4965" s="43">
        <f ca="1">_xll.BInterpol('Base CDI'!$H$4:$H$28,'Base CDI'!$I$4:$I$29,S4965,"Cubic","Extrapolate=Linear","MultiX=Average","Skip=True","Sort=True")</f>
        <v>14.405813953488371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50672</v>
      </c>
      <c r="T4966" s="43">
        <f ca="1">_xll.BInterpol('Base CDI'!$H$4:$H$28,'Base CDI'!$J$4:$J$29,S4966,"Cubic","Extrapolate=Linear","MultiX=Average","Skip=True","Sort=True")</f>
        <v>14.468474692202461</v>
      </c>
      <c r="U4966" s="43">
        <f ca="1">_xll.BInterpol('Base CDI'!$H$4:$H$28,'Base CDI'!$I$4:$I$29,S4966,"Cubic","Extrapolate=Linear","MultiX=Average","Skip=True","Sort=True")</f>
        <v>14.405560875512995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50673</v>
      </c>
      <c r="T4967" s="43">
        <f ca="1">_xll.BInterpol('Base CDI'!$H$4:$H$28,'Base CDI'!$J$4:$J$29,S4967,"Cubic","Extrapolate=Linear","MultiX=Average","Skip=True","Sort=True")</f>
        <v>14.46832147742818</v>
      </c>
      <c r="U4967" s="43">
        <f ca="1">_xll.BInterpol('Base CDI'!$H$4:$H$28,'Base CDI'!$I$4:$I$29,S4967,"Cubic","Extrapolate=Linear","MultiX=Average","Skip=True","Sort=True")</f>
        <v>14.405307797537619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50674</v>
      </c>
      <c r="T4968" s="43">
        <f ca="1">_xll.BInterpol('Base CDI'!$H$4:$H$28,'Base CDI'!$J$4:$J$29,S4968,"Cubic","Extrapolate=Linear","MultiX=Average","Skip=True","Sort=True")</f>
        <v>14.468168262653899</v>
      </c>
      <c r="U4968" s="43">
        <f ca="1">_xll.BInterpol('Base CDI'!$H$4:$H$28,'Base CDI'!$I$4:$I$29,S4968,"Cubic","Extrapolate=Linear","MultiX=Average","Skip=True","Sort=True")</f>
        <v>14.405054719562242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50675</v>
      </c>
      <c r="T4969" s="43">
        <f ca="1">_xll.BInterpol('Base CDI'!$H$4:$H$28,'Base CDI'!$J$4:$J$29,S4969,"Cubic","Extrapolate=Linear","MultiX=Average","Skip=True","Sort=True")</f>
        <v>14.468015047879616</v>
      </c>
      <c r="U4969" s="43">
        <f ca="1">_xll.BInterpol('Base CDI'!$H$4:$H$28,'Base CDI'!$I$4:$I$29,S4969,"Cubic","Extrapolate=Linear","MultiX=Average","Skip=True","Sort=True")</f>
        <v>14.404801641586866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50676</v>
      </c>
      <c r="T4970" s="43">
        <f ca="1">_xll.BInterpol('Base CDI'!$H$4:$H$28,'Base CDI'!$J$4:$J$29,S4970,"Cubic","Extrapolate=Linear","MultiX=Average","Skip=True","Sort=True")</f>
        <v>14.467861833105335</v>
      </c>
      <c r="U4970" s="43">
        <f ca="1">_xll.BInterpol('Base CDI'!$H$4:$H$28,'Base CDI'!$I$4:$I$29,S4970,"Cubic","Extrapolate=Linear","MultiX=Average","Skip=True","Sort=True")</f>
        <v>14.40454856361149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50677</v>
      </c>
      <c r="T4971" s="43">
        <f ca="1">_xll.BInterpol('Base CDI'!$H$4:$H$28,'Base CDI'!$J$4:$J$29,S4971,"Cubic","Extrapolate=Linear","MultiX=Average","Skip=True","Sort=True")</f>
        <v>14.467708618331052</v>
      </c>
      <c r="U4971" s="43">
        <f ca="1">_xll.BInterpol('Base CDI'!$H$4:$H$28,'Base CDI'!$I$4:$I$29,S4971,"Cubic","Extrapolate=Linear","MultiX=Average","Skip=True","Sort=True")</f>
        <v>14.404295485636114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50678</v>
      </c>
      <c r="T4972" s="43">
        <f ca="1">_xll.BInterpol('Base CDI'!$H$4:$H$28,'Base CDI'!$J$4:$J$29,S4972,"Cubic","Extrapolate=Linear","MultiX=Average","Skip=True","Sort=True")</f>
        <v>14.467555403556771</v>
      </c>
      <c r="U4972" s="43">
        <f ca="1">_xll.BInterpol('Base CDI'!$H$4:$H$28,'Base CDI'!$I$4:$I$29,S4972,"Cubic","Extrapolate=Linear","MultiX=Average","Skip=True","Sort=True")</f>
        <v>14.404042407660738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50679</v>
      </c>
      <c r="T4973" s="43">
        <f ca="1">_xll.BInterpol('Base CDI'!$H$4:$H$28,'Base CDI'!$J$4:$J$29,S4973,"Cubic","Extrapolate=Linear","MultiX=Average","Skip=True","Sort=True")</f>
        <v>14.46740218878249</v>
      </c>
      <c r="U4973" s="43">
        <f ca="1">_xll.BInterpol('Base CDI'!$H$4:$H$28,'Base CDI'!$I$4:$I$29,S4973,"Cubic","Extrapolate=Linear","MultiX=Average","Skip=True","Sort=True")</f>
        <v>14.403789329685361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50680</v>
      </c>
      <c r="T4974" s="43">
        <f ca="1">_xll.BInterpol('Base CDI'!$H$4:$H$28,'Base CDI'!$J$4:$J$29,S4974,"Cubic","Extrapolate=Linear","MultiX=Average","Skip=True","Sort=True")</f>
        <v>14.467248974008207</v>
      </c>
      <c r="U4974" s="43">
        <f ca="1">_xll.BInterpol('Base CDI'!$H$4:$H$28,'Base CDI'!$I$4:$I$29,S4974,"Cubic","Extrapolate=Linear","MultiX=Average","Skip=True","Sort=True")</f>
        <v>14.403536251709985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50681</v>
      </c>
      <c r="T4975" s="43">
        <f ca="1">_xll.BInterpol('Base CDI'!$H$4:$H$28,'Base CDI'!$J$4:$J$29,S4975,"Cubic","Extrapolate=Linear","MultiX=Average","Skip=True","Sort=True")</f>
        <v>14.467095759233926</v>
      </c>
      <c r="U4975" s="43">
        <f ca="1">_xll.BInterpol('Base CDI'!$H$4:$H$28,'Base CDI'!$I$4:$I$29,S4975,"Cubic","Extrapolate=Linear","MultiX=Average","Skip=True","Sort=True")</f>
        <v>14.403283173734609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50682</v>
      </c>
      <c r="T4976" s="43">
        <f ca="1">_xll.BInterpol('Base CDI'!$H$4:$H$28,'Base CDI'!$J$4:$J$29,S4976,"Cubic","Extrapolate=Linear","MultiX=Average","Skip=True","Sort=True")</f>
        <v>14.466942544459643</v>
      </c>
      <c r="U4976" s="43">
        <f ca="1">_xll.BInterpol('Base CDI'!$H$4:$H$28,'Base CDI'!$I$4:$I$29,S4976,"Cubic","Extrapolate=Linear","MultiX=Average","Skip=True","Sort=True")</f>
        <v>14.403030095759233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50683</v>
      </c>
      <c r="T4977" s="43">
        <f ca="1">_xll.BInterpol('Base CDI'!$H$4:$H$28,'Base CDI'!$J$4:$J$29,S4977,"Cubic","Extrapolate=Linear","MultiX=Average","Skip=True","Sort=True")</f>
        <v>14.466789329685362</v>
      </c>
      <c r="U4977" s="43">
        <f ca="1">_xll.BInterpol('Base CDI'!$H$4:$H$28,'Base CDI'!$I$4:$I$29,S4977,"Cubic","Extrapolate=Linear","MultiX=Average","Skip=True","Sort=True")</f>
        <v>14.402777017783857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50684</v>
      </c>
      <c r="T4978" s="43">
        <f ca="1">_xll.BInterpol('Base CDI'!$H$4:$H$28,'Base CDI'!$J$4:$J$29,S4978,"Cubic","Extrapolate=Linear","MultiX=Average","Skip=True","Sort=True")</f>
        <v>14.466636114911081</v>
      </c>
      <c r="U4978" s="43">
        <f ca="1">_xll.BInterpol('Base CDI'!$H$4:$H$28,'Base CDI'!$I$4:$I$29,S4978,"Cubic","Extrapolate=Linear","MultiX=Average","Skip=True","Sort=True")</f>
        <v>14.40252393980848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50685</v>
      </c>
      <c r="T4979" s="43">
        <f ca="1">_xll.BInterpol('Base CDI'!$H$4:$H$28,'Base CDI'!$J$4:$J$29,S4979,"Cubic","Extrapolate=Linear","MultiX=Average","Skip=True","Sort=True")</f>
        <v>14.466482900136798</v>
      </c>
      <c r="U4979" s="43">
        <f ca="1">_xll.BInterpol('Base CDI'!$H$4:$H$28,'Base CDI'!$I$4:$I$29,S4979,"Cubic","Extrapolate=Linear","MultiX=Average","Skip=True","Sort=True")</f>
        <v>14.402270861833104</v>
      </c>
    </row>
    <row r="4980" spans="16:21" x14ac:dyDescent="0.25">
      <c r="P4980" s="10">
        <v>41754</v>
      </c>
      <c r="Q4980">
        <v>33.07076</v>
      </c>
      <c r="S4980" s="42">
        <f t="shared" ca="1" si="82"/>
        <v>50686</v>
      </c>
      <c r="T4980" s="43">
        <f ca="1">_xll.BInterpol('Base CDI'!$H$4:$H$28,'Base CDI'!$J$4:$J$29,S4980,"Cubic","Extrapolate=Linear","MultiX=Average","Skip=True","Sort=True")</f>
        <v>14.466329685362517</v>
      </c>
      <c r="U4980" s="43">
        <f ca="1">_xll.BInterpol('Base CDI'!$H$4:$H$28,'Base CDI'!$I$4:$I$29,S4980,"Cubic","Extrapolate=Linear","MultiX=Average","Skip=True","Sort=True")</f>
        <v>14.402017783857728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50687</v>
      </c>
      <c r="T4981" s="43">
        <f ca="1">_xll.BInterpol('Base CDI'!$H$4:$H$28,'Base CDI'!$J$4:$J$29,S4981,"Cubic","Extrapolate=Linear","MultiX=Average","Skip=True","Sort=True")</f>
        <v>14.466176470588234</v>
      </c>
      <c r="U4981" s="43">
        <f ca="1">_xll.BInterpol('Base CDI'!$H$4:$H$28,'Base CDI'!$I$4:$I$29,S4981,"Cubic","Extrapolate=Linear","MultiX=Average","Skip=True","Sort=True")</f>
        <v>14.401764705882352</v>
      </c>
    </row>
    <row r="4982" spans="16:21" x14ac:dyDescent="0.25">
      <c r="P4982" s="10">
        <v>41758</v>
      </c>
      <c r="Q4982">
        <v>33.09769</v>
      </c>
      <c r="S4982" s="42">
        <f t="shared" ca="1" si="82"/>
        <v>50688</v>
      </c>
      <c r="T4982" s="43">
        <f ca="1">_xll.BInterpol('Base CDI'!$H$4:$H$28,'Base CDI'!$J$4:$J$29,S4982,"Cubic","Extrapolate=Linear","MultiX=Average","Skip=True","Sort=True")</f>
        <v>14.466023255813953</v>
      </c>
      <c r="U4982" s="43">
        <f ca="1">_xll.BInterpol('Base CDI'!$H$4:$H$28,'Base CDI'!$I$4:$I$29,S4982,"Cubic","Extrapolate=Linear","MultiX=Average","Skip=True","Sort=True")</f>
        <v>14.401511627906975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50689</v>
      </c>
      <c r="T4983" s="43">
        <f ca="1">_xll.BInterpol('Base CDI'!$H$4:$H$28,'Base CDI'!$J$4:$J$29,S4983,"Cubic","Extrapolate=Linear","MultiX=Average","Skip=True","Sort=True")</f>
        <v>14.465870041039672</v>
      </c>
      <c r="U4983" s="43">
        <f ca="1">_xll.BInterpol('Base CDI'!$H$4:$H$28,'Base CDI'!$I$4:$I$29,S4983,"Cubic","Extrapolate=Linear","MultiX=Average","Skip=True","Sort=True")</f>
        <v>14.401258549931599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50690</v>
      </c>
      <c r="T4984" s="43">
        <f ca="1">_xll.BInterpol('Base CDI'!$H$4:$H$28,'Base CDI'!$J$4:$J$29,S4984,"Cubic","Extrapolate=Linear","MultiX=Average","Skip=True","Sort=True")</f>
        <v>14.465716826265389</v>
      </c>
      <c r="U4984" s="43">
        <f ca="1">_xll.BInterpol('Base CDI'!$H$4:$H$28,'Base CDI'!$I$4:$I$29,S4984,"Cubic","Extrapolate=Linear","MultiX=Average","Skip=True","Sort=True")</f>
        <v>14.401005471956223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50691</v>
      </c>
      <c r="T4985" s="43">
        <f ca="1">_xll.BInterpol('Base CDI'!$H$4:$H$28,'Base CDI'!$J$4:$J$29,S4985,"Cubic","Extrapolate=Linear","MultiX=Average","Skip=True","Sort=True")</f>
        <v>14.465563611491108</v>
      </c>
      <c r="U4985" s="43">
        <f ca="1">_xll.BInterpol('Base CDI'!$H$4:$H$28,'Base CDI'!$I$4:$I$29,S4985,"Cubic","Extrapolate=Linear","MultiX=Average","Skip=True","Sort=True")</f>
        <v>14.400752393980847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50692</v>
      </c>
      <c r="T4986" s="43">
        <f ca="1">_xll.BInterpol('Base CDI'!$H$4:$H$28,'Base CDI'!$J$4:$J$29,S4986,"Cubic","Extrapolate=Linear","MultiX=Average","Skip=True","Sort=True")</f>
        <v>14.465410396716825</v>
      </c>
      <c r="U4986" s="43">
        <f ca="1">_xll.BInterpol('Base CDI'!$H$4:$H$28,'Base CDI'!$I$4:$I$29,S4986,"Cubic","Extrapolate=Linear","MultiX=Average","Skip=True","Sort=True")</f>
        <v>14.400499316005471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50693</v>
      </c>
      <c r="T4987" s="43">
        <f ca="1">_xll.BInterpol('Base CDI'!$H$4:$H$28,'Base CDI'!$J$4:$J$29,S4987,"Cubic","Extrapolate=Linear","MultiX=Average","Skip=True","Sort=True")</f>
        <v>14.465257181942544</v>
      </c>
      <c r="U4987" s="43">
        <f ca="1">_xll.BInterpol('Base CDI'!$H$4:$H$28,'Base CDI'!$I$4:$I$29,S4987,"Cubic","Extrapolate=Linear","MultiX=Average","Skip=True","Sort=True")</f>
        <v>14.400246238030094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50694</v>
      </c>
      <c r="T4988" s="43">
        <f ca="1">_xll.BInterpol('Base CDI'!$H$4:$H$28,'Base CDI'!$J$4:$J$29,S4988,"Cubic","Extrapolate=Linear","MultiX=Average","Skip=True","Sort=True")</f>
        <v>14.465103967168263</v>
      </c>
      <c r="U4988" s="43">
        <f ca="1">_xll.BInterpol('Base CDI'!$H$4:$H$28,'Base CDI'!$I$4:$I$29,S4988,"Cubic","Extrapolate=Linear","MultiX=Average","Skip=True","Sort=True")</f>
        <v>14.399993160054718</v>
      </c>
    </row>
    <row r="4989" spans="16:21" x14ac:dyDescent="0.25">
      <c r="P4989" s="10">
        <v>41768</v>
      </c>
      <c r="Q4989">
        <v>33.19211</v>
      </c>
      <c r="S4989" s="42">
        <f t="shared" ca="1" si="82"/>
        <v>50695</v>
      </c>
      <c r="T4989" s="43">
        <f ca="1">_xll.BInterpol('Base CDI'!$H$4:$H$28,'Base CDI'!$J$4:$J$29,S4989,"Cubic","Extrapolate=Linear","MultiX=Average","Skip=True","Sort=True")</f>
        <v>14.46495075239398</v>
      </c>
      <c r="U4989" s="43">
        <f ca="1">_xll.BInterpol('Base CDI'!$H$4:$H$28,'Base CDI'!$I$4:$I$29,S4989,"Cubic","Extrapolate=Linear","MultiX=Average","Skip=True","Sort=True")</f>
        <v>14.399740082079342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50696</v>
      </c>
      <c r="T4990" s="43">
        <f ca="1">_xll.BInterpol('Base CDI'!$H$4:$H$28,'Base CDI'!$J$4:$J$29,S4990,"Cubic","Extrapolate=Linear","MultiX=Average","Skip=True","Sort=True")</f>
        <v>14.464797537619699</v>
      </c>
      <c r="U4990" s="43">
        <f ca="1">_xll.BInterpol('Base CDI'!$H$4:$H$28,'Base CDI'!$I$4:$I$29,S4990,"Cubic","Extrapolate=Linear","MultiX=Average","Skip=True","Sort=True")</f>
        <v>14.399487004103966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50697</v>
      </c>
      <c r="T4991" s="43">
        <f ca="1">_xll.BInterpol('Base CDI'!$H$4:$H$28,'Base CDI'!$J$4:$J$29,S4991,"Cubic","Extrapolate=Linear","MultiX=Average","Skip=True","Sort=True")</f>
        <v>14.464644322845416</v>
      </c>
      <c r="U4991" s="43">
        <f ca="1">_xll.BInterpol('Base CDI'!$H$4:$H$28,'Base CDI'!$I$4:$I$29,S4991,"Cubic","Extrapolate=Linear","MultiX=Average","Skip=True","Sort=True")</f>
        <v>14.39923392612859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50698</v>
      </c>
      <c r="T4992" s="43">
        <f ca="1">_xll.BInterpol('Base CDI'!$H$4:$H$28,'Base CDI'!$J$4:$J$29,S4992,"Cubic","Extrapolate=Linear","MultiX=Average","Skip=True","Sort=True")</f>
        <v>14.464491108071135</v>
      </c>
      <c r="U4992" s="43">
        <f ca="1">_xll.BInterpol('Base CDI'!$H$4:$H$28,'Base CDI'!$I$4:$I$29,S4992,"Cubic","Extrapolate=Linear","MultiX=Average","Skip=True","Sort=True")</f>
        <v>14.398980848153213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50699</v>
      </c>
      <c r="T4993" s="43">
        <f ca="1">_xll.BInterpol('Base CDI'!$H$4:$H$28,'Base CDI'!$J$4:$J$29,S4993,"Cubic","Extrapolate=Linear","MultiX=Average","Skip=True","Sort=True")</f>
        <v>14.464337893296854</v>
      </c>
      <c r="U4993" s="43">
        <f ca="1">_xll.BInterpol('Base CDI'!$H$4:$H$28,'Base CDI'!$I$4:$I$29,S4993,"Cubic","Extrapolate=Linear","MultiX=Average","Skip=True","Sort=True")</f>
        <v>14.398727770177837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50700</v>
      </c>
      <c r="T4994" s="43">
        <f ca="1">_xll.BInterpol('Base CDI'!$H$4:$H$28,'Base CDI'!$J$4:$J$29,S4994,"Cubic","Extrapolate=Linear","MultiX=Average","Skip=True","Sort=True")</f>
        <v>14.464184678522571</v>
      </c>
      <c r="U4994" s="43">
        <f ca="1">_xll.BInterpol('Base CDI'!$H$4:$H$28,'Base CDI'!$I$4:$I$29,S4994,"Cubic","Extrapolate=Linear","MultiX=Average","Skip=True","Sort=True")</f>
        <v>14.398474692202461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50701</v>
      </c>
      <c r="T4995" s="43">
        <f ca="1">_xll.BInterpol('Base CDI'!$H$4:$H$28,'Base CDI'!$J$4:$J$29,S4995,"Cubic","Extrapolate=Linear","MultiX=Average","Skip=True","Sort=True")</f>
        <v>14.46403146374829</v>
      </c>
      <c r="U4995" s="43">
        <f ca="1">_xll.BInterpol('Base CDI'!$H$4:$H$28,'Base CDI'!$I$4:$I$29,S4995,"Cubic","Extrapolate=Linear","MultiX=Average","Skip=True","Sort=True")</f>
        <v>14.398221614227085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50702</v>
      </c>
      <c r="T4996" s="43">
        <f ca="1">_xll.BInterpol('Base CDI'!$H$4:$H$28,'Base CDI'!$J$4:$J$29,S4996,"Cubic","Extrapolate=Linear","MultiX=Average","Skip=True","Sort=True")</f>
        <v>14.463878248974007</v>
      </c>
      <c r="U4996" s="43">
        <f ca="1">_xll.BInterpol('Base CDI'!$H$4:$H$28,'Base CDI'!$I$4:$I$29,S4996,"Cubic","Extrapolate=Linear","MultiX=Average","Skip=True","Sort=True")</f>
        <v>14.397968536251708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50703</v>
      </c>
      <c r="T4997" s="43">
        <f ca="1">_xll.BInterpol('Base CDI'!$H$4:$H$28,'Base CDI'!$J$4:$J$29,S4997,"Cubic","Extrapolate=Linear","MultiX=Average","Skip=True","Sort=True")</f>
        <v>14.463725034199726</v>
      </c>
      <c r="U4997" s="43">
        <f ca="1">_xll.BInterpol('Base CDI'!$H$4:$H$28,'Base CDI'!$I$4:$I$29,S4997,"Cubic","Extrapolate=Linear","MultiX=Average","Skip=True","Sort=True")</f>
        <v>14.397715458276332</v>
      </c>
    </row>
    <row r="4998" spans="16:21" x14ac:dyDescent="0.25">
      <c r="P4998" s="10">
        <v>41781</v>
      </c>
      <c r="Q4998">
        <v>33.31391</v>
      </c>
      <c r="S4998" s="42">
        <f t="shared" ca="1" si="82"/>
        <v>50704</v>
      </c>
      <c r="T4998" s="43">
        <f ca="1">_xll.BInterpol('Base CDI'!$H$4:$H$28,'Base CDI'!$J$4:$J$29,S4998,"Cubic","Extrapolate=Linear","MultiX=Average","Skip=True","Sort=True")</f>
        <v>14.463571819425445</v>
      </c>
      <c r="U4998" s="43">
        <f ca="1">_xll.BInterpol('Base CDI'!$H$4:$H$28,'Base CDI'!$I$4:$I$29,S4998,"Cubic","Extrapolate=Linear","MultiX=Average","Skip=True","Sort=True")</f>
        <v>14.397462380300956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50705</v>
      </c>
      <c r="T4999" s="43">
        <f ca="1">_xll.BInterpol('Base CDI'!$H$4:$H$28,'Base CDI'!$J$4:$J$29,S4999,"Cubic","Extrapolate=Linear","MultiX=Average","Skip=True","Sort=True")</f>
        <v>14.463418604651162</v>
      </c>
      <c r="U4999" s="43">
        <f ca="1">_xll.BInterpol('Base CDI'!$H$4:$H$28,'Base CDI'!$I$4:$I$29,S4999,"Cubic","Extrapolate=Linear","MultiX=Average","Skip=True","Sort=True")</f>
        <v>14.39720930232558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50706</v>
      </c>
      <c r="T5000" s="43">
        <f ca="1">_xll.BInterpol('Base CDI'!$H$4:$H$28,'Base CDI'!$J$4:$J$29,S5000,"Cubic","Extrapolate=Linear","MultiX=Average","Skip=True","Sort=True")</f>
        <v>14.463265389876881</v>
      </c>
      <c r="U5000" s="43">
        <f ca="1">_xll.BInterpol('Base CDI'!$H$4:$H$28,'Base CDI'!$I$4:$I$29,S5000,"Cubic","Extrapolate=Linear","MultiX=Average","Skip=True","Sort=True")</f>
        <v>14.396956224350204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50707</v>
      </c>
      <c r="T5001" s="43">
        <f ca="1">_xll.BInterpol('Base CDI'!$H$4:$H$28,'Base CDI'!$J$4:$J$29,S5001,"Cubic","Extrapolate=Linear","MultiX=Average","Skip=True","Sort=True")</f>
        <v>14.463112175102598</v>
      </c>
      <c r="U5001" s="43">
        <f ca="1">_xll.BInterpol('Base CDI'!$H$4:$H$28,'Base CDI'!$I$4:$I$29,S5001,"Cubic","Extrapolate=Linear","MultiX=Average","Skip=True","Sort=True")</f>
        <v>14.396703146374827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50708</v>
      </c>
      <c r="T5002" s="43">
        <f ca="1">_xll.BInterpol('Base CDI'!$H$4:$H$28,'Base CDI'!$J$4:$J$29,S5002,"Cubic","Extrapolate=Linear","MultiX=Average","Skip=True","Sort=True")</f>
        <v>14.462958960328317</v>
      </c>
      <c r="U5002" s="43">
        <f ca="1">_xll.BInterpol('Base CDI'!$H$4:$H$28,'Base CDI'!$I$4:$I$29,S5002,"Cubic","Extrapolate=Linear","MultiX=Average","Skip=True","Sort=True")</f>
        <v>14.396450068399451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50709</v>
      </c>
      <c r="T5003" s="43">
        <f ca="1">_xll.BInterpol('Base CDI'!$H$4:$H$28,'Base CDI'!$J$4:$J$29,S5003,"Cubic","Extrapolate=Linear","MultiX=Average","Skip=True","Sort=True")</f>
        <v>14.462805745554036</v>
      </c>
      <c r="U5003" s="43">
        <f ca="1">_xll.BInterpol('Base CDI'!$H$4:$H$28,'Base CDI'!$I$4:$I$29,S5003,"Cubic","Extrapolate=Linear","MultiX=Average","Skip=True","Sort=True")</f>
        <v>14.396196990424075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50710</v>
      </c>
      <c r="T5004" s="43">
        <f ca="1">_xll.BInterpol('Base CDI'!$H$4:$H$28,'Base CDI'!$J$4:$J$29,S5004,"Cubic","Extrapolate=Linear","MultiX=Average","Skip=True","Sort=True")</f>
        <v>14.462652530779753</v>
      </c>
      <c r="U5004" s="43">
        <f ca="1">_xll.BInterpol('Base CDI'!$H$4:$H$28,'Base CDI'!$I$4:$I$29,S5004,"Cubic","Extrapolate=Linear","MultiX=Average","Skip=True","Sort=True")</f>
        <v>14.395943912448699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50711</v>
      </c>
      <c r="T5005" s="43">
        <f ca="1">_xll.BInterpol('Base CDI'!$H$4:$H$28,'Base CDI'!$J$4:$J$29,S5005,"Cubic","Extrapolate=Linear","MultiX=Average","Skip=True","Sort=True")</f>
        <v>14.462499316005472</v>
      </c>
      <c r="U5005" s="43">
        <f ca="1">_xll.BInterpol('Base CDI'!$H$4:$H$28,'Base CDI'!$I$4:$I$29,S5005,"Cubic","Extrapolate=Linear","MultiX=Average","Skip=True","Sort=True")</f>
        <v>14.395690834473323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50712</v>
      </c>
      <c r="T5006" s="43">
        <f ca="1">_xll.BInterpol('Base CDI'!$H$4:$H$28,'Base CDI'!$J$4:$J$29,S5006,"Cubic","Extrapolate=Linear","MultiX=Average","Skip=True","Sort=True")</f>
        <v>14.462346101231189</v>
      </c>
      <c r="U5006" s="43">
        <f ca="1">_xll.BInterpol('Base CDI'!$H$4:$H$28,'Base CDI'!$I$4:$I$29,S5006,"Cubic","Extrapolate=Linear","MultiX=Average","Skip=True","Sort=True")</f>
        <v>14.395437756497946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50713</v>
      </c>
      <c r="T5007" s="43">
        <f ca="1">_xll.BInterpol('Base CDI'!$H$4:$H$28,'Base CDI'!$J$4:$J$29,S5007,"Cubic","Extrapolate=Linear","MultiX=Average","Skip=True","Sort=True")</f>
        <v>14.462192886456908</v>
      </c>
      <c r="U5007" s="43">
        <f ca="1">_xll.BInterpol('Base CDI'!$H$4:$H$28,'Base CDI'!$I$4:$I$29,S5007,"Cubic","Extrapolate=Linear","MultiX=Average","Skip=True","Sort=True")</f>
        <v>14.39518467852257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50714</v>
      </c>
      <c r="T5008" s="43">
        <f ca="1">_xll.BInterpol('Base CDI'!$H$4:$H$28,'Base CDI'!$J$4:$J$29,S5008,"Cubic","Extrapolate=Linear","MultiX=Average","Skip=True","Sort=True")</f>
        <v>14.462039671682627</v>
      </c>
      <c r="U5008" s="43">
        <f ca="1">_xll.BInterpol('Base CDI'!$H$4:$H$28,'Base CDI'!$I$4:$I$29,S5008,"Cubic","Extrapolate=Linear","MultiX=Average","Skip=True","Sort=True")</f>
        <v>14.394931600547194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50715</v>
      </c>
      <c r="T5009" s="43">
        <f ca="1">_xll.BInterpol('Base CDI'!$H$4:$H$28,'Base CDI'!$J$4:$J$29,S5009,"Cubic","Extrapolate=Linear","MultiX=Average","Skip=True","Sort=True")</f>
        <v>14.461886456908344</v>
      </c>
      <c r="U5009" s="43">
        <f ca="1">_xll.BInterpol('Base CDI'!$H$4:$H$28,'Base CDI'!$I$4:$I$29,S5009,"Cubic","Extrapolate=Linear","MultiX=Average","Skip=True","Sort=True")</f>
        <v>14.394678522571818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50716</v>
      </c>
      <c r="T5010" s="43">
        <f ca="1">_xll.BInterpol('Base CDI'!$H$4:$H$28,'Base CDI'!$J$4:$J$29,S5010,"Cubic","Extrapolate=Linear","MultiX=Average","Skip=True","Sort=True")</f>
        <v>14.461733242134063</v>
      </c>
      <c r="U5010" s="43">
        <f ca="1">_xll.BInterpol('Base CDI'!$H$4:$H$28,'Base CDI'!$I$4:$I$29,S5010,"Cubic","Extrapolate=Linear","MultiX=Average","Skip=True","Sort=True")</f>
        <v>14.394425444596441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50717</v>
      </c>
      <c r="T5011" s="43">
        <f ca="1">_xll.BInterpol('Base CDI'!$H$4:$H$28,'Base CDI'!$J$4:$J$29,S5011,"Cubic","Extrapolate=Linear","MultiX=Average","Skip=True","Sort=True")</f>
        <v>14.46158002735978</v>
      </c>
      <c r="U5011" s="43">
        <f ca="1">_xll.BInterpol('Base CDI'!$H$4:$H$28,'Base CDI'!$I$4:$I$29,S5011,"Cubic","Extrapolate=Linear","MultiX=Average","Skip=True","Sort=True")</f>
        <v>14.394172366621065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50718</v>
      </c>
      <c r="T5012" s="43">
        <f ca="1">_xll.BInterpol('Base CDI'!$H$4:$H$28,'Base CDI'!$J$4:$J$29,S5012,"Cubic","Extrapolate=Linear","MultiX=Average","Skip=True","Sort=True")</f>
        <v>14.461426812585499</v>
      </c>
      <c r="U5012" s="43">
        <f ca="1">_xll.BInterpol('Base CDI'!$H$4:$H$28,'Base CDI'!$I$4:$I$29,S5012,"Cubic","Extrapolate=Linear","MultiX=Average","Skip=True","Sort=True")</f>
        <v>14.393919288645689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50719</v>
      </c>
      <c r="T5013" s="43">
        <f ca="1">_xll.BInterpol('Base CDI'!$H$4:$H$28,'Base CDI'!$J$4:$J$29,S5013,"Cubic","Extrapolate=Linear","MultiX=Average","Skip=True","Sort=True")</f>
        <v>14.461273597811218</v>
      </c>
      <c r="U5013" s="43">
        <f ca="1">_xll.BInterpol('Base CDI'!$H$4:$H$28,'Base CDI'!$I$4:$I$29,S5013,"Cubic","Extrapolate=Linear","MultiX=Average","Skip=True","Sort=True")</f>
        <v>14.393666210670315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50720</v>
      </c>
      <c r="T5014" s="43">
        <f ca="1">_xll.BInterpol('Base CDI'!$H$4:$H$28,'Base CDI'!$J$4:$J$29,S5014,"Cubic","Extrapolate=Linear","MultiX=Average","Skip=True","Sort=True")</f>
        <v>14.461120383036935</v>
      </c>
      <c r="U5014" s="43">
        <f ca="1">_xll.BInterpol('Base CDI'!$H$4:$H$28,'Base CDI'!$I$4:$I$29,S5014,"Cubic","Extrapolate=Linear","MultiX=Average","Skip=True","Sort=True")</f>
        <v>14.393413132694938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50721</v>
      </c>
      <c r="T5015" s="43">
        <f ca="1">_xll.BInterpol('Base CDI'!$H$4:$H$28,'Base CDI'!$J$4:$J$29,S5015,"Cubic","Extrapolate=Linear","MultiX=Average","Skip=True","Sort=True")</f>
        <v>14.460967168262654</v>
      </c>
      <c r="U5015" s="43">
        <f ca="1">_xll.BInterpol('Base CDI'!$H$4:$H$28,'Base CDI'!$I$4:$I$29,S5015,"Cubic","Extrapolate=Linear","MultiX=Average","Skip=True","Sort=True")</f>
        <v>14.393160054719562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50722</v>
      </c>
      <c r="T5016" s="43">
        <f ca="1">_xll.BInterpol('Base CDI'!$H$4:$H$28,'Base CDI'!$J$4:$J$29,S5016,"Cubic","Extrapolate=Linear","MultiX=Average","Skip=True","Sort=True")</f>
        <v>14.460813953488371</v>
      </c>
      <c r="U5016" s="43">
        <f ca="1">_xll.BInterpol('Base CDI'!$H$4:$H$28,'Base CDI'!$I$4:$I$29,S5016,"Cubic","Extrapolate=Linear","MultiX=Average","Skip=True","Sort=True")</f>
        <v>14.392906976744186</v>
      </c>
    </row>
    <row r="5017" spans="16:21" x14ac:dyDescent="0.25">
      <c r="P5017" s="10">
        <v>41808</v>
      </c>
      <c r="Q5017">
        <v>33.57255</v>
      </c>
      <c r="S5017" s="42">
        <f t="shared" ca="1" si="83"/>
        <v>50723</v>
      </c>
      <c r="T5017" s="43">
        <f ca="1">_xll.BInterpol('Base CDI'!$H$4:$H$28,'Base CDI'!$J$4:$J$29,S5017,"Cubic","Extrapolate=Linear","MultiX=Average","Skip=True","Sort=True")</f>
        <v>14.46066073871409</v>
      </c>
      <c r="U5017" s="43">
        <f ca="1">_xll.BInterpol('Base CDI'!$H$4:$H$28,'Base CDI'!$I$4:$I$29,S5017,"Cubic","Extrapolate=Linear","MultiX=Average","Skip=True","Sort=True")</f>
        <v>14.39265389876881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50724</v>
      </c>
      <c r="T5018" s="43">
        <f ca="1">_xll.BInterpol('Base CDI'!$H$4:$H$28,'Base CDI'!$J$4:$J$29,S5018,"Cubic","Extrapolate=Linear","MultiX=Average","Skip=True","Sort=True")</f>
        <v>14.460507523939809</v>
      </c>
      <c r="U5018" s="43">
        <f ca="1">_xll.BInterpol('Base CDI'!$H$4:$H$28,'Base CDI'!$I$4:$I$29,S5018,"Cubic","Extrapolate=Linear","MultiX=Average","Skip=True","Sort=True")</f>
        <v>14.392400820793434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50725</v>
      </c>
      <c r="T5019" s="43">
        <f ca="1">_xll.BInterpol('Base CDI'!$H$4:$H$28,'Base CDI'!$J$4:$J$29,S5019,"Cubic","Extrapolate=Linear","MultiX=Average","Skip=True","Sort=True")</f>
        <v>14.460354309165526</v>
      </c>
      <c r="U5019" s="43">
        <f ca="1">_xll.BInterpol('Base CDI'!$H$4:$H$28,'Base CDI'!$I$4:$I$29,S5019,"Cubic","Extrapolate=Linear","MultiX=Average","Skip=True","Sort=True")</f>
        <v>14.392147742818057</v>
      </c>
    </row>
    <row r="5020" spans="16:21" x14ac:dyDescent="0.25">
      <c r="P5020" s="10">
        <v>41814</v>
      </c>
      <c r="Q5020">
        <v>33.61356</v>
      </c>
      <c r="S5020" s="42">
        <f t="shared" ca="1" si="83"/>
        <v>50726</v>
      </c>
      <c r="T5020" s="43">
        <f ca="1">_xll.BInterpol('Base CDI'!$H$4:$H$28,'Base CDI'!$J$4:$J$29,S5020,"Cubic","Extrapolate=Linear","MultiX=Average","Skip=True","Sort=True")</f>
        <v>14.460201094391245</v>
      </c>
      <c r="U5020" s="43">
        <f ca="1">_xll.BInterpol('Base CDI'!$H$4:$H$28,'Base CDI'!$I$4:$I$29,S5020,"Cubic","Extrapolate=Linear","MultiX=Average","Skip=True","Sort=True")</f>
        <v>14.391894664842681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50727</v>
      </c>
      <c r="T5021" s="43">
        <f ca="1">_xll.BInterpol('Base CDI'!$H$4:$H$28,'Base CDI'!$J$4:$J$29,S5021,"Cubic","Extrapolate=Linear","MultiX=Average","Skip=True","Sort=True")</f>
        <v>14.460047879616962</v>
      </c>
      <c r="U5021" s="43">
        <f ca="1">_xll.BInterpol('Base CDI'!$H$4:$H$28,'Base CDI'!$I$4:$I$29,S5021,"Cubic","Extrapolate=Linear","MultiX=Average","Skip=True","Sort=True")</f>
        <v>14.391641586867305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50728</v>
      </c>
      <c r="T5022" s="43">
        <f ca="1">_xll.BInterpol('Base CDI'!$H$4:$H$28,'Base CDI'!$J$4:$J$29,S5022,"Cubic","Extrapolate=Linear","MultiX=Average","Skip=True","Sort=True")</f>
        <v>14.459894664842681</v>
      </c>
      <c r="U5022" s="43">
        <f ca="1">_xll.BInterpol('Base CDI'!$H$4:$H$28,'Base CDI'!$I$4:$I$29,S5022,"Cubic","Extrapolate=Linear","MultiX=Average","Skip=True","Sort=True")</f>
        <v>14.391388508891929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50729</v>
      </c>
      <c r="T5023" s="43">
        <f ca="1">_xll.BInterpol('Base CDI'!$H$4:$H$28,'Base CDI'!$J$4:$J$29,S5023,"Cubic","Extrapolate=Linear","MultiX=Average","Skip=True","Sort=True")</f>
        <v>14.4597414500684</v>
      </c>
      <c r="U5023" s="43">
        <f ca="1">_xll.BInterpol('Base CDI'!$H$4:$H$28,'Base CDI'!$I$4:$I$29,S5023,"Cubic","Extrapolate=Linear","MultiX=Average","Skip=True","Sort=True")</f>
        <v>14.391135430916552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50730</v>
      </c>
      <c r="T5024" s="43">
        <f ca="1">_xll.BInterpol('Base CDI'!$H$4:$H$28,'Base CDI'!$J$4:$J$29,S5024,"Cubic","Extrapolate=Linear","MultiX=Average","Skip=True","Sort=True")</f>
        <v>14.459588235294117</v>
      </c>
      <c r="U5024" s="43">
        <f ca="1">_xll.BInterpol('Base CDI'!$H$4:$H$28,'Base CDI'!$I$4:$I$29,S5024,"Cubic","Extrapolate=Linear","MultiX=Average","Skip=True","Sort=True")</f>
        <v>14.390882352941176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50731</v>
      </c>
      <c r="T5025" s="43">
        <f ca="1">_xll.BInterpol('Base CDI'!$H$4:$H$28,'Base CDI'!$J$4:$J$29,S5025,"Cubic","Extrapolate=Linear","MultiX=Average","Skip=True","Sort=True")</f>
        <v>14.459435020519836</v>
      </c>
      <c r="U5025" s="43">
        <f ca="1">_xll.BInterpol('Base CDI'!$H$4:$H$28,'Base CDI'!$I$4:$I$29,S5025,"Cubic","Extrapolate=Linear","MultiX=Average","Skip=True","Sort=True")</f>
        <v>14.3906292749658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50732</v>
      </c>
      <c r="T5026" s="43">
        <f ca="1">_xll.BInterpol('Base CDI'!$H$4:$H$28,'Base CDI'!$J$4:$J$29,S5026,"Cubic","Extrapolate=Linear","MultiX=Average","Skip=True","Sort=True")</f>
        <v>14.459281805745553</v>
      </c>
      <c r="U5026" s="43">
        <f ca="1">_xll.BInterpol('Base CDI'!$H$4:$H$28,'Base CDI'!$I$4:$I$29,S5026,"Cubic","Extrapolate=Linear","MultiX=Average","Skip=True","Sort=True")</f>
        <v>14.390376196990424</v>
      </c>
    </row>
    <row r="5027" spans="16:21" x14ac:dyDescent="0.25">
      <c r="P5027" s="10">
        <v>41823</v>
      </c>
      <c r="Q5027">
        <v>33.70946</v>
      </c>
      <c r="S5027" s="42">
        <f t="shared" ca="1" si="83"/>
        <v>50733</v>
      </c>
      <c r="T5027" s="43">
        <f ca="1">_xll.BInterpol('Base CDI'!$H$4:$H$28,'Base CDI'!$J$4:$J$29,S5027,"Cubic","Extrapolate=Linear","MultiX=Average","Skip=True","Sort=True")</f>
        <v>14.459128590971272</v>
      </c>
      <c r="U5027" s="43">
        <f ca="1">_xll.BInterpol('Base CDI'!$H$4:$H$28,'Base CDI'!$I$4:$I$29,S5027,"Cubic","Extrapolate=Linear","MultiX=Average","Skip=True","Sort=True")</f>
        <v>14.390123119015048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50734</v>
      </c>
      <c r="T5028" s="43">
        <f ca="1">_xll.BInterpol('Base CDI'!$H$4:$H$28,'Base CDI'!$J$4:$J$29,S5028,"Cubic","Extrapolate=Linear","MultiX=Average","Skip=True","Sort=True")</f>
        <v>14.458975376196991</v>
      </c>
      <c r="U5028" s="43">
        <f ca="1">_xll.BInterpol('Base CDI'!$H$4:$H$28,'Base CDI'!$I$4:$I$29,S5028,"Cubic","Extrapolate=Linear","MultiX=Average","Skip=True","Sort=True")</f>
        <v>14.389870041039671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50735</v>
      </c>
      <c r="T5029" s="43">
        <f ca="1">_xll.BInterpol('Base CDI'!$H$4:$H$28,'Base CDI'!$J$4:$J$29,S5029,"Cubic","Extrapolate=Linear","MultiX=Average","Skip=True","Sort=True")</f>
        <v>14.458822161422708</v>
      </c>
      <c r="U5029" s="43">
        <f ca="1">_xll.BInterpol('Base CDI'!$H$4:$H$28,'Base CDI'!$I$4:$I$29,S5029,"Cubic","Extrapolate=Linear","MultiX=Average","Skip=True","Sort=True")</f>
        <v>14.389616963064295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50736</v>
      </c>
      <c r="T5030" s="43">
        <f ca="1">_xll.BInterpol('Base CDI'!$H$4:$H$28,'Base CDI'!$J$4:$J$29,S5030,"Cubic","Extrapolate=Linear","MultiX=Average","Skip=True","Sort=True")</f>
        <v>14.458668946648427</v>
      </c>
      <c r="U5030" s="43">
        <f ca="1">_xll.BInterpol('Base CDI'!$H$4:$H$28,'Base CDI'!$I$4:$I$29,S5030,"Cubic","Extrapolate=Linear","MultiX=Average","Skip=True","Sort=True")</f>
        <v>14.389363885088919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50737</v>
      </c>
      <c r="T5031" s="43">
        <f ca="1">_xll.BInterpol('Base CDI'!$H$4:$H$28,'Base CDI'!$J$4:$J$29,S5031,"Cubic","Extrapolate=Linear","MultiX=Average","Skip=True","Sort=True")</f>
        <v>14.458515731874144</v>
      </c>
      <c r="U5031" s="43">
        <f ca="1">_xll.BInterpol('Base CDI'!$H$4:$H$28,'Base CDI'!$I$4:$I$29,S5031,"Cubic","Extrapolate=Linear","MultiX=Average","Skip=True","Sort=True")</f>
        <v>14.389110807113543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50738</v>
      </c>
      <c r="T5032" s="43">
        <f ca="1">_xll.BInterpol('Base CDI'!$H$4:$H$28,'Base CDI'!$J$4:$J$29,S5032,"Cubic","Extrapolate=Linear","MultiX=Average","Skip=True","Sort=True")</f>
        <v>14.458362517099863</v>
      </c>
      <c r="U5032" s="43">
        <f ca="1">_xll.BInterpol('Base CDI'!$H$4:$H$28,'Base CDI'!$I$4:$I$29,S5032,"Cubic","Extrapolate=Linear","MultiX=Average","Skip=True","Sort=True")</f>
        <v>14.388857729138167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50739</v>
      </c>
      <c r="T5033" s="43">
        <f ca="1">_xll.BInterpol('Base CDI'!$H$4:$H$28,'Base CDI'!$J$4:$J$29,S5033,"Cubic","Extrapolate=Linear","MultiX=Average","Skip=True","Sort=True")</f>
        <v>14.458209302325582</v>
      </c>
      <c r="U5033" s="43">
        <f ca="1">_xll.BInterpol('Base CDI'!$H$4:$H$28,'Base CDI'!$I$4:$I$29,S5033,"Cubic","Extrapolate=Linear","MultiX=Average","Skip=True","Sort=True")</f>
        <v>14.38860465116279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50740</v>
      </c>
      <c r="T5034" s="43">
        <f ca="1">_xll.BInterpol('Base CDI'!$H$4:$H$28,'Base CDI'!$J$4:$J$29,S5034,"Cubic","Extrapolate=Linear","MultiX=Average","Skip=True","Sort=True")</f>
        <v>14.458056087551299</v>
      </c>
      <c r="U5034" s="43">
        <f ca="1">_xll.BInterpol('Base CDI'!$H$4:$H$28,'Base CDI'!$I$4:$I$29,S5034,"Cubic","Extrapolate=Linear","MultiX=Average","Skip=True","Sort=True")</f>
        <v>14.388351573187414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50741</v>
      </c>
      <c r="T5035" s="43">
        <f ca="1">_xll.BInterpol('Base CDI'!$H$4:$H$28,'Base CDI'!$J$4:$J$29,S5035,"Cubic","Extrapolate=Linear","MultiX=Average","Skip=True","Sort=True")</f>
        <v>14.457902872777018</v>
      </c>
      <c r="U5035" s="43">
        <f ca="1">_xll.BInterpol('Base CDI'!$H$4:$H$28,'Base CDI'!$I$4:$I$29,S5035,"Cubic","Extrapolate=Linear","MultiX=Average","Skip=True","Sort=True")</f>
        <v>14.388098495212038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50742</v>
      </c>
      <c r="T5036" s="43">
        <f ca="1">_xll.BInterpol('Base CDI'!$H$4:$H$28,'Base CDI'!$J$4:$J$29,S5036,"Cubic","Extrapolate=Linear","MultiX=Average","Skip=True","Sort=True")</f>
        <v>14.457749658002735</v>
      </c>
      <c r="U5036" s="43">
        <f ca="1">_xll.BInterpol('Base CDI'!$H$4:$H$28,'Base CDI'!$I$4:$I$29,S5036,"Cubic","Extrapolate=Linear","MultiX=Average","Skip=True","Sort=True")</f>
        <v>14.387845417236662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50743</v>
      </c>
      <c r="T5037" s="43">
        <f ca="1">_xll.BInterpol('Base CDI'!$H$4:$H$28,'Base CDI'!$J$4:$J$29,S5037,"Cubic","Extrapolate=Linear","MultiX=Average","Skip=True","Sort=True")</f>
        <v>14.457596443228454</v>
      </c>
      <c r="U5037" s="43">
        <f ca="1">_xll.BInterpol('Base CDI'!$H$4:$H$28,'Base CDI'!$I$4:$I$29,S5037,"Cubic","Extrapolate=Linear","MultiX=Average","Skip=True","Sort=True")</f>
        <v>14.387592339261285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50744</v>
      </c>
      <c r="T5038" s="43">
        <f ca="1">_xll.BInterpol('Base CDI'!$H$4:$H$28,'Base CDI'!$J$4:$J$29,S5038,"Cubic","Extrapolate=Linear","MultiX=Average","Skip=True","Sort=True")</f>
        <v>14.457443228454173</v>
      </c>
      <c r="U5038" s="43">
        <f ca="1">_xll.BInterpol('Base CDI'!$H$4:$H$28,'Base CDI'!$I$4:$I$29,S5038,"Cubic","Extrapolate=Linear","MultiX=Average","Skip=True","Sort=True")</f>
        <v>14.387339261285909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50745</v>
      </c>
      <c r="T5039" s="43">
        <f ca="1">_xll.BInterpol('Base CDI'!$H$4:$H$28,'Base CDI'!$J$4:$J$29,S5039,"Cubic","Extrapolate=Linear","MultiX=Average","Skip=True","Sort=True")</f>
        <v>14.45729001367989</v>
      </c>
      <c r="U5039" s="43">
        <f ca="1">_xll.BInterpol('Base CDI'!$H$4:$H$28,'Base CDI'!$I$4:$I$29,S5039,"Cubic","Extrapolate=Linear","MultiX=Average","Skip=True","Sort=True")</f>
        <v>14.387086183310533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50746</v>
      </c>
      <c r="T5040" s="43">
        <f ca="1">_xll.BInterpol('Base CDI'!$H$4:$H$28,'Base CDI'!$J$4:$J$29,S5040,"Cubic","Extrapolate=Linear","MultiX=Average","Skip=True","Sort=True")</f>
        <v>14.457136798905609</v>
      </c>
      <c r="U5040" s="43">
        <f ca="1">_xll.BInterpol('Base CDI'!$H$4:$H$28,'Base CDI'!$I$4:$I$29,S5040,"Cubic","Extrapolate=Linear","MultiX=Average","Skip=True","Sort=True")</f>
        <v>14.386833105335157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50747</v>
      </c>
      <c r="T5041" s="43">
        <f ca="1">_xll.BInterpol('Base CDI'!$H$4:$H$28,'Base CDI'!$J$4:$J$29,S5041,"Cubic","Extrapolate=Linear","MultiX=Average","Skip=True","Sort=True")</f>
        <v>14.456983584131326</v>
      </c>
      <c r="U5041" s="43">
        <f ca="1">_xll.BInterpol('Base CDI'!$H$4:$H$28,'Base CDI'!$I$4:$I$29,S5041,"Cubic","Extrapolate=Linear","MultiX=Average","Skip=True","Sort=True")</f>
        <v>14.386580027359781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50748</v>
      </c>
      <c r="T5042" s="43">
        <f ca="1">_xll.BInterpol('Base CDI'!$H$4:$H$28,'Base CDI'!$J$4:$J$29,S5042,"Cubic","Extrapolate=Linear","MultiX=Average","Skip=True","Sort=True")</f>
        <v>14.456830369357045</v>
      </c>
      <c r="U5042" s="43">
        <f ca="1">_xll.BInterpol('Base CDI'!$H$4:$H$28,'Base CDI'!$I$4:$I$29,S5042,"Cubic","Extrapolate=Linear","MultiX=Average","Skip=True","Sort=True")</f>
        <v>14.386326949384404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50749</v>
      </c>
      <c r="T5043" s="43">
        <f ca="1">_xll.BInterpol('Base CDI'!$H$4:$H$28,'Base CDI'!$J$4:$J$29,S5043,"Cubic","Extrapolate=Linear","MultiX=Average","Skip=True","Sort=True")</f>
        <v>14.456677154582763</v>
      </c>
      <c r="U5043" s="43">
        <f ca="1">_xll.BInterpol('Base CDI'!$H$4:$H$28,'Base CDI'!$I$4:$I$29,S5043,"Cubic","Extrapolate=Linear","MultiX=Average","Skip=True","Sort=True")</f>
        <v>14.386073871409028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50750</v>
      </c>
      <c r="T5044" s="43">
        <f ca="1">_xll.BInterpol('Base CDI'!$H$4:$H$28,'Base CDI'!$J$4:$J$29,S5044,"Cubic","Extrapolate=Linear","MultiX=Average","Skip=True","Sort=True")</f>
        <v>14.456523939808481</v>
      </c>
      <c r="U5044" s="43">
        <f ca="1">_xll.BInterpol('Base CDI'!$H$4:$H$28,'Base CDI'!$I$4:$I$29,S5044,"Cubic","Extrapolate=Linear","MultiX=Average","Skip=True","Sort=True")</f>
        <v>14.385820793433652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50751</v>
      </c>
      <c r="T5045" s="43">
        <f ca="1">_xll.BInterpol('Base CDI'!$H$4:$H$28,'Base CDI'!$J$4:$J$29,S5045,"Cubic","Extrapolate=Linear","MultiX=Average","Skip=True","Sort=True")</f>
        <v>14.4563707250342</v>
      </c>
      <c r="U5045" s="43">
        <f ca="1">_xll.BInterpol('Base CDI'!$H$4:$H$28,'Base CDI'!$I$4:$I$29,S5045,"Cubic","Extrapolate=Linear","MultiX=Average","Skip=True","Sort=True")</f>
        <v>14.385567715458276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50752</v>
      </c>
      <c r="T5046" s="43">
        <f ca="1">_xll.BInterpol('Base CDI'!$H$4:$H$28,'Base CDI'!$J$4:$J$29,S5046,"Cubic","Extrapolate=Linear","MultiX=Average","Skip=True","Sort=True")</f>
        <v>14.456217510259917</v>
      </c>
      <c r="U5046" s="43">
        <f ca="1">_xll.BInterpol('Base CDI'!$H$4:$H$28,'Base CDI'!$I$4:$I$29,S5046,"Cubic","Extrapolate=Linear","MultiX=Average","Skip=True","Sort=True")</f>
        <v>14.3853146374829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50753</v>
      </c>
      <c r="T5047" s="43">
        <f ca="1">_xll.BInterpol('Base CDI'!$H$4:$H$28,'Base CDI'!$J$4:$J$29,S5047,"Cubic","Extrapolate=Linear","MultiX=Average","Skip=True","Sort=True")</f>
        <v>14.456064295485636</v>
      </c>
      <c r="U5047" s="43">
        <f ca="1">_xll.BInterpol('Base CDI'!$H$4:$H$28,'Base CDI'!$I$4:$I$29,S5047,"Cubic","Extrapolate=Linear","MultiX=Average","Skip=True","Sort=True")</f>
        <v>14.385061559507523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50754</v>
      </c>
      <c r="T5048" s="43">
        <f ca="1">_xll.BInterpol('Base CDI'!$H$4:$H$28,'Base CDI'!$J$4:$J$29,S5048,"Cubic","Extrapolate=Linear","MultiX=Average","Skip=True","Sort=True")</f>
        <v>14.455911080711354</v>
      </c>
      <c r="U5048" s="43">
        <f ca="1">_xll.BInterpol('Base CDI'!$H$4:$H$28,'Base CDI'!$I$4:$I$29,S5048,"Cubic","Extrapolate=Linear","MultiX=Average","Skip=True","Sort=True")</f>
        <v>14.384808481532147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50755</v>
      </c>
      <c r="T5049" s="43">
        <f ca="1">_xll.BInterpol('Base CDI'!$H$4:$H$28,'Base CDI'!$J$4:$J$29,S5049,"Cubic","Extrapolate=Linear","MultiX=Average","Skip=True","Sort=True")</f>
        <v>14.455757865937072</v>
      </c>
      <c r="U5049" s="43">
        <f ca="1">_xll.BInterpol('Base CDI'!$H$4:$H$28,'Base CDI'!$I$4:$I$29,S5049,"Cubic","Extrapolate=Linear","MultiX=Average","Skip=True","Sort=True")</f>
        <v>14.384555403556771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50756</v>
      </c>
      <c r="T5050" s="43">
        <f ca="1">_xll.BInterpol('Base CDI'!$H$4:$H$28,'Base CDI'!$J$4:$J$29,S5050,"Cubic","Extrapolate=Linear","MultiX=Average","Skip=True","Sort=True")</f>
        <v>14.45560465116279</v>
      </c>
      <c r="U5050" s="43">
        <f ca="1">_xll.BInterpol('Base CDI'!$H$4:$H$28,'Base CDI'!$I$4:$I$29,S5050,"Cubic","Extrapolate=Linear","MultiX=Average","Skip=True","Sort=True")</f>
        <v>14.384302325581395</v>
      </c>
    </row>
    <row r="5051" spans="16:21" x14ac:dyDescent="0.25">
      <c r="P5051" s="10">
        <v>41857</v>
      </c>
      <c r="Q5051">
        <v>34.04034</v>
      </c>
      <c r="S5051" s="42">
        <f t="shared" ca="1" si="83"/>
        <v>50757</v>
      </c>
      <c r="T5051" s="43">
        <f ca="1">_xll.BInterpol('Base CDI'!$H$4:$H$28,'Base CDI'!$J$4:$J$29,S5051,"Cubic","Extrapolate=Linear","MultiX=Average","Skip=True","Sort=True")</f>
        <v>14.455451436388508</v>
      </c>
      <c r="U5051" s="43">
        <f ca="1">_xll.BInterpol('Base CDI'!$H$4:$H$28,'Base CDI'!$I$4:$I$29,S5051,"Cubic","Extrapolate=Linear","MultiX=Average","Skip=True","Sort=True")</f>
        <v>14.384049247606018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50758</v>
      </c>
      <c r="T5052" s="43">
        <f ca="1">_xll.BInterpol('Base CDI'!$H$4:$H$28,'Base CDI'!$J$4:$J$29,S5052,"Cubic","Extrapolate=Linear","MultiX=Average","Skip=True","Sort=True")</f>
        <v>14.455298221614227</v>
      </c>
      <c r="U5052" s="43">
        <f ca="1">_xll.BInterpol('Base CDI'!$H$4:$H$28,'Base CDI'!$I$4:$I$29,S5052,"Cubic","Extrapolate=Linear","MultiX=Average","Skip=True","Sort=True")</f>
        <v>14.383796169630642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50759</v>
      </c>
      <c r="T5053" s="43">
        <f ca="1">_xll.BInterpol('Base CDI'!$H$4:$H$28,'Base CDI'!$J$4:$J$29,S5053,"Cubic","Extrapolate=Linear","MultiX=Average","Skip=True","Sort=True")</f>
        <v>14.455145006839945</v>
      </c>
      <c r="U5053" s="43">
        <f ca="1">_xll.BInterpol('Base CDI'!$H$4:$H$28,'Base CDI'!$I$4:$I$29,S5053,"Cubic","Extrapolate=Linear","MultiX=Average","Skip=True","Sort=True")</f>
        <v>14.383543091655266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50760</v>
      </c>
      <c r="T5054" s="43">
        <f ca="1">_xll.BInterpol('Base CDI'!$H$4:$H$28,'Base CDI'!$J$4:$J$29,S5054,"Cubic","Extrapolate=Linear","MultiX=Average","Skip=True","Sort=True")</f>
        <v>14.454991792065663</v>
      </c>
      <c r="U5054" s="43">
        <f ca="1">_xll.BInterpol('Base CDI'!$H$4:$H$28,'Base CDI'!$I$4:$I$29,S5054,"Cubic","Extrapolate=Linear","MultiX=Average","Skip=True","Sort=True")</f>
        <v>14.38329001367989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50761</v>
      </c>
      <c r="T5055" s="43">
        <f ca="1">_xll.BInterpol('Base CDI'!$H$4:$H$28,'Base CDI'!$J$4:$J$29,S5055,"Cubic","Extrapolate=Linear","MultiX=Average","Skip=True","Sort=True")</f>
        <v>14.454838577291381</v>
      </c>
      <c r="U5055" s="43">
        <f ca="1">_xll.BInterpol('Base CDI'!$H$4:$H$28,'Base CDI'!$I$4:$I$29,S5055,"Cubic","Extrapolate=Linear","MultiX=Average","Skip=True","Sort=True")</f>
        <v>14.383036935704514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50762</v>
      </c>
      <c r="T5056" s="43">
        <f ca="1">_xll.BInterpol('Base CDI'!$H$4:$H$28,'Base CDI'!$J$4:$J$29,S5056,"Cubic","Extrapolate=Linear","MultiX=Average","Skip=True","Sort=True")</f>
        <v>14.454685362517099</v>
      </c>
      <c r="U5056" s="43">
        <f ca="1">_xll.BInterpol('Base CDI'!$H$4:$H$28,'Base CDI'!$I$4:$I$29,S5056,"Cubic","Extrapolate=Linear","MultiX=Average","Skip=True","Sort=True")</f>
        <v>14.382783857729137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50763</v>
      </c>
      <c r="T5057" s="43">
        <f ca="1">_xll.BInterpol('Base CDI'!$H$4:$H$28,'Base CDI'!$J$4:$J$29,S5057,"Cubic","Extrapolate=Linear","MultiX=Average","Skip=True","Sort=True")</f>
        <v>14.454532147742817</v>
      </c>
      <c r="U5057" s="43">
        <f ca="1">_xll.BInterpol('Base CDI'!$H$4:$H$28,'Base CDI'!$I$4:$I$29,S5057,"Cubic","Extrapolate=Linear","MultiX=Average","Skip=True","Sort=True")</f>
        <v>14.382530779753761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50764</v>
      </c>
      <c r="T5058" s="43">
        <f ca="1">_xll.BInterpol('Base CDI'!$H$4:$H$28,'Base CDI'!$J$4:$J$29,S5058,"Cubic","Extrapolate=Linear","MultiX=Average","Skip=True","Sort=True")</f>
        <v>14.454378932968536</v>
      </c>
      <c r="U5058" s="43">
        <f ca="1">_xll.BInterpol('Base CDI'!$H$4:$H$28,'Base CDI'!$I$4:$I$29,S5058,"Cubic","Extrapolate=Linear","MultiX=Average","Skip=True","Sort=True")</f>
        <v>14.382277701778385</v>
      </c>
    </row>
    <row r="5059" spans="16:21" x14ac:dyDescent="0.25">
      <c r="P5059" s="10">
        <v>41869</v>
      </c>
      <c r="Q5059">
        <v>34.15146</v>
      </c>
      <c r="S5059" s="42">
        <f t="shared" ca="1" si="83"/>
        <v>50765</v>
      </c>
      <c r="T5059" s="43">
        <f ca="1">_xll.BInterpol('Base CDI'!$H$4:$H$28,'Base CDI'!$J$4:$J$29,S5059,"Cubic","Extrapolate=Linear","MultiX=Average","Skip=True","Sort=True")</f>
        <v>14.454225718194254</v>
      </c>
      <c r="U5059" s="43">
        <f ca="1">_xll.BInterpol('Base CDI'!$H$4:$H$28,'Base CDI'!$I$4:$I$29,S5059,"Cubic","Extrapolate=Linear","MultiX=Average","Skip=True","Sort=True")</f>
        <v>14.382024623803009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50766</v>
      </c>
      <c r="T5060" s="43">
        <f ca="1">_xll.BInterpol('Base CDI'!$H$4:$H$28,'Base CDI'!$J$4:$J$29,S5060,"Cubic","Extrapolate=Linear","MultiX=Average","Skip=True","Sort=True")</f>
        <v>14.454072503419972</v>
      </c>
      <c r="U5060" s="43">
        <f ca="1">_xll.BInterpol('Base CDI'!$H$4:$H$28,'Base CDI'!$I$4:$I$29,S5060,"Cubic","Extrapolate=Linear","MultiX=Average","Skip=True","Sort=True")</f>
        <v>14.381771545827633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50767</v>
      </c>
      <c r="T5061" s="43">
        <f ca="1">_xll.BInterpol('Base CDI'!$H$4:$H$28,'Base CDI'!$J$4:$J$29,S5061,"Cubic","Extrapolate=Linear","MultiX=Average","Skip=True","Sort=True")</f>
        <v>14.45391928864569</v>
      </c>
      <c r="U5061" s="43">
        <f ca="1">_xll.BInterpol('Base CDI'!$H$4:$H$28,'Base CDI'!$I$4:$I$29,S5061,"Cubic","Extrapolate=Linear","MultiX=Average","Skip=True","Sort=True")</f>
        <v>14.381518467852256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50768</v>
      </c>
      <c r="T5062" s="43">
        <f ca="1">_xll.BInterpol('Base CDI'!$H$4:$H$28,'Base CDI'!$J$4:$J$29,S5062,"Cubic","Extrapolate=Linear","MultiX=Average","Skip=True","Sort=True")</f>
        <v>14.453766073871408</v>
      </c>
      <c r="U5062" s="43">
        <f ca="1">_xll.BInterpol('Base CDI'!$H$4:$H$28,'Base CDI'!$I$4:$I$29,S5062,"Cubic","Extrapolate=Linear","MultiX=Average","Skip=True","Sort=True")</f>
        <v>14.38126538987688</v>
      </c>
    </row>
    <row r="5063" spans="16:21" x14ac:dyDescent="0.25">
      <c r="P5063" s="10">
        <v>41873</v>
      </c>
      <c r="Q5063">
        <v>34.2072</v>
      </c>
      <c r="S5063" s="42">
        <f t="shared" ca="1" si="83"/>
        <v>50769</v>
      </c>
      <c r="T5063" s="43">
        <f ca="1">_xll.BInterpol('Base CDI'!$H$4:$H$28,'Base CDI'!$J$4:$J$29,S5063,"Cubic","Extrapolate=Linear","MultiX=Average","Skip=True","Sort=True")</f>
        <v>14.453612859097127</v>
      </c>
      <c r="U5063" s="43">
        <f ca="1">_xll.BInterpol('Base CDI'!$H$4:$H$28,'Base CDI'!$I$4:$I$29,S5063,"Cubic","Extrapolate=Linear","MultiX=Average","Skip=True","Sort=True")</f>
        <v>14.381012311901504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50770</v>
      </c>
      <c r="T5064" s="43">
        <f ca="1">_xll.BInterpol('Base CDI'!$H$4:$H$28,'Base CDI'!$J$4:$J$29,S5064,"Cubic","Extrapolate=Linear","MultiX=Average","Skip=True","Sort=True")</f>
        <v>14.453459644322844</v>
      </c>
      <c r="U5064" s="43">
        <f ca="1">_xll.BInterpol('Base CDI'!$H$4:$H$28,'Base CDI'!$I$4:$I$29,S5064,"Cubic","Extrapolate=Linear","MultiX=Average","Skip=True","Sort=True")</f>
        <v>14.380759233926128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50771</v>
      </c>
      <c r="T5065" s="43">
        <f ca="1">_xll.BInterpol('Base CDI'!$H$4:$H$28,'Base CDI'!$J$4:$J$29,S5065,"Cubic","Extrapolate=Linear","MultiX=Average","Skip=True","Sort=True")</f>
        <v>14.453306429548563</v>
      </c>
      <c r="U5065" s="43">
        <f ca="1">_xll.BInterpol('Base CDI'!$H$4:$H$28,'Base CDI'!$I$4:$I$29,S5065,"Cubic","Extrapolate=Linear","MultiX=Average","Skip=True","Sort=True")</f>
        <v>14.380506155950751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50772</v>
      </c>
      <c r="T5066" s="43">
        <f ca="1">_xll.BInterpol('Base CDI'!$H$4:$H$28,'Base CDI'!$J$4:$J$29,S5066,"Cubic","Extrapolate=Linear","MultiX=Average","Skip=True","Sort=True")</f>
        <v>14.45315321477428</v>
      </c>
      <c r="U5066" s="43">
        <f ca="1">_xll.BInterpol('Base CDI'!$H$4:$H$28,'Base CDI'!$I$4:$I$29,S5066,"Cubic","Extrapolate=Linear","MultiX=Average","Skip=True","Sort=True")</f>
        <v>14.380253077975375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50773</v>
      </c>
      <c r="T5067" s="43">
        <f ca="1">_xll.BInterpol('Base CDI'!$H$4:$H$28,'Base CDI'!$J$4:$J$29,S5067,"Cubic","Extrapolate=Linear","MultiX=Average","Skip=True","Sort=True")</f>
        <v>14.452999999999999</v>
      </c>
      <c r="U5067" s="43">
        <f ca="1">_xll.BInterpol('Base CDI'!$H$4:$H$28,'Base CDI'!$I$4:$I$29,S5067,"Cubic","Extrapolate=Linear","MultiX=Average","Skip=True","Sort=True")</f>
        <v>14.379999999999999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50774</v>
      </c>
      <c r="T5068" s="43">
        <f ca="1">_xll.BInterpol('Base CDI'!$H$4:$H$28,'Base CDI'!$J$4:$J$29,S5068,"Cubic","Extrapolate=Linear","MultiX=Average","Skip=True","Sort=True")</f>
        <v>14.452846785225718</v>
      </c>
      <c r="U5068" s="43">
        <f ca="1">_xll.BInterpol('Base CDI'!$H$4:$H$28,'Base CDI'!$I$4:$I$29,S5068,"Cubic","Extrapolate=Linear","MultiX=Average","Skip=True","Sort=True")</f>
        <v>14.379746922024623</v>
      </c>
    </row>
    <row r="5069" spans="16:21" x14ac:dyDescent="0.25">
      <c r="P5069" s="10">
        <v>41883</v>
      </c>
      <c r="Q5069">
        <v>34.29101</v>
      </c>
      <c r="S5069" s="42">
        <f t="shared" ca="1" si="84"/>
        <v>50775</v>
      </c>
      <c r="T5069" s="43">
        <f ca="1">_xll.BInterpol('Base CDI'!$H$4:$H$28,'Base CDI'!$J$4:$J$29,S5069,"Cubic","Extrapolate=Linear","MultiX=Average","Skip=True","Sort=True")</f>
        <v>14.452693570451435</v>
      </c>
      <c r="U5069" s="43">
        <f ca="1">_xll.BInterpol('Base CDI'!$H$4:$H$28,'Base CDI'!$I$4:$I$29,S5069,"Cubic","Extrapolate=Linear","MultiX=Average","Skip=True","Sort=True")</f>
        <v>14.379493844049247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50776</v>
      </c>
      <c r="T5070" s="43">
        <f ca="1">_xll.BInterpol('Base CDI'!$H$4:$H$28,'Base CDI'!$J$4:$J$29,S5070,"Cubic","Extrapolate=Linear","MultiX=Average","Skip=True","Sort=True")</f>
        <v>14.452540355677154</v>
      </c>
      <c r="U5070" s="43">
        <f ca="1">_xll.BInterpol('Base CDI'!$H$4:$H$28,'Base CDI'!$I$4:$I$29,S5070,"Cubic","Extrapolate=Linear","MultiX=Average","Skip=True","Sort=True")</f>
        <v>14.37924076607387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50777</v>
      </c>
      <c r="T5071" s="43">
        <f ca="1">_xll.BInterpol('Base CDI'!$H$4:$H$28,'Base CDI'!$J$4:$J$29,S5071,"Cubic","Extrapolate=Linear","MultiX=Average","Skip=True","Sort=True")</f>
        <v>14.452387140902871</v>
      </c>
      <c r="U5071" s="43">
        <f ca="1">_xll.BInterpol('Base CDI'!$H$4:$H$28,'Base CDI'!$I$4:$I$29,S5071,"Cubic","Extrapolate=Linear","MultiX=Average","Skip=True","Sort=True")</f>
        <v>14.378987688098494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50778</v>
      </c>
      <c r="T5072" s="43">
        <f ca="1">_xll.BInterpol('Base CDI'!$H$4:$H$28,'Base CDI'!$J$4:$J$29,S5072,"Cubic","Extrapolate=Linear","MultiX=Average","Skip=True","Sort=True")</f>
        <v>14.45223392612859</v>
      </c>
      <c r="U5072" s="43">
        <f ca="1">_xll.BInterpol('Base CDI'!$H$4:$H$28,'Base CDI'!$I$4:$I$29,S5072,"Cubic","Extrapolate=Linear","MultiX=Average","Skip=True","Sort=True")</f>
        <v>14.378734610123118</v>
      </c>
    </row>
    <row r="5073" spans="16:21" x14ac:dyDescent="0.25">
      <c r="P5073" s="10">
        <v>41887</v>
      </c>
      <c r="Q5073">
        <v>34.34693</v>
      </c>
      <c r="S5073" s="42">
        <f t="shared" ca="1" si="84"/>
        <v>50779</v>
      </c>
      <c r="T5073" s="43">
        <f ca="1">_xll.BInterpol('Base CDI'!$H$4:$H$28,'Base CDI'!$J$4:$J$29,S5073,"Cubic","Extrapolate=Linear","MultiX=Average","Skip=True","Sort=True")</f>
        <v>14.452080711354309</v>
      </c>
      <c r="U5073" s="43">
        <f ca="1">_xll.BInterpol('Base CDI'!$H$4:$H$28,'Base CDI'!$I$4:$I$29,S5073,"Cubic","Extrapolate=Linear","MultiX=Average","Skip=True","Sort=True")</f>
        <v>14.378481532147742</v>
      </c>
    </row>
    <row r="5074" spans="16:21" x14ac:dyDescent="0.25">
      <c r="P5074" s="10">
        <v>41890</v>
      </c>
      <c r="Q5074">
        <v>34.36092</v>
      </c>
      <c r="S5074" s="42">
        <f t="shared" ca="1" si="84"/>
        <v>50780</v>
      </c>
      <c r="T5074" s="43">
        <f ca="1">_xll.BInterpol('Base CDI'!$H$4:$H$28,'Base CDI'!$J$4:$J$29,S5074,"Cubic","Extrapolate=Linear","MultiX=Average","Skip=True","Sort=True")</f>
        <v>14.451927496580026</v>
      </c>
      <c r="U5074" s="43">
        <f ca="1">_xll.BInterpol('Base CDI'!$H$4:$H$28,'Base CDI'!$I$4:$I$29,S5074,"Cubic","Extrapolate=Linear","MultiX=Average","Skip=True","Sort=True")</f>
        <v>14.378228454172366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50781</v>
      </c>
      <c r="T5075" s="43">
        <f ca="1">_xll.BInterpol('Base CDI'!$H$4:$H$28,'Base CDI'!$J$4:$J$29,S5075,"Cubic","Extrapolate=Linear","MultiX=Average","Skip=True","Sort=True")</f>
        <v>14.451774281805745</v>
      </c>
      <c r="U5075" s="43">
        <f ca="1">_xll.BInterpol('Base CDI'!$H$4:$H$28,'Base CDI'!$I$4:$I$29,S5075,"Cubic","Extrapolate=Linear","MultiX=Average","Skip=True","Sort=True")</f>
        <v>14.377975376196989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50782</v>
      </c>
      <c r="T5076" s="43">
        <f ca="1">_xll.BInterpol('Base CDI'!$H$4:$H$28,'Base CDI'!$J$4:$J$29,S5076,"Cubic","Extrapolate=Linear","MultiX=Average","Skip=True","Sort=True")</f>
        <v>14.451621067031462</v>
      </c>
      <c r="U5076" s="43">
        <f ca="1">_xll.BInterpol('Base CDI'!$H$4:$H$28,'Base CDI'!$I$4:$I$29,S5076,"Cubic","Extrapolate=Linear","MultiX=Average","Skip=True","Sort=True")</f>
        <v>14.377722298221613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50783</v>
      </c>
      <c r="T5077" s="43">
        <f ca="1">_xll.BInterpol('Base CDI'!$H$4:$H$28,'Base CDI'!$J$4:$J$29,S5077,"Cubic","Extrapolate=Linear","MultiX=Average","Skip=True","Sort=True")</f>
        <v>14.451467852257181</v>
      </c>
      <c r="U5077" s="43">
        <f ca="1">_xll.BInterpol('Base CDI'!$H$4:$H$28,'Base CDI'!$I$4:$I$29,S5077,"Cubic","Extrapolate=Linear","MultiX=Average","Skip=True","Sort=True")</f>
        <v>14.377469220246237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50784</v>
      </c>
      <c r="T5078" s="43">
        <f ca="1">_xll.BInterpol('Base CDI'!$H$4:$H$28,'Base CDI'!$J$4:$J$29,S5078,"Cubic","Extrapolate=Linear","MultiX=Average","Skip=True","Sort=True")</f>
        <v>14.4513146374829</v>
      </c>
      <c r="U5078" s="43">
        <f ca="1">_xll.BInterpol('Base CDI'!$H$4:$H$28,'Base CDI'!$I$4:$I$29,S5078,"Cubic","Extrapolate=Linear","MultiX=Average","Skip=True","Sort=True")</f>
        <v>14.377216142270861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50785</v>
      </c>
      <c r="T5079" s="43">
        <f ca="1">_xll.BInterpol('Base CDI'!$H$4:$H$28,'Base CDI'!$J$4:$J$29,S5079,"Cubic","Extrapolate=Linear","MultiX=Average","Skip=True","Sort=True")</f>
        <v>14.451161422708617</v>
      </c>
      <c r="U5079" s="43">
        <f ca="1">_xll.BInterpol('Base CDI'!$H$4:$H$28,'Base CDI'!$I$4:$I$29,S5079,"Cubic","Extrapolate=Linear","MultiX=Average","Skip=True","Sort=True")</f>
        <v>14.376963064295484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50786</v>
      </c>
      <c r="T5080" s="43">
        <f ca="1">_xll.BInterpol('Base CDI'!$H$4:$H$28,'Base CDI'!$J$4:$J$29,S5080,"Cubic","Extrapolate=Linear","MultiX=Average","Skip=True","Sort=True")</f>
        <v>14.451008207934336</v>
      </c>
      <c r="U5080" s="43">
        <f ca="1">_xll.BInterpol('Base CDI'!$H$4:$H$28,'Base CDI'!$I$4:$I$29,S5080,"Cubic","Extrapolate=Linear","MultiX=Average","Skip=True","Sort=True")</f>
        <v>14.376709986320108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50787</v>
      </c>
      <c r="T5081" s="43">
        <f ca="1">_xll.BInterpol('Base CDI'!$H$4:$H$28,'Base CDI'!$J$4:$J$29,S5081,"Cubic","Extrapolate=Linear","MultiX=Average","Skip=True","Sort=True")</f>
        <v>14.450854993160053</v>
      </c>
      <c r="U5081" s="43">
        <f ca="1">_xll.BInterpol('Base CDI'!$H$4:$H$28,'Base CDI'!$I$4:$I$29,S5081,"Cubic","Extrapolate=Linear","MultiX=Average","Skip=True","Sort=True")</f>
        <v>14.376456908344732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50788</v>
      </c>
      <c r="T5082" s="43">
        <f ca="1">_xll.BInterpol('Base CDI'!$H$4:$H$28,'Base CDI'!$J$4:$J$29,S5082,"Cubic","Extrapolate=Linear","MultiX=Average","Skip=True","Sort=True")</f>
        <v>14.450701778385772</v>
      </c>
      <c r="U5082" s="43">
        <f ca="1">_xll.BInterpol('Base CDI'!$H$4:$H$28,'Base CDI'!$I$4:$I$29,S5082,"Cubic","Extrapolate=Linear","MultiX=Average","Skip=True","Sort=True")</f>
        <v>14.376203830369356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50789</v>
      </c>
      <c r="T5083" s="43">
        <f ca="1">_xll.BInterpol('Base CDI'!$H$4:$H$28,'Base CDI'!$J$4:$J$29,S5083,"Cubic","Extrapolate=Linear","MultiX=Average","Skip=True","Sort=True")</f>
        <v>14.450548563611491</v>
      </c>
      <c r="U5083" s="43">
        <f ca="1">_xll.BInterpol('Base CDI'!$H$4:$H$28,'Base CDI'!$I$4:$I$29,S5083,"Cubic","Extrapolate=Linear","MultiX=Average","Skip=True","Sort=True")</f>
        <v>14.37595075239398</v>
      </c>
    </row>
    <row r="5084" spans="16:21" x14ac:dyDescent="0.25">
      <c r="P5084" s="10">
        <v>41904</v>
      </c>
      <c r="Q5084">
        <v>34.50121</v>
      </c>
      <c r="S5084" s="42">
        <f t="shared" ca="1" si="84"/>
        <v>50790</v>
      </c>
      <c r="T5084" s="43">
        <f ca="1">_xll.BInterpol('Base CDI'!$H$4:$H$28,'Base CDI'!$J$4:$J$29,S5084,"Cubic","Extrapolate=Linear","MultiX=Average","Skip=True","Sort=True")</f>
        <v>14.450395348837208</v>
      </c>
      <c r="U5084" s="43">
        <f ca="1">_xll.BInterpol('Base CDI'!$H$4:$H$28,'Base CDI'!$I$4:$I$29,S5084,"Cubic","Extrapolate=Linear","MultiX=Average","Skip=True","Sort=True")</f>
        <v>14.375697674418603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50791</v>
      </c>
      <c r="T5085" s="43">
        <f ca="1">_xll.BInterpol('Base CDI'!$H$4:$H$28,'Base CDI'!$J$4:$J$29,S5085,"Cubic","Extrapolate=Linear","MultiX=Average","Skip=True","Sort=True")</f>
        <v>14.450242134062927</v>
      </c>
      <c r="U5085" s="43">
        <f ca="1">_xll.BInterpol('Base CDI'!$H$4:$H$28,'Base CDI'!$I$4:$I$29,S5085,"Cubic","Extrapolate=Linear","MultiX=Average","Skip=True","Sort=True")</f>
        <v>14.375444596443227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50792</v>
      </c>
      <c r="T5086" s="43">
        <f ca="1">_xll.BInterpol('Base CDI'!$H$4:$H$28,'Base CDI'!$J$4:$J$29,S5086,"Cubic","Extrapolate=Linear","MultiX=Average","Skip=True","Sort=True")</f>
        <v>14.450088919288644</v>
      </c>
      <c r="U5086" s="43">
        <f ca="1">_xll.BInterpol('Base CDI'!$H$4:$H$28,'Base CDI'!$I$4:$I$29,S5086,"Cubic","Extrapolate=Linear","MultiX=Average","Skip=True","Sort=True")</f>
        <v>14.375191518467851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50793</v>
      </c>
      <c r="T5087" s="43">
        <f ca="1">_xll.BInterpol('Base CDI'!$H$4:$H$28,'Base CDI'!$J$4:$J$29,S5087,"Cubic","Extrapolate=Linear","MultiX=Average","Skip=True","Sort=True")</f>
        <v>14.449935704514363</v>
      </c>
      <c r="U5087" s="43">
        <f ca="1">_xll.BInterpol('Base CDI'!$H$4:$H$28,'Base CDI'!$I$4:$I$29,S5087,"Cubic","Extrapolate=Linear","MultiX=Average","Skip=True","Sort=True")</f>
        <v>14.374938440492475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50794</v>
      </c>
      <c r="T5088" s="43">
        <f ca="1">_xll.BInterpol('Base CDI'!$H$4:$H$28,'Base CDI'!$J$4:$J$29,S5088,"Cubic","Extrapolate=Linear","MultiX=Average","Skip=True","Sort=True")</f>
        <v>14.449782489740082</v>
      </c>
      <c r="U5088" s="43">
        <f ca="1">_xll.BInterpol('Base CDI'!$H$4:$H$28,'Base CDI'!$I$4:$I$29,S5088,"Cubic","Extrapolate=Linear","MultiX=Average","Skip=True","Sort=True")</f>
        <v>14.374685362517098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50795</v>
      </c>
      <c r="T5089" s="43">
        <f ca="1">_xll.BInterpol('Base CDI'!$H$4:$H$28,'Base CDI'!$J$4:$J$29,S5089,"Cubic","Extrapolate=Linear","MultiX=Average","Skip=True","Sort=True")</f>
        <v>14.449629274965799</v>
      </c>
      <c r="U5089" s="43">
        <f ca="1">_xll.BInterpol('Base CDI'!$H$4:$H$28,'Base CDI'!$I$4:$I$29,S5089,"Cubic","Extrapolate=Linear","MultiX=Average","Skip=True","Sort=True")</f>
        <v>14.374432284541722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50796</v>
      </c>
      <c r="T5090" s="43">
        <f ca="1">_xll.BInterpol('Base CDI'!$H$4:$H$28,'Base CDI'!$J$4:$J$29,S5090,"Cubic","Extrapolate=Linear","MultiX=Average","Skip=True","Sort=True")</f>
        <v>14.449476060191518</v>
      </c>
      <c r="U5090" s="43">
        <f ca="1">_xll.BInterpol('Base CDI'!$H$4:$H$28,'Base CDI'!$I$4:$I$29,S5090,"Cubic","Extrapolate=Linear","MultiX=Average","Skip=True","Sort=True")</f>
        <v>14.374179206566346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50797</v>
      </c>
      <c r="T5091" s="43">
        <f ca="1">_xll.BInterpol('Base CDI'!$H$4:$H$28,'Base CDI'!$J$4:$J$29,S5091,"Cubic","Extrapolate=Linear","MultiX=Average","Skip=True","Sort=True")</f>
        <v>14.449322845417235</v>
      </c>
      <c r="U5091" s="43">
        <f ca="1">_xll.BInterpol('Base CDI'!$H$4:$H$28,'Base CDI'!$I$4:$I$29,S5091,"Cubic","Extrapolate=Linear","MultiX=Average","Skip=True","Sort=True")</f>
        <v>14.37392612859097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50798</v>
      </c>
      <c r="T5092" s="43">
        <f ca="1">_xll.BInterpol('Base CDI'!$H$4:$H$28,'Base CDI'!$J$4:$J$29,S5092,"Cubic","Extrapolate=Linear","MultiX=Average","Skip=True","Sort=True")</f>
        <v>14.449169630642954</v>
      </c>
      <c r="U5092" s="43">
        <f ca="1">_xll.BInterpol('Base CDI'!$H$4:$H$28,'Base CDI'!$I$4:$I$29,S5092,"Cubic","Extrapolate=Linear","MultiX=Average","Skip=True","Sort=True")</f>
        <v>14.373673050615594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50799</v>
      </c>
      <c r="T5093" s="43">
        <f ca="1">_xll.BInterpol('Base CDI'!$H$4:$H$28,'Base CDI'!$J$4:$J$29,S5093,"Cubic","Extrapolate=Linear","MultiX=Average","Skip=True","Sort=True")</f>
        <v>14.449016415868673</v>
      </c>
      <c r="U5093" s="43">
        <f ca="1">_xll.BInterpol('Base CDI'!$H$4:$H$28,'Base CDI'!$I$4:$I$29,S5093,"Cubic","Extrapolate=Linear","MultiX=Average","Skip=True","Sort=True")</f>
        <v>14.373419972640217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50800</v>
      </c>
      <c r="T5094" s="43">
        <f ca="1">_xll.BInterpol('Base CDI'!$H$4:$H$28,'Base CDI'!$J$4:$J$29,S5094,"Cubic","Extrapolate=Linear","MultiX=Average","Skip=True","Sort=True")</f>
        <v>14.44886320109439</v>
      </c>
      <c r="U5094" s="43">
        <f ca="1">_xll.BInterpol('Base CDI'!$H$4:$H$28,'Base CDI'!$I$4:$I$29,S5094,"Cubic","Extrapolate=Linear","MultiX=Average","Skip=True","Sort=True")</f>
        <v>14.373166894664841</v>
      </c>
    </row>
    <row r="5095" spans="16:21" x14ac:dyDescent="0.25">
      <c r="P5095" s="10">
        <v>41919</v>
      </c>
      <c r="Q5095">
        <v>34.65625</v>
      </c>
      <c r="S5095" s="42">
        <f t="shared" ca="1" si="84"/>
        <v>50801</v>
      </c>
      <c r="T5095" s="43">
        <f ca="1">_xll.BInterpol('Base CDI'!$H$4:$H$28,'Base CDI'!$J$4:$J$29,S5095,"Cubic","Extrapolate=Linear","MultiX=Average","Skip=True","Sort=True")</f>
        <v>14.448709986320109</v>
      </c>
      <c r="U5095" s="43">
        <f ca="1">_xll.BInterpol('Base CDI'!$H$4:$H$28,'Base CDI'!$I$4:$I$29,S5095,"Cubic","Extrapolate=Linear","MultiX=Average","Skip=True","Sort=True")</f>
        <v>14.372913816689465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50802</v>
      </c>
      <c r="T5096" s="43">
        <f ca="1">_xll.BInterpol('Base CDI'!$H$4:$H$28,'Base CDI'!$J$4:$J$29,S5096,"Cubic","Extrapolate=Linear","MultiX=Average","Skip=True","Sort=True")</f>
        <v>14.448556771545826</v>
      </c>
      <c r="U5096" s="43">
        <f ca="1">_xll.BInterpol('Base CDI'!$H$4:$H$28,'Base CDI'!$I$4:$I$29,S5096,"Cubic","Extrapolate=Linear","MultiX=Average","Skip=True","Sort=True")</f>
        <v>14.372660738714089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50803</v>
      </c>
      <c r="T5097" s="43">
        <f ca="1">_xll.BInterpol('Base CDI'!$H$4:$H$28,'Base CDI'!$J$4:$J$29,S5097,"Cubic","Extrapolate=Linear","MultiX=Average","Skip=True","Sort=True")</f>
        <v>14.448403556771545</v>
      </c>
      <c r="U5097" s="43">
        <f ca="1">_xll.BInterpol('Base CDI'!$H$4:$H$28,'Base CDI'!$I$4:$I$29,S5097,"Cubic","Extrapolate=Linear","MultiX=Average","Skip=True","Sort=True")</f>
        <v>14.372407660738713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50804</v>
      </c>
      <c r="T5098" s="43">
        <f ca="1">_xll.BInterpol('Base CDI'!$H$4:$H$28,'Base CDI'!$J$4:$J$29,S5098,"Cubic","Extrapolate=Linear","MultiX=Average","Skip=True","Sort=True")</f>
        <v>14.448250341997264</v>
      </c>
      <c r="U5098" s="43">
        <f ca="1">_xll.BInterpol('Base CDI'!$H$4:$H$28,'Base CDI'!$I$4:$I$29,S5098,"Cubic","Extrapolate=Linear","MultiX=Average","Skip=True","Sort=True")</f>
        <v>14.372154582763336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50805</v>
      </c>
      <c r="T5099" s="43">
        <f ca="1">_xll.BInterpol('Base CDI'!$H$4:$H$28,'Base CDI'!$J$4:$J$29,S5099,"Cubic","Extrapolate=Linear","MultiX=Average","Skip=True","Sort=True")</f>
        <v>14.448097127222981</v>
      </c>
      <c r="U5099" s="43">
        <f ca="1">_xll.BInterpol('Base CDI'!$H$4:$H$28,'Base CDI'!$I$4:$I$29,S5099,"Cubic","Extrapolate=Linear","MultiX=Average","Skip=True","Sort=True")</f>
        <v>14.37190150478796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50806</v>
      </c>
      <c r="T5100" s="43">
        <f ca="1">_xll.BInterpol('Base CDI'!$H$4:$H$28,'Base CDI'!$J$4:$J$29,S5100,"Cubic","Extrapolate=Linear","MultiX=Average","Skip=True","Sort=True")</f>
        <v>14.4479439124487</v>
      </c>
      <c r="U5100" s="43">
        <f ca="1">_xll.BInterpol('Base CDI'!$H$4:$H$28,'Base CDI'!$I$4:$I$29,S5100,"Cubic","Extrapolate=Linear","MultiX=Average","Skip=True","Sort=True")</f>
        <v>14.371648426812584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50807</v>
      </c>
      <c r="T5101" s="43">
        <f ca="1">_xll.BInterpol('Base CDI'!$H$4:$H$28,'Base CDI'!$J$4:$J$29,S5101,"Cubic","Extrapolate=Linear","MultiX=Average","Skip=True","Sort=True")</f>
        <v>14.447790697674417</v>
      </c>
      <c r="U5101" s="43">
        <f ca="1">_xll.BInterpol('Base CDI'!$H$4:$H$28,'Base CDI'!$I$4:$I$29,S5101,"Cubic","Extrapolate=Linear","MultiX=Average","Skip=True","Sort=True")</f>
        <v>14.371395348837208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50808</v>
      </c>
      <c r="T5102" s="43">
        <f ca="1">_xll.BInterpol('Base CDI'!$H$4:$H$28,'Base CDI'!$J$4:$J$29,S5102,"Cubic","Extrapolate=Linear","MultiX=Average","Skip=True","Sort=True")</f>
        <v>14.447637482900136</v>
      </c>
      <c r="U5102" s="43">
        <f ca="1">_xll.BInterpol('Base CDI'!$H$4:$H$28,'Base CDI'!$I$4:$I$29,S5102,"Cubic","Extrapolate=Linear","MultiX=Average","Skip=True","Sort=True")</f>
        <v>14.371142270861831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50809</v>
      </c>
      <c r="T5103" s="43">
        <f ca="1">_xll.BInterpol('Base CDI'!$H$4:$H$28,'Base CDI'!$J$4:$J$29,S5103,"Cubic","Extrapolate=Linear","MultiX=Average","Skip=True","Sort=True")</f>
        <v>14.447484268125855</v>
      </c>
      <c r="U5103" s="43">
        <f ca="1">_xll.BInterpol('Base CDI'!$H$4:$H$28,'Base CDI'!$I$4:$I$29,S5103,"Cubic","Extrapolate=Linear","MultiX=Average","Skip=True","Sort=True")</f>
        <v>14.370889192886455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50810</v>
      </c>
      <c r="T5104" s="43">
        <f ca="1">_xll.BInterpol('Base CDI'!$H$4:$H$28,'Base CDI'!$J$4:$J$29,S5104,"Cubic","Extrapolate=Linear","MultiX=Average","Skip=True","Sort=True")</f>
        <v>14.447331053351572</v>
      </c>
      <c r="U5104" s="43">
        <f ca="1">_xll.BInterpol('Base CDI'!$H$4:$H$28,'Base CDI'!$I$4:$I$29,S5104,"Cubic","Extrapolate=Linear","MultiX=Average","Skip=True","Sort=True")</f>
        <v>14.370636114911079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50811</v>
      </c>
      <c r="T5105" s="43">
        <f ca="1">_xll.BInterpol('Base CDI'!$H$4:$H$28,'Base CDI'!$J$4:$J$29,S5105,"Cubic","Extrapolate=Linear","MultiX=Average","Skip=True","Sort=True")</f>
        <v>14.447177838577291</v>
      </c>
      <c r="U5105" s="43">
        <f ca="1">_xll.BInterpol('Base CDI'!$H$4:$H$28,'Base CDI'!$I$4:$I$29,S5105,"Cubic","Extrapolate=Linear","MultiX=Average","Skip=True","Sort=True")</f>
        <v>14.370383036935703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50812</v>
      </c>
      <c r="T5106" s="43">
        <f ca="1">_xll.BInterpol('Base CDI'!$H$4:$H$28,'Base CDI'!$J$4:$J$29,S5106,"Cubic","Extrapolate=Linear","MultiX=Average","Skip=True","Sort=True")</f>
        <v>14.447024623803008</v>
      </c>
      <c r="U5106" s="43">
        <f ca="1">_xll.BInterpol('Base CDI'!$H$4:$H$28,'Base CDI'!$I$4:$I$29,S5106,"Cubic","Extrapolate=Linear","MultiX=Average","Skip=True","Sort=True")</f>
        <v>14.370129958960327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50813</v>
      </c>
      <c r="T5107" s="43">
        <f ca="1">_xll.BInterpol('Base CDI'!$H$4:$H$28,'Base CDI'!$J$4:$J$29,S5107,"Cubic","Extrapolate=Linear","MultiX=Average","Skip=True","Sort=True")</f>
        <v>14.446871409028727</v>
      </c>
      <c r="U5107" s="43">
        <f ca="1">_xll.BInterpol('Base CDI'!$H$4:$H$28,'Base CDI'!$I$4:$I$29,S5107,"Cubic","Extrapolate=Linear","MultiX=Average","Skip=True","Sort=True")</f>
        <v>14.36987688098495</v>
      </c>
    </row>
    <row r="5108" spans="16:21" x14ac:dyDescent="0.25">
      <c r="P5108" s="10">
        <v>41936</v>
      </c>
      <c r="Q5108">
        <v>34.84066</v>
      </c>
      <c r="S5108" s="42">
        <f t="shared" ca="1" si="84"/>
        <v>50814</v>
      </c>
      <c r="T5108" s="43">
        <f ca="1">_xll.BInterpol('Base CDI'!$H$4:$H$28,'Base CDI'!$J$4:$J$29,S5108,"Cubic","Extrapolate=Linear","MultiX=Average","Skip=True","Sort=True")</f>
        <v>14.446718194254446</v>
      </c>
      <c r="U5108" s="43">
        <f ca="1">_xll.BInterpol('Base CDI'!$H$4:$H$28,'Base CDI'!$I$4:$I$29,S5108,"Cubic","Extrapolate=Linear","MultiX=Average","Skip=True","Sort=True")</f>
        <v>14.369623803009574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50815</v>
      </c>
      <c r="T5109" s="43">
        <f ca="1">_xll.BInterpol('Base CDI'!$H$4:$H$28,'Base CDI'!$J$4:$J$29,S5109,"Cubic","Extrapolate=Linear","MultiX=Average","Skip=True","Sort=True")</f>
        <v>14.446564979480163</v>
      </c>
      <c r="U5109" s="43">
        <f ca="1">_xll.BInterpol('Base CDI'!$H$4:$H$28,'Base CDI'!$I$4:$I$29,S5109,"Cubic","Extrapolate=Linear","MultiX=Average","Skip=True","Sort=True")</f>
        <v>14.369370725034198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50816</v>
      </c>
      <c r="T5110" s="43">
        <f ca="1">_xll.BInterpol('Base CDI'!$H$4:$H$28,'Base CDI'!$J$4:$J$29,S5110,"Cubic","Extrapolate=Linear","MultiX=Average","Skip=True","Sort=True")</f>
        <v>14.446411764705882</v>
      </c>
      <c r="U5110" s="43">
        <f ca="1">_xll.BInterpol('Base CDI'!$H$4:$H$28,'Base CDI'!$I$4:$I$29,S5110,"Cubic","Extrapolate=Linear","MultiX=Average","Skip=True","Sort=True")</f>
        <v>14.369117647058822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50817</v>
      </c>
      <c r="T5111" s="43">
        <f ca="1">_xll.BInterpol('Base CDI'!$H$4:$H$28,'Base CDI'!$J$4:$J$29,S5111,"Cubic","Extrapolate=Linear","MultiX=Average","Skip=True","Sort=True")</f>
        <v>14.446258549931599</v>
      </c>
      <c r="U5111" s="43">
        <f ca="1">_xll.BInterpol('Base CDI'!$H$4:$H$28,'Base CDI'!$I$4:$I$29,S5111,"Cubic","Extrapolate=Linear","MultiX=Average","Skip=True","Sort=True")</f>
        <v>14.368864569083446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50818</v>
      </c>
      <c r="T5112" s="43">
        <f ca="1">_xll.BInterpol('Base CDI'!$H$4:$H$28,'Base CDI'!$J$4:$J$29,S5112,"Cubic","Extrapolate=Linear","MultiX=Average","Skip=True","Sort=True")</f>
        <v>14.446105335157318</v>
      </c>
      <c r="U5112" s="43">
        <f ca="1">_xll.BInterpol('Base CDI'!$H$4:$H$28,'Base CDI'!$I$4:$I$29,S5112,"Cubic","Extrapolate=Linear","MultiX=Average","Skip=True","Sort=True")</f>
        <v>14.368611491108069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50819</v>
      </c>
      <c r="T5113" s="43">
        <f ca="1">_xll.BInterpol('Base CDI'!$H$4:$H$28,'Base CDI'!$J$4:$J$29,S5113,"Cubic","Extrapolate=Linear","MultiX=Average","Skip=True","Sort=True")</f>
        <v>14.445952120383037</v>
      </c>
      <c r="U5113" s="43">
        <f ca="1">_xll.BInterpol('Base CDI'!$H$4:$H$28,'Base CDI'!$I$4:$I$29,S5113,"Cubic","Extrapolate=Linear","MultiX=Average","Skip=True","Sort=True")</f>
        <v>14.368358413132693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50820</v>
      </c>
      <c r="T5114" s="43">
        <f ca="1">_xll.BInterpol('Base CDI'!$H$4:$H$28,'Base CDI'!$J$4:$J$29,S5114,"Cubic","Extrapolate=Linear","MultiX=Average","Skip=True","Sort=True")</f>
        <v>14.445798905608754</v>
      </c>
      <c r="U5114" s="43">
        <f ca="1">_xll.BInterpol('Base CDI'!$H$4:$H$28,'Base CDI'!$I$4:$I$29,S5114,"Cubic","Extrapolate=Linear","MultiX=Average","Skip=True","Sort=True")</f>
        <v>14.368105335157317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50821</v>
      </c>
      <c r="T5115" s="43">
        <f ca="1">_xll.BInterpol('Base CDI'!$H$4:$H$28,'Base CDI'!$J$4:$J$29,S5115,"Cubic","Extrapolate=Linear","MultiX=Average","Skip=True","Sort=True")</f>
        <v>14.445645690834473</v>
      </c>
      <c r="U5115" s="43">
        <f ca="1">_xll.BInterpol('Base CDI'!$H$4:$H$28,'Base CDI'!$I$4:$I$29,S5115,"Cubic","Extrapolate=Linear","MultiX=Average","Skip=True","Sort=True")</f>
        <v>14.367852257181941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50822</v>
      </c>
      <c r="T5116" s="43">
        <f ca="1">_xll.BInterpol('Base CDI'!$H$4:$H$28,'Base CDI'!$J$4:$J$29,S5116,"Cubic","Extrapolate=Linear","MultiX=Average","Skip=True","Sort=True")</f>
        <v>14.44549247606019</v>
      </c>
      <c r="U5116" s="43">
        <f ca="1">_xll.BInterpol('Base CDI'!$H$4:$H$28,'Base CDI'!$I$4:$I$29,S5116,"Cubic","Extrapolate=Linear","MultiX=Average","Skip=True","Sort=True")</f>
        <v>14.367599179206564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50823</v>
      </c>
      <c r="T5117" s="43">
        <f ca="1">_xll.BInterpol('Base CDI'!$H$4:$H$28,'Base CDI'!$J$4:$J$29,S5117,"Cubic","Extrapolate=Linear","MultiX=Average","Skip=True","Sort=True")</f>
        <v>14.445339261285909</v>
      </c>
      <c r="U5117" s="43">
        <f ca="1">_xll.BInterpol('Base CDI'!$H$4:$H$28,'Base CDI'!$I$4:$I$29,S5117,"Cubic","Extrapolate=Linear","MultiX=Average","Skip=True","Sort=True")</f>
        <v>14.367346101231188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50824</v>
      </c>
      <c r="T5118" s="43">
        <f ca="1">_xll.BInterpol('Base CDI'!$H$4:$H$28,'Base CDI'!$J$4:$J$29,S5118,"Cubic","Extrapolate=Linear","MultiX=Average","Skip=True","Sort=True")</f>
        <v>14.445186046511628</v>
      </c>
      <c r="U5118" s="43">
        <f ca="1">_xll.BInterpol('Base CDI'!$H$4:$H$28,'Base CDI'!$I$4:$I$29,S5118,"Cubic","Extrapolate=Linear","MultiX=Average","Skip=True","Sort=True")</f>
        <v>14.367093023255812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50825</v>
      </c>
      <c r="T5119" s="43">
        <f ca="1">_xll.BInterpol('Base CDI'!$H$4:$H$28,'Base CDI'!$J$4:$J$29,S5119,"Cubic","Extrapolate=Linear","MultiX=Average","Skip=True","Sort=True")</f>
        <v>14.445032831737345</v>
      </c>
      <c r="U5119" s="43">
        <f ca="1">_xll.BInterpol('Base CDI'!$H$4:$H$28,'Base CDI'!$I$4:$I$29,S5119,"Cubic","Extrapolate=Linear","MultiX=Average","Skip=True","Sort=True")</f>
        <v>14.366839945280436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50826</v>
      </c>
      <c r="T5120" s="43">
        <f ca="1">_xll.BInterpol('Base CDI'!$H$4:$H$28,'Base CDI'!$J$4:$J$29,S5120,"Cubic","Extrapolate=Linear","MultiX=Average","Skip=True","Sort=True")</f>
        <v>14.444879616963064</v>
      </c>
      <c r="U5120" s="43">
        <f ca="1">_xll.BInterpol('Base CDI'!$H$4:$H$28,'Base CDI'!$I$4:$I$29,S5120,"Cubic","Extrapolate=Linear","MultiX=Average","Skip=True","Sort=True")</f>
        <v>14.36658686730506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50827</v>
      </c>
      <c r="T5121" s="43">
        <f ca="1">_xll.BInterpol('Base CDI'!$H$4:$H$28,'Base CDI'!$J$4:$J$29,S5121,"Cubic","Extrapolate=Linear","MultiX=Average","Skip=True","Sort=True")</f>
        <v>14.444726402188781</v>
      </c>
      <c r="U5121" s="43">
        <f ca="1">_xll.BInterpol('Base CDI'!$H$4:$H$28,'Base CDI'!$I$4:$I$29,S5121,"Cubic","Extrapolate=Linear","MultiX=Average","Skip=True","Sort=True")</f>
        <v>14.366333789329683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50828</v>
      </c>
      <c r="T5122" s="43">
        <f ca="1">_xll.BInterpol('Base CDI'!$H$4:$H$28,'Base CDI'!$J$4:$J$29,S5122,"Cubic","Extrapolate=Linear","MultiX=Average","Skip=True","Sort=True")</f>
        <v>14.4445731874145</v>
      </c>
      <c r="U5122" s="43">
        <f ca="1">_xll.BInterpol('Base CDI'!$H$4:$H$28,'Base CDI'!$I$4:$I$29,S5122,"Cubic","Extrapolate=Linear","MultiX=Average","Skip=True","Sort=True")</f>
        <v>14.366080711354309</v>
      </c>
    </row>
    <row r="5123" spans="16:21" x14ac:dyDescent="0.25">
      <c r="P5123" s="10">
        <v>41957</v>
      </c>
      <c r="Q5123">
        <v>35.05809</v>
      </c>
      <c r="S5123" s="42">
        <f t="shared" ca="1" si="84"/>
        <v>50829</v>
      </c>
      <c r="T5123" s="43">
        <f ca="1">_xll.BInterpol('Base CDI'!$H$4:$H$28,'Base CDI'!$J$4:$J$29,S5123,"Cubic","Extrapolate=Linear","MultiX=Average","Skip=True","Sort=True")</f>
        <v>14.444419972640219</v>
      </c>
      <c r="U5123" s="43">
        <f ca="1">_xll.BInterpol('Base CDI'!$H$4:$H$28,'Base CDI'!$I$4:$I$29,S5123,"Cubic","Extrapolate=Linear","MultiX=Average","Skip=True","Sort=True")</f>
        <v>14.365827633378933</v>
      </c>
    </row>
    <row r="5124" spans="16:21" x14ac:dyDescent="0.25">
      <c r="P5124" s="10">
        <v>41960</v>
      </c>
      <c r="Q5124">
        <v>35.07273</v>
      </c>
      <c r="S5124" s="42">
        <f t="shared" ca="1" si="84"/>
        <v>50830</v>
      </c>
      <c r="T5124" s="43">
        <f ca="1">_xll.BInterpol('Base CDI'!$H$4:$H$28,'Base CDI'!$J$4:$J$29,S5124,"Cubic","Extrapolate=Linear","MultiX=Average","Skip=True","Sort=True")</f>
        <v>14.444266757865936</v>
      </c>
      <c r="U5124" s="43">
        <f ca="1">_xll.BInterpol('Base CDI'!$H$4:$H$28,'Base CDI'!$I$4:$I$29,S5124,"Cubic","Extrapolate=Linear","MultiX=Average","Skip=True","Sort=True")</f>
        <v>14.365574555403557</v>
      </c>
    </row>
    <row r="5125" spans="16:21" x14ac:dyDescent="0.25">
      <c r="P5125" s="10">
        <v>41961</v>
      </c>
      <c r="Q5125">
        <v>35.08737</v>
      </c>
      <c r="S5125" s="42">
        <f t="shared" ca="1" si="84"/>
        <v>50831</v>
      </c>
      <c r="T5125" s="43">
        <f ca="1">_xll.BInterpol('Base CDI'!$H$4:$H$28,'Base CDI'!$J$4:$J$29,S5125,"Cubic","Extrapolate=Linear","MultiX=Average","Skip=True","Sort=True")</f>
        <v>14.444113543091655</v>
      </c>
      <c r="U5125" s="43">
        <f ca="1">_xll.BInterpol('Base CDI'!$H$4:$H$28,'Base CDI'!$I$4:$I$29,S5125,"Cubic","Extrapolate=Linear","MultiX=Average","Skip=True","Sort=True")</f>
        <v>14.36532147742818</v>
      </c>
    </row>
    <row r="5126" spans="16:21" x14ac:dyDescent="0.25">
      <c r="P5126" s="10">
        <v>41962</v>
      </c>
      <c r="Q5126">
        <v>35.10201</v>
      </c>
      <c r="S5126" s="42">
        <f t="shared" ca="1" si="84"/>
        <v>50832</v>
      </c>
      <c r="T5126" s="43">
        <f ca="1">_xll.BInterpol('Base CDI'!$H$4:$H$28,'Base CDI'!$J$4:$J$29,S5126,"Cubic","Extrapolate=Linear","MultiX=Average","Skip=True","Sort=True")</f>
        <v>14.443960328317372</v>
      </c>
      <c r="U5126" s="43">
        <f ca="1">_xll.BInterpol('Base CDI'!$H$4:$H$28,'Base CDI'!$I$4:$I$29,S5126,"Cubic","Extrapolate=Linear","MultiX=Average","Skip=True","Sort=True")</f>
        <v>14.365068399452804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50833</v>
      </c>
      <c r="T5127" s="43">
        <f ca="1">_xll.BInterpol('Base CDI'!$H$4:$H$28,'Base CDI'!$J$4:$J$29,S5127,"Cubic","Extrapolate=Linear","MultiX=Average","Skip=True","Sort=True")</f>
        <v>14.443807113543091</v>
      </c>
      <c r="U5127" s="43">
        <f ca="1">_xll.BInterpol('Base CDI'!$H$4:$H$28,'Base CDI'!$I$4:$I$29,S5127,"Cubic","Extrapolate=Linear","MultiX=Average","Skip=True","Sort=True")</f>
        <v>14.364815321477428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50834</v>
      </c>
      <c r="T5128" s="43">
        <f ca="1">_xll.BInterpol('Base CDI'!$H$4:$H$28,'Base CDI'!$J$4:$J$29,S5128,"Cubic","Extrapolate=Linear","MultiX=Average","Skip=True","Sort=True")</f>
        <v>14.44365389876881</v>
      </c>
      <c r="U5128" s="43">
        <f ca="1">_xll.BInterpol('Base CDI'!$H$4:$H$28,'Base CDI'!$I$4:$I$29,S5128,"Cubic","Extrapolate=Linear","MultiX=Average","Skip=True","Sort=True")</f>
        <v>14.364562243502052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50835</v>
      </c>
      <c r="T5129" s="43">
        <f ca="1">_xll.BInterpol('Base CDI'!$H$4:$H$28,'Base CDI'!$J$4:$J$29,S5129,"Cubic","Extrapolate=Linear","MultiX=Average","Skip=True","Sort=True")</f>
        <v>14.443500683994527</v>
      </c>
      <c r="U5129" s="43">
        <f ca="1">_xll.BInterpol('Base CDI'!$H$4:$H$28,'Base CDI'!$I$4:$I$29,S5129,"Cubic","Extrapolate=Linear","MultiX=Average","Skip=True","Sort=True")</f>
        <v>14.364309165526675</v>
      </c>
    </row>
    <row r="5130" spans="16:21" x14ac:dyDescent="0.25">
      <c r="P5130" s="10">
        <v>41968</v>
      </c>
      <c r="Q5130">
        <v>35.16066</v>
      </c>
      <c r="S5130" s="42">
        <f t="shared" ca="1" si="84"/>
        <v>50836</v>
      </c>
      <c r="T5130" s="43">
        <f ca="1">_xll.BInterpol('Base CDI'!$H$4:$H$28,'Base CDI'!$J$4:$J$29,S5130,"Cubic","Extrapolate=Linear","MultiX=Average","Skip=True","Sort=True")</f>
        <v>14.443347469220246</v>
      </c>
      <c r="U5130" s="43">
        <f ca="1">_xll.BInterpol('Base CDI'!$H$4:$H$28,'Base CDI'!$I$4:$I$29,S5130,"Cubic","Extrapolate=Linear","MultiX=Average","Skip=True","Sort=True")</f>
        <v>14.364056087551299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50837</v>
      </c>
      <c r="T5131" s="43">
        <f ca="1">_xll.BInterpol('Base CDI'!$H$4:$H$28,'Base CDI'!$J$4:$J$29,S5131,"Cubic","Extrapolate=Linear","MultiX=Average","Skip=True","Sort=True")</f>
        <v>14.443194254445963</v>
      </c>
      <c r="U5131" s="43">
        <f ca="1">_xll.BInterpol('Base CDI'!$H$4:$H$28,'Base CDI'!$I$4:$I$29,S5131,"Cubic","Extrapolate=Linear","MultiX=Average","Skip=True","Sort=True")</f>
        <v>14.363803009575923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50838</v>
      </c>
      <c r="T5132" s="43">
        <f ca="1">_xll.BInterpol('Base CDI'!$H$4:$H$28,'Base CDI'!$J$4:$J$29,S5132,"Cubic","Extrapolate=Linear","MultiX=Average","Skip=True","Sort=True")</f>
        <v>14.443041039671682</v>
      </c>
      <c r="U5132" s="43">
        <f ca="1">_xll.BInterpol('Base CDI'!$H$4:$H$28,'Base CDI'!$I$4:$I$29,S5132,"Cubic","Extrapolate=Linear","MultiX=Average","Skip=True","Sort=True")</f>
        <v>14.363549931600547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50839</v>
      </c>
      <c r="T5133" s="43">
        <f ca="1">_xll.BInterpol('Base CDI'!$H$4:$H$28,'Base CDI'!$J$4:$J$29,S5133,"Cubic","Extrapolate=Linear","MultiX=Average","Skip=True","Sort=True")</f>
        <v>14.442887824897401</v>
      </c>
      <c r="U5133" s="43">
        <f ca="1">_xll.BInterpol('Base CDI'!$H$4:$H$28,'Base CDI'!$I$4:$I$29,S5133,"Cubic","Extrapolate=Linear","MultiX=Average","Skip=True","Sort=True")</f>
        <v>14.363296853625171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50840</v>
      </c>
      <c r="T5134" s="43">
        <f ca="1">_xll.BInterpol('Base CDI'!$H$4:$H$28,'Base CDI'!$J$4:$J$29,S5134,"Cubic","Extrapolate=Linear","MultiX=Average","Skip=True","Sort=True")</f>
        <v>14.442734610123118</v>
      </c>
      <c r="U5134" s="43">
        <f ca="1">_xll.BInterpol('Base CDI'!$H$4:$H$28,'Base CDI'!$I$4:$I$29,S5134,"Cubic","Extrapolate=Linear","MultiX=Average","Skip=True","Sort=True")</f>
        <v>14.363043775649794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50841</v>
      </c>
      <c r="T5135" s="43">
        <f ca="1">_xll.BInterpol('Base CDI'!$H$4:$H$28,'Base CDI'!$J$4:$J$29,S5135,"Cubic","Extrapolate=Linear","MultiX=Average","Skip=True","Sort=True")</f>
        <v>14.442581395348837</v>
      </c>
      <c r="U5135" s="43">
        <f ca="1">_xll.BInterpol('Base CDI'!$H$4:$H$28,'Base CDI'!$I$4:$I$29,S5135,"Cubic","Extrapolate=Linear","MultiX=Average","Skip=True","Sort=True")</f>
        <v>14.362790697674418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50842</v>
      </c>
      <c r="T5136" s="43">
        <f ca="1">_xll.BInterpol('Base CDI'!$H$4:$H$28,'Base CDI'!$J$4:$J$29,S5136,"Cubic","Extrapolate=Linear","MultiX=Average","Skip=True","Sort=True")</f>
        <v>14.442428180574554</v>
      </c>
      <c r="U5136" s="43">
        <f ca="1">_xll.BInterpol('Base CDI'!$H$4:$H$28,'Base CDI'!$I$4:$I$29,S5136,"Cubic","Extrapolate=Linear","MultiX=Average","Skip=True","Sort=True")</f>
        <v>14.362537619699042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50843</v>
      </c>
      <c r="T5137" s="43">
        <f ca="1">_xll.BInterpol('Base CDI'!$H$4:$H$28,'Base CDI'!$J$4:$J$29,S5137,"Cubic","Extrapolate=Linear","MultiX=Average","Skip=True","Sort=True")</f>
        <v>14.442274965800273</v>
      </c>
      <c r="U5137" s="43">
        <f ca="1">_xll.BInterpol('Base CDI'!$H$4:$H$28,'Base CDI'!$I$4:$I$29,S5137,"Cubic","Extrapolate=Linear","MultiX=Average","Skip=True","Sort=True")</f>
        <v>14.362284541723666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50844</v>
      </c>
      <c r="T5138" s="43">
        <f ca="1">_xll.BInterpol('Base CDI'!$H$4:$H$28,'Base CDI'!$J$4:$J$29,S5138,"Cubic","Extrapolate=Linear","MultiX=Average","Skip=True","Sort=True")</f>
        <v>14.442121751025992</v>
      </c>
      <c r="U5138" s="43">
        <f ca="1">_xll.BInterpol('Base CDI'!$H$4:$H$28,'Base CDI'!$I$4:$I$29,S5138,"Cubic","Extrapolate=Linear","MultiX=Average","Skip=True","Sort=True")</f>
        <v>14.36203146374829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50845</v>
      </c>
      <c r="T5139" s="43">
        <f ca="1">_xll.BInterpol('Base CDI'!$H$4:$H$28,'Base CDI'!$J$4:$J$29,S5139,"Cubic","Extrapolate=Linear","MultiX=Average","Skip=True","Sort=True")</f>
        <v>14.441968536251709</v>
      </c>
      <c r="U5139" s="43">
        <f ca="1">_xll.BInterpol('Base CDI'!$H$4:$H$28,'Base CDI'!$I$4:$I$29,S5139,"Cubic","Extrapolate=Linear","MultiX=Average","Skip=True","Sort=True")</f>
        <v>14.361778385772913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50846</v>
      </c>
      <c r="T5140" s="43">
        <f ca="1">_xll.BInterpol('Base CDI'!$H$4:$H$28,'Base CDI'!$J$4:$J$29,S5140,"Cubic","Extrapolate=Linear","MultiX=Average","Skip=True","Sort=True")</f>
        <v>14.441815321477428</v>
      </c>
      <c r="U5140" s="43">
        <f ca="1">_xll.BInterpol('Base CDI'!$H$4:$H$28,'Base CDI'!$I$4:$I$29,S5140,"Cubic","Extrapolate=Linear","MultiX=Average","Skip=True","Sort=True")</f>
        <v>14.361525307797537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50847</v>
      </c>
      <c r="T5141" s="43">
        <f ca="1">_xll.BInterpol('Base CDI'!$H$4:$H$28,'Base CDI'!$J$4:$J$29,S5141,"Cubic","Extrapolate=Linear","MultiX=Average","Skip=True","Sort=True")</f>
        <v>14.441662106703145</v>
      </c>
      <c r="U5141" s="43">
        <f ca="1">_xll.BInterpol('Base CDI'!$H$4:$H$28,'Base CDI'!$I$4:$I$29,S5141,"Cubic","Extrapolate=Linear","MultiX=Average","Skip=True","Sort=True")</f>
        <v>14.361272229822161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50848</v>
      </c>
      <c r="T5142" s="43">
        <f ca="1">_xll.BInterpol('Base CDI'!$H$4:$H$28,'Base CDI'!$J$4:$J$29,S5142,"Cubic","Extrapolate=Linear","MultiX=Average","Skip=True","Sort=True")</f>
        <v>14.441508891928864</v>
      </c>
      <c r="U5142" s="43">
        <f ca="1">_xll.BInterpol('Base CDI'!$H$4:$H$28,'Base CDI'!$I$4:$I$29,S5142,"Cubic","Extrapolate=Linear","MultiX=Average","Skip=True","Sort=True")</f>
        <v>14.361019151846785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50849</v>
      </c>
      <c r="T5143" s="43">
        <f ca="1">_xll.BInterpol('Base CDI'!$H$4:$H$28,'Base CDI'!$J$4:$J$29,S5143,"Cubic","Extrapolate=Linear","MultiX=Average","Skip=True","Sort=True")</f>
        <v>14.441355677154583</v>
      </c>
      <c r="U5143" s="43">
        <f ca="1">_xll.BInterpol('Base CDI'!$H$4:$H$28,'Base CDI'!$I$4:$I$29,S5143,"Cubic","Extrapolate=Linear","MultiX=Average","Skip=True","Sort=True")</f>
        <v>14.360766073871408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50850</v>
      </c>
      <c r="T5144" s="43">
        <f ca="1">_xll.BInterpol('Base CDI'!$H$4:$H$28,'Base CDI'!$J$4:$J$29,S5144,"Cubic","Extrapolate=Linear","MultiX=Average","Skip=True","Sort=True")</f>
        <v>14.4412024623803</v>
      </c>
      <c r="U5144" s="43">
        <f ca="1">_xll.BInterpol('Base CDI'!$H$4:$H$28,'Base CDI'!$I$4:$I$29,S5144,"Cubic","Extrapolate=Linear","MultiX=Average","Skip=True","Sort=True")</f>
        <v>14.360512995896032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50851</v>
      </c>
      <c r="T5145" s="43">
        <f ca="1">_xll.BInterpol('Base CDI'!$H$4:$H$28,'Base CDI'!$J$4:$J$29,S5145,"Cubic","Extrapolate=Linear","MultiX=Average","Skip=True","Sort=True")</f>
        <v>14.441049247606019</v>
      </c>
      <c r="U5145" s="43">
        <f ca="1">_xll.BInterpol('Base CDI'!$H$4:$H$28,'Base CDI'!$I$4:$I$29,S5145,"Cubic","Extrapolate=Linear","MultiX=Average","Skip=True","Sort=True")</f>
        <v>14.360259917920656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50852</v>
      </c>
      <c r="T5146" s="43">
        <f ca="1">_xll.BInterpol('Base CDI'!$H$4:$H$28,'Base CDI'!$J$4:$J$29,S5146,"Cubic","Extrapolate=Linear","MultiX=Average","Skip=True","Sort=True")</f>
        <v>14.440896032831736</v>
      </c>
      <c r="U5146" s="43">
        <f ca="1">_xll.BInterpol('Base CDI'!$H$4:$H$28,'Base CDI'!$I$4:$I$29,S5146,"Cubic","Extrapolate=Linear","MultiX=Average","Skip=True","Sort=True")</f>
        <v>14.36000683994528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50853</v>
      </c>
      <c r="T5147" s="43">
        <f ca="1">_xll.BInterpol('Base CDI'!$H$4:$H$28,'Base CDI'!$J$4:$J$29,S5147,"Cubic","Extrapolate=Linear","MultiX=Average","Skip=True","Sort=True")</f>
        <v>14.440742818057455</v>
      </c>
      <c r="U5147" s="43">
        <f ca="1">_xll.BInterpol('Base CDI'!$H$4:$H$28,'Base CDI'!$I$4:$I$29,S5147,"Cubic","Extrapolate=Linear","MultiX=Average","Skip=True","Sort=True")</f>
        <v>14.359753761969904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50854</v>
      </c>
      <c r="T5148" s="43">
        <f ca="1">_xll.BInterpol('Base CDI'!$H$4:$H$28,'Base CDI'!$J$4:$J$29,S5148,"Cubic","Extrapolate=Linear","MultiX=Average","Skip=True","Sort=True")</f>
        <v>14.440589603283174</v>
      </c>
      <c r="U5148" s="43">
        <f ca="1">_xll.BInterpol('Base CDI'!$H$4:$H$28,'Base CDI'!$I$4:$I$29,S5148,"Cubic","Extrapolate=Linear","MultiX=Average","Skip=True","Sort=True")</f>
        <v>14.359500683994527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50855</v>
      </c>
      <c r="T5149" s="43">
        <f ca="1">_xll.BInterpol('Base CDI'!$H$4:$H$28,'Base CDI'!$J$4:$J$29,S5149,"Cubic","Extrapolate=Linear","MultiX=Average","Skip=True","Sort=True")</f>
        <v>14.440436388508891</v>
      </c>
      <c r="U5149" s="43">
        <f ca="1">_xll.BInterpol('Base CDI'!$H$4:$H$28,'Base CDI'!$I$4:$I$29,S5149,"Cubic","Extrapolate=Linear","MultiX=Average","Skip=True","Sort=True")</f>
        <v>14.359247606019151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50856</v>
      </c>
      <c r="T5150" s="43">
        <f ca="1">_xll.BInterpol('Base CDI'!$H$4:$H$28,'Base CDI'!$J$4:$J$29,S5150,"Cubic","Extrapolate=Linear","MultiX=Average","Skip=True","Sort=True")</f>
        <v>14.44028317373461</v>
      </c>
      <c r="U5150" s="43">
        <f ca="1">_xll.BInterpol('Base CDI'!$H$4:$H$28,'Base CDI'!$I$4:$I$29,S5150,"Cubic","Extrapolate=Linear","MultiX=Average","Skip=True","Sort=True")</f>
        <v>14.358994528043775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50857</v>
      </c>
      <c r="T5151" s="43">
        <f ca="1">_xll.BInterpol('Base CDI'!$H$4:$H$28,'Base CDI'!$J$4:$J$29,S5151,"Cubic","Extrapolate=Linear","MultiX=Average","Skip=True","Sort=True")</f>
        <v>14.440129958960327</v>
      </c>
      <c r="U5151" s="43">
        <f ca="1">_xll.BInterpol('Base CDI'!$H$4:$H$28,'Base CDI'!$I$4:$I$29,S5151,"Cubic","Extrapolate=Linear","MultiX=Average","Skip=True","Sort=True")</f>
        <v>14.358741450068399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50858</v>
      </c>
      <c r="T5152" s="43">
        <f ca="1">_xll.BInterpol('Base CDI'!$H$4:$H$28,'Base CDI'!$J$4:$J$29,S5152,"Cubic","Extrapolate=Linear","MultiX=Average","Skip=True","Sort=True")</f>
        <v>14.439976744186046</v>
      </c>
      <c r="U5152" s="43">
        <f ca="1">_xll.BInterpol('Base CDI'!$H$4:$H$28,'Base CDI'!$I$4:$I$29,S5152,"Cubic","Extrapolate=Linear","MultiX=Average","Skip=True","Sort=True")</f>
        <v>14.358488372093023</v>
      </c>
    </row>
    <row r="5153" spans="16:21" x14ac:dyDescent="0.25">
      <c r="P5153" s="10">
        <v>42002</v>
      </c>
      <c r="Q5153">
        <v>35.50967</v>
      </c>
      <c r="S5153" s="42">
        <f t="shared" ca="1" si="85"/>
        <v>50859</v>
      </c>
      <c r="T5153" s="43">
        <f ca="1">_xll.BInterpol('Base CDI'!$H$4:$H$28,'Base CDI'!$J$4:$J$29,S5153,"Cubic","Extrapolate=Linear","MultiX=Average","Skip=True","Sort=True")</f>
        <v>14.439823529411765</v>
      </c>
      <c r="U5153" s="43">
        <f ca="1">_xll.BInterpol('Base CDI'!$H$4:$H$28,'Base CDI'!$I$4:$I$29,S5153,"Cubic","Extrapolate=Linear","MultiX=Average","Skip=True","Sort=True")</f>
        <v>14.358235294117646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50860</v>
      </c>
      <c r="T5154" s="43">
        <f ca="1">_xll.BInterpol('Base CDI'!$H$4:$H$28,'Base CDI'!$J$4:$J$29,S5154,"Cubic","Extrapolate=Linear","MultiX=Average","Skip=True","Sort=True")</f>
        <v>14.439670314637482</v>
      </c>
      <c r="U5154" s="43">
        <f ca="1">_xll.BInterpol('Base CDI'!$H$4:$H$28,'Base CDI'!$I$4:$I$29,S5154,"Cubic","Extrapolate=Linear","MultiX=Average","Skip=True","Sort=True")</f>
        <v>14.35798221614227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50861</v>
      </c>
      <c r="T5155" s="43">
        <f ca="1">_xll.BInterpol('Base CDI'!$H$4:$H$28,'Base CDI'!$J$4:$J$29,S5155,"Cubic","Extrapolate=Linear","MultiX=Average","Skip=True","Sort=True")</f>
        <v>14.439517099863201</v>
      </c>
      <c r="U5155" s="43">
        <f ca="1">_xll.BInterpol('Base CDI'!$H$4:$H$28,'Base CDI'!$I$4:$I$29,S5155,"Cubic","Extrapolate=Linear","MultiX=Average","Skip=True","Sort=True")</f>
        <v>14.357729138166894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50862</v>
      </c>
      <c r="T5156" s="43">
        <f ca="1">_xll.BInterpol('Base CDI'!$H$4:$H$28,'Base CDI'!$J$4:$J$29,S5156,"Cubic","Extrapolate=Linear","MultiX=Average","Skip=True","Sort=True")</f>
        <v>14.439363885088918</v>
      </c>
      <c r="U5156" s="43">
        <f ca="1">_xll.BInterpol('Base CDI'!$H$4:$H$28,'Base CDI'!$I$4:$I$29,S5156,"Cubic","Extrapolate=Linear","MultiX=Average","Skip=True","Sort=True")</f>
        <v>14.357476060191518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50863</v>
      </c>
      <c r="T5157" s="43">
        <f ca="1">_xll.BInterpol('Base CDI'!$H$4:$H$28,'Base CDI'!$J$4:$J$29,S5157,"Cubic","Extrapolate=Linear","MultiX=Average","Skip=True","Sort=True")</f>
        <v>14.439210670314637</v>
      </c>
      <c r="U5157" s="43">
        <f ca="1">_xll.BInterpol('Base CDI'!$H$4:$H$28,'Base CDI'!$I$4:$I$29,S5157,"Cubic","Extrapolate=Linear","MultiX=Average","Skip=True","Sort=True")</f>
        <v>14.357222982216141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50864</v>
      </c>
      <c r="T5158" s="43">
        <f ca="1">_xll.BInterpol('Base CDI'!$H$4:$H$28,'Base CDI'!$J$4:$J$29,S5158,"Cubic","Extrapolate=Linear","MultiX=Average","Skip=True","Sort=True")</f>
        <v>14.439057455540356</v>
      </c>
      <c r="U5158" s="43">
        <f ca="1">_xll.BInterpol('Base CDI'!$H$4:$H$28,'Base CDI'!$I$4:$I$29,S5158,"Cubic","Extrapolate=Linear","MultiX=Average","Skip=True","Sort=True")</f>
        <v>14.356969904240765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50865</v>
      </c>
      <c r="T5159" s="43">
        <f ca="1">_xll.BInterpol('Base CDI'!$H$4:$H$28,'Base CDI'!$J$4:$J$29,S5159,"Cubic","Extrapolate=Linear","MultiX=Average","Skip=True","Sort=True")</f>
        <v>14.438904240766073</v>
      </c>
      <c r="U5159" s="43">
        <f ca="1">_xll.BInterpol('Base CDI'!$H$4:$H$28,'Base CDI'!$I$4:$I$29,S5159,"Cubic","Extrapolate=Linear","MultiX=Average","Skip=True","Sort=True")</f>
        <v>14.356716826265389</v>
      </c>
    </row>
    <row r="5160" spans="16:21" x14ac:dyDescent="0.25">
      <c r="P5160" s="10">
        <v>42012</v>
      </c>
      <c r="Q5160">
        <v>35.61786</v>
      </c>
      <c r="S5160" s="42">
        <f t="shared" ca="1" si="85"/>
        <v>50866</v>
      </c>
      <c r="T5160" s="43">
        <f ca="1">_xll.BInterpol('Base CDI'!$H$4:$H$28,'Base CDI'!$J$4:$J$29,S5160,"Cubic","Extrapolate=Linear","MultiX=Average","Skip=True","Sort=True")</f>
        <v>14.438751025991792</v>
      </c>
      <c r="U5160" s="43">
        <f ca="1">_xll.BInterpol('Base CDI'!$H$4:$H$28,'Base CDI'!$I$4:$I$29,S5160,"Cubic","Extrapolate=Linear","MultiX=Average","Skip=True","Sort=True")</f>
        <v>14.356463748290013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50867</v>
      </c>
      <c r="T5161" s="43">
        <f ca="1">_xll.BInterpol('Base CDI'!$H$4:$H$28,'Base CDI'!$J$4:$J$29,S5161,"Cubic","Extrapolate=Linear","MultiX=Average","Skip=True","Sort=True")</f>
        <v>14.438597811217509</v>
      </c>
      <c r="U5161" s="43">
        <f ca="1">_xll.BInterpol('Base CDI'!$H$4:$H$28,'Base CDI'!$I$4:$I$29,S5161,"Cubic","Extrapolate=Linear","MultiX=Average","Skip=True","Sort=True")</f>
        <v>14.356210670314637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50868</v>
      </c>
      <c r="T5162" s="43">
        <f ca="1">_xll.BInterpol('Base CDI'!$H$4:$H$28,'Base CDI'!$J$4:$J$29,S5162,"Cubic","Extrapolate=Linear","MultiX=Average","Skip=True","Sort=True")</f>
        <v>14.438444596443228</v>
      </c>
      <c r="U5162" s="43">
        <f ca="1">_xll.BInterpol('Base CDI'!$H$4:$H$28,'Base CDI'!$I$4:$I$29,S5162,"Cubic","Extrapolate=Linear","MultiX=Average","Skip=True","Sort=True")</f>
        <v>14.35595759233926</v>
      </c>
    </row>
    <row r="5163" spans="16:21" x14ac:dyDescent="0.25">
      <c r="P5163" s="10">
        <v>42017</v>
      </c>
      <c r="Q5163">
        <v>35.66431</v>
      </c>
      <c r="S5163" s="42">
        <f t="shared" ca="1" si="85"/>
        <v>50869</v>
      </c>
      <c r="T5163" s="43">
        <f ca="1">_xll.BInterpol('Base CDI'!$H$4:$H$28,'Base CDI'!$J$4:$J$29,S5163,"Cubic","Extrapolate=Linear","MultiX=Average","Skip=True","Sort=True")</f>
        <v>14.438291381668947</v>
      </c>
      <c r="U5163" s="43">
        <f ca="1">_xll.BInterpol('Base CDI'!$H$4:$H$28,'Base CDI'!$I$4:$I$29,S5163,"Cubic","Extrapolate=Linear","MultiX=Average","Skip=True","Sort=True")</f>
        <v>14.355704514363884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50870</v>
      </c>
      <c r="T5164" s="43">
        <f ca="1">_xll.BInterpol('Base CDI'!$H$4:$H$28,'Base CDI'!$J$4:$J$29,S5164,"Cubic","Extrapolate=Linear","MultiX=Average","Skip=True","Sort=True")</f>
        <v>14.438138166894664</v>
      </c>
      <c r="U5164" s="43">
        <f ca="1">_xll.BInterpol('Base CDI'!$H$4:$H$28,'Base CDI'!$I$4:$I$29,S5164,"Cubic","Extrapolate=Linear","MultiX=Average","Skip=True","Sort=True")</f>
        <v>14.355451436388508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50871</v>
      </c>
      <c r="T5165" s="43">
        <f ca="1">_xll.BInterpol('Base CDI'!$H$4:$H$28,'Base CDI'!$J$4:$J$29,S5165,"Cubic","Extrapolate=Linear","MultiX=Average","Skip=True","Sort=True")</f>
        <v>14.437984952120383</v>
      </c>
      <c r="U5165" s="43">
        <f ca="1">_xll.BInterpol('Base CDI'!$H$4:$H$28,'Base CDI'!$I$4:$I$29,S5165,"Cubic","Extrapolate=Linear","MultiX=Average","Skip=True","Sort=True")</f>
        <v>14.355198358413132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50872</v>
      </c>
      <c r="T5166" s="43">
        <f ca="1">_xll.BInterpol('Base CDI'!$H$4:$H$28,'Base CDI'!$J$4:$J$29,S5166,"Cubic","Extrapolate=Linear","MultiX=Average","Skip=True","Sort=True")</f>
        <v>14.4378317373461</v>
      </c>
      <c r="U5166" s="43">
        <f ca="1">_xll.BInterpol('Base CDI'!$H$4:$H$28,'Base CDI'!$I$4:$I$29,S5166,"Cubic","Extrapolate=Linear","MultiX=Average","Skip=True","Sort=True")</f>
        <v>14.354945280437756</v>
      </c>
    </row>
    <row r="5167" spans="16:21" x14ac:dyDescent="0.25">
      <c r="P5167" s="10">
        <v>42023</v>
      </c>
      <c r="Q5167">
        <v>35.72634</v>
      </c>
      <c r="S5167" s="42">
        <f t="shared" ca="1" si="85"/>
        <v>50873</v>
      </c>
      <c r="T5167" s="43">
        <f ca="1">_xll.BInterpol('Base CDI'!$H$4:$H$28,'Base CDI'!$J$4:$J$29,S5167,"Cubic","Extrapolate=Linear","MultiX=Average","Skip=True","Sort=True")</f>
        <v>14.437678522571819</v>
      </c>
      <c r="U5167" s="43">
        <f ca="1">_xll.BInterpol('Base CDI'!$H$4:$H$28,'Base CDI'!$I$4:$I$29,S5167,"Cubic","Extrapolate=Linear","MultiX=Average","Skip=True","Sort=True")</f>
        <v>14.354692202462379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50874</v>
      </c>
      <c r="T5168" s="43">
        <f ca="1">_xll.BInterpol('Base CDI'!$H$4:$H$28,'Base CDI'!$J$4:$J$29,S5168,"Cubic","Extrapolate=Linear","MultiX=Average","Skip=True","Sort=True")</f>
        <v>14.437525307797538</v>
      </c>
      <c r="U5168" s="43">
        <f ca="1">_xll.BInterpol('Base CDI'!$H$4:$H$28,'Base CDI'!$I$4:$I$29,S5168,"Cubic","Extrapolate=Linear","MultiX=Average","Skip=True","Sort=True")</f>
        <v>14.354439124487003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50875</v>
      </c>
      <c r="T5169" s="43">
        <f ca="1">_xll.BInterpol('Base CDI'!$H$4:$H$28,'Base CDI'!$J$4:$J$29,S5169,"Cubic","Extrapolate=Linear","MultiX=Average","Skip=True","Sort=True")</f>
        <v>14.437372093023255</v>
      </c>
      <c r="U5169" s="43">
        <f ca="1">_xll.BInterpol('Base CDI'!$H$4:$H$28,'Base CDI'!$I$4:$I$29,S5169,"Cubic","Extrapolate=Linear","MultiX=Average","Skip=True","Sort=True")</f>
        <v>14.354186046511627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50876</v>
      </c>
      <c r="T5170" s="43">
        <f ca="1">_xll.BInterpol('Base CDI'!$H$4:$H$28,'Base CDI'!$J$4:$J$29,S5170,"Cubic","Extrapolate=Linear","MultiX=Average","Skip=True","Sort=True")</f>
        <v>14.437218878248974</v>
      </c>
      <c r="U5170" s="43">
        <f ca="1">_xll.BInterpol('Base CDI'!$H$4:$H$28,'Base CDI'!$I$4:$I$29,S5170,"Cubic","Extrapolate=Linear","MultiX=Average","Skip=True","Sort=True")</f>
        <v>14.353932968536251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50877</v>
      </c>
      <c r="T5171" s="43">
        <f ca="1">_xll.BInterpol('Base CDI'!$H$4:$H$28,'Base CDI'!$J$4:$J$29,S5171,"Cubic","Extrapolate=Linear","MultiX=Average","Skip=True","Sort=True")</f>
        <v>14.437065663474691</v>
      </c>
      <c r="U5171" s="43">
        <f ca="1">_xll.BInterpol('Base CDI'!$H$4:$H$28,'Base CDI'!$I$4:$I$29,S5171,"Cubic","Extrapolate=Linear","MultiX=Average","Skip=True","Sort=True")</f>
        <v>14.353679890560874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50878</v>
      </c>
      <c r="T5172" s="43">
        <f ca="1">_xll.BInterpol('Base CDI'!$H$4:$H$28,'Base CDI'!$J$4:$J$29,S5172,"Cubic","Extrapolate=Linear","MultiX=Average","Skip=True","Sort=True")</f>
        <v>14.43691244870041</v>
      </c>
      <c r="U5172" s="43">
        <f ca="1">_xll.BInterpol('Base CDI'!$H$4:$H$28,'Base CDI'!$I$4:$I$29,S5172,"Cubic","Extrapolate=Linear","MultiX=Average","Skip=True","Sort=True")</f>
        <v>14.353426812585498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50879</v>
      </c>
      <c r="T5173" s="43">
        <f ca="1">_xll.BInterpol('Base CDI'!$H$4:$H$28,'Base CDI'!$J$4:$J$29,S5173,"Cubic","Extrapolate=Linear","MultiX=Average","Skip=True","Sort=True")</f>
        <v>14.436759233926129</v>
      </c>
      <c r="U5173" s="43">
        <f ca="1">_xll.BInterpol('Base CDI'!$H$4:$H$28,'Base CDI'!$I$4:$I$29,S5173,"Cubic","Extrapolate=Linear","MultiX=Average","Skip=True","Sort=True")</f>
        <v>14.353173734610122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50880</v>
      </c>
      <c r="T5174" s="43">
        <f ca="1">_xll.BInterpol('Base CDI'!$H$4:$H$28,'Base CDI'!$J$4:$J$29,S5174,"Cubic","Extrapolate=Linear","MultiX=Average","Skip=True","Sort=True")</f>
        <v>14.436606019151846</v>
      </c>
      <c r="U5174" s="43">
        <f ca="1">_xll.BInterpol('Base CDI'!$H$4:$H$28,'Base CDI'!$I$4:$I$29,S5174,"Cubic","Extrapolate=Linear","MultiX=Average","Skip=True","Sort=True")</f>
        <v>14.352920656634746</v>
      </c>
    </row>
    <row r="5175" spans="16:21" x14ac:dyDescent="0.25">
      <c r="P5175" s="10">
        <v>42033</v>
      </c>
      <c r="Q5175">
        <v>35.85398</v>
      </c>
      <c r="S5175" s="42">
        <f t="shared" ca="1" si="85"/>
        <v>50881</v>
      </c>
      <c r="T5175" s="43">
        <f ca="1">_xll.BInterpol('Base CDI'!$H$4:$H$28,'Base CDI'!$J$4:$J$29,S5175,"Cubic","Extrapolate=Linear","MultiX=Average","Skip=True","Sort=True")</f>
        <v>14.436452804377565</v>
      </c>
      <c r="U5175" s="43">
        <f ca="1">_xll.BInterpol('Base CDI'!$H$4:$H$28,'Base CDI'!$I$4:$I$29,S5175,"Cubic","Extrapolate=Linear","MultiX=Average","Skip=True","Sort=True")</f>
        <v>14.35266757865937</v>
      </c>
    </row>
    <row r="5176" spans="16:21" x14ac:dyDescent="0.25">
      <c r="P5176" s="10">
        <v>42034</v>
      </c>
      <c r="Q5176">
        <v>35.87021</v>
      </c>
      <c r="S5176" s="42">
        <f t="shared" ca="1" si="85"/>
        <v>50882</v>
      </c>
      <c r="T5176" s="43">
        <f ca="1">_xll.BInterpol('Base CDI'!$H$4:$H$28,'Base CDI'!$J$4:$J$29,S5176,"Cubic","Extrapolate=Linear","MultiX=Average","Skip=True","Sort=True")</f>
        <v>14.436299589603282</v>
      </c>
      <c r="U5176" s="43">
        <f ca="1">_xll.BInterpol('Base CDI'!$H$4:$H$28,'Base CDI'!$I$4:$I$29,S5176,"Cubic","Extrapolate=Linear","MultiX=Average","Skip=True","Sort=True")</f>
        <v>14.352414500683993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50883</v>
      </c>
      <c r="T5177" s="43">
        <f ca="1">_xll.BInterpol('Base CDI'!$H$4:$H$28,'Base CDI'!$J$4:$J$29,S5177,"Cubic","Extrapolate=Linear","MultiX=Average","Skip=True","Sort=True")</f>
        <v>14.436146374829001</v>
      </c>
      <c r="U5177" s="43">
        <f ca="1">_xll.BInterpol('Base CDI'!$H$4:$H$28,'Base CDI'!$I$4:$I$29,S5177,"Cubic","Extrapolate=Linear","MultiX=Average","Skip=True","Sort=True")</f>
        <v>14.352161422708617</v>
      </c>
    </row>
    <row r="5178" spans="16:21" x14ac:dyDescent="0.25">
      <c r="P5178" s="10">
        <v>42038</v>
      </c>
      <c r="Q5178">
        <v>35.90269</v>
      </c>
      <c r="S5178" s="42">
        <f t="shared" ca="1" si="85"/>
        <v>50884</v>
      </c>
      <c r="T5178" s="43">
        <f ca="1">_xll.BInterpol('Base CDI'!$H$4:$H$28,'Base CDI'!$J$4:$J$29,S5178,"Cubic","Extrapolate=Linear","MultiX=Average","Skip=True","Sort=True")</f>
        <v>14.43599316005472</v>
      </c>
      <c r="U5178" s="43">
        <f ca="1">_xll.BInterpol('Base CDI'!$H$4:$H$28,'Base CDI'!$I$4:$I$29,S5178,"Cubic","Extrapolate=Linear","MultiX=Average","Skip=True","Sort=True")</f>
        <v>14.351908344733241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50885</v>
      </c>
      <c r="T5179" s="43">
        <f ca="1">_xll.BInterpol('Base CDI'!$H$4:$H$28,'Base CDI'!$J$4:$J$29,S5179,"Cubic","Extrapolate=Linear","MultiX=Average","Skip=True","Sort=True")</f>
        <v>14.435839945280437</v>
      </c>
      <c r="U5179" s="43">
        <f ca="1">_xll.BInterpol('Base CDI'!$H$4:$H$28,'Base CDI'!$I$4:$I$29,S5179,"Cubic","Extrapolate=Linear","MultiX=Average","Skip=True","Sort=True")</f>
        <v>14.351655266757865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50886</v>
      </c>
      <c r="T5180" s="43">
        <f ca="1">_xll.BInterpol('Base CDI'!$H$4:$H$28,'Base CDI'!$J$4:$J$29,S5180,"Cubic","Extrapolate=Linear","MultiX=Average","Skip=True","Sort=True")</f>
        <v>14.435686730506156</v>
      </c>
      <c r="U5180" s="43">
        <f ca="1">_xll.BInterpol('Base CDI'!$H$4:$H$28,'Base CDI'!$I$4:$I$29,S5180,"Cubic","Extrapolate=Linear","MultiX=Average","Skip=True","Sort=True")</f>
        <v>14.351402188782489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50887</v>
      </c>
      <c r="T5181" s="43">
        <f ca="1">_xll.BInterpol('Base CDI'!$H$4:$H$28,'Base CDI'!$J$4:$J$29,S5181,"Cubic","Extrapolate=Linear","MultiX=Average","Skip=True","Sort=True")</f>
        <v>14.435533515731873</v>
      </c>
      <c r="U5181" s="43">
        <f ca="1">_xll.BInterpol('Base CDI'!$H$4:$H$28,'Base CDI'!$I$4:$I$29,S5181,"Cubic","Extrapolate=Linear","MultiX=Average","Skip=True","Sort=True")</f>
        <v>14.351149110807112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50888</v>
      </c>
      <c r="T5182" s="43">
        <f ca="1">_xll.BInterpol('Base CDI'!$H$4:$H$28,'Base CDI'!$J$4:$J$29,S5182,"Cubic","Extrapolate=Linear","MultiX=Average","Skip=True","Sort=True")</f>
        <v>14.435380300957592</v>
      </c>
      <c r="U5182" s="43">
        <f ca="1">_xll.BInterpol('Base CDI'!$H$4:$H$28,'Base CDI'!$I$4:$I$29,S5182,"Cubic","Extrapolate=Linear","MultiX=Average","Skip=True","Sort=True")</f>
        <v>14.350896032831736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50889</v>
      </c>
      <c r="T5183" s="43">
        <f ca="1">_xll.BInterpol('Base CDI'!$H$4:$H$28,'Base CDI'!$J$4:$J$29,S5183,"Cubic","Extrapolate=Linear","MultiX=Average","Skip=True","Sort=True")</f>
        <v>14.435227086183311</v>
      </c>
      <c r="U5183" s="43">
        <f ca="1">_xll.BInterpol('Base CDI'!$H$4:$H$28,'Base CDI'!$I$4:$I$29,S5183,"Cubic","Extrapolate=Linear","MultiX=Average","Skip=True","Sort=True")</f>
        <v>14.35064295485636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50890</v>
      </c>
      <c r="T5184" s="43">
        <f ca="1">_xll.BInterpol('Base CDI'!$H$4:$H$28,'Base CDI'!$J$4:$J$29,S5184,"Cubic","Extrapolate=Linear","MultiX=Average","Skip=True","Sort=True")</f>
        <v>14.435073871409028</v>
      </c>
      <c r="U5184" s="43">
        <f ca="1">_xll.BInterpol('Base CDI'!$H$4:$H$28,'Base CDI'!$I$4:$I$29,S5184,"Cubic","Extrapolate=Linear","MultiX=Average","Skip=True","Sort=True")</f>
        <v>14.350389876880984</v>
      </c>
    </row>
    <row r="5185" spans="16:21" x14ac:dyDescent="0.25">
      <c r="P5185" s="10">
        <v>42047</v>
      </c>
      <c r="Q5185">
        <v>36.0167</v>
      </c>
      <c r="S5185" s="42">
        <f t="shared" ca="1" si="85"/>
        <v>50891</v>
      </c>
      <c r="T5185" s="43">
        <f ca="1">_xll.BInterpol('Base CDI'!$H$4:$H$28,'Base CDI'!$J$4:$J$29,S5185,"Cubic","Extrapolate=Linear","MultiX=Average","Skip=True","Sort=True")</f>
        <v>14.434920656634747</v>
      </c>
      <c r="U5185" s="43">
        <f ca="1">_xll.BInterpol('Base CDI'!$H$4:$H$28,'Base CDI'!$I$4:$I$29,S5185,"Cubic","Extrapolate=Linear","MultiX=Average","Skip=True","Sort=True")</f>
        <v>14.350136798905607</v>
      </c>
    </row>
    <row r="5186" spans="16:21" x14ac:dyDescent="0.25">
      <c r="P5186" s="10">
        <v>42048</v>
      </c>
      <c r="Q5186">
        <v>36.03302</v>
      </c>
      <c r="S5186" s="42">
        <f t="shared" ca="1" si="85"/>
        <v>50892</v>
      </c>
      <c r="T5186" s="43">
        <f ca="1">_xll.BInterpol('Base CDI'!$H$4:$H$28,'Base CDI'!$J$4:$J$29,S5186,"Cubic","Extrapolate=Linear","MultiX=Average","Skip=True","Sort=True")</f>
        <v>14.434767441860464</v>
      </c>
      <c r="U5186" s="43">
        <f ca="1">_xll.BInterpol('Base CDI'!$H$4:$H$28,'Base CDI'!$I$4:$I$29,S5186,"Cubic","Extrapolate=Linear","MultiX=Average","Skip=True","Sort=True")</f>
        <v>14.349883720930231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50893</v>
      </c>
      <c r="T5187" s="43">
        <f ca="1">_xll.BInterpol('Base CDI'!$H$4:$H$28,'Base CDI'!$J$4:$J$29,S5187,"Cubic","Extrapolate=Linear","MultiX=Average","Skip=True","Sort=True")</f>
        <v>14.434614227086183</v>
      </c>
      <c r="U5187" s="43">
        <f ca="1">_xll.BInterpol('Base CDI'!$H$4:$H$28,'Base CDI'!$I$4:$I$29,S5187,"Cubic","Extrapolate=Linear","MultiX=Average","Skip=True","Sort=True")</f>
        <v>14.349630642954855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50894</v>
      </c>
      <c r="T5188" s="43">
        <f ca="1">_xll.BInterpol('Base CDI'!$H$4:$H$28,'Base CDI'!$J$4:$J$29,S5188,"Cubic","Extrapolate=Linear","MultiX=Average","Skip=True","Sort=True")</f>
        <v>14.434461012311901</v>
      </c>
      <c r="U5188" s="43">
        <f ca="1">_xll.BInterpol('Base CDI'!$H$4:$H$28,'Base CDI'!$I$4:$I$29,S5188,"Cubic","Extrapolate=Linear","MultiX=Average","Skip=True","Sort=True")</f>
        <v>14.349377564979479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50895</v>
      </c>
      <c r="T5189" s="43">
        <f ca="1">_xll.BInterpol('Base CDI'!$H$4:$H$28,'Base CDI'!$J$4:$J$29,S5189,"Cubic","Extrapolate=Linear","MultiX=Average","Skip=True","Sort=True")</f>
        <v>14.434307797537619</v>
      </c>
      <c r="U5189" s="43">
        <f ca="1">_xll.BInterpol('Base CDI'!$H$4:$H$28,'Base CDI'!$I$4:$I$29,S5189,"Cubic","Extrapolate=Linear","MultiX=Average","Skip=True","Sort=True")</f>
        <v>14.349124487004103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50896</v>
      </c>
      <c r="T5190" s="43">
        <f ca="1">_xll.BInterpol('Base CDI'!$H$4:$H$28,'Base CDI'!$J$4:$J$29,S5190,"Cubic","Extrapolate=Linear","MultiX=Average","Skip=True","Sort=True")</f>
        <v>14.434154582763338</v>
      </c>
      <c r="U5190" s="43">
        <f ca="1">_xll.BInterpol('Base CDI'!$H$4:$H$28,'Base CDI'!$I$4:$I$29,S5190,"Cubic","Extrapolate=Linear","MultiX=Average","Skip=True","Sort=True")</f>
        <v>14.348871409028726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50897</v>
      </c>
      <c r="T5191" s="43">
        <f ca="1">_xll.BInterpol('Base CDI'!$H$4:$H$28,'Base CDI'!$J$4:$J$29,S5191,"Cubic","Extrapolate=Linear","MultiX=Average","Skip=True","Sort=True")</f>
        <v>14.434001367989055</v>
      </c>
      <c r="U5191" s="43">
        <f ca="1">_xll.BInterpol('Base CDI'!$H$4:$H$28,'Base CDI'!$I$4:$I$29,S5191,"Cubic","Extrapolate=Linear","MultiX=Average","Skip=True","Sort=True")</f>
        <v>14.34861833105335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50898</v>
      </c>
      <c r="T5192" s="43">
        <f ca="1">_xll.BInterpol('Base CDI'!$H$4:$H$28,'Base CDI'!$J$4:$J$29,S5192,"Cubic","Extrapolate=Linear","MultiX=Average","Skip=True","Sort=True")</f>
        <v>14.433848153214774</v>
      </c>
      <c r="U5192" s="43">
        <f ca="1">_xll.BInterpol('Base CDI'!$H$4:$H$28,'Base CDI'!$I$4:$I$29,S5192,"Cubic","Extrapolate=Linear","MultiX=Average","Skip=True","Sort=True")</f>
        <v>14.348365253077974</v>
      </c>
    </row>
    <row r="5193" spans="16:21" x14ac:dyDescent="0.25">
      <c r="P5193" s="10">
        <v>42061</v>
      </c>
      <c r="Q5193">
        <v>36.14743</v>
      </c>
      <c r="S5193" s="42">
        <f t="shared" ca="1" si="85"/>
        <v>50899</v>
      </c>
      <c r="T5193" s="43">
        <f ca="1">_xll.BInterpol('Base CDI'!$H$4:$H$28,'Base CDI'!$J$4:$J$29,S5193,"Cubic","Extrapolate=Linear","MultiX=Average","Skip=True","Sort=True")</f>
        <v>14.433694938440492</v>
      </c>
      <c r="U5193" s="43">
        <f ca="1">_xll.BInterpol('Base CDI'!$H$4:$H$28,'Base CDI'!$I$4:$I$29,S5193,"Cubic","Extrapolate=Linear","MultiX=Average","Skip=True","Sort=True")</f>
        <v>14.348112175102598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50900</v>
      </c>
      <c r="T5194" s="43">
        <f ca="1">_xll.BInterpol('Base CDI'!$H$4:$H$28,'Base CDI'!$J$4:$J$29,S5194,"Cubic","Extrapolate=Linear","MultiX=Average","Skip=True","Sort=True")</f>
        <v>14.43354172366621</v>
      </c>
      <c r="U5194" s="43">
        <f ca="1">_xll.BInterpol('Base CDI'!$H$4:$H$28,'Base CDI'!$I$4:$I$29,S5194,"Cubic","Extrapolate=Linear","MultiX=Average","Skip=True","Sort=True")</f>
        <v>14.347859097127222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50901</v>
      </c>
      <c r="T5195" s="43">
        <f ca="1">_xll.BInterpol('Base CDI'!$H$4:$H$28,'Base CDI'!$J$4:$J$29,S5195,"Cubic","Extrapolate=Linear","MultiX=Average","Skip=True","Sort=True")</f>
        <v>14.433388508891928</v>
      </c>
      <c r="U5195" s="43">
        <f ca="1">_xll.BInterpol('Base CDI'!$H$4:$H$28,'Base CDI'!$I$4:$I$29,S5195,"Cubic","Extrapolate=Linear","MultiX=Average","Skip=True","Sort=True")</f>
        <v>14.347606019151845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50902</v>
      </c>
      <c r="T5196" s="43">
        <f ca="1">_xll.BInterpol('Base CDI'!$H$4:$H$28,'Base CDI'!$J$4:$J$29,S5196,"Cubic","Extrapolate=Linear","MultiX=Average","Skip=True","Sort=True")</f>
        <v>14.433235294117646</v>
      </c>
      <c r="U5196" s="43">
        <f ca="1">_xll.BInterpol('Base CDI'!$H$4:$H$28,'Base CDI'!$I$4:$I$29,S5196,"Cubic","Extrapolate=Linear","MultiX=Average","Skip=True","Sort=True")</f>
        <v>14.347352941176469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50903</v>
      </c>
      <c r="T5197" s="43">
        <f ca="1">_xll.BInterpol('Base CDI'!$H$4:$H$28,'Base CDI'!$J$4:$J$29,S5197,"Cubic","Extrapolate=Linear","MultiX=Average","Skip=True","Sort=True")</f>
        <v>14.433082079343365</v>
      </c>
      <c r="U5197" s="43">
        <f ca="1">_xll.BInterpol('Base CDI'!$H$4:$H$28,'Base CDI'!$I$4:$I$29,S5197,"Cubic","Extrapolate=Linear","MultiX=Average","Skip=True","Sort=True")</f>
        <v>14.347099863201093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50904</v>
      </c>
      <c r="T5198" s="43">
        <f ca="1">_xll.BInterpol('Base CDI'!$H$4:$H$28,'Base CDI'!$J$4:$J$29,S5198,"Cubic","Extrapolate=Linear","MultiX=Average","Skip=True","Sort=True")</f>
        <v>14.432928864569083</v>
      </c>
      <c r="U5198" s="43">
        <f ca="1">_xll.BInterpol('Base CDI'!$H$4:$H$28,'Base CDI'!$I$4:$I$29,S5198,"Cubic","Extrapolate=Linear","MultiX=Average","Skip=True","Sort=True")</f>
        <v>14.346846785225717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50905</v>
      </c>
      <c r="T5199" s="43">
        <f ca="1">_xll.BInterpol('Base CDI'!$H$4:$H$28,'Base CDI'!$J$4:$J$29,S5199,"Cubic","Extrapolate=Linear","MultiX=Average","Skip=True","Sort=True")</f>
        <v>14.432775649794801</v>
      </c>
      <c r="U5199" s="43">
        <f ca="1">_xll.BInterpol('Base CDI'!$H$4:$H$28,'Base CDI'!$I$4:$I$29,S5199,"Cubic","Extrapolate=Linear","MultiX=Average","Skip=True","Sort=True")</f>
        <v>14.34659370725034</v>
      </c>
    </row>
    <row r="5200" spans="16:21" x14ac:dyDescent="0.25">
      <c r="P5200" s="10">
        <v>42072</v>
      </c>
      <c r="Q5200">
        <v>36.26352</v>
      </c>
      <c r="S5200" s="42">
        <f t="shared" ca="1" si="86"/>
        <v>50906</v>
      </c>
      <c r="T5200" s="43">
        <f ca="1">_xll.BInterpol('Base CDI'!$H$4:$H$28,'Base CDI'!$J$4:$J$29,S5200,"Cubic","Extrapolate=Linear","MultiX=Average","Skip=True","Sort=True")</f>
        <v>14.432622435020519</v>
      </c>
      <c r="U5200" s="43">
        <f ca="1">_xll.BInterpol('Base CDI'!$H$4:$H$28,'Base CDI'!$I$4:$I$29,S5200,"Cubic","Extrapolate=Linear","MultiX=Average","Skip=True","Sort=True")</f>
        <v>14.346340629274964</v>
      </c>
    </row>
    <row r="5201" spans="16:21" x14ac:dyDescent="0.25">
      <c r="P5201" s="10">
        <v>42073</v>
      </c>
      <c r="Q5201">
        <v>36.2806</v>
      </c>
      <c r="S5201" s="42">
        <f t="shared" ca="1" si="86"/>
        <v>50907</v>
      </c>
      <c r="T5201" s="43">
        <f ca="1">_xll.BInterpol('Base CDI'!$H$4:$H$28,'Base CDI'!$J$4:$J$29,S5201,"Cubic","Extrapolate=Linear","MultiX=Average","Skip=True","Sort=True")</f>
        <v>14.432469220246237</v>
      </c>
      <c r="U5201" s="43">
        <f ca="1">_xll.BInterpol('Base CDI'!$H$4:$H$28,'Base CDI'!$I$4:$I$29,S5201,"Cubic","Extrapolate=Linear","MultiX=Average","Skip=True","Sort=True")</f>
        <v>14.346087551299588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50908</v>
      </c>
      <c r="T5202" s="43">
        <f ca="1">_xll.BInterpol('Base CDI'!$H$4:$H$28,'Base CDI'!$J$4:$J$29,S5202,"Cubic","Extrapolate=Linear","MultiX=Average","Skip=True","Sort=True")</f>
        <v>14.432316005471955</v>
      </c>
      <c r="U5202" s="43">
        <f ca="1">_xll.BInterpol('Base CDI'!$H$4:$H$28,'Base CDI'!$I$4:$I$29,S5202,"Cubic","Extrapolate=Linear","MultiX=Average","Skip=True","Sort=True")</f>
        <v>14.345834473324212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50909</v>
      </c>
      <c r="T5203" s="43">
        <f ca="1">_xll.BInterpol('Base CDI'!$H$4:$H$28,'Base CDI'!$J$4:$J$29,S5203,"Cubic","Extrapolate=Linear","MultiX=Average","Skip=True","Sort=True")</f>
        <v>14.432162790697674</v>
      </c>
      <c r="U5203" s="43">
        <f ca="1">_xll.BInterpol('Base CDI'!$H$4:$H$28,'Base CDI'!$I$4:$I$29,S5203,"Cubic","Extrapolate=Linear","MultiX=Average","Skip=True","Sort=True")</f>
        <v>14.345581395348836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50910</v>
      </c>
      <c r="T5204" s="43">
        <f ca="1">_xll.BInterpol('Base CDI'!$H$4:$H$28,'Base CDI'!$J$4:$J$29,S5204,"Cubic","Extrapolate=Linear","MultiX=Average","Skip=True","Sort=True")</f>
        <v>14.432009575923392</v>
      </c>
      <c r="U5204" s="43">
        <f ca="1">_xll.BInterpol('Base CDI'!$H$4:$H$28,'Base CDI'!$I$4:$I$29,S5204,"Cubic","Extrapolate=Linear","MultiX=Average","Skip=True","Sort=True")</f>
        <v>14.345328317373459</v>
      </c>
    </row>
    <row r="5205" spans="16:21" x14ac:dyDescent="0.25">
      <c r="P5205" s="10">
        <v>42079</v>
      </c>
      <c r="Q5205">
        <v>36.34901</v>
      </c>
      <c r="S5205" s="42">
        <f t="shared" ca="1" si="86"/>
        <v>50911</v>
      </c>
      <c r="T5205" s="43">
        <f ca="1">_xll.BInterpol('Base CDI'!$H$4:$H$28,'Base CDI'!$J$4:$J$29,S5205,"Cubic","Extrapolate=Linear","MultiX=Average","Skip=True","Sort=True")</f>
        <v>14.43185636114911</v>
      </c>
      <c r="U5205" s="43">
        <f ca="1">_xll.BInterpol('Base CDI'!$H$4:$H$28,'Base CDI'!$I$4:$I$29,S5205,"Cubic","Extrapolate=Linear","MultiX=Average","Skip=True","Sort=True")</f>
        <v>14.345075239398083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50912</v>
      </c>
      <c r="T5206" s="43">
        <f ca="1">_xll.BInterpol('Base CDI'!$H$4:$H$28,'Base CDI'!$J$4:$J$29,S5206,"Cubic","Extrapolate=Linear","MultiX=Average","Skip=True","Sort=True")</f>
        <v>14.431703146374828</v>
      </c>
      <c r="U5206" s="43">
        <f ca="1">_xll.BInterpol('Base CDI'!$H$4:$H$28,'Base CDI'!$I$4:$I$29,S5206,"Cubic","Extrapolate=Linear","MultiX=Average","Skip=True","Sort=True")</f>
        <v>14.344822161422707</v>
      </c>
    </row>
    <row r="5207" spans="16:21" x14ac:dyDescent="0.25">
      <c r="P5207" s="10">
        <v>42081</v>
      </c>
      <c r="Q5207">
        <v>36.38326</v>
      </c>
      <c r="S5207" s="42">
        <f t="shared" ca="1" si="86"/>
        <v>50913</v>
      </c>
      <c r="T5207" s="43">
        <f ca="1">_xll.BInterpol('Base CDI'!$H$4:$H$28,'Base CDI'!$J$4:$J$29,S5207,"Cubic","Extrapolate=Linear","MultiX=Average","Skip=True","Sort=True")</f>
        <v>14.431549931600546</v>
      </c>
      <c r="U5207" s="43">
        <f ca="1">_xll.BInterpol('Base CDI'!$H$4:$H$28,'Base CDI'!$I$4:$I$29,S5207,"Cubic","Extrapolate=Linear","MultiX=Average","Skip=True","Sort=True")</f>
        <v>14.344569083447331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50914</v>
      </c>
      <c r="T5208" s="43">
        <f ca="1">_xll.BInterpol('Base CDI'!$H$4:$H$28,'Base CDI'!$J$4:$J$29,S5208,"Cubic","Extrapolate=Linear","MultiX=Average","Skip=True","Sort=True")</f>
        <v>14.431396716826265</v>
      </c>
      <c r="U5208" s="43">
        <f ca="1">_xll.BInterpol('Base CDI'!$H$4:$H$28,'Base CDI'!$I$4:$I$29,S5208,"Cubic","Extrapolate=Linear","MultiX=Average","Skip=True","Sort=True")</f>
        <v>14.344316005471955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50915</v>
      </c>
      <c r="T5209" s="43">
        <f ca="1">_xll.BInterpol('Base CDI'!$H$4:$H$28,'Base CDI'!$J$4:$J$29,S5209,"Cubic","Extrapolate=Linear","MultiX=Average","Skip=True","Sort=True")</f>
        <v>14.431243502051982</v>
      </c>
      <c r="U5209" s="43">
        <f ca="1">_xll.BInterpol('Base CDI'!$H$4:$H$28,'Base CDI'!$I$4:$I$29,S5209,"Cubic","Extrapolate=Linear","MultiX=Average","Skip=True","Sort=True")</f>
        <v>14.344062927496578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50916</v>
      </c>
      <c r="T5210" s="43">
        <f ca="1">_xll.BInterpol('Base CDI'!$H$4:$H$28,'Base CDI'!$J$4:$J$29,S5210,"Cubic","Extrapolate=Linear","MultiX=Average","Skip=True","Sort=True")</f>
        <v>14.431090287277701</v>
      </c>
      <c r="U5210" s="43">
        <f ca="1">_xll.BInterpol('Base CDI'!$H$4:$H$28,'Base CDI'!$I$4:$I$29,S5210,"Cubic","Extrapolate=Linear","MultiX=Average","Skip=True","Sort=True")</f>
        <v>14.343809849521202</v>
      </c>
    </row>
    <row r="5211" spans="16:21" x14ac:dyDescent="0.25">
      <c r="P5211" s="10">
        <v>42087</v>
      </c>
      <c r="Q5211">
        <v>36.45187</v>
      </c>
      <c r="S5211" s="42">
        <f t="shared" ca="1" si="86"/>
        <v>50917</v>
      </c>
      <c r="T5211" s="43">
        <f ca="1">_xll.BInterpol('Base CDI'!$H$4:$H$28,'Base CDI'!$J$4:$J$29,S5211,"Cubic","Extrapolate=Linear","MultiX=Average","Skip=True","Sort=True")</f>
        <v>14.430937072503419</v>
      </c>
      <c r="U5211" s="43">
        <f ca="1">_xll.BInterpol('Base CDI'!$H$4:$H$28,'Base CDI'!$I$4:$I$29,S5211,"Cubic","Extrapolate=Linear","MultiX=Average","Skip=True","Sort=True")</f>
        <v>14.343556771545826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50918</v>
      </c>
      <c r="T5212" s="43">
        <f ca="1">_xll.BInterpol('Base CDI'!$H$4:$H$28,'Base CDI'!$J$4:$J$29,S5212,"Cubic","Extrapolate=Linear","MultiX=Average","Skip=True","Sort=True")</f>
        <v>14.430783857729137</v>
      </c>
      <c r="U5212" s="43">
        <f ca="1">_xll.BInterpol('Base CDI'!$H$4:$H$28,'Base CDI'!$I$4:$I$29,S5212,"Cubic","Extrapolate=Linear","MultiX=Average","Skip=True","Sort=True")</f>
        <v>14.34330369357045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50919</v>
      </c>
      <c r="T5213" s="43">
        <f ca="1">_xll.BInterpol('Base CDI'!$H$4:$H$28,'Base CDI'!$J$4:$J$29,S5213,"Cubic","Extrapolate=Linear","MultiX=Average","Skip=True","Sort=True")</f>
        <v>14.430630642954856</v>
      </c>
      <c r="U5213" s="43">
        <f ca="1">_xll.BInterpol('Base CDI'!$H$4:$H$28,'Base CDI'!$I$4:$I$29,S5213,"Cubic","Extrapolate=Linear","MultiX=Average","Skip=True","Sort=True")</f>
        <v>14.343050615595073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50920</v>
      </c>
      <c r="T5214" s="43">
        <f ca="1">_xll.BInterpol('Base CDI'!$H$4:$H$28,'Base CDI'!$J$4:$J$29,S5214,"Cubic","Extrapolate=Linear","MultiX=Average","Skip=True","Sort=True")</f>
        <v>14.430477428180573</v>
      </c>
      <c r="U5214" s="43">
        <f ca="1">_xll.BInterpol('Base CDI'!$H$4:$H$28,'Base CDI'!$I$4:$I$29,S5214,"Cubic","Extrapolate=Linear","MultiX=Average","Skip=True","Sort=True")</f>
        <v>14.342797537619697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50921</v>
      </c>
      <c r="T5215" s="43">
        <f ca="1">_xll.BInterpol('Base CDI'!$H$4:$H$28,'Base CDI'!$J$4:$J$29,S5215,"Cubic","Extrapolate=Linear","MultiX=Average","Skip=True","Sort=True")</f>
        <v>14.430324213406292</v>
      </c>
      <c r="U5215" s="43">
        <f ca="1">_xll.BInterpol('Base CDI'!$H$4:$H$28,'Base CDI'!$I$4:$I$29,S5215,"Cubic","Extrapolate=Linear","MultiX=Average","Skip=True","Sort=True")</f>
        <v>14.342544459644321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50922</v>
      </c>
      <c r="T5216" s="43">
        <f ca="1">_xll.BInterpol('Base CDI'!$H$4:$H$28,'Base CDI'!$J$4:$J$29,S5216,"Cubic","Extrapolate=Linear","MultiX=Average","Skip=True","Sort=True")</f>
        <v>14.430170998632009</v>
      </c>
      <c r="U5216" s="43">
        <f ca="1">_xll.BInterpol('Base CDI'!$H$4:$H$28,'Base CDI'!$I$4:$I$29,S5216,"Cubic","Extrapolate=Linear","MultiX=Average","Skip=True","Sort=True")</f>
        <v>14.342291381668945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50923</v>
      </c>
      <c r="T5217" s="43">
        <f ca="1">_xll.BInterpol('Base CDI'!$H$4:$H$28,'Base CDI'!$J$4:$J$29,S5217,"Cubic","Extrapolate=Linear","MultiX=Average","Skip=True","Sort=True")</f>
        <v>14.430017783857728</v>
      </c>
      <c r="U5217" s="43">
        <f ca="1">_xll.BInterpol('Base CDI'!$H$4:$H$28,'Base CDI'!$I$4:$I$29,S5217,"Cubic","Extrapolate=Linear","MultiX=Average","Skip=True","Sort=True")</f>
        <v>14.342038303693569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50924</v>
      </c>
      <c r="T5218" s="43">
        <f ca="1">_xll.BInterpol('Base CDI'!$H$4:$H$28,'Base CDI'!$J$4:$J$29,S5218,"Cubic","Extrapolate=Linear","MultiX=Average","Skip=True","Sort=True")</f>
        <v>14.429864569083447</v>
      </c>
      <c r="U5218" s="43">
        <f ca="1">_xll.BInterpol('Base CDI'!$H$4:$H$28,'Base CDI'!$I$4:$I$29,S5218,"Cubic","Extrapolate=Linear","MultiX=Average","Skip=True","Sort=True")</f>
        <v>14.341785225718192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50925</v>
      </c>
      <c r="T5219" s="43">
        <f ca="1">_xll.BInterpol('Base CDI'!$H$4:$H$28,'Base CDI'!$J$4:$J$29,S5219,"Cubic","Extrapolate=Linear","MultiX=Average","Skip=True","Sort=True")</f>
        <v>14.429711354309164</v>
      </c>
      <c r="U5219" s="43">
        <f ca="1">_xll.BInterpol('Base CDI'!$H$4:$H$28,'Base CDI'!$I$4:$I$29,S5219,"Cubic","Extrapolate=Linear","MultiX=Average","Skip=True","Sort=True")</f>
        <v>14.341532147742816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50926</v>
      </c>
      <c r="T5220" s="43">
        <f ca="1">_xll.BInterpol('Base CDI'!$H$4:$H$28,'Base CDI'!$J$4:$J$29,S5220,"Cubic","Extrapolate=Linear","MultiX=Average","Skip=True","Sort=True")</f>
        <v>14.429558139534883</v>
      </c>
      <c r="U5220" s="43">
        <f ca="1">_xll.BInterpol('Base CDI'!$H$4:$H$28,'Base CDI'!$I$4:$I$29,S5220,"Cubic","Extrapolate=Linear","MultiX=Average","Skip=True","Sort=True")</f>
        <v>14.34127906976744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50927</v>
      </c>
      <c r="T5221" s="43">
        <f ca="1">_xll.BInterpol('Base CDI'!$H$4:$H$28,'Base CDI'!$J$4:$J$29,S5221,"Cubic","Extrapolate=Linear","MultiX=Average","Skip=True","Sort=True")</f>
        <v>14.4294049247606</v>
      </c>
      <c r="U5221" s="43">
        <f ca="1">_xll.BInterpol('Base CDI'!$H$4:$H$28,'Base CDI'!$I$4:$I$29,S5221,"Cubic","Extrapolate=Linear","MultiX=Average","Skip=True","Sort=True")</f>
        <v>14.341025991792064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50928</v>
      </c>
      <c r="T5222" s="43">
        <f ca="1">_xll.BInterpol('Base CDI'!$H$4:$H$28,'Base CDI'!$J$4:$J$29,S5222,"Cubic","Extrapolate=Linear","MultiX=Average","Skip=True","Sort=True")</f>
        <v>14.429251709986319</v>
      </c>
      <c r="U5222" s="43">
        <f ca="1">_xll.BInterpol('Base CDI'!$H$4:$H$28,'Base CDI'!$I$4:$I$29,S5222,"Cubic","Extrapolate=Linear","MultiX=Average","Skip=True","Sort=True")</f>
        <v>14.340772913816688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50929</v>
      </c>
      <c r="T5223" s="43">
        <f ca="1">_xll.BInterpol('Base CDI'!$H$4:$H$28,'Base CDI'!$J$4:$J$29,S5223,"Cubic","Extrapolate=Linear","MultiX=Average","Skip=True","Sort=True")</f>
        <v>14.429098495212038</v>
      </c>
      <c r="U5223" s="43">
        <f ca="1">_xll.BInterpol('Base CDI'!$H$4:$H$28,'Base CDI'!$I$4:$I$29,S5223,"Cubic","Extrapolate=Linear","MultiX=Average","Skip=True","Sort=True")</f>
        <v>14.340519835841313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50930</v>
      </c>
      <c r="T5224" s="43">
        <f ca="1">_xll.BInterpol('Base CDI'!$H$4:$H$28,'Base CDI'!$J$4:$J$29,S5224,"Cubic","Extrapolate=Linear","MultiX=Average","Skip=True","Sort=True")</f>
        <v>14.428945280437755</v>
      </c>
      <c r="U5224" s="43">
        <f ca="1">_xll.BInterpol('Base CDI'!$H$4:$H$28,'Base CDI'!$I$4:$I$29,S5224,"Cubic","Extrapolate=Linear","MultiX=Average","Skip=True","Sort=True")</f>
        <v>14.340266757865937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50931</v>
      </c>
      <c r="T5225" s="43">
        <f ca="1">_xll.BInterpol('Base CDI'!$H$4:$H$28,'Base CDI'!$J$4:$J$29,S5225,"Cubic","Extrapolate=Linear","MultiX=Average","Skip=True","Sort=True")</f>
        <v>14.428792065663474</v>
      </c>
      <c r="U5225" s="43">
        <f ca="1">_xll.BInterpol('Base CDI'!$H$4:$H$28,'Base CDI'!$I$4:$I$29,S5225,"Cubic","Extrapolate=Linear","MultiX=Average","Skip=True","Sort=True")</f>
        <v>14.340013679890561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50932</v>
      </c>
      <c r="T5226" s="43">
        <f ca="1">_xll.BInterpol('Base CDI'!$H$4:$H$28,'Base CDI'!$J$4:$J$29,S5226,"Cubic","Extrapolate=Linear","MultiX=Average","Skip=True","Sort=True")</f>
        <v>14.428638850889191</v>
      </c>
      <c r="U5226" s="43">
        <f ca="1">_xll.BInterpol('Base CDI'!$H$4:$H$28,'Base CDI'!$I$4:$I$29,S5226,"Cubic","Extrapolate=Linear","MultiX=Average","Skip=True","Sort=True")</f>
        <v>14.339760601915184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50933</v>
      </c>
      <c r="T5227" s="43">
        <f ca="1">_xll.BInterpol('Base CDI'!$H$4:$H$28,'Base CDI'!$J$4:$J$29,S5227,"Cubic","Extrapolate=Linear","MultiX=Average","Skip=True","Sort=True")</f>
        <v>14.42848563611491</v>
      </c>
      <c r="U5227" s="43">
        <f ca="1">_xll.BInterpol('Base CDI'!$H$4:$H$28,'Base CDI'!$I$4:$I$29,S5227,"Cubic","Extrapolate=Linear","MultiX=Average","Skip=True","Sort=True")</f>
        <v>14.339507523939808</v>
      </c>
    </row>
    <row r="5228" spans="16:21" x14ac:dyDescent="0.25">
      <c r="P5228" s="10">
        <v>42111</v>
      </c>
      <c r="Q5228">
        <v>36.74492</v>
      </c>
      <c r="S5228" s="42">
        <f t="shared" ca="1" si="86"/>
        <v>50934</v>
      </c>
      <c r="T5228" s="43">
        <f ca="1">_xll.BInterpol('Base CDI'!$H$4:$H$28,'Base CDI'!$J$4:$J$29,S5228,"Cubic","Extrapolate=Linear","MultiX=Average","Skip=True","Sort=True")</f>
        <v>14.428332421340629</v>
      </c>
      <c r="U5228" s="43">
        <f ca="1">_xll.BInterpol('Base CDI'!$H$4:$H$28,'Base CDI'!$I$4:$I$29,S5228,"Cubic","Extrapolate=Linear","MultiX=Average","Skip=True","Sort=True")</f>
        <v>14.339254445964432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50935</v>
      </c>
      <c r="T5229" s="43">
        <f ca="1">_xll.BInterpol('Base CDI'!$H$4:$H$28,'Base CDI'!$J$4:$J$29,S5229,"Cubic","Extrapolate=Linear","MultiX=Average","Skip=True","Sort=True")</f>
        <v>14.428179206566346</v>
      </c>
      <c r="U5229" s="43">
        <f ca="1">_xll.BInterpol('Base CDI'!$H$4:$H$28,'Base CDI'!$I$4:$I$29,S5229,"Cubic","Extrapolate=Linear","MultiX=Average","Skip=True","Sort=True")</f>
        <v>14.339001367989056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50936</v>
      </c>
      <c r="T5230" s="43">
        <f ca="1">_xll.BInterpol('Base CDI'!$H$4:$H$28,'Base CDI'!$J$4:$J$29,S5230,"Cubic","Extrapolate=Linear","MultiX=Average","Skip=True","Sort=True")</f>
        <v>14.428025991792065</v>
      </c>
      <c r="U5230" s="43">
        <f ca="1">_xll.BInterpol('Base CDI'!$H$4:$H$28,'Base CDI'!$I$4:$I$29,S5230,"Cubic","Extrapolate=Linear","MultiX=Average","Skip=True","Sort=True")</f>
        <v>14.33874829001368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50937</v>
      </c>
      <c r="T5231" s="43">
        <f ca="1">_xll.BInterpol('Base CDI'!$H$4:$H$28,'Base CDI'!$J$4:$J$29,S5231,"Cubic","Extrapolate=Linear","MultiX=Average","Skip=True","Sort=True")</f>
        <v>14.427872777017782</v>
      </c>
      <c r="U5231" s="43">
        <f ca="1">_xll.BInterpol('Base CDI'!$H$4:$H$28,'Base CDI'!$I$4:$I$29,S5231,"Cubic","Extrapolate=Linear","MultiX=Average","Skip=True","Sort=True")</f>
        <v>14.338495212038303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50938</v>
      </c>
      <c r="T5232" s="43">
        <f ca="1">_xll.BInterpol('Base CDI'!$H$4:$H$28,'Base CDI'!$J$4:$J$29,S5232,"Cubic","Extrapolate=Linear","MultiX=Average","Skip=True","Sort=True")</f>
        <v>14.427719562243501</v>
      </c>
      <c r="U5232" s="43">
        <f ca="1">_xll.BInterpol('Base CDI'!$H$4:$H$28,'Base CDI'!$I$4:$I$29,S5232,"Cubic","Extrapolate=Linear","MultiX=Average","Skip=True","Sort=True")</f>
        <v>14.338242134062927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50939</v>
      </c>
      <c r="T5233" s="43">
        <f ca="1">_xll.BInterpol('Base CDI'!$H$4:$H$28,'Base CDI'!$J$4:$J$29,S5233,"Cubic","Extrapolate=Linear","MultiX=Average","Skip=True","Sort=True")</f>
        <v>14.42756634746922</v>
      </c>
      <c r="U5233" s="43">
        <f ca="1">_xll.BInterpol('Base CDI'!$H$4:$H$28,'Base CDI'!$I$4:$I$29,S5233,"Cubic","Extrapolate=Linear","MultiX=Average","Skip=True","Sort=True")</f>
        <v>14.337989056087551</v>
      </c>
    </row>
    <row r="5234" spans="16:21" x14ac:dyDescent="0.25">
      <c r="P5234" s="10">
        <v>42122</v>
      </c>
      <c r="Q5234">
        <v>36.8489</v>
      </c>
      <c r="S5234" s="42">
        <f t="shared" ca="1" si="86"/>
        <v>50940</v>
      </c>
      <c r="T5234" s="43">
        <f ca="1">_xll.BInterpol('Base CDI'!$H$4:$H$28,'Base CDI'!$J$4:$J$29,S5234,"Cubic","Extrapolate=Linear","MultiX=Average","Skip=True","Sort=True")</f>
        <v>14.427413132694937</v>
      </c>
      <c r="U5234" s="43">
        <f ca="1">_xll.BInterpol('Base CDI'!$H$4:$H$28,'Base CDI'!$I$4:$I$29,S5234,"Cubic","Extrapolate=Linear","MultiX=Average","Skip=True","Sort=True")</f>
        <v>14.337735978112175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50941</v>
      </c>
      <c r="T5235" s="43">
        <f ca="1">_xll.BInterpol('Base CDI'!$H$4:$H$28,'Base CDI'!$J$4:$J$29,S5235,"Cubic","Extrapolate=Linear","MultiX=Average","Skip=True","Sort=True")</f>
        <v>14.427259917920656</v>
      </c>
      <c r="U5235" s="43">
        <f ca="1">_xll.BInterpol('Base CDI'!$H$4:$H$28,'Base CDI'!$I$4:$I$29,S5235,"Cubic","Extrapolate=Linear","MultiX=Average","Skip=True","Sort=True")</f>
        <v>14.337482900136798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50942</v>
      </c>
      <c r="T5236" s="43">
        <f ca="1">_xll.BInterpol('Base CDI'!$H$4:$H$28,'Base CDI'!$J$4:$J$29,S5236,"Cubic","Extrapolate=Linear","MultiX=Average","Skip=True","Sort=True")</f>
        <v>14.427106703146373</v>
      </c>
      <c r="U5236" s="43">
        <f ca="1">_xll.BInterpol('Base CDI'!$H$4:$H$28,'Base CDI'!$I$4:$I$29,S5236,"Cubic","Extrapolate=Linear","MultiX=Average","Skip=True","Sort=True")</f>
        <v>14.337229822161422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50943</v>
      </c>
      <c r="T5237" s="43">
        <f ca="1">_xll.BInterpol('Base CDI'!$H$4:$H$28,'Base CDI'!$J$4:$J$29,S5237,"Cubic","Extrapolate=Linear","MultiX=Average","Skip=True","Sort=True")</f>
        <v>14.426953488372092</v>
      </c>
      <c r="U5237" s="43">
        <f ca="1">_xll.BInterpol('Base CDI'!$H$4:$H$28,'Base CDI'!$I$4:$I$29,S5237,"Cubic","Extrapolate=Linear","MultiX=Average","Skip=True","Sort=True")</f>
        <v>14.336976744186046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50944</v>
      </c>
      <c r="T5238" s="43">
        <f ca="1">_xll.BInterpol('Base CDI'!$H$4:$H$28,'Base CDI'!$J$4:$J$29,S5238,"Cubic","Extrapolate=Linear","MultiX=Average","Skip=True","Sort=True")</f>
        <v>14.426800273597811</v>
      </c>
      <c r="U5238" s="43">
        <f ca="1">_xll.BInterpol('Base CDI'!$H$4:$H$28,'Base CDI'!$I$4:$I$29,S5238,"Cubic","Extrapolate=Linear","MultiX=Average","Skip=True","Sort=True")</f>
        <v>14.33672366621067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50945</v>
      </c>
      <c r="T5239" s="43">
        <f ca="1">_xll.BInterpol('Base CDI'!$H$4:$H$28,'Base CDI'!$J$4:$J$29,S5239,"Cubic","Extrapolate=Linear","MultiX=Average","Skip=True","Sort=True")</f>
        <v>14.426647058823528</v>
      </c>
      <c r="U5239" s="43">
        <f ca="1">_xll.BInterpol('Base CDI'!$H$4:$H$28,'Base CDI'!$I$4:$I$29,S5239,"Cubic","Extrapolate=Linear","MultiX=Average","Skip=True","Sort=True")</f>
        <v>14.336470588235294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50946</v>
      </c>
      <c r="T5240" s="43">
        <f ca="1">_xll.BInterpol('Base CDI'!$H$4:$H$28,'Base CDI'!$J$4:$J$29,S5240,"Cubic","Extrapolate=Linear","MultiX=Average","Skip=True","Sort=True")</f>
        <v>14.426493844049247</v>
      </c>
      <c r="U5240" s="43">
        <f ca="1">_xll.BInterpol('Base CDI'!$H$4:$H$28,'Base CDI'!$I$4:$I$29,S5240,"Cubic","Extrapolate=Linear","MultiX=Average","Skip=True","Sort=True")</f>
        <v>14.336217510259917</v>
      </c>
    </row>
    <row r="5241" spans="16:21" x14ac:dyDescent="0.25">
      <c r="P5241" s="10">
        <v>42132</v>
      </c>
      <c r="Q5241">
        <v>36.97401</v>
      </c>
      <c r="S5241" s="42">
        <f t="shared" ca="1" si="86"/>
        <v>50947</v>
      </c>
      <c r="T5241" s="43">
        <f ca="1">_xll.BInterpol('Base CDI'!$H$4:$H$28,'Base CDI'!$J$4:$J$29,S5241,"Cubic","Extrapolate=Linear","MultiX=Average","Skip=True","Sort=True")</f>
        <v>14.426340629274964</v>
      </c>
      <c r="U5241" s="43">
        <f ca="1">_xll.BInterpol('Base CDI'!$H$4:$H$28,'Base CDI'!$I$4:$I$29,S5241,"Cubic","Extrapolate=Linear","MultiX=Average","Skip=True","Sort=True")</f>
        <v>14.335964432284541</v>
      </c>
    </row>
    <row r="5242" spans="16:21" x14ac:dyDescent="0.25">
      <c r="P5242" s="10">
        <v>42135</v>
      </c>
      <c r="Q5242">
        <v>36.99212</v>
      </c>
      <c r="S5242" s="42">
        <f t="shared" ca="1" si="86"/>
        <v>50948</v>
      </c>
      <c r="T5242" s="43">
        <f ca="1">_xll.BInterpol('Base CDI'!$H$4:$H$28,'Base CDI'!$J$4:$J$29,S5242,"Cubic","Extrapolate=Linear","MultiX=Average","Skip=True","Sort=True")</f>
        <v>14.426187414500683</v>
      </c>
      <c r="U5242" s="43">
        <f ca="1">_xll.BInterpol('Base CDI'!$H$4:$H$28,'Base CDI'!$I$4:$I$29,S5242,"Cubic","Extrapolate=Linear","MultiX=Average","Skip=True","Sort=True")</f>
        <v>14.335711354309165</v>
      </c>
    </row>
    <row r="5243" spans="16:21" x14ac:dyDescent="0.25">
      <c r="P5243" s="10">
        <v>42136</v>
      </c>
      <c r="Q5243">
        <v>37.01023</v>
      </c>
      <c r="S5243" s="42">
        <f t="shared" ca="1" si="86"/>
        <v>50949</v>
      </c>
      <c r="T5243" s="43">
        <f ca="1">_xll.BInterpol('Base CDI'!$H$4:$H$28,'Base CDI'!$J$4:$J$29,S5243,"Cubic","Extrapolate=Linear","MultiX=Average","Skip=True","Sort=True")</f>
        <v>14.426034199726402</v>
      </c>
      <c r="U5243" s="43">
        <f ca="1">_xll.BInterpol('Base CDI'!$H$4:$H$28,'Base CDI'!$I$4:$I$29,S5243,"Cubic","Extrapolate=Linear","MultiX=Average","Skip=True","Sort=True")</f>
        <v>14.335458276333789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50950</v>
      </c>
      <c r="T5244" s="43">
        <f ca="1">_xll.BInterpol('Base CDI'!$H$4:$H$28,'Base CDI'!$J$4:$J$29,S5244,"Cubic","Extrapolate=Linear","MultiX=Average","Skip=True","Sort=True")</f>
        <v>14.425880984952119</v>
      </c>
      <c r="U5244" s="43">
        <f ca="1">_xll.BInterpol('Base CDI'!$H$4:$H$28,'Base CDI'!$I$4:$I$29,S5244,"Cubic","Extrapolate=Linear","MultiX=Average","Skip=True","Sort=True")</f>
        <v>14.335205198358413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50951</v>
      </c>
      <c r="T5245" s="43">
        <f ca="1">_xll.BInterpol('Base CDI'!$H$4:$H$28,'Base CDI'!$J$4:$J$29,S5245,"Cubic","Extrapolate=Linear","MultiX=Average","Skip=True","Sort=True")</f>
        <v>14.425727770177838</v>
      </c>
      <c r="U5245" s="43">
        <f ca="1">_xll.BInterpol('Base CDI'!$H$4:$H$28,'Base CDI'!$I$4:$I$29,S5245,"Cubic","Extrapolate=Linear","MultiX=Average","Skip=True","Sort=True")</f>
        <v>14.334952120383036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50952</v>
      </c>
      <c r="T5246" s="43">
        <f ca="1">_xll.BInterpol('Base CDI'!$H$4:$H$28,'Base CDI'!$J$4:$J$29,S5246,"Cubic","Extrapolate=Linear","MultiX=Average","Skip=True","Sort=True")</f>
        <v>14.425574555403557</v>
      </c>
      <c r="U5246" s="43">
        <f ca="1">_xll.BInterpol('Base CDI'!$H$4:$H$28,'Base CDI'!$I$4:$I$29,S5246,"Cubic","Extrapolate=Linear","MultiX=Average","Skip=True","Sort=True")</f>
        <v>14.33469904240766</v>
      </c>
    </row>
    <row r="5247" spans="16:21" x14ac:dyDescent="0.25">
      <c r="P5247" s="10">
        <v>42142</v>
      </c>
      <c r="Q5247">
        <v>37.08278</v>
      </c>
      <c r="S5247" s="42">
        <f t="shared" ca="1" si="86"/>
        <v>50953</v>
      </c>
      <c r="T5247" s="43">
        <f ca="1">_xll.BInterpol('Base CDI'!$H$4:$H$28,'Base CDI'!$J$4:$J$29,S5247,"Cubic","Extrapolate=Linear","MultiX=Average","Skip=True","Sort=True")</f>
        <v>14.425421340629274</v>
      </c>
      <c r="U5247" s="43">
        <f ca="1">_xll.BInterpol('Base CDI'!$H$4:$H$28,'Base CDI'!$I$4:$I$29,S5247,"Cubic","Extrapolate=Linear","MultiX=Average","Skip=True","Sort=True")</f>
        <v>14.334445964432284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50954</v>
      </c>
      <c r="T5248" s="43">
        <f ca="1">_xll.BInterpol('Base CDI'!$H$4:$H$28,'Base CDI'!$J$4:$J$29,S5248,"Cubic","Extrapolate=Linear","MultiX=Average","Skip=True","Sort=True")</f>
        <v>14.425268125854993</v>
      </c>
      <c r="U5248" s="43">
        <f ca="1">_xll.BInterpol('Base CDI'!$H$4:$H$28,'Base CDI'!$I$4:$I$29,S5248,"Cubic","Extrapolate=Linear","MultiX=Average","Skip=True","Sort=True")</f>
        <v>14.334192886456908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50955</v>
      </c>
      <c r="T5249" s="43">
        <f ca="1">_xll.BInterpol('Base CDI'!$H$4:$H$28,'Base CDI'!$J$4:$J$29,S5249,"Cubic","Extrapolate=Linear","MultiX=Average","Skip=True","Sort=True")</f>
        <v>14.42511491108071</v>
      </c>
      <c r="U5249" s="43">
        <f ca="1">_xll.BInterpol('Base CDI'!$H$4:$H$28,'Base CDI'!$I$4:$I$29,S5249,"Cubic","Extrapolate=Linear","MultiX=Average","Skip=True","Sort=True")</f>
        <v>14.333939808481531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50956</v>
      </c>
      <c r="T5250" s="43">
        <f ca="1">_xll.BInterpol('Base CDI'!$H$4:$H$28,'Base CDI'!$J$4:$J$29,S5250,"Cubic","Extrapolate=Linear","MultiX=Average","Skip=True","Sort=True")</f>
        <v>14.424961696306429</v>
      </c>
      <c r="U5250" s="43">
        <f ca="1">_xll.BInterpol('Base CDI'!$H$4:$H$28,'Base CDI'!$I$4:$I$29,S5250,"Cubic","Extrapolate=Linear","MultiX=Average","Skip=True","Sort=True")</f>
        <v>14.333686730506155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50957</v>
      </c>
      <c r="T5251" s="43">
        <f ca="1">_xll.BInterpol('Base CDI'!$H$4:$H$28,'Base CDI'!$J$4:$J$29,S5251,"Cubic","Extrapolate=Linear","MultiX=Average","Skip=True","Sort=True")</f>
        <v>14.424808481532146</v>
      </c>
      <c r="U5251" s="43">
        <f ca="1">_xll.BInterpol('Base CDI'!$H$4:$H$28,'Base CDI'!$I$4:$I$29,S5251,"Cubic","Extrapolate=Linear","MultiX=Average","Skip=True","Sort=True")</f>
        <v>14.333433652530779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50958</v>
      </c>
      <c r="T5252" s="43">
        <f ca="1">_xll.BInterpol('Base CDI'!$H$4:$H$28,'Base CDI'!$J$4:$J$29,S5252,"Cubic","Extrapolate=Linear","MultiX=Average","Skip=True","Sort=True")</f>
        <v>14.424655266757865</v>
      </c>
      <c r="U5252" s="43">
        <f ca="1">_xll.BInterpol('Base CDI'!$H$4:$H$28,'Base CDI'!$I$4:$I$29,S5252,"Cubic","Extrapolate=Linear","MultiX=Average","Skip=True","Sort=True")</f>
        <v>14.333180574555403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50959</v>
      </c>
      <c r="T5253" s="43">
        <f ca="1">_xll.BInterpol('Base CDI'!$H$4:$H$28,'Base CDI'!$J$4:$J$29,S5253,"Cubic","Extrapolate=Linear","MultiX=Average","Skip=True","Sort=True")</f>
        <v>14.424502051983584</v>
      </c>
      <c r="U5253" s="43">
        <f ca="1">_xll.BInterpol('Base CDI'!$H$4:$H$28,'Base CDI'!$I$4:$I$29,S5253,"Cubic","Extrapolate=Linear","MultiX=Average","Skip=True","Sort=True")</f>
        <v>14.332927496580027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50960</v>
      </c>
      <c r="T5254" s="43">
        <f ca="1">_xll.BInterpol('Base CDI'!$H$4:$H$28,'Base CDI'!$J$4:$J$29,S5254,"Cubic","Extrapolate=Linear","MultiX=Average","Skip=True","Sort=True")</f>
        <v>14.424348837209301</v>
      </c>
      <c r="U5254" s="43">
        <f ca="1">_xll.BInterpol('Base CDI'!$H$4:$H$28,'Base CDI'!$I$4:$I$29,S5254,"Cubic","Extrapolate=Linear","MultiX=Average","Skip=True","Sort=True")</f>
        <v>14.33267441860465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50961</v>
      </c>
      <c r="T5255" s="43">
        <f ca="1">_xll.BInterpol('Base CDI'!$H$4:$H$28,'Base CDI'!$J$4:$J$29,S5255,"Cubic","Extrapolate=Linear","MultiX=Average","Skip=True","Sort=True")</f>
        <v>14.42419562243502</v>
      </c>
      <c r="U5255" s="43">
        <f ca="1">_xll.BInterpol('Base CDI'!$H$4:$H$28,'Base CDI'!$I$4:$I$29,S5255,"Cubic","Extrapolate=Linear","MultiX=Average","Skip=True","Sort=True")</f>
        <v>14.332421340629274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50962</v>
      </c>
      <c r="T5256" s="43">
        <f ca="1">_xll.BInterpol('Base CDI'!$H$4:$H$28,'Base CDI'!$J$4:$J$29,S5256,"Cubic","Extrapolate=Linear","MultiX=Average","Skip=True","Sort=True")</f>
        <v>14.424042407660739</v>
      </c>
      <c r="U5256" s="43">
        <f ca="1">_xll.BInterpol('Base CDI'!$H$4:$H$28,'Base CDI'!$I$4:$I$29,S5256,"Cubic","Extrapolate=Linear","MultiX=Average","Skip=True","Sort=True")</f>
        <v>14.332168262653898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50963</v>
      </c>
      <c r="T5257" s="43">
        <f ca="1">_xll.BInterpol('Base CDI'!$H$4:$H$28,'Base CDI'!$J$4:$J$29,S5257,"Cubic","Extrapolate=Linear","MultiX=Average","Skip=True","Sort=True")</f>
        <v>14.423889192886456</v>
      </c>
      <c r="U5257" s="43">
        <f ca="1">_xll.BInterpol('Base CDI'!$H$4:$H$28,'Base CDI'!$I$4:$I$29,S5257,"Cubic","Extrapolate=Linear","MultiX=Average","Skip=True","Sort=True")</f>
        <v>14.331915184678522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50964</v>
      </c>
      <c r="T5258" s="43">
        <f ca="1">_xll.BInterpol('Base CDI'!$H$4:$H$28,'Base CDI'!$J$4:$J$29,S5258,"Cubic","Extrapolate=Linear","MultiX=Average","Skip=True","Sort=True")</f>
        <v>14.423735978112175</v>
      </c>
      <c r="U5258" s="43">
        <f ca="1">_xll.BInterpol('Base CDI'!$H$4:$H$28,'Base CDI'!$I$4:$I$29,S5258,"Cubic","Extrapolate=Linear","MultiX=Average","Skip=True","Sort=True")</f>
        <v>14.331662106703146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50965</v>
      </c>
      <c r="T5259" s="43">
        <f ca="1">_xll.BInterpol('Base CDI'!$H$4:$H$28,'Base CDI'!$J$4:$J$29,S5259,"Cubic","Extrapolate=Linear","MultiX=Average","Skip=True","Sort=True")</f>
        <v>14.423582763337892</v>
      </c>
      <c r="U5259" s="43">
        <f ca="1">_xll.BInterpol('Base CDI'!$H$4:$H$28,'Base CDI'!$I$4:$I$29,S5259,"Cubic","Extrapolate=Linear","MultiX=Average","Skip=True","Sort=True")</f>
        <v>14.331409028727769</v>
      </c>
    </row>
    <row r="5260" spans="16:21" x14ac:dyDescent="0.25">
      <c r="P5260" s="10">
        <v>42160</v>
      </c>
      <c r="Q5260">
        <v>37.31953</v>
      </c>
      <c r="S5260" s="42">
        <f t="shared" ca="1" si="87"/>
        <v>50966</v>
      </c>
      <c r="T5260" s="43">
        <f ca="1">_xll.BInterpol('Base CDI'!$H$4:$H$28,'Base CDI'!$J$4:$J$29,S5260,"Cubic","Extrapolate=Linear","MultiX=Average","Skip=True","Sort=True")</f>
        <v>14.423429548563611</v>
      </c>
      <c r="U5260" s="43">
        <f ca="1">_xll.BInterpol('Base CDI'!$H$4:$H$28,'Base CDI'!$I$4:$I$29,S5260,"Cubic","Extrapolate=Linear","MultiX=Average","Skip=True","Sort=True")</f>
        <v>14.331155950752393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50967</v>
      </c>
      <c r="T5261" s="43">
        <f ca="1">_xll.BInterpol('Base CDI'!$H$4:$H$28,'Base CDI'!$J$4:$J$29,S5261,"Cubic","Extrapolate=Linear","MultiX=Average","Skip=True","Sort=True")</f>
        <v>14.423276333789328</v>
      </c>
      <c r="U5261" s="43">
        <f ca="1">_xll.BInterpol('Base CDI'!$H$4:$H$28,'Base CDI'!$I$4:$I$29,S5261,"Cubic","Extrapolate=Linear","MultiX=Average","Skip=True","Sort=True")</f>
        <v>14.330902872777017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50968</v>
      </c>
      <c r="T5262" s="43">
        <f ca="1">_xll.BInterpol('Base CDI'!$H$4:$H$28,'Base CDI'!$J$4:$J$29,S5262,"Cubic","Extrapolate=Linear","MultiX=Average","Skip=True","Sort=True")</f>
        <v>14.423123119015047</v>
      </c>
      <c r="U5262" s="43">
        <f ca="1">_xll.BInterpol('Base CDI'!$H$4:$H$28,'Base CDI'!$I$4:$I$29,S5262,"Cubic","Extrapolate=Linear","MultiX=Average","Skip=True","Sort=True")</f>
        <v>14.330649794801641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50969</v>
      </c>
      <c r="T5263" s="43">
        <f ca="1">_xll.BInterpol('Base CDI'!$H$4:$H$28,'Base CDI'!$J$4:$J$29,S5263,"Cubic","Extrapolate=Linear","MultiX=Average","Skip=True","Sort=True")</f>
        <v>14.422969904240766</v>
      </c>
      <c r="U5263" s="43">
        <f ca="1">_xll.BInterpol('Base CDI'!$H$4:$H$28,'Base CDI'!$I$4:$I$29,S5263,"Cubic","Extrapolate=Linear","MultiX=Average","Skip=True","Sort=True")</f>
        <v>14.330396716826264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50970</v>
      </c>
      <c r="T5264" s="43">
        <f ca="1">_xll.BInterpol('Base CDI'!$H$4:$H$28,'Base CDI'!$J$4:$J$29,S5264,"Cubic","Extrapolate=Linear","MultiX=Average","Skip=True","Sort=True")</f>
        <v>14.422816689466483</v>
      </c>
      <c r="U5264" s="43">
        <f ca="1">_xll.BInterpol('Base CDI'!$H$4:$H$28,'Base CDI'!$I$4:$I$29,S5264,"Cubic","Extrapolate=Linear","MultiX=Average","Skip=True","Sort=True")</f>
        <v>14.330143638850888</v>
      </c>
    </row>
    <row r="5265" spans="16:21" x14ac:dyDescent="0.25">
      <c r="P5265" s="10">
        <v>42167</v>
      </c>
      <c r="Q5265">
        <v>37.41433</v>
      </c>
      <c r="S5265" s="42">
        <f t="shared" ca="1" si="87"/>
        <v>50971</v>
      </c>
      <c r="T5265" s="43">
        <f ca="1">_xll.BInterpol('Base CDI'!$H$4:$H$28,'Base CDI'!$J$4:$J$29,S5265,"Cubic","Extrapolate=Linear","MultiX=Average","Skip=True","Sort=True")</f>
        <v>14.422663474692202</v>
      </c>
      <c r="U5265" s="43">
        <f ca="1">_xll.BInterpol('Base CDI'!$H$4:$H$28,'Base CDI'!$I$4:$I$29,S5265,"Cubic","Extrapolate=Linear","MultiX=Average","Skip=True","Sort=True")</f>
        <v>14.329890560875512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50972</v>
      </c>
      <c r="T5266" s="43">
        <f ca="1">_xll.BInterpol('Base CDI'!$H$4:$H$28,'Base CDI'!$J$4:$J$29,S5266,"Cubic","Extrapolate=Linear","MultiX=Average","Skip=True","Sort=True")</f>
        <v>14.422510259917921</v>
      </c>
      <c r="U5266" s="43">
        <f ca="1">_xll.BInterpol('Base CDI'!$H$4:$H$28,'Base CDI'!$I$4:$I$29,S5266,"Cubic","Extrapolate=Linear","MultiX=Average","Skip=True","Sort=True")</f>
        <v>14.329637482900136</v>
      </c>
    </row>
    <row r="5267" spans="16:21" x14ac:dyDescent="0.25">
      <c r="P5267" s="10">
        <v>42171</v>
      </c>
      <c r="Q5267">
        <v>37.45232</v>
      </c>
      <c r="S5267" s="42">
        <f t="shared" ca="1" si="87"/>
        <v>50973</v>
      </c>
      <c r="T5267" s="43">
        <f ca="1">_xll.BInterpol('Base CDI'!$H$4:$H$28,'Base CDI'!$J$4:$J$29,S5267,"Cubic","Extrapolate=Linear","MultiX=Average","Skip=True","Sort=True")</f>
        <v>14.422357045143638</v>
      </c>
      <c r="U5267" s="43">
        <f ca="1">_xll.BInterpol('Base CDI'!$H$4:$H$28,'Base CDI'!$I$4:$I$29,S5267,"Cubic","Extrapolate=Linear","MultiX=Average","Skip=True","Sort=True")</f>
        <v>14.32938440492476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50974</v>
      </c>
      <c r="T5268" s="43">
        <f ca="1">_xll.BInterpol('Base CDI'!$H$4:$H$28,'Base CDI'!$J$4:$J$29,S5268,"Cubic","Extrapolate=Linear","MultiX=Average","Skip=True","Sort=True")</f>
        <v>14.422203830369357</v>
      </c>
      <c r="U5268" s="43">
        <f ca="1">_xll.BInterpol('Base CDI'!$H$4:$H$28,'Base CDI'!$I$4:$I$29,S5268,"Cubic","Extrapolate=Linear","MultiX=Average","Skip=True","Sort=True")</f>
        <v>14.329131326949383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50975</v>
      </c>
      <c r="T5269" s="43">
        <f ca="1">_xll.BInterpol('Base CDI'!$H$4:$H$28,'Base CDI'!$J$4:$J$29,S5269,"Cubic","Extrapolate=Linear","MultiX=Average","Skip=True","Sort=True")</f>
        <v>14.422050615595074</v>
      </c>
      <c r="U5269" s="43">
        <f ca="1">_xll.BInterpol('Base CDI'!$H$4:$H$28,'Base CDI'!$I$4:$I$29,S5269,"Cubic","Extrapolate=Linear","MultiX=Average","Skip=True","Sort=True")</f>
        <v>14.328878248974007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50976</v>
      </c>
      <c r="T5270" s="43">
        <f ca="1">_xll.BInterpol('Base CDI'!$H$4:$H$28,'Base CDI'!$J$4:$J$29,S5270,"Cubic","Extrapolate=Linear","MultiX=Average","Skip=True","Sort=True")</f>
        <v>14.421897400820793</v>
      </c>
      <c r="U5270" s="43">
        <f ca="1">_xll.BInterpol('Base CDI'!$H$4:$H$28,'Base CDI'!$I$4:$I$29,S5270,"Cubic","Extrapolate=Linear","MultiX=Average","Skip=True","Sort=True")</f>
        <v>14.328625170998631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50977</v>
      </c>
      <c r="T5271" s="43">
        <f ca="1">_xll.BInterpol('Base CDI'!$H$4:$H$28,'Base CDI'!$J$4:$J$29,S5271,"Cubic","Extrapolate=Linear","MultiX=Average","Skip=True","Sort=True")</f>
        <v>14.42174418604651</v>
      </c>
      <c r="U5271" s="43">
        <f ca="1">_xll.BInterpol('Base CDI'!$H$4:$H$28,'Base CDI'!$I$4:$I$29,S5271,"Cubic","Extrapolate=Linear","MultiX=Average","Skip=True","Sort=True")</f>
        <v>14.328372093023255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50978</v>
      </c>
      <c r="T5272" s="43">
        <f ca="1">_xll.BInterpol('Base CDI'!$H$4:$H$28,'Base CDI'!$J$4:$J$29,S5272,"Cubic","Extrapolate=Linear","MultiX=Average","Skip=True","Sort=True")</f>
        <v>14.421590971272229</v>
      </c>
      <c r="U5272" s="43">
        <f ca="1">_xll.BInterpol('Base CDI'!$H$4:$H$28,'Base CDI'!$I$4:$I$29,S5272,"Cubic","Extrapolate=Linear","MultiX=Average","Skip=True","Sort=True")</f>
        <v>14.328119015047879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50979</v>
      </c>
      <c r="T5273" s="43">
        <f ca="1">_xll.BInterpol('Base CDI'!$H$4:$H$28,'Base CDI'!$J$4:$J$29,S5273,"Cubic","Extrapolate=Linear","MultiX=Average","Skip=True","Sort=True")</f>
        <v>14.421437756497948</v>
      </c>
      <c r="U5273" s="43">
        <f ca="1">_xll.BInterpol('Base CDI'!$H$4:$H$28,'Base CDI'!$I$4:$I$29,S5273,"Cubic","Extrapolate=Linear","MultiX=Average","Skip=True","Sort=True")</f>
        <v>14.327865937072502</v>
      </c>
    </row>
    <row r="5274" spans="16:21" x14ac:dyDescent="0.25">
      <c r="P5274" s="10">
        <v>42180</v>
      </c>
      <c r="Q5274">
        <v>37.58558</v>
      </c>
      <c r="S5274" s="42">
        <f t="shared" ca="1" si="87"/>
        <v>50980</v>
      </c>
      <c r="T5274" s="43">
        <f ca="1">_xll.BInterpol('Base CDI'!$H$4:$H$28,'Base CDI'!$J$4:$J$29,S5274,"Cubic","Extrapolate=Linear","MultiX=Average","Skip=True","Sort=True")</f>
        <v>14.421284541723665</v>
      </c>
      <c r="U5274" s="43">
        <f ca="1">_xll.BInterpol('Base CDI'!$H$4:$H$28,'Base CDI'!$I$4:$I$29,S5274,"Cubic","Extrapolate=Linear","MultiX=Average","Skip=True","Sort=True")</f>
        <v>14.327612859097126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50981</v>
      </c>
      <c r="T5275" s="43">
        <f ca="1">_xll.BInterpol('Base CDI'!$H$4:$H$28,'Base CDI'!$J$4:$J$29,S5275,"Cubic","Extrapolate=Linear","MultiX=Average","Skip=True","Sort=True")</f>
        <v>14.421131326949384</v>
      </c>
      <c r="U5275" s="43">
        <f ca="1">_xll.BInterpol('Base CDI'!$H$4:$H$28,'Base CDI'!$I$4:$I$29,S5275,"Cubic","Extrapolate=Linear","MultiX=Average","Skip=True","Sort=True")</f>
        <v>14.32735978112175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50982</v>
      </c>
      <c r="T5276" s="43">
        <f ca="1">_xll.BInterpol('Base CDI'!$H$4:$H$28,'Base CDI'!$J$4:$J$29,S5276,"Cubic","Extrapolate=Linear","MultiX=Average","Skip=True","Sort=True")</f>
        <v>14.420978112175103</v>
      </c>
      <c r="U5276" s="43">
        <f ca="1">_xll.BInterpol('Base CDI'!$H$4:$H$28,'Base CDI'!$I$4:$I$29,S5276,"Cubic","Extrapolate=Linear","MultiX=Average","Skip=True","Sort=True")</f>
        <v>14.327106703146374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50983</v>
      </c>
      <c r="T5277" s="43">
        <f ca="1">_xll.BInterpol('Base CDI'!$H$4:$H$28,'Base CDI'!$J$4:$J$29,S5277,"Cubic","Extrapolate=Linear","MultiX=Average","Skip=True","Sort=True")</f>
        <v>14.42082489740082</v>
      </c>
      <c r="U5277" s="43">
        <f ca="1">_xll.BInterpol('Base CDI'!$H$4:$H$28,'Base CDI'!$I$4:$I$29,S5277,"Cubic","Extrapolate=Linear","MultiX=Average","Skip=True","Sort=True")</f>
        <v>14.326853625170997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50984</v>
      </c>
      <c r="T5278" s="43">
        <f ca="1">_xll.BInterpol('Base CDI'!$H$4:$H$28,'Base CDI'!$J$4:$J$29,S5278,"Cubic","Extrapolate=Linear","MultiX=Average","Skip=True","Sort=True")</f>
        <v>14.420671682626539</v>
      </c>
      <c r="U5278" s="43">
        <f ca="1">_xll.BInterpol('Base CDI'!$H$4:$H$28,'Base CDI'!$I$4:$I$29,S5278,"Cubic","Extrapolate=Linear","MultiX=Average","Skip=True","Sort=True")</f>
        <v>14.326600547195621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50985</v>
      </c>
      <c r="T5279" s="43">
        <f ca="1">_xll.BInterpol('Base CDI'!$H$4:$H$28,'Base CDI'!$J$4:$J$29,S5279,"Cubic","Extrapolate=Linear","MultiX=Average","Skip=True","Sort=True")</f>
        <v>14.420518467852256</v>
      </c>
      <c r="U5279" s="43">
        <f ca="1">_xll.BInterpol('Base CDI'!$H$4:$H$28,'Base CDI'!$I$4:$I$29,S5279,"Cubic","Extrapolate=Linear","MultiX=Average","Skip=True","Sort=True")</f>
        <v>14.326347469220245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50986</v>
      </c>
      <c r="T5280" s="43">
        <f ca="1">_xll.BInterpol('Base CDI'!$H$4:$H$28,'Base CDI'!$J$4:$J$29,S5280,"Cubic","Extrapolate=Linear","MultiX=Average","Skip=True","Sort=True")</f>
        <v>14.420365253077975</v>
      </c>
      <c r="U5280" s="43">
        <f ca="1">_xll.BInterpol('Base CDI'!$H$4:$H$28,'Base CDI'!$I$4:$I$29,S5280,"Cubic","Extrapolate=Linear","MultiX=Average","Skip=True","Sort=True")</f>
        <v>14.326094391244869</v>
      </c>
    </row>
    <row r="5281" spans="16:21" x14ac:dyDescent="0.25">
      <c r="P5281" s="10">
        <v>42191</v>
      </c>
      <c r="Q5281">
        <v>37.71931</v>
      </c>
      <c r="S5281" s="42">
        <f t="shared" ca="1" si="87"/>
        <v>50987</v>
      </c>
      <c r="T5281" s="43">
        <f ca="1">_xll.BInterpol('Base CDI'!$H$4:$H$28,'Base CDI'!$J$4:$J$29,S5281,"Cubic","Extrapolate=Linear","MultiX=Average","Skip=True","Sort=True")</f>
        <v>14.420212038303692</v>
      </c>
      <c r="U5281" s="43">
        <f ca="1">_xll.BInterpol('Base CDI'!$H$4:$H$28,'Base CDI'!$I$4:$I$29,S5281,"Cubic","Extrapolate=Linear","MultiX=Average","Skip=True","Sort=True")</f>
        <v>14.325841313269493</v>
      </c>
    </row>
    <row r="5282" spans="16:21" x14ac:dyDescent="0.25">
      <c r="P5282" s="10">
        <v>42192</v>
      </c>
      <c r="Q5282">
        <v>37.73845</v>
      </c>
      <c r="S5282" s="42">
        <f t="shared" ca="1" si="87"/>
        <v>50988</v>
      </c>
      <c r="T5282" s="43">
        <f ca="1">_xll.BInterpol('Base CDI'!$H$4:$H$28,'Base CDI'!$J$4:$J$29,S5282,"Cubic","Extrapolate=Linear","MultiX=Average","Skip=True","Sort=True")</f>
        <v>14.420058823529411</v>
      </c>
      <c r="U5282" s="43">
        <f ca="1">_xll.BInterpol('Base CDI'!$H$4:$H$28,'Base CDI'!$I$4:$I$29,S5282,"Cubic","Extrapolate=Linear","MultiX=Average","Skip=True","Sort=True")</f>
        <v>14.325588235294116</v>
      </c>
    </row>
    <row r="5283" spans="16:21" x14ac:dyDescent="0.25">
      <c r="P5283" s="10">
        <v>42193</v>
      </c>
      <c r="Q5283">
        <v>37.75761</v>
      </c>
      <c r="S5283" s="42">
        <f t="shared" ca="1" si="87"/>
        <v>50989</v>
      </c>
      <c r="T5283" s="43">
        <f ca="1">_xll.BInterpol('Base CDI'!$H$4:$H$28,'Base CDI'!$J$4:$J$29,S5283,"Cubic","Extrapolate=Linear","MultiX=Average","Skip=True","Sort=True")</f>
        <v>14.41990560875513</v>
      </c>
      <c r="U5283" s="43">
        <f ca="1">_xll.BInterpol('Base CDI'!$H$4:$H$28,'Base CDI'!$I$4:$I$29,S5283,"Cubic","Extrapolate=Linear","MultiX=Average","Skip=True","Sort=True")</f>
        <v>14.32533515731874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50990</v>
      </c>
      <c r="T5284" s="43">
        <f ca="1">_xll.BInterpol('Base CDI'!$H$4:$H$28,'Base CDI'!$J$4:$J$29,S5284,"Cubic","Extrapolate=Linear","MultiX=Average","Skip=True","Sort=True")</f>
        <v>14.419752393980847</v>
      </c>
      <c r="U5284" s="43">
        <f ca="1">_xll.BInterpol('Base CDI'!$H$4:$H$28,'Base CDI'!$I$4:$I$29,S5284,"Cubic","Extrapolate=Linear","MultiX=Average","Skip=True","Sort=True")</f>
        <v>14.325082079343364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50991</v>
      </c>
      <c r="T5285" s="43">
        <f ca="1">_xll.BInterpol('Base CDI'!$H$4:$H$28,'Base CDI'!$J$4:$J$29,S5285,"Cubic","Extrapolate=Linear","MultiX=Average","Skip=True","Sort=True")</f>
        <v>14.419599179206566</v>
      </c>
      <c r="U5285" s="43">
        <f ca="1">_xll.BInterpol('Base CDI'!$H$4:$H$28,'Base CDI'!$I$4:$I$29,S5285,"Cubic","Extrapolate=Linear","MultiX=Average","Skip=True","Sort=True")</f>
        <v>14.324829001367988</v>
      </c>
    </row>
    <row r="5286" spans="16:21" x14ac:dyDescent="0.25">
      <c r="P5286" s="10">
        <v>42198</v>
      </c>
      <c r="Q5286">
        <v>37.81512</v>
      </c>
      <c r="S5286" s="42">
        <f t="shared" ca="1" si="87"/>
        <v>50992</v>
      </c>
      <c r="T5286" s="43">
        <f ca="1">_xll.BInterpol('Base CDI'!$H$4:$H$28,'Base CDI'!$J$4:$J$29,S5286,"Cubic","Extrapolate=Linear","MultiX=Average","Skip=True","Sort=True")</f>
        <v>14.419445964432285</v>
      </c>
      <c r="U5286" s="43">
        <f ca="1">_xll.BInterpol('Base CDI'!$H$4:$H$28,'Base CDI'!$I$4:$I$29,S5286,"Cubic","Extrapolate=Linear","MultiX=Average","Skip=True","Sort=True")</f>
        <v>14.324575923392612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50993</v>
      </c>
      <c r="T5287" s="43">
        <f ca="1">_xll.BInterpol('Base CDI'!$H$4:$H$28,'Base CDI'!$J$4:$J$29,S5287,"Cubic","Extrapolate=Linear","MultiX=Average","Skip=True","Sort=True")</f>
        <v>14.419292749658002</v>
      </c>
      <c r="U5287" s="43">
        <f ca="1">_xll.BInterpol('Base CDI'!$H$4:$H$28,'Base CDI'!$I$4:$I$29,S5287,"Cubic","Extrapolate=Linear","MultiX=Average","Skip=True","Sort=True")</f>
        <v>14.324322845417235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50994</v>
      </c>
      <c r="T5288" s="43">
        <f ca="1">_xll.BInterpol('Base CDI'!$H$4:$H$28,'Base CDI'!$J$4:$J$29,S5288,"Cubic","Extrapolate=Linear","MultiX=Average","Skip=True","Sort=True")</f>
        <v>14.419139534883721</v>
      </c>
      <c r="U5288" s="43">
        <f ca="1">_xll.BInterpol('Base CDI'!$H$4:$H$28,'Base CDI'!$I$4:$I$29,S5288,"Cubic","Extrapolate=Linear","MultiX=Average","Skip=True","Sort=True")</f>
        <v>14.324069767441859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50995</v>
      </c>
      <c r="T5289" s="43">
        <f ca="1">_xll.BInterpol('Base CDI'!$H$4:$H$28,'Base CDI'!$J$4:$J$29,S5289,"Cubic","Extrapolate=Linear","MultiX=Average","Skip=True","Sort=True")</f>
        <v>14.418986320109438</v>
      </c>
      <c r="U5289" s="43">
        <f ca="1">_xll.BInterpol('Base CDI'!$H$4:$H$28,'Base CDI'!$I$4:$I$29,S5289,"Cubic","Extrapolate=Linear","MultiX=Average","Skip=True","Sort=True")</f>
        <v>14.323816689466483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50996</v>
      </c>
      <c r="T5290" s="43">
        <f ca="1">_xll.BInterpol('Base CDI'!$H$4:$H$28,'Base CDI'!$J$4:$J$29,S5290,"Cubic","Extrapolate=Linear","MultiX=Average","Skip=True","Sort=True")</f>
        <v>14.418833105335157</v>
      </c>
      <c r="U5290" s="43">
        <f ca="1">_xll.BInterpol('Base CDI'!$H$4:$H$28,'Base CDI'!$I$4:$I$29,S5290,"Cubic","Extrapolate=Linear","MultiX=Average","Skip=True","Sort=True")</f>
        <v>14.323563611491107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50997</v>
      </c>
      <c r="T5291" s="43">
        <f ca="1">_xll.BInterpol('Base CDI'!$H$4:$H$28,'Base CDI'!$J$4:$J$29,S5291,"Cubic","Extrapolate=Linear","MultiX=Average","Skip=True","Sort=True")</f>
        <v>14.418679890560876</v>
      </c>
      <c r="U5291" s="43">
        <f ca="1">_xll.BInterpol('Base CDI'!$H$4:$H$28,'Base CDI'!$I$4:$I$29,S5291,"Cubic","Extrapolate=Linear","MultiX=Average","Skip=True","Sort=True")</f>
        <v>14.32331053351573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50998</v>
      </c>
      <c r="T5292" s="43">
        <f ca="1">_xll.BInterpol('Base CDI'!$H$4:$H$28,'Base CDI'!$J$4:$J$29,S5292,"Cubic","Extrapolate=Linear","MultiX=Average","Skip=True","Sort=True")</f>
        <v>14.418526675786593</v>
      </c>
      <c r="U5292" s="43">
        <f ca="1">_xll.BInterpol('Base CDI'!$H$4:$H$28,'Base CDI'!$I$4:$I$29,S5292,"Cubic","Extrapolate=Linear","MultiX=Average","Skip=True","Sort=True")</f>
        <v>14.323057455540354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50999</v>
      </c>
      <c r="T5293" s="43">
        <f ca="1">_xll.BInterpol('Base CDI'!$H$4:$H$28,'Base CDI'!$J$4:$J$29,S5293,"Cubic","Extrapolate=Linear","MultiX=Average","Skip=True","Sort=True")</f>
        <v>14.418373461012312</v>
      </c>
      <c r="U5293" s="43">
        <f ca="1">_xll.BInterpol('Base CDI'!$H$4:$H$28,'Base CDI'!$I$4:$I$29,S5293,"Cubic","Extrapolate=Linear","MultiX=Average","Skip=True","Sort=True")</f>
        <v>14.322804377564978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51000</v>
      </c>
      <c r="T5294" s="43">
        <f ca="1">_xll.BInterpol('Base CDI'!$H$4:$H$28,'Base CDI'!$J$4:$J$29,S5294,"Cubic","Extrapolate=Linear","MultiX=Average","Skip=True","Sort=True")</f>
        <v>14.418220246238029</v>
      </c>
      <c r="U5294" s="43">
        <f ca="1">_xll.BInterpol('Base CDI'!$H$4:$H$28,'Base CDI'!$I$4:$I$29,S5294,"Cubic","Extrapolate=Linear","MultiX=Average","Skip=True","Sort=True")</f>
        <v>14.322551299589602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51001</v>
      </c>
      <c r="T5295" s="43">
        <f ca="1">_xll.BInterpol('Base CDI'!$H$4:$H$28,'Base CDI'!$J$4:$J$29,S5295,"Cubic","Extrapolate=Linear","MultiX=Average","Skip=True","Sort=True")</f>
        <v>14.418067031463748</v>
      </c>
      <c r="U5295" s="43">
        <f ca="1">_xll.BInterpol('Base CDI'!$H$4:$H$28,'Base CDI'!$I$4:$I$29,S5295,"Cubic","Extrapolate=Linear","MultiX=Average","Skip=True","Sort=True")</f>
        <v>14.322298221614226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51002</v>
      </c>
      <c r="T5296" s="43">
        <f ca="1">_xll.BInterpol('Base CDI'!$H$4:$H$28,'Base CDI'!$J$4:$J$29,S5296,"Cubic","Extrapolate=Linear","MultiX=Average","Skip=True","Sort=True")</f>
        <v>14.417913816689467</v>
      </c>
      <c r="U5296" s="43">
        <f ca="1">_xll.BInterpol('Base CDI'!$H$4:$H$28,'Base CDI'!$I$4:$I$29,S5296,"Cubic","Extrapolate=Linear","MultiX=Average","Skip=True","Sort=True")</f>
        <v>14.322045143638849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51003</v>
      </c>
      <c r="T5297" s="43">
        <f ca="1">_xll.BInterpol('Base CDI'!$H$4:$H$28,'Base CDI'!$J$4:$J$29,S5297,"Cubic","Extrapolate=Linear","MultiX=Average","Skip=True","Sort=True")</f>
        <v>14.417760601915184</v>
      </c>
      <c r="U5297" s="43">
        <f ca="1">_xll.BInterpol('Base CDI'!$H$4:$H$28,'Base CDI'!$I$4:$I$29,S5297,"Cubic","Extrapolate=Linear","MultiX=Average","Skip=True","Sort=True")</f>
        <v>14.321792065663473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51004</v>
      </c>
      <c r="T5298" s="43">
        <f ca="1">_xll.BInterpol('Base CDI'!$H$4:$H$28,'Base CDI'!$J$4:$J$29,S5298,"Cubic","Extrapolate=Linear","MultiX=Average","Skip=True","Sort=True")</f>
        <v>14.417607387140903</v>
      </c>
      <c r="U5298" s="43">
        <f ca="1">_xll.BInterpol('Base CDI'!$H$4:$H$28,'Base CDI'!$I$4:$I$29,S5298,"Cubic","Extrapolate=Linear","MultiX=Average","Skip=True","Sort=True")</f>
        <v>14.321538987688097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51005</v>
      </c>
      <c r="T5299" s="43">
        <f ca="1">_xll.BInterpol('Base CDI'!$H$4:$H$28,'Base CDI'!$J$4:$J$29,S5299,"Cubic","Extrapolate=Linear","MultiX=Average","Skip=True","Sort=True")</f>
        <v>14.41745417236662</v>
      </c>
      <c r="U5299" s="43">
        <f ca="1">_xll.BInterpol('Base CDI'!$H$4:$H$28,'Base CDI'!$I$4:$I$29,S5299,"Cubic","Extrapolate=Linear","MultiX=Average","Skip=True","Sort=True")</f>
        <v>14.321285909712721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51006</v>
      </c>
      <c r="T5300" s="43">
        <f ca="1">_xll.BInterpol('Base CDI'!$H$4:$H$28,'Base CDI'!$J$4:$J$29,S5300,"Cubic","Extrapolate=Linear","MultiX=Average","Skip=True","Sort=True")</f>
        <v>14.417300957592339</v>
      </c>
      <c r="U5300" s="43">
        <f ca="1">_xll.BInterpol('Base CDI'!$H$4:$H$28,'Base CDI'!$I$4:$I$29,S5300,"Cubic","Extrapolate=Linear","MultiX=Average","Skip=True","Sort=True")</f>
        <v>14.321032831737345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51007</v>
      </c>
      <c r="T5301" s="43">
        <f ca="1">_xll.BInterpol('Base CDI'!$H$4:$H$28,'Base CDI'!$J$4:$J$29,S5301,"Cubic","Extrapolate=Linear","MultiX=Average","Skip=True","Sort=True")</f>
        <v>14.417147742818058</v>
      </c>
      <c r="U5301" s="43">
        <f ca="1">_xll.BInterpol('Base CDI'!$H$4:$H$28,'Base CDI'!$I$4:$I$29,S5301,"Cubic","Extrapolate=Linear","MultiX=Average","Skip=True","Sort=True")</f>
        <v>14.320779753761968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51008</v>
      </c>
      <c r="T5302" s="43">
        <f ca="1">_xll.BInterpol('Base CDI'!$H$4:$H$28,'Base CDI'!$J$4:$J$29,S5302,"Cubic","Extrapolate=Linear","MultiX=Average","Skip=True","Sort=True")</f>
        <v>14.416994528043775</v>
      </c>
      <c r="U5302" s="43">
        <f ca="1">_xll.BInterpol('Base CDI'!$H$4:$H$28,'Base CDI'!$I$4:$I$29,S5302,"Cubic","Extrapolate=Linear","MultiX=Average","Skip=True","Sort=True")</f>
        <v>14.320526675786592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51009</v>
      </c>
      <c r="T5303" s="43">
        <f ca="1">_xll.BInterpol('Base CDI'!$H$4:$H$28,'Base CDI'!$J$4:$J$29,S5303,"Cubic","Extrapolate=Linear","MultiX=Average","Skip=True","Sort=True")</f>
        <v>14.416841313269494</v>
      </c>
      <c r="U5303" s="43">
        <f ca="1">_xll.BInterpol('Base CDI'!$H$4:$H$28,'Base CDI'!$I$4:$I$29,S5303,"Cubic","Extrapolate=Linear","MultiX=Average","Skip=True","Sort=True")</f>
        <v>14.320273597811216</v>
      </c>
    </row>
    <row r="5304" spans="16:21" x14ac:dyDescent="0.25">
      <c r="P5304" s="10">
        <v>42222</v>
      </c>
      <c r="Q5304">
        <v>38.16534</v>
      </c>
      <c r="S5304" s="42">
        <f t="shared" ca="1" si="87"/>
        <v>51010</v>
      </c>
      <c r="T5304" s="43">
        <f ca="1">_xll.BInterpol('Base CDI'!$H$4:$H$28,'Base CDI'!$J$4:$J$29,S5304,"Cubic","Extrapolate=Linear","MultiX=Average","Skip=True","Sort=True")</f>
        <v>14.416688098495211</v>
      </c>
      <c r="U5304" s="43">
        <f ca="1">_xll.BInterpol('Base CDI'!$H$4:$H$28,'Base CDI'!$I$4:$I$29,S5304,"Cubic","Extrapolate=Linear","MultiX=Average","Skip=True","Sort=True")</f>
        <v>14.32002051983584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51011</v>
      </c>
      <c r="T5305" s="43">
        <f ca="1">_xll.BInterpol('Base CDI'!$H$4:$H$28,'Base CDI'!$J$4:$J$29,S5305,"Cubic","Extrapolate=Linear","MultiX=Average","Skip=True","Sort=True")</f>
        <v>14.41653488372093</v>
      </c>
      <c r="U5305" s="43">
        <f ca="1">_xll.BInterpol('Base CDI'!$H$4:$H$28,'Base CDI'!$I$4:$I$29,S5305,"Cubic","Extrapolate=Linear","MultiX=Average","Skip=True","Sort=True")</f>
        <v>14.319767441860463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51012</v>
      </c>
      <c r="T5306" s="43">
        <f ca="1">_xll.BInterpol('Base CDI'!$H$4:$H$28,'Base CDI'!$J$4:$J$29,S5306,"Cubic","Extrapolate=Linear","MultiX=Average","Skip=True","Sort=True")</f>
        <v>14.416381668946649</v>
      </c>
      <c r="U5306" s="43">
        <f ca="1">_xll.BInterpol('Base CDI'!$H$4:$H$28,'Base CDI'!$I$4:$I$29,S5306,"Cubic","Extrapolate=Linear","MultiX=Average","Skip=True","Sort=True")</f>
        <v>14.319514363885087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51013</v>
      </c>
      <c r="T5307" s="43">
        <f ca="1">_xll.BInterpol('Base CDI'!$H$4:$H$28,'Base CDI'!$J$4:$J$29,S5307,"Cubic","Extrapolate=Linear","MultiX=Average","Skip=True","Sort=True")</f>
        <v>14.416228454172366</v>
      </c>
      <c r="U5307" s="43">
        <f ca="1">_xll.BInterpol('Base CDI'!$H$4:$H$28,'Base CDI'!$I$4:$I$29,S5307,"Cubic","Extrapolate=Linear","MultiX=Average","Skip=True","Sort=True")</f>
        <v>14.319261285909711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51014</v>
      </c>
      <c r="T5308" s="43">
        <f ca="1">_xll.BInterpol('Base CDI'!$H$4:$H$28,'Base CDI'!$J$4:$J$29,S5308,"Cubic","Extrapolate=Linear","MultiX=Average","Skip=True","Sort=True")</f>
        <v>14.416075239398085</v>
      </c>
      <c r="U5308" s="43">
        <f ca="1">_xll.BInterpol('Base CDI'!$H$4:$H$28,'Base CDI'!$I$4:$I$29,S5308,"Cubic","Extrapolate=Linear","MultiX=Average","Skip=True","Sort=True")</f>
        <v>14.319008207934335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51015</v>
      </c>
      <c r="T5309" s="43">
        <f ca="1">_xll.BInterpol('Base CDI'!$H$4:$H$28,'Base CDI'!$J$4:$J$29,S5309,"Cubic","Extrapolate=Linear","MultiX=Average","Skip=True","Sort=True")</f>
        <v>14.415922024623802</v>
      </c>
      <c r="U5309" s="43">
        <f ca="1">_xll.BInterpol('Base CDI'!$H$4:$H$28,'Base CDI'!$I$4:$I$29,S5309,"Cubic","Extrapolate=Linear","MultiX=Average","Skip=True","Sort=True")</f>
        <v>14.318755129958959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51016</v>
      </c>
      <c r="T5310" s="43">
        <f ca="1">_xll.BInterpol('Base CDI'!$H$4:$H$28,'Base CDI'!$J$4:$J$29,S5310,"Cubic","Extrapolate=Linear","MultiX=Average","Skip=True","Sort=True")</f>
        <v>14.415768809849521</v>
      </c>
      <c r="U5310" s="43">
        <f ca="1">_xll.BInterpol('Base CDI'!$H$4:$H$28,'Base CDI'!$I$4:$I$29,S5310,"Cubic","Extrapolate=Linear","MultiX=Average","Skip=True","Sort=True")</f>
        <v>14.318502051983582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51017</v>
      </c>
      <c r="T5311" s="43">
        <f ca="1">_xll.BInterpol('Base CDI'!$H$4:$H$28,'Base CDI'!$J$4:$J$29,S5311,"Cubic","Extrapolate=Linear","MultiX=Average","Skip=True","Sort=True")</f>
        <v>14.41561559507524</v>
      </c>
      <c r="U5311" s="43">
        <f ca="1">_xll.BInterpol('Base CDI'!$H$4:$H$28,'Base CDI'!$I$4:$I$29,S5311,"Cubic","Extrapolate=Linear","MultiX=Average","Skip=True","Sort=True")</f>
        <v>14.318248974008206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51018</v>
      </c>
      <c r="T5312" s="43">
        <f ca="1">_xll.BInterpol('Base CDI'!$H$4:$H$28,'Base CDI'!$J$4:$J$29,S5312,"Cubic","Extrapolate=Linear","MultiX=Average","Skip=True","Sort=True")</f>
        <v>14.415462380300957</v>
      </c>
      <c r="U5312" s="43">
        <f ca="1">_xll.BInterpol('Base CDI'!$H$4:$H$28,'Base CDI'!$I$4:$I$29,S5312,"Cubic","Extrapolate=Linear","MultiX=Average","Skip=True","Sort=True")</f>
        <v>14.31799589603283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51019</v>
      </c>
      <c r="T5313" s="43">
        <f ca="1">_xll.BInterpol('Base CDI'!$H$4:$H$28,'Base CDI'!$J$4:$J$29,S5313,"Cubic","Extrapolate=Linear","MultiX=Average","Skip=True","Sort=True")</f>
        <v>14.415309165526676</v>
      </c>
      <c r="U5313" s="43">
        <f ca="1">_xll.BInterpol('Base CDI'!$H$4:$H$28,'Base CDI'!$I$4:$I$29,S5313,"Cubic","Extrapolate=Linear","MultiX=Average","Skip=True","Sort=True")</f>
        <v>14.317742818057454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51020</v>
      </c>
      <c r="T5314" s="43">
        <f ca="1">_xll.BInterpol('Base CDI'!$H$4:$H$28,'Base CDI'!$J$4:$J$29,S5314,"Cubic","Extrapolate=Linear","MultiX=Average","Skip=True","Sort=True")</f>
        <v>14.415155950752393</v>
      </c>
      <c r="U5314" s="43">
        <f ca="1">_xll.BInterpol('Base CDI'!$H$4:$H$28,'Base CDI'!$I$4:$I$29,S5314,"Cubic","Extrapolate=Linear","MultiX=Average","Skip=True","Sort=True")</f>
        <v>14.317489740082078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51021</v>
      </c>
      <c r="T5315" s="43">
        <f ca="1">_xll.BInterpol('Base CDI'!$H$4:$H$28,'Base CDI'!$J$4:$J$29,S5315,"Cubic","Extrapolate=Linear","MultiX=Average","Skip=True","Sort=True")</f>
        <v>14.415002735978112</v>
      </c>
      <c r="U5315" s="43">
        <f ca="1">_xll.BInterpol('Base CDI'!$H$4:$H$28,'Base CDI'!$I$4:$I$29,S5315,"Cubic","Extrapolate=Linear","MultiX=Average","Skip=True","Sort=True")</f>
        <v>14.317236662106701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51022</v>
      </c>
      <c r="T5316" s="43">
        <f ca="1">_xll.BInterpol('Base CDI'!$H$4:$H$28,'Base CDI'!$J$4:$J$29,S5316,"Cubic","Extrapolate=Linear","MultiX=Average","Skip=True","Sort=True")</f>
        <v>14.414849521203831</v>
      </c>
      <c r="U5316" s="43">
        <f ca="1">_xll.BInterpol('Base CDI'!$H$4:$H$28,'Base CDI'!$I$4:$I$29,S5316,"Cubic","Extrapolate=Linear","MultiX=Average","Skip=True","Sort=True")</f>
        <v>14.316983584131325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51023</v>
      </c>
      <c r="T5317" s="43">
        <f ca="1">_xll.BInterpol('Base CDI'!$H$4:$H$28,'Base CDI'!$J$4:$J$29,S5317,"Cubic","Extrapolate=Linear","MultiX=Average","Skip=True","Sort=True")</f>
        <v>14.414696306429548</v>
      </c>
      <c r="U5317" s="43">
        <f ca="1">_xll.BInterpol('Base CDI'!$H$4:$H$28,'Base CDI'!$I$4:$I$29,S5317,"Cubic","Extrapolate=Linear","MultiX=Average","Skip=True","Sort=True")</f>
        <v>14.316730506155949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51024</v>
      </c>
      <c r="T5318" s="43">
        <f ca="1">_xll.BInterpol('Base CDI'!$H$4:$H$28,'Base CDI'!$J$4:$J$29,S5318,"Cubic","Extrapolate=Linear","MultiX=Average","Skip=True","Sort=True")</f>
        <v>14.414543091655267</v>
      </c>
      <c r="U5318" s="43">
        <f ca="1">_xll.BInterpol('Base CDI'!$H$4:$H$28,'Base CDI'!$I$4:$I$29,S5318,"Cubic","Extrapolate=Linear","MultiX=Average","Skip=True","Sort=True")</f>
        <v>14.316477428180573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51025</v>
      </c>
      <c r="T5319" s="43">
        <f ca="1">_xll.BInterpol('Base CDI'!$H$4:$H$28,'Base CDI'!$J$4:$J$29,S5319,"Cubic","Extrapolate=Linear","MultiX=Average","Skip=True","Sort=True")</f>
        <v>14.414389876880984</v>
      </c>
      <c r="U5319" s="43">
        <f ca="1">_xll.BInterpol('Base CDI'!$H$4:$H$28,'Base CDI'!$I$4:$I$29,S5319,"Cubic","Extrapolate=Linear","MultiX=Average","Skip=True","Sort=True")</f>
        <v>14.316224350205196</v>
      </c>
    </row>
    <row r="5320" spans="16:21" x14ac:dyDescent="0.25">
      <c r="P5320" s="10">
        <v>42244</v>
      </c>
      <c r="Q5320">
        <v>38.48695</v>
      </c>
      <c r="S5320" s="42">
        <f t="shared" ca="1" si="87"/>
        <v>51026</v>
      </c>
      <c r="T5320" s="43">
        <f ca="1">_xll.BInterpol('Base CDI'!$H$4:$H$28,'Base CDI'!$J$4:$J$29,S5320,"Cubic","Extrapolate=Linear","MultiX=Average","Skip=True","Sort=True")</f>
        <v>14.414236662106703</v>
      </c>
      <c r="U5320" s="43">
        <f ca="1">_xll.BInterpol('Base CDI'!$H$4:$H$28,'Base CDI'!$I$4:$I$29,S5320,"Cubic","Extrapolate=Linear","MultiX=Average","Skip=True","Sort=True")</f>
        <v>14.31597127222982</v>
      </c>
    </row>
    <row r="5321" spans="16:21" x14ac:dyDescent="0.25">
      <c r="P5321" s="10">
        <v>42247</v>
      </c>
      <c r="Q5321">
        <v>38.50714</v>
      </c>
      <c r="S5321" s="42">
        <f t="shared" ca="1" si="87"/>
        <v>51027</v>
      </c>
      <c r="T5321" s="43">
        <f ca="1">_xll.BInterpol('Base CDI'!$H$4:$H$28,'Base CDI'!$J$4:$J$29,S5321,"Cubic","Extrapolate=Linear","MultiX=Average","Skip=True","Sort=True")</f>
        <v>14.414083447332422</v>
      </c>
      <c r="U5321" s="43">
        <f ca="1">_xll.BInterpol('Base CDI'!$H$4:$H$28,'Base CDI'!$I$4:$I$29,S5321,"Cubic","Extrapolate=Linear","MultiX=Average","Skip=True","Sort=True")</f>
        <v>14.315718194254444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51028</v>
      </c>
      <c r="T5322" s="43">
        <f ca="1">_xll.BInterpol('Base CDI'!$H$4:$H$28,'Base CDI'!$J$4:$J$29,S5322,"Cubic","Extrapolate=Linear","MultiX=Average","Skip=True","Sort=True")</f>
        <v>14.413930232558139</v>
      </c>
      <c r="U5322" s="43">
        <f ca="1">_xll.BInterpol('Base CDI'!$H$4:$H$28,'Base CDI'!$I$4:$I$29,S5322,"Cubic","Extrapolate=Linear","MultiX=Average","Skip=True","Sort=True")</f>
        <v>14.315465116279068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51029</v>
      </c>
      <c r="T5323" s="43">
        <f ca="1">_xll.BInterpol('Base CDI'!$H$4:$H$28,'Base CDI'!$J$4:$J$29,S5323,"Cubic","Extrapolate=Linear","MultiX=Average","Skip=True","Sort=True")</f>
        <v>14.413777017783858</v>
      </c>
      <c r="U5323" s="43">
        <f ca="1">_xll.BInterpol('Base CDI'!$H$4:$H$28,'Base CDI'!$I$4:$I$29,S5323,"Cubic","Extrapolate=Linear","MultiX=Average","Skip=True","Sort=True")</f>
        <v>14.315212038303692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51030</v>
      </c>
      <c r="T5324" s="43">
        <f ca="1">_xll.BInterpol('Base CDI'!$H$4:$H$28,'Base CDI'!$J$4:$J$29,S5324,"Cubic","Extrapolate=Linear","MultiX=Average","Skip=True","Sort=True")</f>
        <v>14.413623803009575</v>
      </c>
      <c r="U5324" s="43">
        <f ca="1">_xll.BInterpol('Base CDI'!$H$4:$H$28,'Base CDI'!$I$4:$I$29,S5324,"Cubic","Extrapolate=Linear","MultiX=Average","Skip=True","Sort=True")</f>
        <v>14.314958960328315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51031</v>
      </c>
      <c r="T5325" s="43">
        <f ca="1">_xll.BInterpol('Base CDI'!$H$4:$H$28,'Base CDI'!$J$4:$J$29,S5325,"Cubic","Extrapolate=Linear","MultiX=Average","Skip=True","Sort=True")</f>
        <v>14.413470588235294</v>
      </c>
      <c r="U5325" s="43">
        <f ca="1">_xll.BInterpol('Base CDI'!$H$4:$H$28,'Base CDI'!$I$4:$I$29,S5325,"Cubic","Extrapolate=Linear","MultiX=Average","Skip=True","Sort=True")</f>
        <v>14.314705882352939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51032</v>
      </c>
      <c r="T5326" s="43">
        <f ca="1">_xll.BInterpol('Base CDI'!$H$4:$H$28,'Base CDI'!$J$4:$J$29,S5326,"Cubic","Extrapolate=Linear","MultiX=Average","Skip=True","Sort=True")</f>
        <v>14.413317373461012</v>
      </c>
      <c r="U5326" s="43">
        <f ca="1">_xll.BInterpol('Base CDI'!$H$4:$H$28,'Base CDI'!$I$4:$I$29,S5326,"Cubic","Extrapolate=Linear","MultiX=Average","Skip=True","Sort=True")</f>
        <v>14.314452804377563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51033</v>
      </c>
      <c r="T5327" s="43">
        <f ca="1">_xll.BInterpol('Base CDI'!$H$4:$H$28,'Base CDI'!$J$4:$J$29,S5327,"Cubic","Extrapolate=Linear","MultiX=Average","Skip=True","Sort=True")</f>
        <v>14.41316415868673</v>
      </c>
      <c r="U5327" s="43">
        <f ca="1">_xll.BInterpol('Base CDI'!$H$4:$H$28,'Base CDI'!$I$4:$I$29,S5327,"Cubic","Extrapolate=Linear","MultiX=Average","Skip=True","Sort=True")</f>
        <v>14.314199726402187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51034</v>
      </c>
      <c r="T5328" s="43">
        <f ca="1">_xll.BInterpol('Base CDI'!$H$4:$H$28,'Base CDI'!$J$4:$J$29,S5328,"Cubic","Extrapolate=Linear","MultiX=Average","Skip=True","Sort=True")</f>
        <v>14.413010943912449</v>
      </c>
      <c r="U5328" s="43">
        <f ca="1">_xll.BInterpol('Base CDI'!$H$4:$H$28,'Base CDI'!$I$4:$I$29,S5328,"Cubic","Extrapolate=Linear","MultiX=Average","Skip=True","Sort=True")</f>
        <v>14.313946648426811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51035</v>
      </c>
      <c r="T5329" s="43">
        <f ca="1">_xll.BInterpol('Base CDI'!$H$4:$H$28,'Base CDI'!$J$4:$J$29,S5329,"Cubic","Extrapolate=Linear","MultiX=Average","Skip=True","Sort=True")</f>
        <v>14.412857729138166</v>
      </c>
      <c r="U5329" s="43">
        <f ca="1">_xll.BInterpol('Base CDI'!$H$4:$H$28,'Base CDI'!$I$4:$I$29,S5329,"Cubic","Extrapolate=Linear","MultiX=Average","Skip=True","Sort=True")</f>
        <v>14.313693570451436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51036</v>
      </c>
      <c r="T5330" s="43">
        <f ca="1">_xll.BInterpol('Base CDI'!$H$4:$H$28,'Base CDI'!$J$4:$J$29,S5330,"Cubic","Extrapolate=Linear","MultiX=Average","Skip=True","Sort=True")</f>
        <v>14.412704514363885</v>
      </c>
      <c r="U5330" s="43">
        <f ca="1">_xll.BInterpol('Base CDI'!$H$4:$H$28,'Base CDI'!$I$4:$I$29,S5330,"Cubic","Extrapolate=Linear","MultiX=Average","Skip=True","Sort=True")</f>
        <v>14.313440492476058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51037</v>
      </c>
      <c r="T5331" s="43">
        <f ca="1">_xll.BInterpol('Base CDI'!$H$4:$H$28,'Base CDI'!$J$4:$J$29,S5331,"Cubic","Extrapolate=Linear","MultiX=Average","Skip=True","Sort=True")</f>
        <v>14.412551299589603</v>
      </c>
      <c r="U5331" s="43">
        <f ca="1">_xll.BInterpol('Base CDI'!$H$4:$H$28,'Base CDI'!$I$4:$I$29,S5331,"Cubic","Extrapolate=Linear","MultiX=Average","Skip=True","Sort=True")</f>
        <v>14.313187414500684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51038</v>
      </c>
      <c r="T5332" s="43">
        <f ca="1">_xll.BInterpol('Base CDI'!$H$4:$H$28,'Base CDI'!$J$4:$J$29,S5332,"Cubic","Extrapolate=Linear","MultiX=Average","Skip=True","Sort=True")</f>
        <v>14.412398084815321</v>
      </c>
      <c r="U5332" s="43">
        <f ca="1">_xll.BInterpol('Base CDI'!$H$4:$H$28,'Base CDI'!$I$4:$I$29,S5332,"Cubic","Extrapolate=Linear","MultiX=Average","Skip=True","Sort=True")</f>
        <v>14.312934336525307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51039</v>
      </c>
      <c r="T5333" s="43">
        <f ca="1">_xll.BInterpol('Base CDI'!$H$4:$H$28,'Base CDI'!$J$4:$J$29,S5333,"Cubic","Extrapolate=Linear","MultiX=Average","Skip=True","Sort=True")</f>
        <v>14.412244870041039</v>
      </c>
      <c r="U5333" s="43">
        <f ca="1">_xll.BInterpol('Base CDI'!$H$4:$H$28,'Base CDI'!$I$4:$I$29,S5333,"Cubic","Extrapolate=Linear","MultiX=Average","Skip=True","Sort=True")</f>
        <v>14.312681258549931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51040</v>
      </c>
      <c r="T5334" s="43">
        <f ca="1">_xll.BInterpol('Base CDI'!$H$4:$H$28,'Base CDI'!$J$4:$J$29,S5334,"Cubic","Extrapolate=Linear","MultiX=Average","Skip=True","Sort=True")</f>
        <v>14.412091655266757</v>
      </c>
      <c r="U5334" s="43">
        <f ca="1">_xll.BInterpol('Base CDI'!$H$4:$H$28,'Base CDI'!$I$4:$I$29,S5334,"Cubic","Extrapolate=Linear","MultiX=Average","Skip=True","Sort=True")</f>
        <v>14.312428180574555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51041</v>
      </c>
      <c r="T5335" s="43">
        <f ca="1">_xll.BInterpol('Base CDI'!$H$4:$H$28,'Base CDI'!$J$4:$J$29,S5335,"Cubic","Extrapolate=Linear","MultiX=Average","Skip=True","Sort=True")</f>
        <v>14.411938440492476</v>
      </c>
      <c r="U5335" s="43">
        <f ca="1">_xll.BInterpol('Base CDI'!$H$4:$H$28,'Base CDI'!$I$4:$I$29,S5335,"Cubic","Extrapolate=Linear","MultiX=Average","Skip=True","Sort=True")</f>
        <v>14.312175102599179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51042</v>
      </c>
      <c r="T5336" s="43">
        <f ca="1">_xll.BInterpol('Base CDI'!$H$4:$H$28,'Base CDI'!$J$4:$J$29,S5336,"Cubic","Extrapolate=Linear","MultiX=Average","Skip=True","Sort=True")</f>
        <v>14.411785225718194</v>
      </c>
      <c r="U5336" s="43">
        <f ca="1">_xll.BInterpol('Base CDI'!$H$4:$H$28,'Base CDI'!$I$4:$I$29,S5336,"Cubic","Extrapolate=Linear","MultiX=Average","Skip=True","Sort=True")</f>
        <v>14.311922024623803</v>
      </c>
    </row>
    <row r="5337" spans="16:21" x14ac:dyDescent="0.25">
      <c r="P5337" s="10">
        <v>42270</v>
      </c>
      <c r="Q5337">
        <v>38.83164</v>
      </c>
      <c r="S5337" s="42">
        <f t="shared" ca="1" si="88"/>
        <v>51043</v>
      </c>
      <c r="T5337" s="43">
        <f ca="1">_xll.BInterpol('Base CDI'!$H$4:$H$28,'Base CDI'!$J$4:$J$29,S5337,"Cubic","Extrapolate=Linear","MultiX=Average","Skip=True","Sort=True")</f>
        <v>14.411632010943912</v>
      </c>
      <c r="U5337" s="43">
        <f ca="1">_xll.BInterpol('Base CDI'!$H$4:$H$28,'Base CDI'!$I$4:$I$29,S5337,"Cubic","Extrapolate=Linear","MultiX=Average","Skip=True","Sort=True")</f>
        <v>14.311668946648426</v>
      </c>
    </row>
    <row r="5338" spans="16:21" x14ac:dyDescent="0.25">
      <c r="P5338" s="10">
        <v>42271</v>
      </c>
      <c r="Q5338">
        <v>38.85201</v>
      </c>
      <c r="S5338" s="42">
        <f t="shared" ca="1" si="88"/>
        <v>51044</v>
      </c>
      <c r="T5338" s="43">
        <f ca="1">_xll.BInterpol('Base CDI'!$H$4:$H$28,'Base CDI'!$J$4:$J$29,S5338,"Cubic","Extrapolate=Linear","MultiX=Average","Skip=True","Sort=True")</f>
        <v>14.41147879616963</v>
      </c>
      <c r="U5338" s="43">
        <f ca="1">_xll.BInterpol('Base CDI'!$H$4:$H$28,'Base CDI'!$I$4:$I$29,S5338,"Cubic","Extrapolate=Linear","MultiX=Average","Skip=True","Sort=True")</f>
        <v>14.31141586867305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51045</v>
      </c>
      <c r="T5339" s="43">
        <f ca="1">_xll.BInterpol('Base CDI'!$H$4:$H$28,'Base CDI'!$J$4:$J$29,S5339,"Cubic","Extrapolate=Linear","MultiX=Average","Skip=True","Sort=True")</f>
        <v>14.411325581395348</v>
      </c>
      <c r="U5339" s="43">
        <f ca="1">_xll.BInterpol('Base CDI'!$H$4:$H$28,'Base CDI'!$I$4:$I$29,S5339,"Cubic","Extrapolate=Linear","MultiX=Average","Skip=True","Sort=True")</f>
        <v>14.311162790697674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51046</v>
      </c>
      <c r="T5340" s="43">
        <f ca="1">_xll.BInterpol('Base CDI'!$H$4:$H$28,'Base CDI'!$J$4:$J$29,S5340,"Cubic","Extrapolate=Linear","MultiX=Average","Skip=True","Sort=True")</f>
        <v>14.411172366621066</v>
      </c>
      <c r="U5340" s="43">
        <f ca="1">_xll.BInterpol('Base CDI'!$H$4:$H$28,'Base CDI'!$I$4:$I$29,S5340,"Cubic","Extrapolate=Linear","MultiX=Average","Skip=True","Sort=True")</f>
        <v>14.310909712722298</v>
      </c>
    </row>
    <row r="5341" spans="16:21" x14ac:dyDescent="0.25">
      <c r="P5341" s="10">
        <v>42276</v>
      </c>
      <c r="Q5341">
        <v>38.91319</v>
      </c>
      <c r="S5341" s="42">
        <f t="shared" ca="1" si="88"/>
        <v>51047</v>
      </c>
      <c r="T5341" s="43">
        <f ca="1">_xll.BInterpol('Base CDI'!$H$4:$H$28,'Base CDI'!$J$4:$J$29,S5341,"Cubic","Extrapolate=Linear","MultiX=Average","Skip=True","Sort=True")</f>
        <v>14.411019151846785</v>
      </c>
      <c r="U5341" s="43">
        <f ca="1">_xll.BInterpol('Base CDI'!$H$4:$H$28,'Base CDI'!$I$4:$I$29,S5341,"Cubic","Extrapolate=Linear","MultiX=Average","Skip=True","Sort=True")</f>
        <v>14.310656634746922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51048</v>
      </c>
      <c r="T5342" s="43">
        <f ca="1">_xll.BInterpol('Base CDI'!$H$4:$H$28,'Base CDI'!$J$4:$J$29,S5342,"Cubic","Extrapolate=Linear","MultiX=Average","Skip=True","Sort=True")</f>
        <v>14.410865937072503</v>
      </c>
      <c r="U5342" s="43">
        <f ca="1">_xll.BInterpol('Base CDI'!$H$4:$H$28,'Base CDI'!$I$4:$I$29,S5342,"Cubic","Extrapolate=Linear","MultiX=Average","Skip=True","Sort=True")</f>
        <v>14.310403556771545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51049</v>
      </c>
      <c r="T5343" s="43">
        <f ca="1">_xll.BInterpol('Base CDI'!$H$4:$H$28,'Base CDI'!$J$4:$J$29,S5343,"Cubic","Extrapolate=Linear","MultiX=Average","Skip=True","Sort=True")</f>
        <v>14.410712722298221</v>
      </c>
      <c r="U5343" s="43">
        <f ca="1">_xll.BInterpol('Base CDI'!$H$4:$H$28,'Base CDI'!$I$4:$I$29,S5343,"Cubic","Extrapolate=Linear","MultiX=Average","Skip=True","Sort=True")</f>
        <v>14.310150478796169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51050</v>
      </c>
      <c r="T5344" s="43">
        <f ca="1">_xll.BInterpol('Base CDI'!$H$4:$H$28,'Base CDI'!$J$4:$J$29,S5344,"Cubic","Extrapolate=Linear","MultiX=Average","Skip=True","Sort=True")</f>
        <v>14.410559507523939</v>
      </c>
      <c r="U5344" s="43">
        <f ca="1">_xll.BInterpol('Base CDI'!$H$4:$H$28,'Base CDI'!$I$4:$I$29,S5344,"Cubic","Extrapolate=Linear","MultiX=Average","Skip=True","Sort=True")</f>
        <v>14.309897400820793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51051</v>
      </c>
      <c r="T5345" s="43">
        <f ca="1">_xll.BInterpol('Base CDI'!$H$4:$H$28,'Base CDI'!$J$4:$J$29,S5345,"Cubic","Extrapolate=Linear","MultiX=Average","Skip=True","Sort=True")</f>
        <v>14.410406292749657</v>
      </c>
      <c r="U5345" s="43">
        <f ca="1">_xll.BInterpol('Base CDI'!$H$4:$H$28,'Base CDI'!$I$4:$I$29,S5345,"Cubic","Extrapolate=Linear","MultiX=Average","Skip=True","Sort=True")</f>
        <v>14.309644322845417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51052</v>
      </c>
      <c r="T5346" s="43">
        <f ca="1">_xll.BInterpol('Base CDI'!$H$4:$H$28,'Base CDI'!$J$4:$J$29,S5346,"Cubic","Extrapolate=Linear","MultiX=Average","Skip=True","Sort=True")</f>
        <v>14.410253077975376</v>
      </c>
      <c r="U5346" s="43">
        <f ca="1">_xll.BInterpol('Base CDI'!$H$4:$H$28,'Base CDI'!$I$4:$I$29,S5346,"Cubic","Extrapolate=Linear","MultiX=Average","Skip=True","Sort=True")</f>
        <v>14.30939124487004</v>
      </c>
    </row>
    <row r="5347" spans="16:21" x14ac:dyDescent="0.25">
      <c r="P5347" s="10">
        <v>42284</v>
      </c>
      <c r="Q5347">
        <v>39.03584</v>
      </c>
      <c r="S5347" s="42">
        <f t="shared" ca="1" si="88"/>
        <v>51053</v>
      </c>
      <c r="T5347" s="43">
        <f ca="1">_xll.BInterpol('Base CDI'!$H$4:$H$28,'Base CDI'!$J$4:$J$29,S5347,"Cubic","Extrapolate=Linear","MultiX=Average","Skip=True","Sort=True")</f>
        <v>14.410099863201093</v>
      </c>
      <c r="U5347" s="43">
        <f ca="1">_xll.BInterpol('Base CDI'!$H$4:$H$28,'Base CDI'!$I$4:$I$29,S5347,"Cubic","Extrapolate=Linear","MultiX=Average","Skip=True","Sort=True")</f>
        <v>14.309138166894664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51054</v>
      </c>
      <c r="T5348" s="43">
        <f ca="1">_xll.BInterpol('Base CDI'!$H$4:$H$28,'Base CDI'!$J$4:$J$29,S5348,"Cubic","Extrapolate=Linear","MultiX=Average","Skip=True","Sort=True")</f>
        <v>14.409946648426812</v>
      </c>
      <c r="U5348" s="43">
        <f ca="1">_xll.BInterpol('Base CDI'!$H$4:$H$28,'Base CDI'!$I$4:$I$29,S5348,"Cubic","Extrapolate=Linear","MultiX=Average","Skip=True","Sort=True")</f>
        <v>14.308885088919288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51055</v>
      </c>
      <c r="T5349" s="43">
        <f ca="1">_xll.BInterpol('Base CDI'!$H$4:$H$28,'Base CDI'!$J$4:$J$29,S5349,"Cubic","Extrapolate=Linear","MultiX=Average","Skip=True","Sort=True")</f>
        <v>14.40979343365253</v>
      </c>
      <c r="U5349" s="43">
        <f ca="1">_xll.BInterpol('Base CDI'!$H$4:$H$28,'Base CDI'!$I$4:$I$29,S5349,"Cubic","Extrapolate=Linear","MultiX=Average","Skip=True","Sort=True")</f>
        <v>14.308632010943912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51056</v>
      </c>
      <c r="T5350" s="43">
        <f ca="1">_xll.BInterpol('Base CDI'!$H$4:$H$28,'Base CDI'!$J$4:$J$29,S5350,"Cubic","Extrapolate=Linear","MultiX=Average","Skip=True","Sort=True")</f>
        <v>14.409640218878248</v>
      </c>
      <c r="U5350" s="43">
        <f ca="1">_xll.BInterpol('Base CDI'!$H$4:$H$28,'Base CDI'!$I$4:$I$29,S5350,"Cubic","Extrapolate=Linear","MultiX=Average","Skip=True","Sort=True")</f>
        <v>14.308378932968536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51057</v>
      </c>
      <c r="T5351" s="43">
        <f ca="1">_xll.BInterpol('Base CDI'!$H$4:$H$28,'Base CDI'!$J$4:$J$29,S5351,"Cubic","Extrapolate=Linear","MultiX=Average","Skip=True","Sort=True")</f>
        <v>14.409487004103967</v>
      </c>
      <c r="U5351" s="43">
        <f ca="1">_xll.BInterpol('Base CDI'!$H$4:$H$28,'Base CDI'!$I$4:$I$29,S5351,"Cubic","Extrapolate=Linear","MultiX=Average","Skip=True","Sort=True")</f>
        <v>14.308125854993159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51058</v>
      </c>
      <c r="T5352" s="43">
        <f ca="1">_xll.BInterpol('Base CDI'!$H$4:$H$28,'Base CDI'!$J$4:$J$29,S5352,"Cubic","Extrapolate=Linear","MultiX=Average","Skip=True","Sort=True")</f>
        <v>14.409333789329684</v>
      </c>
      <c r="U5352" s="43">
        <f ca="1">_xll.BInterpol('Base CDI'!$H$4:$H$28,'Base CDI'!$I$4:$I$29,S5352,"Cubic","Extrapolate=Linear","MultiX=Average","Skip=True","Sort=True")</f>
        <v>14.307872777017783</v>
      </c>
    </row>
    <row r="5353" spans="16:21" x14ac:dyDescent="0.25">
      <c r="P5353" s="10">
        <v>42293</v>
      </c>
      <c r="Q5353">
        <v>39.15887</v>
      </c>
      <c r="S5353" s="42">
        <f t="shared" ca="1" si="88"/>
        <v>51059</v>
      </c>
      <c r="T5353" s="43">
        <f ca="1">_xll.BInterpol('Base CDI'!$H$4:$H$28,'Base CDI'!$J$4:$J$29,S5353,"Cubic","Extrapolate=Linear","MultiX=Average","Skip=True","Sort=True")</f>
        <v>14.409180574555403</v>
      </c>
      <c r="U5353" s="43">
        <f ca="1">_xll.BInterpol('Base CDI'!$H$4:$H$28,'Base CDI'!$I$4:$I$29,S5353,"Cubic","Extrapolate=Linear","MultiX=Average","Skip=True","Sort=True")</f>
        <v>14.307619699042407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51060</v>
      </c>
      <c r="T5354" s="43">
        <f ca="1">_xll.BInterpol('Base CDI'!$H$4:$H$28,'Base CDI'!$J$4:$J$29,S5354,"Cubic","Extrapolate=Linear","MultiX=Average","Skip=True","Sort=True")</f>
        <v>14.40902735978112</v>
      </c>
      <c r="U5354" s="43">
        <f ca="1">_xll.BInterpol('Base CDI'!$H$4:$H$28,'Base CDI'!$I$4:$I$29,S5354,"Cubic","Extrapolate=Linear","MultiX=Average","Skip=True","Sort=True")</f>
        <v>14.307366621067031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51061</v>
      </c>
      <c r="T5355" s="43">
        <f ca="1">_xll.BInterpol('Base CDI'!$H$4:$H$28,'Base CDI'!$J$4:$J$29,S5355,"Cubic","Extrapolate=Linear","MultiX=Average","Skip=True","Sort=True")</f>
        <v>14.408874145006839</v>
      </c>
      <c r="U5355" s="43">
        <f ca="1">_xll.BInterpol('Base CDI'!$H$4:$H$28,'Base CDI'!$I$4:$I$29,S5355,"Cubic","Extrapolate=Linear","MultiX=Average","Skip=True","Sort=True")</f>
        <v>14.307113543091655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51062</v>
      </c>
      <c r="T5356" s="43">
        <f ca="1">_xll.BInterpol('Base CDI'!$H$4:$H$28,'Base CDI'!$J$4:$J$29,S5356,"Cubic","Extrapolate=Linear","MultiX=Average","Skip=True","Sort=True")</f>
        <v>14.408720930232558</v>
      </c>
      <c r="U5356" s="43">
        <f ca="1">_xll.BInterpol('Base CDI'!$H$4:$H$28,'Base CDI'!$I$4:$I$29,S5356,"Cubic","Extrapolate=Linear","MultiX=Average","Skip=True","Sort=True")</f>
        <v>14.306860465116278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51063</v>
      </c>
      <c r="T5357" s="43">
        <f ca="1">_xll.BInterpol('Base CDI'!$H$4:$H$28,'Base CDI'!$J$4:$J$29,S5357,"Cubic","Extrapolate=Linear","MultiX=Average","Skip=True","Sort=True")</f>
        <v>14.408567715458275</v>
      </c>
      <c r="U5357" s="43">
        <f ca="1">_xll.BInterpol('Base CDI'!$H$4:$H$28,'Base CDI'!$I$4:$I$29,S5357,"Cubic","Extrapolate=Linear","MultiX=Average","Skip=True","Sort=True")</f>
        <v>14.306607387140902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51064</v>
      </c>
      <c r="T5358" s="43">
        <f ca="1">_xll.BInterpol('Base CDI'!$H$4:$H$28,'Base CDI'!$J$4:$J$29,S5358,"Cubic","Extrapolate=Linear","MultiX=Average","Skip=True","Sort=True")</f>
        <v>14.408414500683994</v>
      </c>
      <c r="U5358" s="43">
        <f ca="1">_xll.BInterpol('Base CDI'!$H$4:$H$28,'Base CDI'!$I$4:$I$29,S5358,"Cubic","Extrapolate=Linear","MultiX=Average","Skip=True","Sort=True")</f>
        <v>14.306354309165526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51065</v>
      </c>
      <c r="T5359" s="43">
        <f ca="1">_xll.BInterpol('Base CDI'!$H$4:$H$28,'Base CDI'!$J$4:$J$29,S5359,"Cubic","Extrapolate=Linear","MultiX=Average","Skip=True","Sort=True")</f>
        <v>14.408261285909711</v>
      </c>
      <c r="U5359" s="43">
        <f ca="1">_xll.BInterpol('Base CDI'!$H$4:$H$28,'Base CDI'!$I$4:$I$29,S5359,"Cubic","Extrapolate=Linear","MultiX=Average","Skip=True","Sort=True")</f>
        <v>14.30610123119015</v>
      </c>
    </row>
    <row r="5360" spans="16:21" x14ac:dyDescent="0.25">
      <c r="P5360" s="10">
        <v>42304</v>
      </c>
      <c r="Q5360">
        <v>39.30294</v>
      </c>
      <c r="S5360" s="42">
        <f t="shared" ca="1" si="88"/>
        <v>51066</v>
      </c>
      <c r="T5360" s="43">
        <f ca="1">_xll.BInterpol('Base CDI'!$H$4:$H$28,'Base CDI'!$J$4:$J$29,S5360,"Cubic","Extrapolate=Linear","MultiX=Average","Skip=True","Sort=True")</f>
        <v>14.40810807113543</v>
      </c>
      <c r="U5360" s="43">
        <f ca="1">_xll.BInterpol('Base CDI'!$H$4:$H$28,'Base CDI'!$I$4:$I$29,S5360,"Cubic","Extrapolate=Linear","MultiX=Average","Skip=True","Sort=True")</f>
        <v>14.305848153214773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51067</v>
      </c>
      <c r="T5361" s="43">
        <f ca="1">_xll.BInterpol('Base CDI'!$H$4:$H$28,'Base CDI'!$J$4:$J$29,S5361,"Cubic","Extrapolate=Linear","MultiX=Average","Skip=True","Sort=True")</f>
        <v>14.407954856361149</v>
      </c>
      <c r="U5361" s="43">
        <f ca="1">_xll.BInterpol('Base CDI'!$H$4:$H$28,'Base CDI'!$I$4:$I$29,S5361,"Cubic","Extrapolate=Linear","MultiX=Average","Skip=True","Sort=True")</f>
        <v>14.305595075239397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51068</v>
      </c>
      <c r="T5362" s="43">
        <f ca="1">_xll.BInterpol('Base CDI'!$H$4:$H$28,'Base CDI'!$J$4:$J$29,S5362,"Cubic","Extrapolate=Linear","MultiX=Average","Skip=True","Sort=True")</f>
        <v>14.407801641586866</v>
      </c>
      <c r="U5362" s="43">
        <f ca="1">_xll.BInterpol('Base CDI'!$H$4:$H$28,'Base CDI'!$I$4:$I$29,S5362,"Cubic","Extrapolate=Linear","MultiX=Average","Skip=True","Sort=True")</f>
        <v>14.305341997264021</v>
      </c>
    </row>
    <row r="5363" spans="16:21" x14ac:dyDescent="0.25">
      <c r="P5363" s="10">
        <v>42307</v>
      </c>
      <c r="Q5363">
        <v>39.36486</v>
      </c>
      <c r="S5363" s="42">
        <f t="shared" ca="1" si="88"/>
        <v>51069</v>
      </c>
      <c r="T5363" s="43">
        <f ca="1">_xll.BInterpol('Base CDI'!$H$4:$H$28,'Base CDI'!$J$4:$J$29,S5363,"Cubic","Extrapolate=Linear","MultiX=Average","Skip=True","Sort=True")</f>
        <v>14.407648426812585</v>
      </c>
      <c r="U5363" s="43">
        <f ca="1">_xll.BInterpol('Base CDI'!$H$4:$H$28,'Base CDI'!$I$4:$I$29,S5363,"Cubic","Extrapolate=Linear","MultiX=Average","Skip=True","Sort=True")</f>
        <v>14.305088919288645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51070</v>
      </c>
      <c r="T5364" s="43">
        <f ca="1">_xll.BInterpol('Base CDI'!$H$4:$H$28,'Base CDI'!$J$4:$J$29,S5364,"Cubic","Extrapolate=Linear","MultiX=Average","Skip=True","Sort=True")</f>
        <v>14.407495212038302</v>
      </c>
      <c r="U5364" s="43">
        <f ca="1">_xll.BInterpol('Base CDI'!$H$4:$H$28,'Base CDI'!$I$4:$I$29,S5364,"Cubic","Extrapolate=Linear","MultiX=Average","Skip=True","Sort=True")</f>
        <v>14.304835841313269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51071</v>
      </c>
      <c r="T5365" s="43">
        <f ca="1">_xll.BInterpol('Base CDI'!$H$4:$H$28,'Base CDI'!$J$4:$J$29,S5365,"Cubic","Extrapolate=Linear","MultiX=Average","Skip=True","Sort=True")</f>
        <v>14.407341997264021</v>
      </c>
      <c r="U5365" s="43">
        <f ca="1">_xll.BInterpol('Base CDI'!$H$4:$H$28,'Base CDI'!$I$4:$I$29,S5365,"Cubic","Extrapolate=Linear","MultiX=Average","Skip=True","Sort=True")</f>
        <v>14.304582763337892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51072</v>
      </c>
      <c r="T5366" s="43">
        <f ca="1">_xll.BInterpol('Base CDI'!$H$4:$H$28,'Base CDI'!$J$4:$J$29,S5366,"Cubic","Extrapolate=Linear","MultiX=Average","Skip=True","Sort=True")</f>
        <v>14.40718878248974</v>
      </c>
      <c r="U5366" s="43">
        <f ca="1">_xll.BInterpol('Base CDI'!$H$4:$H$28,'Base CDI'!$I$4:$I$29,S5366,"Cubic","Extrapolate=Linear","MultiX=Average","Skip=True","Sort=True")</f>
        <v>14.304329685362516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51073</v>
      </c>
      <c r="T5367" s="43">
        <f ca="1">_xll.BInterpol('Base CDI'!$H$4:$H$28,'Base CDI'!$J$4:$J$29,S5367,"Cubic","Extrapolate=Linear","MultiX=Average","Skip=True","Sort=True")</f>
        <v>14.407035567715457</v>
      </c>
      <c r="U5367" s="43">
        <f ca="1">_xll.BInterpol('Base CDI'!$H$4:$H$28,'Base CDI'!$I$4:$I$29,S5367,"Cubic","Extrapolate=Linear","MultiX=Average","Skip=True","Sort=True")</f>
        <v>14.30407660738714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51074</v>
      </c>
      <c r="T5368" s="43">
        <f ca="1">_xll.BInterpol('Base CDI'!$H$4:$H$28,'Base CDI'!$J$4:$J$29,S5368,"Cubic","Extrapolate=Linear","MultiX=Average","Skip=True","Sort=True")</f>
        <v>14.406882352941176</v>
      </c>
      <c r="U5368" s="43">
        <f ca="1">_xll.BInterpol('Base CDI'!$H$4:$H$28,'Base CDI'!$I$4:$I$29,S5368,"Cubic","Extrapolate=Linear","MultiX=Average","Skip=True","Sort=True")</f>
        <v>14.303823529411764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51075</v>
      </c>
      <c r="T5369" s="43">
        <f ca="1">_xll.BInterpol('Base CDI'!$H$4:$H$28,'Base CDI'!$J$4:$J$29,S5369,"Cubic","Extrapolate=Linear","MultiX=Average","Skip=True","Sort=True")</f>
        <v>14.406729138166893</v>
      </c>
      <c r="U5369" s="43">
        <f ca="1">_xll.BInterpol('Base CDI'!$H$4:$H$28,'Base CDI'!$I$4:$I$29,S5369,"Cubic","Extrapolate=Linear","MultiX=Average","Skip=True","Sort=True")</f>
        <v>14.303570451436388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51076</v>
      </c>
      <c r="T5370" s="43">
        <f ca="1">_xll.BInterpol('Base CDI'!$H$4:$H$28,'Base CDI'!$J$4:$J$29,S5370,"Cubic","Extrapolate=Linear","MultiX=Average","Skip=True","Sort=True")</f>
        <v>14.406575923392612</v>
      </c>
      <c r="U5370" s="43">
        <f ca="1">_xll.BInterpol('Base CDI'!$H$4:$H$28,'Base CDI'!$I$4:$I$29,S5370,"Cubic","Extrapolate=Linear","MultiX=Average","Skip=True","Sort=True")</f>
        <v>14.303317373461011</v>
      </c>
    </row>
    <row r="5371" spans="16:21" x14ac:dyDescent="0.25">
      <c r="P5371" s="10">
        <v>42320</v>
      </c>
      <c r="Q5371">
        <v>39.53049</v>
      </c>
      <c r="S5371" s="42">
        <f t="shared" ca="1" si="88"/>
        <v>51077</v>
      </c>
      <c r="T5371" s="43">
        <f ca="1">_xll.BInterpol('Base CDI'!$H$4:$H$28,'Base CDI'!$J$4:$J$29,S5371,"Cubic","Extrapolate=Linear","MultiX=Average","Skip=True","Sort=True")</f>
        <v>14.406422708618331</v>
      </c>
      <c r="U5371" s="43">
        <f ca="1">_xll.BInterpol('Base CDI'!$H$4:$H$28,'Base CDI'!$I$4:$I$29,S5371,"Cubic","Extrapolate=Linear","MultiX=Average","Skip=True","Sort=True")</f>
        <v>14.303064295485635</v>
      </c>
    </row>
    <row r="5372" spans="16:21" x14ac:dyDescent="0.25">
      <c r="P5372" s="10">
        <v>42321</v>
      </c>
      <c r="Q5372">
        <v>39.55124</v>
      </c>
      <c r="S5372" s="42">
        <f t="shared" ca="1" si="88"/>
        <v>51078</v>
      </c>
      <c r="T5372" s="43">
        <f ca="1">_xll.BInterpol('Base CDI'!$H$4:$H$28,'Base CDI'!$J$4:$J$29,S5372,"Cubic","Extrapolate=Linear","MultiX=Average","Skip=True","Sort=True")</f>
        <v>14.406269493844048</v>
      </c>
      <c r="U5372" s="43">
        <f ca="1">_xll.BInterpol('Base CDI'!$H$4:$H$28,'Base CDI'!$I$4:$I$29,S5372,"Cubic","Extrapolate=Linear","MultiX=Average","Skip=True","Sort=True")</f>
        <v>14.302811217510259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51079</v>
      </c>
      <c r="T5373" s="43">
        <f ca="1">_xll.BInterpol('Base CDI'!$H$4:$H$28,'Base CDI'!$J$4:$J$29,S5373,"Cubic","Extrapolate=Linear","MultiX=Average","Skip=True","Sort=True")</f>
        <v>14.406116279069767</v>
      </c>
      <c r="U5373" s="43">
        <f ca="1">_xll.BInterpol('Base CDI'!$H$4:$H$28,'Base CDI'!$I$4:$I$29,S5373,"Cubic","Extrapolate=Linear","MultiX=Average","Skip=True","Sort=True")</f>
        <v>14.302558139534883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51080</v>
      </c>
      <c r="T5374" s="43">
        <f ca="1">_xll.BInterpol('Base CDI'!$H$4:$H$28,'Base CDI'!$J$4:$J$29,S5374,"Cubic","Extrapolate=Linear","MultiX=Average","Skip=True","Sort=True")</f>
        <v>14.405963064295484</v>
      </c>
      <c r="U5374" s="43">
        <f ca="1">_xll.BInterpol('Base CDI'!$H$4:$H$28,'Base CDI'!$I$4:$I$29,S5374,"Cubic","Extrapolate=Linear","MultiX=Average","Skip=True","Sort=True")</f>
        <v>14.302305061559506</v>
      </c>
    </row>
    <row r="5375" spans="16:21" x14ac:dyDescent="0.25">
      <c r="P5375" s="10">
        <v>42326</v>
      </c>
      <c r="Q5375">
        <v>39.61356</v>
      </c>
      <c r="S5375" s="42">
        <f t="shared" ca="1" si="88"/>
        <v>51081</v>
      </c>
      <c r="T5375" s="43">
        <f ca="1">_xll.BInterpol('Base CDI'!$H$4:$H$28,'Base CDI'!$J$4:$J$29,S5375,"Cubic","Extrapolate=Linear","MultiX=Average","Skip=True","Sort=True")</f>
        <v>14.405809849521203</v>
      </c>
      <c r="U5375" s="43">
        <f ca="1">_xll.BInterpol('Base CDI'!$H$4:$H$28,'Base CDI'!$I$4:$I$29,S5375,"Cubic","Extrapolate=Linear","MultiX=Average","Skip=True","Sort=True")</f>
        <v>14.30205198358413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51082</v>
      </c>
      <c r="T5376" s="43">
        <f ca="1">_xll.BInterpol('Base CDI'!$H$4:$H$28,'Base CDI'!$J$4:$J$29,S5376,"Cubic","Extrapolate=Linear","MultiX=Average","Skip=True","Sort=True")</f>
        <v>14.405656634746922</v>
      </c>
      <c r="U5376" s="43">
        <f ca="1">_xll.BInterpol('Base CDI'!$H$4:$H$28,'Base CDI'!$I$4:$I$29,S5376,"Cubic","Extrapolate=Linear","MultiX=Average","Skip=True","Sort=True")</f>
        <v>14.301798905608754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51083</v>
      </c>
      <c r="T5377" s="43">
        <f ca="1">_xll.BInterpol('Base CDI'!$H$4:$H$28,'Base CDI'!$J$4:$J$29,S5377,"Cubic","Extrapolate=Linear","MultiX=Average","Skip=True","Sort=True")</f>
        <v>14.405503419972639</v>
      </c>
      <c r="U5377" s="43">
        <f ca="1">_xll.BInterpol('Base CDI'!$H$4:$H$28,'Base CDI'!$I$4:$I$29,S5377,"Cubic","Extrapolate=Linear","MultiX=Average","Skip=True","Sort=True")</f>
        <v>14.301545827633378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51084</v>
      </c>
      <c r="T5378" s="43">
        <f ca="1">_xll.BInterpol('Base CDI'!$H$4:$H$28,'Base CDI'!$J$4:$J$29,S5378,"Cubic","Extrapolate=Linear","MultiX=Average","Skip=True","Sort=True")</f>
        <v>14.405350205198358</v>
      </c>
      <c r="U5378" s="43">
        <f ca="1">_xll.BInterpol('Base CDI'!$H$4:$H$28,'Base CDI'!$I$4:$I$29,S5378,"Cubic","Extrapolate=Linear","MultiX=Average","Skip=True","Sort=True")</f>
        <v>14.301292749658002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51085</v>
      </c>
      <c r="T5379" s="43">
        <f ca="1">_xll.BInterpol('Base CDI'!$H$4:$H$28,'Base CDI'!$J$4:$J$29,S5379,"Cubic","Extrapolate=Linear","MultiX=Average","Skip=True","Sort=True")</f>
        <v>14.405196990424075</v>
      </c>
      <c r="U5379" s="43">
        <f ca="1">_xll.BInterpol('Base CDI'!$H$4:$H$28,'Base CDI'!$I$4:$I$29,S5379,"Cubic","Extrapolate=Linear","MultiX=Average","Skip=True","Sort=True")</f>
        <v>14.301039671682625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51086</v>
      </c>
      <c r="T5380" s="43">
        <f ca="1">_xll.BInterpol('Base CDI'!$H$4:$H$28,'Base CDI'!$J$4:$J$29,S5380,"Cubic","Extrapolate=Linear","MultiX=Average","Skip=True","Sort=True")</f>
        <v>14.405043775649794</v>
      </c>
      <c r="U5380" s="43">
        <f ca="1">_xll.BInterpol('Base CDI'!$H$4:$H$28,'Base CDI'!$I$4:$I$29,S5380,"Cubic","Extrapolate=Linear","MultiX=Average","Skip=True","Sort=True")</f>
        <v>14.300786593707249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51087</v>
      </c>
      <c r="T5381" s="43">
        <f ca="1">_xll.BInterpol('Base CDI'!$H$4:$H$28,'Base CDI'!$J$4:$J$29,S5381,"Cubic","Extrapolate=Linear","MultiX=Average","Skip=True","Sort=True")</f>
        <v>14.404890560875513</v>
      </c>
      <c r="U5381" s="43">
        <f ca="1">_xll.BInterpol('Base CDI'!$H$4:$H$28,'Base CDI'!$I$4:$I$29,S5381,"Cubic","Extrapolate=Linear","MultiX=Average","Skip=True","Sort=True")</f>
        <v>14.300533515731873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51088</v>
      </c>
      <c r="T5382" s="43">
        <f ca="1">_xll.BInterpol('Base CDI'!$H$4:$H$28,'Base CDI'!$J$4:$J$29,S5382,"Cubic","Extrapolate=Linear","MultiX=Average","Skip=True","Sort=True")</f>
        <v>14.40473734610123</v>
      </c>
      <c r="U5382" s="43">
        <f ca="1">_xll.BInterpol('Base CDI'!$H$4:$H$28,'Base CDI'!$I$4:$I$29,S5382,"Cubic","Extrapolate=Linear","MultiX=Average","Skip=True","Sort=True")</f>
        <v>14.300280437756497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51089</v>
      </c>
      <c r="T5383" s="43">
        <f ca="1">_xll.BInterpol('Base CDI'!$H$4:$H$28,'Base CDI'!$J$4:$J$29,S5383,"Cubic","Extrapolate=Linear","MultiX=Average","Skip=True","Sort=True")</f>
        <v>14.404584131326949</v>
      </c>
      <c r="U5383" s="43">
        <f ca="1">_xll.BInterpol('Base CDI'!$H$4:$H$28,'Base CDI'!$I$4:$I$29,S5383,"Cubic","Extrapolate=Linear","MultiX=Average","Skip=True","Sort=True")</f>
        <v>14.30002735978112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51090</v>
      </c>
      <c r="T5384" s="43">
        <f ca="1">_xll.BInterpol('Base CDI'!$H$4:$H$28,'Base CDI'!$J$4:$J$29,S5384,"Cubic","Extrapolate=Linear","MultiX=Average","Skip=True","Sort=True")</f>
        <v>14.404430916552666</v>
      </c>
      <c r="U5384" s="43">
        <f ca="1">_xll.BInterpol('Base CDI'!$H$4:$H$28,'Base CDI'!$I$4:$I$29,S5384,"Cubic","Extrapolate=Linear","MultiX=Average","Skip=True","Sort=True")</f>
        <v>14.299774281805744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51091</v>
      </c>
      <c r="T5385" s="43">
        <f ca="1">_xll.BInterpol('Base CDI'!$H$4:$H$28,'Base CDI'!$J$4:$J$29,S5385,"Cubic","Extrapolate=Linear","MultiX=Average","Skip=True","Sort=True")</f>
        <v>14.404277701778385</v>
      </c>
      <c r="U5385" s="43">
        <f ca="1">_xll.BInterpol('Base CDI'!$H$4:$H$28,'Base CDI'!$I$4:$I$29,S5385,"Cubic","Extrapolate=Linear","MultiX=Average","Skip=True","Sort=True")</f>
        <v>14.299521203830368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51092</v>
      </c>
      <c r="T5386" s="43">
        <f ca="1">_xll.BInterpol('Base CDI'!$H$4:$H$28,'Base CDI'!$J$4:$J$29,S5386,"Cubic","Extrapolate=Linear","MultiX=Average","Skip=True","Sort=True")</f>
        <v>14.404124487004104</v>
      </c>
      <c r="U5386" s="43">
        <f ca="1">_xll.BInterpol('Base CDI'!$H$4:$H$28,'Base CDI'!$I$4:$I$29,S5386,"Cubic","Extrapolate=Linear","MultiX=Average","Skip=True","Sort=True")</f>
        <v>14.299268125854992</v>
      </c>
    </row>
    <row r="5387" spans="16:21" x14ac:dyDescent="0.25">
      <c r="P5387" s="10">
        <v>42342</v>
      </c>
      <c r="Q5387">
        <v>39.86383</v>
      </c>
      <c r="S5387" s="42">
        <f ca="1">S5386+1</f>
        <v>51093</v>
      </c>
      <c r="T5387" s="43">
        <f ca="1">_xll.BInterpol('Base CDI'!$H$4:$H$28,'Base CDI'!$J$4:$J$29,S5387,"Cubic","Extrapolate=Linear","MultiX=Average","Skip=True","Sort=True")</f>
        <v>14.403971272229821</v>
      </c>
      <c r="U5387" s="43">
        <f ca="1">_xll.BInterpol('Base CDI'!$H$4:$H$28,'Base CDI'!$I$4:$I$29,S5387,"Cubic","Extrapolate=Linear","MultiX=Average","Skip=True","Sort=True")</f>
        <v>14.299015047879616</v>
      </c>
    </row>
    <row r="5388" spans="16:21" x14ac:dyDescent="0.25">
      <c r="P5388" s="10">
        <v>42345</v>
      </c>
      <c r="Q5388">
        <v>39.88476</v>
      </c>
      <c r="S5388" s="42">
        <f ca="1">S5387+1</f>
        <v>51094</v>
      </c>
      <c r="T5388" s="43">
        <f ca="1">_xll.BInterpol('Base CDI'!$H$4:$H$28,'Base CDI'!$J$4:$J$29,S5388,"Cubic","Extrapolate=Linear","MultiX=Average","Skip=True","Sort=True")</f>
        <v>14.40381805745554</v>
      </c>
      <c r="U5388" s="43">
        <f ca="1">_xll.BInterpol('Base CDI'!$H$4:$H$28,'Base CDI'!$I$4:$I$29,S5388,"Cubic","Extrapolate=Linear","MultiX=Average","Skip=True","Sort=True")</f>
        <v>14.298761969904239</v>
      </c>
    </row>
    <row r="5389" spans="16:21" x14ac:dyDescent="0.25">
      <c r="P5389" s="10">
        <v>42346</v>
      </c>
      <c r="Q5389">
        <v>39.905700000000003</v>
      </c>
      <c r="S5389" s="42">
        <f ca="1">S5388+1</f>
        <v>51095</v>
      </c>
      <c r="T5389" s="43">
        <f ca="1">_xll.BInterpol('Base CDI'!$H$4:$H$28,'Base CDI'!$J$4:$J$29,S5389,"Cubic","Extrapolate=Linear","MultiX=Average","Skip=True","Sort=True")</f>
        <v>14.403664842681257</v>
      </c>
      <c r="U5389" s="43">
        <f ca="1">_xll.BInterpol('Base CDI'!$H$4:$H$28,'Base CDI'!$I$4:$I$29,S5389,"Cubic","Extrapolate=Linear","MultiX=Average","Skip=True","Sort=True")</f>
        <v>14.298508891928863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/>
    </row>
    <row r="7706" spans="16:17" x14ac:dyDescent="0.25">
      <c r="P7706" s="10"/>
    </row>
    <row r="7707" spans="16:17" x14ac:dyDescent="0.25">
      <c r="P7707" s="10"/>
    </row>
    <row r="7708" spans="16:17" x14ac:dyDescent="0.25">
      <c r="P7708" s="10"/>
    </row>
    <row r="7709" spans="16:17" x14ac:dyDescent="0.25">
      <c r="P7709" s="10"/>
    </row>
    <row r="7710" spans="16:17" x14ac:dyDescent="0.25">
      <c r="P7710" s="10"/>
    </row>
    <row r="7711" spans="16:17" x14ac:dyDescent="0.25">
      <c r="P7711" s="10"/>
    </row>
    <row r="7712" spans="16:17" x14ac:dyDescent="0.25">
      <c r="P7712" s="10"/>
    </row>
    <row r="7713" spans="16:16" x14ac:dyDescent="0.25">
      <c r="P7713" s="10"/>
    </row>
    <row r="7714" spans="16:16" x14ac:dyDescent="0.25">
      <c r="P7714" s="10"/>
    </row>
    <row r="7715" spans="16:16" x14ac:dyDescent="0.25">
      <c r="P7715" s="10"/>
    </row>
    <row r="7716" spans="16:16" x14ac:dyDescent="0.25">
      <c r="P7716" s="10"/>
    </row>
    <row r="7717" spans="16:16" x14ac:dyDescent="0.25">
      <c r="P7717" s="10"/>
    </row>
    <row r="7718" spans="16:16" x14ac:dyDescent="0.25">
      <c r="P7718" s="10"/>
    </row>
    <row r="7719" spans="16:16" x14ac:dyDescent="0.25">
      <c r="P7719" s="10"/>
    </row>
    <row r="7720" spans="16:16" x14ac:dyDescent="0.25">
      <c r="P7720" s="10"/>
    </row>
    <row r="7721" spans="16:16" x14ac:dyDescent="0.25">
      <c r="P7721" s="10"/>
    </row>
    <row r="7722" spans="16:16" x14ac:dyDescent="0.25">
      <c r="P7722" s="10"/>
    </row>
    <row r="7723" spans="16:16" x14ac:dyDescent="0.25">
      <c r="P7723" s="10"/>
    </row>
    <row r="7724" spans="16:16" x14ac:dyDescent="0.25">
      <c r="P7724" s="10"/>
    </row>
    <row r="7725" spans="16:16" x14ac:dyDescent="0.25">
      <c r="P7725" s="10"/>
    </row>
    <row r="7726" spans="16:16" x14ac:dyDescent="0.25">
      <c r="P7726" s="10"/>
    </row>
    <row r="7727" spans="16:16" x14ac:dyDescent="0.25">
      <c r="P7727" s="10"/>
    </row>
    <row r="7728" spans="16:16" x14ac:dyDescent="0.25">
      <c r="P7728" s="10"/>
    </row>
    <row r="7729" spans="16:16" x14ac:dyDescent="0.25">
      <c r="P7729" s="10"/>
    </row>
    <row r="7730" spans="16:16" x14ac:dyDescent="0.25">
      <c r="P7730" s="10"/>
    </row>
    <row r="7731" spans="16:16" x14ac:dyDescent="0.25">
      <c r="P7731" s="10"/>
    </row>
    <row r="7732" spans="16:16" x14ac:dyDescent="0.25">
      <c r="P7732" s="10"/>
    </row>
    <row r="7733" spans="16:16" x14ac:dyDescent="0.25">
      <c r="P7733" s="10"/>
    </row>
    <row r="7734" spans="16:16" x14ac:dyDescent="0.25">
      <c r="P7734" s="10"/>
    </row>
    <row r="7735" spans="16:16" x14ac:dyDescent="0.25">
      <c r="P7735" s="10"/>
    </row>
    <row r="7736" spans="16:16" x14ac:dyDescent="0.25">
      <c r="P7736" s="10"/>
    </row>
    <row r="7737" spans="16:16" x14ac:dyDescent="0.25">
      <c r="P7737" s="10"/>
    </row>
    <row r="7738" spans="16:16" x14ac:dyDescent="0.25">
      <c r="P7738" s="10"/>
    </row>
    <row r="7739" spans="16:16" x14ac:dyDescent="0.25">
      <c r="P7739" s="10"/>
    </row>
    <row r="7740" spans="16:16" x14ac:dyDescent="0.25">
      <c r="P7740" s="10"/>
    </row>
    <row r="7741" spans="16:16" x14ac:dyDescent="0.25">
      <c r="P7741" s="10"/>
    </row>
    <row r="7742" spans="16:16" x14ac:dyDescent="0.25">
      <c r="P7742" s="10"/>
    </row>
    <row r="7743" spans="16:16" x14ac:dyDescent="0.25">
      <c r="P7743" s="10"/>
    </row>
    <row r="7744" spans="16:16" x14ac:dyDescent="0.25">
      <c r="P7744" s="10"/>
    </row>
    <row r="7745" spans="16:16" x14ac:dyDescent="0.25">
      <c r="P7745" s="10"/>
    </row>
    <row r="7746" spans="16:16" x14ac:dyDescent="0.25">
      <c r="P7746" s="10"/>
    </row>
    <row r="7747" spans="16:16" x14ac:dyDescent="0.25">
      <c r="P7747" s="10"/>
    </row>
    <row r="7748" spans="16:16" x14ac:dyDescent="0.25">
      <c r="P7748" s="10"/>
    </row>
    <row r="7749" spans="16:16" x14ac:dyDescent="0.25">
      <c r="P7749" s="10"/>
    </row>
    <row r="7750" spans="16:16" x14ac:dyDescent="0.25">
      <c r="P7750" s="10"/>
    </row>
    <row r="7751" spans="16:16" x14ac:dyDescent="0.25">
      <c r="P7751" s="10"/>
    </row>
    <row r="7752" spans="16:16" x14ac:dyDescent="0.25">
      <c r="P7752" s="10"/>
    </row>
    <row r="7753" spans="16:16" x14ac:dyDescent="0.25">
      <c r="P7753" s="10"/>
    </row>
    <row r="7754" spans="16:16" x14ac:dyDescent="0.25">
      <c r="P7754" s="10"/>
    </row>
    <row r="7755" spans="16:16" x14ac:dyDescent="0.25">
      <c r="P7755" s="10"/>
    </row>
    <row r="7756" spans="16:16" x14ac:dyDescent="0.25">
      <c r="P7756" s="10"/>
    </row>
    <row r="7757" spans="16:16" x14ac:dyDescent="0.25">
      <c r="P7757" s="10"/>
    </row>
    <row r="7758" spans="16:16" x14ac:dyDescent="0.25">
      <c r="P7758" s="10"/>
    </row>
    <row r="7759" spans="16:16" x14ac:dyDescent="0.25">
      <c r="P7759" s="10"/>
    </row>
    <row r="7760" spans="16:16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Q136" zoomScale="90" zoomScaleNormal="90" workbookViewId="0">
      <selection activeCell="X153" sqref="X153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0.71093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277</v>
      </c>
      <c r="J2" s="45" t="s">
        <v>278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357</v>
      </c>
      <c r="T2" s="49" t="s">
        <v>1150</v>
      </c>
      <c r="U2" s="49" t="s">
        <v>988</v>
      </c>
      <c r="V2" s="49" t="s">
        <v>358</v>
      </c>
      <c r="W2" s="49" t="s">
        <v>1616</v>
      </c>
      <c r="X2" s="49" t="s">
        <v>284</v>
      </c>
      <c r="Y2" s="49" t="s">
        <v>109</v>
      </c>
      <c r="Z2" s="49" t="s">
        <v>1072</v>
      </c>
      <c r="AA2" s="49" t="s">
        <v>466</v>
      </c>
      <c r="AB2" s="50" t="s">
        <v>1073</v>
      </c>
      <c r="AC2" s="45" t="s">
        <v>159</v>
      </c>
      <c r="AH2" s="344" t="s">
        <v>95</v>
      </c>
      <c r="AI2" s="345"/>
      <c r="AJ2" s="345"/>
    </row>
    <row r="3" spans="1:36" x14ac:dyDescent="0.25">
      <c r="A3" t="s">
        <v>168</v>
      </c>
      <c r="B3" t="s">
        <v>459</v>
      </c>
      <c r="C3" s="10">
        <v>45792</v>
      </c>
      <c r="D3" s="47">
        <f>_xll.BDP(A3,"YLD_CNV_MID",,)</f>
        <v>3.4668000000000001</v>
      </c>
      <c r="E3" s="47">
        <f>_xll.BDP(A3,"YLD_YTM_MID", "PRICING_SOURCE=ANDE")</f>
        <v>3.3988999999999998</v>
      </c>
      <c r="F3" s="4">
        <f t="shared" ref="F3" si="0">+D3-E3</f>
        <v>6.7900000000000293E-2</v>
      </c>
      <c r="G3" s="12">
        <f>_xll.BDP(A3,"RISK_MID",,)/100</f>
        <v>8.2068621542475739E-2</v>
      </c>
      <c r="H3" s="12">
        <f>_xll.BDP(A3,"DUR_MID",,)</f>
        <v>0.18712833339585411</v>
      </c>
      <c r="I3" s="12">
        <f>_xll.BDP(A3,"px_LAST",,)</f>
        <v>4537.7338870000003</v>
      </c>
      <c r="J3" s="3">
        <f>_xll.BDP(A3,"PX_LAST",,)/_xll.BDP(A3,"PX_YEST_CLOSE",,)-1</f>
        <v>6.7455484681921973E-4</v>
      </c>
      <c r="N3"/>
      <c r="O3" s="2"/>
      <c r="P3" s="52" t="s">
        <v>155</v>
      </c>
      <c r="Q3" s="60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0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177</v>
      </c>
      <c r="AA3" s="16">
        <f>SUMIFS(Extranet!$H:$H,Extranet!$C:$C,AA$2,Extranet!$D:$D,$P3)</f>
        <v>0</v>
      </c>
      <c r="AB3" s="31">
        <f>SUMIFS(Extranet!$H:$H,Extranet!$C:$C,AB$2,Extranet!$D:$D,$P3)</f>
        <v>0</v>
      </c>
      <c r="AC3" s="55">
        <f t="shared" ref="AC3:AC40" si="1">SUM(Q3:AB3)</f>
        <v>177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8.1302000000000003</v>
      </c>
      <c r="E4" s="47">
        <f>_xll.BDP(A4,"YLD_YTM_MID", "PRICING_SOURCE=ANDE")</f>
        <v>7.9592000000000001</v>
      </c>
      <c r="F4" s="4">
        <f>+D4-E4</f>
        <v>0.17100000000000026</v>
      </c>
      <c r="G4" s="12">
        <f>_xll.BDP(A4,"RISK_MID",,)/100</f>
        <v>0.56117192568217433</v>
      </c>
      <c r="H4" s="12">
        <f>_xll.BDP(A4,"DUR_MID",,)</f>
        <v>1.4024423076821328</v>
      </c>
      <c r="I4" s="12">
        <f>_xll.BDP(A4,"px_LAST",,)</f>
        <v>4326.7158200000003</v>
      </c>
      <c r="J4" s="3">
        <f>_xll.BDP(A4,"PX_LAST",,)/_xll.BDP(A4,"PX_YEST_CLOSE",,)-1</f>
        <v>-1.0837533274382638E-3</v>
      </c>
      <c r="N4"/>
      <c r="O4" s="2"/>
      <c r="P4" s="52" t="s">
        <v>205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692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235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1"/>
        <v>927</v>
      </c>
      <c r="AH4" s="42">
        <f ca="1">hoje</f>
        <v>45715</v>
      </c>
      <c r="AI4" s="43">
        <f ca="1">_xll.BInterpol('Base IPCA'!$C$3:$C$14,'Base IPCA'!$E$3:$E$14,AH4,"Cubic","Extrapolate=Linear","MultiX=Average","Skip=True","Sort=True")</f>
        <v>2.6305343544857775</v>
      </c>
      <c r="AJ4" s="43">
        <f ca="1">_xll.BInterpol('Base IPCA'!$C$3:$C$14,'Base IPCA'!$D$3:$D$14,AH4,"Cubic","Extrapolate=Linear","MultiX=Average","Skip=True","Sort=True")</f>
        <v>2.6810630196936547</v>
      </c>
    </row>
    <row r="5" spans="1:36" x14ac:dyDescent="0.25">
      <c r="A5" t="s">
        <v>314</v>
      </c>
      <c r="B5" t="s">
        <v>315</v>
      </c>
      <c r="C5" s="10">
        <v>46522</v>
      </c>
      <c r="D5" s="47">
        <f>_xll.BDP(A5,"YLD_CNV_MID",,)</f>
        <v>7.7595999999999998</v>
      </c>
      <c r="E5" s="47">
        <f>_xll.BDP(A5,"YLD_YTM_MID", "PRICING_SOURCE=ANDE")</f>
        <v>7.6196999999999999</v>
      </c>
      <c r="F5" s="4">
        <f t="shared" ref="F5:F14" si="2">+D5-E5</f>
        <v>0.13989999999999991</v>
      </c>
      <c r="G5" s="12">
        <f>_xll.BDP(A5,"RISK_MID",,)/100</f>
        <v>0.82955849883546762</v>
      </c>
      <c r="H5" s="12">
        <f>_xll.BDP(A5,"DUR_MID",,)</f>
        <v>2.0460288771017381</v>
      </c>
      <c r="I5" s="12">
        <f>_xll.BDP(A5,"px_LAST",,)</f>
        <v>4369.0961909999996</v>
      </c>
      <c r="J5" s="3">
        <f>_xll.BDP(A5,"PX_LAST",,)/_xll.BDP(A5,"PX_YEST_CLOSE",,)-1</f>
        <v>-1.7111078614948649E-3</v>
      </c>
      <c r="N5"/>
      <c r="O5" s="2"/>
      <c r="P5" s="52" t="s">
        <v>228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229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155</v>
      </c>
      <c r="AA5" s="16">
        <f>SUMIFS(Extranet!$H:$H,Extranet!$C:$C,AA$2,Extranet!$D:$D,$P5)</f>
        <v>0</v>
      </c>
      <c r="AB5" s="16">
        <f>SUMIFS(Extranet!$H:$H,Extranet!$C:$C,AB$2,Extranet!$D:$D,$P5)</f>
        <v>117</v>
      </c>
      <c r="AC5" s="55">
        <f t="shared" si="1"/>
        <v>501</v>
      </c>
      <c r="AH5" s="42">
        <f ca="1">AH4+1</f>
        <v>45716</v>
      </c>
      <c r="AI5" s="43">
        <f ca="1">_xll.BInterpol('Base IPCA'!$C$3:$C$14,'Base IPCA'!$E$3:$E$14,AH5,"Cubic","Extrapolate=Linear","MultiX=Average","Skip=True","Sort=True")</f>
        <v>2.6405131291028452</v>
      </c>
      <c r="AJ5" s="43">
        <f ca="1">_xll.BInterpol('Base IPCA'!$C$3:$C$14,'Base IPCA'!$D$3:$D$14,AH5,"Cubic","Extrapolate=Linear","MultiX=Average","Skip=True","Sort=True")</f>
        <v>2.6912673960612699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7.8259999999999996</v>
      </c>
      <c r="E6" s="47">
        <f>_xll.BDP(A6,"YLD_YTM_MID", "PRICING_SOURCE=ANDE")</f>
        <v>7.6899999999999995</v>
      </c>
      <c r="F6" s="4">
        <f t="shared" si="2"/>
        <v>0.13600000000000012</v>
      </c>
      <c r="G6" s="12">
        <f>_xll.BDP(A6,"RISK_MID",,)/100</f>
        <v>1.2265931814322357</v>
      </c>
      <c r="H6" s="12">
        <f>_xll.BDP(A6,"DUR_MID",,)</f>
        <v>3.1337873579065487</v>
      </c>
      <c r="I6" s="12">
        <f>_xll.BDP(A6,"px_LAST",,)</f>
        <v>4220.4160160000001</v>
      </c>
      <c r="J6" s="3">
        <f>_xll.BDP(A6,"PX_LAST",,)/_xll.BDP(A6,"PX_YEST_CLOSE",,)-1</f>
        <v>-3.1463891120303566E-3</v>
      </c>
      <c r="N6"/>
      <c r="O6" s="2"/>
      <c r="P6" s="209" t="s">
        <v>263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162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110</v>
      </c>
      <c r="AA6" s="16">
        <f>SUMIFS(Extranet!$H:$H,Extranet!$C:$C,AA$2,Extranet!$D:$D,$P6)</f>
        <v>0</v>
      </c>
      <c r="AB6" s="16">
        <f>SUMIFS(Extranet!$H:$H,Extranet!$C:$C,AB$2,Extranet!$D:$D,$P6)</f>
        <v>0</v>
      </c>
      <c r="AC6" s="55">
        <f t="shared" si="1"/>
        <v>272</v>
      </c>
      <c r="AH6" s="42">
        <f t="shared" ref="AH6:AH69" ca="1" si="3">AH5+1</f>
        <v>45717</v>
      </c>
      <c r="AI6" s="43">
        <f ca="1">_xll.BInterpol('Base IPCA'!$C$3:$C$14,'Base IPCA'!$E$3:$E$14,AH6,"Cubic","Extrapolate=Linear","MultiX=Average","Skip=True","Sort=True")</f>
        <v>2.6504919037199128</v>
      </c>
      <c r="AJ6" s="43">
        <f ca="1">_xll.BInterpol('Base IPCA'!$C$3:$C$14,'Base IPCA'!$D$3:$D$14,AH6,"Cubic","Extrapolate=Linear","MultiX=Average","Skip=True","Sort=True")</f>
        <v>2.7014717724288841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7.8423999999999996</v>
      </c>
      <c r="E7" s="47">
        <f>_xll.BDP(A7,"YLD_YTM_MID", "PRICING_SOURCE=ANDE")</f>
        <v>7.8</v>
      </c>
      <c r="F7" s="4">
        <f t="shared" si="2"/>
        <v>4.2399999999999771E-2</v>
      </c>
      <c r="G7" s="12">
        <f>_xll.BDP(A7,"RISK_MID",,)/100</f>
        <v>1.7766747528526139</v>
      </c>
      <c r="H7" s="12">
        <f>_xll.BDP(A7,"DUR_MID",,)</f>
        <v>4.6583876189484821</v>
      </c>
      <c r="I7" s="12">
        <f>_xll.BDP(A7,"px_LAST",,)</f>
        <v>4113.0341799999997</v>
      </c>
      <c r="J7" s="3">
        <f>_xll.BDP(A7,"PX_LAST",,)/_xll.BDP(A7,"PX_YEST_CLOSE",,)-1</f>
        <v>-3.2072129100679803E-3</v>
      </c>
      <c r="N7"/>
      <c r="O7" s="2"/>
      <c r="P7" s="52" t="s">
        <v>411</v>
      </c>
      <c r="Q7" s="16">
        <f>SUMIFS(Extranet!$H:$H,Extranet!$C:$C,Q$2,Extranet!$D:$D,$P7)</f>
        <v>0</v>
      </c>
      <c r="R7" s="16">
        <f>SUMIFS(Extranet!$H:$H,Extranet!$C:$C,R$2,Extranet!$D:$D,$P7)</f>
        <v>0</v>
      </c>
      <c r="S7" s="16">
        <f>SUMIFS(Extranet!$H:$H,Extranet!$C:$C,S$2,Extranet!$D:$D,$P7)</f>
        <v>0</v>
      </c>
      <c r="T7" s="16">
        <f>SUMIFS(Extranet!$H:$H,Extranet!$C:$C,T$2,Extranet!$D:$D,$P7)</f>
        <v>0</v>
      </c>
      <c r="U7" s="16">
        <f>SUMIFS(Extranet!$H:$H,Extranet!$C:$C,U$2,Extranet!$D:$D,$P7)</f>
        <v>5069</v>
      </c>
      <c r="V7" s="16">
        <f>SUMIFS(Extranet!$H:$H,Extranet!$C:$C,V$2,Extranet!$D:$D,$P7)</f>
        <v>0</v>
      </c>
      <c r="W7" s="16">
        <f>SUMIFS(Extranet!$H:$H,Extranet!$C:$C,W$2,Extranet!$D:$D,$P7)</f>
        <v>221</v>
      </c>
      <c r="X7" s="16">
        <f>SUMIFS(Extranet!$H:$H,Extranet!$C:$C,X$2,Extranet!$D:$D,$P7)</f>
        <v>0</v>
      </c>
      <c r="Y7" s="16">
        <f>SUMIFS(Extranet!$H:$H,Extranet!$C:$C,Y$2,Extranet!$D:$D,$P7)</f>
        <v>0</v>
      </c>
      <c r="Z7" s="16">
        <f>SUMIFS(Extranet!$H:$H,Extranet!$C:$C,Z$2,Extranet!$D:$D,$P7)</f>
        <v>1213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1"/>
        <v>6503</v>
      </c>
      <c r="AH7" s="42">
        <f t="shared" ca="1" si="3"/>
        <v>45718</v>
      </c>
      <c r="AI7" s="43">
        <f ca="1">_xll.BInterpol('Base IPCA'!$C$3:$C$14,'Base IPCA'!$E$3:$E$14,AH7,"Cubic","Extrapolate=Linear","MultiX=Average","Skip=True","Sort=True")</f>
        <v>2.6604706783369805</v>
      </c>
      <c r="AJ7" s="43">
        <f ca="1">_xll.BInterpol('Base IPCA'!$C$3:$C$14,'Base IPCA'!$D$3:$D$14,AH7,"Cubic","Extrapolate=Linear","MultiX=Average","Skip=True","Sort=True")</f>
        <v>2.7116761487964993</v>
      </c>
    </row>
    <row r="8" spans="1:36" x14ac:dyDescent="0.25">
      <c r="A8" t="s">
        <v>316</v>
      </c>
      <c r="B8" t="s">
        <v>317</v>
      </c>
      <c r="C8" s="10">
        <v>48441</v>
      </c>
      <c r="D8" s="47">
        <f>_xll.BDP(A8,"YLD_CNV_MID",,)</f>
        <v>7.8903999999999996</v>
      </c>
      <c r="E8" s="47">
        <f>_xll.BDP(A8,"YLD_YTM_MID", "PRICING_SOURCE=ANDE")</f>
        <v>7.8490000000000002</v>
      </c>
      <c r="F8" s="4">
        <f t="shared" si="2"/>
        <v>4.1399999999999437E-2</v>
      </c>
      <c r="G8" s="12">
        <f>_xll.BDP(A8,"RISK_MID",,)/100</f>
        <v>2.226943135909778</v>
      </c>
      <c r="H8" s="12">
        <f>_xll.BDP(A8,"DUR_MID",,)</f>
        <v>5.9967421363861035</v>
      </c>
      <c r="I8" s="12">
        <f>_xll.BDP(A8,"px_LAST",,)</f>
        <v>4006.6110840000001</v>
      </c>
      <c r="J8" s="3">
        <f>_xll.BDP(A8,"PX_LAST",,)/_xll.BDP(A8,"PX_YEST_CLOSE",,)-1</f>
        <v>-4.7298961758244218E-3</v>
      </c>
      <c r="N8"/>
      <c r="O8" s="206"/>
      <c r="P8" s="52" t="s">
        <v>750</v>
      </c>
      <c r="Q8" s="16">
        <f>SUMIFS(Extranet!$H:$H,Extranet!$C:$C,Q$2,Extranet!$D:$D,$P8)</f>
        <v>1207</v>
      </c>
      <c r="R8" s="16">
        <f>SUMIFS(Extranet!$H:$H,Extranet!$C:$C,R$2,Extranet!$D:$D,$P8)</f>
        <v>1099</v>
      </c>
      <c r="S8" s="16">
        <f>SUMIFS(Extranet!$H:$H,Extranet!$C:$C,S$2,Extranet!$D:$D,$P8)</f>
        <v>2856</v>
      </c>
      <c r="T8" s="16">
        <f>SUMIFS(Extranet!$H:$H,Extranet!$C:$C,T$2,Extranet!$D:$D,$P8)</f>
        <v>0</v>
      </c>
      <c r="U8" s="16">
        <f>SUMIFS(Extranet!$H:$H,Extranet!$C:$C,U$2,Extranet!$D:$D,$P8)</f>
        <v>0</v>
      </c>
      <c r="V8" s="16">
        <f>SUMIFS(Extranet!$H:$H,Extranet!$C:$C,V$2,Extranet!$D:$D,$P8)</f>
        <v>172</v>
      </c>
      <c r="W8" s="16">
        <f>SUMIFS(Extranet!$H:$H,Extranet!$C:$C,W$2,Extranet!$D:$D,$P8)</f>
        <v>0</v>
      </c>
      <c r="X8" s="308">
        <f>SUMIFS(Extranet!$H:$H,Extranet!$C:$C,X$2,Extranet!$D:$D,$P8)+231</f>
        <v>1905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25</v>
      </c>
      <c r="AB8" s="16">
        <f>SUMIFS(Extranet!$H:$H,Extranet!$C:$C,AB$2,Extranet!$D:$D,$P8)</f>
        <v>162</v>
      </c>
      <c r="AC8" s="55">
        <f t="shared" si="1"/>
        <v>7426</v>
      </c>
      <c r="AH8" s="42">
        <f t="shared" ca="1" si="3"/>
        <v>45719</v>
      </c>
      <c r="AI8" s="43">
        <f ca="1">_xll.BInterpol('Base IPCA'!$C$3:$C$14,'Base IPCA'!$E$3:$E$14,AH8,"Cubic","Extrapolate=Linear","MultiX=Average","Skip=True","Sort=True")</f>
        <v>2.6704494529540481</v>
      </c>
      <c r="AJ8" s="43">
        <f ca="1">_xll.BInterpol('Base IPCA'!$C$3:$C$14,'Base IPCA'!$D$3:$D$14,AH8,"Cubic","Extrapolate=Linear","MultiX=Average","Skip=True","Sort=True")</f>
        <v>2.7218805251641136</v>
      </c>
    </row>
    <row r="9" spans="1:36" x14ac:dyDescent="0.25">
      <c r="A9" t="s">
        <v>172</v>
      </c>
      <c r="B9" t="s">
        <v>460</v>
      </c>
      <c r="C9" s="10">
        <v>49444</v>
      </c>
      <c r="D9" s="47">
        <f>_xll.BDP(A9,"YLD_CNV_MID",,)</f>
        <v>7.8304</v>
      </c>
      <c r="E9" s="47">
        <f>_xll.BDP(A9,"YLD_YTM_MID", "PRICING_SOURCE=ANDE")</f>
        <v>7.8056000000000001</v>
      </c>
      <c r="F9" s="4">
        <f t="shared" si="2"/>
        <v>2.4799999999999933E-2</v>
      </c>
      <c r="G9" s="12">
        <f>_xll.BDP(A9,"RISK_MID",,)/100</f>
        <v>2.737099431984916</v>
      </c>
      <c r="H9" s="12">
        <f>_xll.BDP(A9,"DUR_MID",,)</f>
        <v>7.4144053758317723</v>
      </c>
      <c r="I9" s="12">
        <f>_xll.BDP(A9,"px_LAST",,)</f>
        <v>3980.6660160000001</v>
      </c>
      <c r="J9" s="3">
        <f>_xll.BDP(A9,"PX_LAST",,)/_xll.BDP(A9,"PX_YEST_CLOSE",,)-1</f>
        <v>-5.2863393939908132E-3</v>
      </c>
      <c r="N9"/>
      <c r="O9" s="206"/>
      <c r="P9" s="52" t="s">
        <v>243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582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582</v>
      </c>
      <c r="AH9" s="42">
        <f t="shared" ca="1" si="3"/>
        <v>45720</v>
      </c>
      <c r="AI9" s="43">
        <f ca="1">_xll.BInterpol('Base IPCA'!$C$3:$C$14,'Base IPCA'!$E$3:$E$14,AH9,"Cubic","Extrapolate=Linear","MultiX=Average","Skip=True","Sort=True")</f>
        <v>2.6804282275711158</v>
      </c>
      <c r="AJ9" s="43">
        <f ca="1">_xll.BInterpol('Base IPCA'!$C$3:$C$14,'Base IPCA'!$D$3:$D$14,AH9,"Cubic","Extrapolate=Linear","MultiX=Average","Skip=True","Sort=True")</f>
        <v>2.7320849015317288</v>
      </c>
    </row>
    <row r="10" spans="1:36" x14ac:dyDescent="0.25">
      <c r="A10" t="s">
        <v>173</v>
      </c>
      <c r="B10" t="s">
        <v>461</v>
      </c>
      <c r="C10" s="10">
        <v>51363</v>
      </c>
      <c r="D10" s="47">
        <f>_xll.BDP(A10,"YLD_CNV_MID",,)</f>
        <v>7.6373999999999995</v>
      </c>
      <c r="E10" s="47">
        <f>_xll.BDP(A10,"YLD_YTM_MID", "PRICING_SOURCE=ANDE")</f>
        <v>7.6074000000000002</v>
      </c>
      <c r="F10" s="4">
        <f t="shared" si="2"/>
        <v>2.9999999999999361E-2</v>
      </c>
      <c r="G10" s="12">
        <f>_xll.BDP(A10,"RISK_MID",,)/100</f>
        <v>3.4868073801299033</v>
      </c>
      <c r="H10" s="12">
        <f>_xll.BDP(A10,"DUR_MID",,)</f>
        <v>9.804964680340742</v>
      </c>
      <c r="I10" s="12">
        <f>_xll.BDP(A10,"px_LAST",,)</f>
        <v>3827.7680660000001</v>
      </c>
      <c r="J10" s="3">
        <f>_xll.BDP(A10,"PX_LAST",,)/_xll.BDP(A10,"PX_YEST_CLOSE",,)-1</f>
        <v>-1.0572352920345418E-2</v>
      </c>
      <c r="N10"/>
      <c r="O10" s="4"/>
      <c r="P10" s="52" t="s">
        <v>393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308">
        <f>SUMIFS(Extranet!$H:$H,Extranet!$C:$C,U$2,Extranet!$D:$D,$P10)-300</f>
        <v>1246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308">
        <f>SUMIFS(Extranet!$H:$H,Extranet!$C:$C,Z$2,Extranet!$D:$D,$P10)+300</f>
        <v>300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 t="shared" si="1"/>
        <v>1546</v>
      </c>
      <c r="AH10" s="42">
        <f t="shared" ca="1" si="3"/>
        <v>45721</v>
      </c>
      <c r="AI10" s="43">
        <f ca="1">_xll.BInterpol('Base IPCA'!$C$3:$C$14,'Base IPCA'!$E$3:$E$14,AH10,"Cubic","Extrapolate=Linear","MultiX=Average","Skip=True","Sort=True")</f>
        <v>2.6904070021881834</v>
      </c>
      <c r="AJ10" s="43">
        <f ca="1">_xll.BInterpol('Base IPCA'!$C$3:$C$14,'Base IPCA'!$D$3:$D$14,AH10,"Cubic","Extrapolate=Linear","MultiX=Average","Skip=True","Sort=True")</f>
        <v>2.7422892778993431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7.6397000000000004</v>
      </c>
      <c r="E11" s="47">
        <f>_xll.BDP(A11,"YLD_YTM_MID", "PRICING_SOURCE=ANDE")</f>
        <v>7.6188000000000002</v>
      </c>
      <c r="F11" s="4">
        <f t="shared" si="2"/>
        <v>2.0900000000000141E-2</v>
      </c>
      <c r="G11" s="12">
        <f>_xll.BDP(A11,"RISK_MID",,)/100</f>
        <v>3.8816239918751307</v>
      </c>
      <c r="H11" s="12">
        <f>_xll.BDP(A11,"DUR_MID",,)</f>
        <v>10.975499715052221</v>
      </c>
      <c r="I11" s="12">
        <f>_xll.BDP(A11,"px_LAST",,)</f>
        <v>3806.818115</v>
      </c>
      <c r="J11" s="3">
        <f>_xll.BDP(A11,"PX_LAST",,)/_xll.BDP(A11,"PX_YEST_CLOSE",,)-1</f>
        <v>-8.6462791860458799E-3</v>
      </c>
      <c r="N11"/>
      <c r="O11" s="206"/>
      <c r="P11" s="52" t="s">
        <v>919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2797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670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>SUM(Q11:AB11)</f>
        <v>3467</v>
      </c>
      <c r="AH11" s="42">
        <f t="shared" ca="1" si="3"/>
        <v>45722</v>
      </c>
      <c r="AI11" s="43">
        <f ca="1">_xll.BInterpol('Base IPCA'!$C$3:$C$14,'Base IPCA'!$E$3:$E$14,AH11,"Cubic","Extrapolate=Linear","MultiX=Average","Skip=True","Sort=True")</f>
        <v>2.4184724288840265</v>
      </c>
      <c r="AJ11" s="43">
        <f ca="1">_xll.BInterpol('Base IPCA'!$C$3:$C$14,'Base IPCA'!$D$3:$D$14,AH11,"Cubic","Extrapolate=Linear","MultiX=Average","Skip=True","Sort=True")</f>
        <v>2.7524936542669591</v>
      </c>
    </row>
    <row r="12" spans="1:36" x14ac:dyDescent="0.25">
      <c r="A12" t="s">
        <v>175</v>
      </c>
      <c r="B12" t="s">
        <v>294</v>
      </c>
      <c r="C12" s="10">
        <v>55015</v>
      </c>
      <c r="D12" s="47">
        <f>_xll.BDP(A12,"YLD_CNV_MID",,)</f>
        <v>7.5648999999999997</v>
      </c>
      <c r="E12" s="47">
        <f>_xll.BDP(A12,"YLD_YTM_MID", "PRICING_SOURCE=ANDE")</f>
        <v>7.5358999999999998</v>
      </c>
      <c r="F12" s="4">
        <f t="shared" si="2"/>
        <v>2.8999999999999915E-2</v>
      </c>
      <c r="G12" s="12">
        <f>_xll.BDP(A12,"RISK_MID",,)/100</f>
        <v>4.2121165488974839</v>
      </c>
      <c r="H12" s="12">
        <f>_xll.BDP(A12,"DUR_MID",,)</f>
        <v>12.227226337687235</v>
      </c>
      <c r="I12" s="12">
        <f>_xll.BDP(A12,"px_LAST",,)</f>
        <v>3705.469971</v>
      </c>
      <c r="J12" s="3">
        <f>_xll.BDP(A12,"PX_LAST",,)/_xll.BDP(A12,"PX_YEST_CLOSE",,)-1</f>
        <v>-9.7984197264825434E-3</v>
      </c>
      <c r="N12"/>
      <c r="O12" s="146"/>
      <c r="P12" s="52" t="s">
        <v>929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308">
        <f>SUMIFS(Extranet!$H:$H,Extranet!$C:$C,U$2,Extranet!$D:$D,$P12)-149</f>
        <v>621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308">
        <f>SUMIFS(Extranet!$H:$H,Extranet!$C:$C,Z$2,Extranet!$D:$D,$P12)+149</f>
        <v>149</v>
      </c>
      <c r="AA12" s="16">
        <f>SUMIFS(Extranet!$H:$H,Extranet!$C:$C,AA$2,Extranet!$D:$D,$P12)</f>
        <v>0</v>
      </c>
      <c r="AB12" s="16">
        <f>SUMIFS(Extranet!$H:$H,Extranet!$C:$C,AB$2,Extranet!$D:$D,$P12)</f>
        <v>0</v>
      </c>
      <c r="AC12" s="55">
        <f t="shared" ref="AC12:AC30" si="4">SUM(Q12:AB12)</f>
        <v>770</v>
      </c>
      <c r="AH12" s="42">
        <f t="shared" ca="1" si="3"/>
        <v>45723</v>
      </c>
      <c r="AI12" s="43">
        <f ca="1">_xll.BInterpol('Base IPCA'!$C$3:$C$14,'Base IPCA'!$E$3:$E$14,AH12,"Cubic","Extrapolate=Linear","MultiX=Average","Skip=True","Sort=True")</f>
        <v>2.7103645514223205</v>
      </c>
      <c r="AJ12" s="43">
        <f ca="1">_xll.BInterpol('Base IPCA'!$C$3:$C$14,'Base IPCA'!$D$3:$D$14,AH12,"Cubic","Extrapolate=Linear","MultiX=Average","Skip=True","Sort=True")</f>
        <v>2.7626980306345734</v>
      </c>
    </row>
    <row r="13" spans="1:36" x14ac:dyDescent="0.25">
      <c r="A13" t="s">
        <v>176</v>
      </c>
      <c r="B13" t="s">
        <v>462</v>
      </c>
      <c r="C13" s="10">
        <v>56749</v>
      </c>
      <c r="D13" s="47">
        <f>_xll.BDP(A13,"YLD_CNV_MID",,)</f>
        <v>7.4996999999999998</v>
      </c>
      <c r="E13" s="47">
        <f>_xll.BDP(A13,"YLD_YTM_MID", "PRICING_SOURCE=ANDE")</f>
        <v>7.4878999999999998</v>
      </c>
      <c r="F13" s="4">
        <f t="shared" si="2"/>
        <v>1.1800000000000033E-2</v>
      </c>
      <c r="G13" s="12">
        <f>_xll.BDP(A13,"RISK_MID",,)/100</f>
        <v>4.4317055632948268</v>
      </c>
      <c r="H13" s="12">
        <f>_xll.BDP(A13,"DUR_MID",,)</f>
        <v>12.67183200603613</v>
      </c>
      <c r="I13" s="12">
        <f>_xll.BDP(A13,"px_LAST",,)</f>
        <v>3759.5791020000001</v>
      </c>
      <c r="J13" s="3">
        <f>_xll.BDP(A13,"PX_LAST",,)/_xll.BDP(A13,"PX_YEST_CLOSE",,)-1</f>
        <v>-8.423514387512876E-3</v>
      </c>
      <c r="N13"/>
      <c r="O13" s="4"/>
      <c r="P13" s="52" t="s">
        <v>1020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308">
        <f>SUMIFS(Extranet!$H:$H,Extranet!$C:$C,U$2,Extranet!$D:$D,$P13)-830</f>
        <v>3437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308">
        <f>SUMIFS(Extranet!$H:$H,Extranet!$C:$C,Z$2,Extranet!$D:$D,$P13)+830</f>
        <v>830</v>
      </c>
      <c r="AA13" s="16">
        <f>SUMIFS(Extranet!$H:$H,Extranet!$C:$C,AA$2,Extranet!$D:$D,$P13)</f>
        <v>0</v>
      </c>
      <c r="AB13" s="16">
        <f>SUMIFS(Extranet!$H:$H,Extranet!$C:$C,AB$2,Extranet!$D:$D,$P13)</f>
        <v>0</v>
      </c>
      <c r="AC13" s="55">
        <f t="shared" ref="AC13:AC16" si="5">SUM(Q13:AB13)</f>
        <v>4267</v>
      </c>
      <c r="AH13" s="42">
        <f t="shared" ca="1" si="3"/>
        <v>45724</v>
      </c>
      <c r="AI13" s="43">
        <f ca="1">_xll.BInterpol('Base IPCA'!$C$3:$C$14,'Base IPCA'!$E$3:$E$14,AH13,"Cubic","Extrapolate=Linear","MultiX=Average","Skip=True","Sort=True")</f>
        <v>2.7203433260393881</v>
      </c>
      <c r="AJ13" s="43">
        <f ca="1">_xll.BInterpol('Base IPCA'!$C$3:$C$14,'Base IPCA'!$D$3:$D$14,AH13,"Cubic","Extrapolate=Linear","MultiX=Average","Skip=True","Sort=True")</f>
        <v>2.7729024070021886</v>
      </c>
    </row>
    <row r="14" spans="1:36" x14ac:dyDescent="0.25">
      <c r="A14" t="s">
        <v>313</v>
      </c>
      <c r="B14" t="s">
        <v>463</v>
      </c>
      <c r="C14" s="10">
        <v>58668</v>
      </c>
      <c r="D14" s="47">
        <f>_xll.BDP(A14,"YLD_CNV_MID",,)</f>
        <v>7.4998000000000005</v>
      </c>
      <c r="E14" s="47">
        <f>_xll.BDP(A14,"YLD_YTM_MID", "PRICING_SOURCE=ANDE")</f>
        <v>7.4863999999999997</v>
      </c>
      <c r="F14" s="4">
        <f t="shared" si="2"/>
        <v>1.3400000000000745E-2</v>
      </c>
      <c r="G14" s="12">
        <f>_xll.BDP(A14,"RISK_MID",,)/100</f>
        <v>4.5448271767725146</v>
      </c>
      <c r="H14" s="12">
        <f>_xll.BDP(A14,"DUR_MID",,)</f>
        <v>13.33891767419596</v>
      </c>
      <c r="I14" s="12">
        <f>_xll.BDP(A14,"px_LAST",,)</f>
        <v>3662.7319339999999</v>
      </c>
      <c r="J14" s="3">
        <f>_xll.BDP(A14,"PX_LAST",,)/_xll.BDP(A14,"PX_YEST_CLOSE",,)-1</f>
        <v>-8.917437294490238E-3</v>
      </c>
      <c r="N14"/>
      <c r="O14" s="4"/>
      <c r="P14" s="52" t="s">
        <v>493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308">
        <f>SUMIFS(Extranet!$H:$H,Extranet!$C:$C,U$2,Extranet!$D:$D,$P14)-319</f>
        <v>1331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308">
        <f>SUMIFS(Extranet!$H:$H,Extranet!$C:$C,Z$2,Extranet!$D:$D,$P14)+319</f>
        <v>319</v>
      </c>
      <c r="AA14" s="16">
        <f>SUMIFS(Extranet!$H:$H,Extranet!$C:$C,AA$2,Extranet!$D:$D,$P14)</f>
        <v>0</v>
      </c>
      <c r="AB14" s="16">
        <f>SUMIFS(Extranet!$H:$H,Extranet!$C:$C,AB$2,Extranet!$D:$D,$P14)</f>
        <v>0</v>
      </c>
      <c r="AC14" s="55">
        <f t="shared" si="5"/>
        <v>1650</v>
      </c>
      <c r="AH14" s="42">
        <f t="shared" ca="1" si="3"/>
        <v>45725</v>
      </c>
      <c r="AI14" s="43">
        <f ca="1">_xll.BInterpol('Base IPCA'!$C$3:$C$14,'Base IPCA'!$E$3:$E$14,AH14,"Cubic","Extrapolate=Linear","MultiX=Average","Skip=True","Sort=True")</f>
        <v>2.7303221006564558</v>
      </c>
      <c r="AJ14" s="43">
        <f ca="1">_xll.BInterpol('Base IPCA'!$C$3:$C$14,'Base IPCA'!$D$3:$D$14,AH14,"Cubic","Extrapolate=Linear","MultiX=Average","Skip=True","Sort=True")</f>
        <v>2.7831067833698029</v>
      </c>
    </row>
    <row r="15" spans="1:36" x14ac:dyDescent="0.25">
      <c r="N15"/>
      <c r="O15" s="4"/>
      <c r="P15" s="52" t="s">
        <v>849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4027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973</v>
      </c>
      <c r="AA15" s="16">
        <f>SUMIFS(Extranet!$H:$H,Extranet!$C:$C,AA$2,Extranet!$D:$D,$P15)</f>
        <v>0</v>
      </c>
      <c r="AB15" s="16">
        <f>SUMIFS(Extranet!$H:$H,Extranet!$C:$C,AB$2,Extranet!$D:$D,$P15)</f>
        <v>0</v>
      </c>
      <c r="AC15" s="55">
        <f t="shared" si="5"/>
        <v>5000</v>
      </c>
      <c r="AH15" s="42">
        <f t="shared" ca="1" si="3"/>
        <v>45726</v>
      </c>
      <c r="AI15" s="43">
        <f ca="1">_xll.BInterpol('Base IPCA'!$C$3:$C$14,'Base IPCA'!$E$3:$E$14,AH15,"Cubic","Extrapolate=Linear","MultiX=Average","Skip=True","Sort=True")</f>
        <v>2.7403008752735234</v>
      </c>
      <c r="AJ15" s="43">
        <f ca="1">_xll.BInterpol('Base IPCA'!$C$3:$C$14,'Base IPCA'!$D$3:$D$14,AH15,"Cubic","Extrapolate=Linear","MultiX=Average","Skip=True","Sort=True")</f>
        <v>2.7933111597374181</v>
      </c>
    </row>
    <row r="16" spans="1:36" x14ac:dyDescent="0.25">
      <c r="N16"/>
      <c r="O16" s="4"/>
      <c r="P16" s="52" t="s">
        <v>848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3865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935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5"/>
        <v>4800</v>
      </c>
      <c r="AH16" s="42">
        <f t="shared" ca="1" si="3"/>
        <v>45727</v>
      </c>
      <c r="AI16" s="43">
        <f ca="1">_xll.BInterpol('Base IPCA'!$C$3:$C$14,'Base IPCA'!$E$3:$E$14,AH16,"Cubic","Extrapolate=Linear","MultiX=Average","Skip=True","Sort=True")</f>
        <v>2.750279649890591</v>
      </c>
      <c r="AJ16" s="43">
        <f ca="1">_xll.BInterpol('Base IPCA'!$C$3:$C$14,'Base IPCA'!$D$3:$D$14,AH16,"Cubic","Extrapolate=Linear","MultiX=Average","Skip=True","Sort=True")</f>
        <v>2.8035155361050323</v>
      </c>
    </row>
    <row r="17" spans="1:36" x14ac:dyDescent="0.25">
      <c r="A17" s="265" t="s">
        <v>1223</v>
      </c>
      <c r="B17" s="265" t="s">
        <v>147</v>
      </c>
      <c r="C17" s="265" t="s">
        <v>64</v>
      </c>
      <c r="D17" s="265" t="s">
        <v>1199</v>
      </c>
      <c r="E17" s="265" t="s">
        <v>1200</v>
      </c>
      <c r="F17" s="265" t="s">
        <v>1201</v>
      </c>
      <c r="G17" s="265" t="s">
        <v>1202</v>
      </c>
      <c r="H17" s="265" t="s">
        <v>1203</v>
      </c>
      <c r="I17" s="265" t="s">
        <v>1204</v>
      </c>
      <c r="J17" s="265" t="s">
        <v>1205</v>
      </c>
      <c r="K17" s="265" t="s">
        <v>63</v>
      </c>
      <c r="L17" s="265" t="s">
        <v>61</v>
      </c>
      <c r="M17" s="265" t="s">
        <v>66</v>
      </c>
      <c r="N17"/>
      <c r="O17" s="4"/>
      <c r="P17" s="52" t="s">
        <v>1184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308">
        <f>SUMIFS(Extranet!$H:$H,Extranet!$C:$C,U$2,Extranet!$D:$D,$P17)-483</f>
        <v>2017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339">
        <f>SUMIFS(Extranet!$H:$H,Extranet!$C:$C,Z$2,Extranet!$D:$D,$P17)+483</f>
        <v>483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4"/>
        <v>2500</v>
      </c>
      <c r="AH17" s="42">
        <f t="shared" ca="1" si="3"/>
        <v>45728</v>
      </c>
      <c r="AI17" s="43">
        <f ca="1">_xll.BInterpol('Base IPCA'!$C$3:$C$14,'Base IPCA'!$E$3:$E$14,AH17,"Cubic","Extrapolate=Linear","MultiX=Average","Skip=True","Sort=True")</f>
        <v>2.7602584245076587</v>
      </c>
      <c r="AJ17" s="43">
        <f ca="1">_xll.BInterpol('Base IPCA'!$C$3:$C$14,'Base IPCA'!$D$3:$D$14,AH17,"Cubic","Extrapolate=Linear","MultiX=Average","Skip=True","Sort=True")</f>
        <v>2.8137199124726475</v>
      </c>
    </row>
    <row r="18" spans="1:36" x14ac:dyDescent="0.25">
      <c r="A18" s="125" t="s">
        <v>148</v>
      </c>
      <c r="B18" s="125" t="s">
        <v>177</v>
      </c>
      <c r="C18" s="268" t="str">
        <f>_xll.BDP(A18,"FUT_DLV_DT_FIRST")</f>
        <v>15/05/2025</v>
      </c>
      <c r="D18" s="263">
        <f>_xll.BDP(A18,$D$17)</f>
        <v>3.25</v>
      </c>
      <c r="E18" s="125">
        <f ca="1">NETWORKDAYS(TODAY(),C18,feriadosbr)</f>
        <v>50</v>
      </c>
      <c r="F18" s="269">
        <f t="shared" ref="F18:F26" ca="1" si="6">100000/((1+D18%)^(E18/252))</f>
        <v>99367.424990352389</v>
      </c>
      <c r="G18" s="133">
        <f t="shared" ref="G18:G26" ca="1" si="7">F18*$F$30*$F$32</f>
        <v>177681.1283923114</v>
      </c>
      <c r="H18" s="133">
        <f t="shared" ref="H18:H26" ca="1" si="8">F18*$F$37</f>
        <v>99345.454054633243</v>
      </c>
      <c r="I18" s="133">
        <f t="shared" ref="I18:I26" ca="1" si="9">H18*$F$34</f>
        <v>177768.25875809047</v>
      </c>
      <c r="J18" s="263">
        <f t="shared" ref="J18:J26" ca="1" si="10">(((100000/H18)^(252/(E18-1)))-1)*100</f>
        <v>3.4349796976191671</v>
      </c>
      <c r="K18" s="263">
        <f>_xll.BDP(A18,"LAST_PRICE")</f>
        <v>3.4350000000000001</v>
      </c>
      <c r="L18" s="263">
        <f t="shared" ref="L18:L26" si="11">+K18-D18</f>
        <v>0.18500000000000005</v>
      </c>
      <c r="M18" s="263">
        <f t="shared" ref="M18:M26" ca="1" si="12">I18-((100000/((1+(J18+0.01)%)^((E18-1)/252)))*$F$34)</f>
        <v>3.341621446685167</v>
      </c>
      <c r="N18"/>
      <c r="O18" s="4"/>
      <c r="P18" s="52" t="s">
        <v>1173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3875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925</v>
      </c>
      <c r="AA18" s="16">
        <f>SUMIFS(Extranet!$H:$H,Extranet!$C:$C,AA$2,Extranet!$D:$D,$P18)</f>
        <v>0</v>
      </c>
      <c r="AB18" s="16">
        <f>SUMIFS(Extranet!$H:$H,Extranet!$C:$C,AB$2,Extranet!$D:$D,$P18)</f>
        <v>0</v>
      </c>
      <c r="AC18" s="55">
        <f t="shared" si="4"/>
        <v>4800</v>
      </c>
      <c r="AH18" s="42">
        <f t="shared" ca="1" si="3"/>
        <v>45729</v>
      </c>
      <c r="AI18" s="43">
        <f ca="1">_xll.BInterpol('Base IPCA'!$C$3:$C$14,'Base IPCA'!$E$3:$E$14,AH18,"Cubic","Extrapolate=Linear","MultiX=Average","Skip=True","Sort=True")</f>
        <v>2.4909951859956241</v>
      </c>
      <c r="AJ18" s="43">
        <f ca="1">_xll.BInterpol('Base IPCA'!$C$3:$C$14,'Base IPCA'!$D$3:$D$14,AH18,"Cubic","Extrapolate=Linear","MultiX=Average","Skip=True","Sort=True")</f>
        <v>2.8239242888402627</v>
      </c>
    </row>
    <row r="19" spans="1:36" x14ac:dyDescent="0.25">
      <c r="A19" s="264" t="s">
        <v>149</v>
      </c>
      <c r="B19" s="264" t="s">
        <v>116</v>
      </c>
      <c r="C19" s="266" t="str">
        <f>_xll.BDP(A19,"FUT_DLV_DT_FIRST")</f>
        <v>17/08/2026</v>
      </c>
      <c r="D19" s="264">
        <f>_xll.BDP(A19,$D$17)</f>
        <v>7.94</v>
      </c>
      <c r="E19" s="264">
        <f t="shared" ref="E19:E26" ca="1" si="13">NETWORKDAYS(TODAY(),C19,feriadosbr)</f>
        <v>368</v>
      </c>
      <c r="F19" s="267">
        <f t="shared" ca="1" si="6"/>
        <v>89442.337756485038</v>
      </c>
      <c r="G19" s="267">
        <f t="shared" ca="1" si="7"/>
        <v>159933.85659497042</v>
      </c>
      <c r="H19" s="267">
        <f t="shared" ca="1" si="8"/>
        <v>89422.56133726507</v>
      </c>
      <c r="I19" s="267">
        <f t="shared" ca="1" si="9"/>
        <v>160012.28414409544</v>
      </c>
      <c r="J19" s="262">
        <f t="shared" ca="1" si="10"/>
        <v>7.9788685482145016</v>
      </c>
      <c r="K19" s="262">
        <f>_xll.BDP(A19,"LAST_PRICE")</f>
        <v>8.09</v>
      </c>
      <c r="L19" s="262">
        <f t="shared" si="11"/>
        <v>0.14999999999999947</v>
      </c>
      <c r="M19" s="262">
        <f t="shared" ca="1" si="12"/>
        <v>21.578968480083859</v>
      </c>
      <c r="N19"/>
      <c r="O19" s="4"/>
      <c r="P19" s="52" t="s">
        <v>1174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4110</v>
      </c>
      <c r="V19" s="16">
        <f>SUMIFS(Extranet!$H:$H,Extranet!$C:$C,V$2,Extranet!$D:$D,$P19)</f>
        <v>0</v>
      </c>
      <c r="W19" s="16">
        <f>SUMIFS(Extranet!$H:$H,Extranet!$C:$C,W$2,Extranet!$D:$D,$P19)</f>
        <v>1500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990</v>
      </c>
      <c r="AA19" s="16">
        <f>SUMIFS(Extranet!$H:$H,Extranet!$C:$C,AA$2,Extranet!$D:$D,$P19)</f>
        <v>0</v>
      </c>
      <c r="AB19" s="16">
        <f>SUMIFS(Extranet!$H:$H,Extranet!$C:$C,AB$2,Extranet!$D:$D,$P19)</f>
        <v>0</v>
      </c>
      <c r="AC19" s="55">
        <f t="shared" si="4"/>
        <v>6600</v>
      </c>
      <c r="AH19" s="42">
        <f t="shared" ca="1" si="3"/>
        <v>45730</v>
      </c>
      <c r="AI19" s="43">
        <f ca="1">_xll.BInterpol('Base IPCA'!$C$3:$C$14,'Base IPCA'!$E$3:$E$14,AH19,"Cubic","Extrapolate=Linear","MultiX=Average","Skip=True","Sort=True")</f>
        <v>2.7802159737417949</v>
      </c>
      <c r="AJ19" s="43">
        <f ca="1">_xll.BInterpol('Base IPCA'!$C$3:$C$14,'Base IPCA'!$D$3:$D$14,AH19,"Cubic","Extrapolate=Linear","MultiX=Average","Skip=True","Sort=True")</f>
        <v>2.6430240700218821</v>
      </c>
    </row>
    <row r="20" spans="1:36" x14ac:dyDescent="0.25">
      <c r="A20" s="125" t="s">
        <v>318</v>
      </c>
      <c r="B20" s="125" t="s">
        <v>319</v>
      </c>
      <c r="C20" s="268" t="str">
        <f>_xll.BDP(A20,"FUT_DLV_DT_FIRST")</f>
        <v>17/05/2027</v>
      </c>
      <c r="D20" s="263">
        <f>_xll.BDP(A20,$D$17)</f>
        <v>7.6</v>
      </c>
      <c r="E20" s="125">
        <f t="shared" ca="1" si="13"/>
        <v>554</v>
      </c>
      <c r="F20" s="269">
        <f t="shared" ca="1" si="6"/>
        <v>85126.249326268458</v>
      </c>
      <c r="G20" s="133">
        <f t="shared" ca="1" si="7"/>
        <v>152216.16176091047</v>
      </c>
      <c r="H20" s="133">
        <f t="shared" ca="1" si="8"/>
        <v>85107.427228864384</v>
      </c>
      <c r="I20" s="133">
        <f t="shared" ca="1" si="9"/>
        <v>152290.80474619378</v>
      </c>
      <c r="J20" s="263">
        <f t="shared" ca="1" si="10"/>
        <v>7.6250984078985784</v>
      </c>
      <c r="K20" s="263">
        <f ca="1">_xll.BDP(A20,"LAST_PRICE")</f>
        <v>7.63</v>
      </c>
      <c r="L20" s="263">
        <f t="shared" ca="1" si="11"/>
        <v>3.0000000000000249E-2</v>
      </c>
      <c r="M20" s="263">
        <f t="shared" ca="1" si="12"/>
        <v>31.04704436159227</v>
      </c>
      <c r="N20"/>
      <c r="O20" s="4"/>
      <c r="P20" s="52" t="s">
        <v>1226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308">
        <f>SUMIFS(Extranet!$H:$H,Extranet!$C:$C,U$2,Extranet!$D:$D,$P20)-581</f>
        <v>2419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308">
        <f>SUMIFS(Extranet!$H:$H,Extranet!$C:$C,Z$2,Extranet!$D:$D,$P20)+581</f>
        <v>1581</v>
      </c>
      <c r="AA20" s="16">
        <f>SUMIFS(Extranet!$H:$H,Extranet!$C:$C,AA$2,Extranet!$D:$D,$P20)</f>
        <v>0</v>
      </c>
      <c r="AB20" s="16">
        <f>SUMIFS(Extranet!$H:$H,Extranet!$C:$C,AB$2,Extranet!$D:$D,$P20)</f>
        <v>0</v>
      </c>
      <c r="AC20" s="55">
        <f t="shared" si="4"/>
        <v>4000</v>
      </c>
      <c r="AH20" s="42">
        <f t="shared" ca="1" si="3"/>
        <v>45731</v>
      </c>
      <c r="AI20" s="43">
        <f ca="1">_xll.BInterpol('Base IPCA'!$C$3:$C$14,'Base IPCA'!$E$3:$E$14,AH20,"Cubic","Extrapolate=Linear","MultiX=Average","Skip=True","Sort=True")</f>
        <v>2.7901947483588625</v>
      </c>
      <c r="AJ20" s="43">
        <f ca="1">_xll.BInterpol('Base IPCA'!$C$3:$C$14,'Base IPCA'!$D$3:$D$14,AH20,"Cubic","Extrapolate=Linear","MultiX=Average","Skip=True","Sort=True")</f>
        <v>2.8443330415754922</v>
      </c>
    </row>
    <row r="21" spans="1:36" x14ac:dyDescent="0.25">
      <c r="A21" s="264" t="s">
        <v>150</v>
      </c>
      <c r="B21" s="264" t="s">
        <v>179</v>
      </c>
      <c r="C21" s="266" t="str">
        <f>_xll.BDP(A21,"FUT_DLV_DT_FIRST")</f>
        <v>15/08/2028</v>
      </c>
      <c r="D21" s="264">
        <f>_xll.BDP(A21,$D$17)</f>
        <v>7.7</v>
      </c>
      <c r="E21" s="264">
        <f t="shared" ref="E21" ca="1" si="14">NETWORKDAYS(TODAY(),C21,feriadosbr)</f>
        <v>869</v>
      </c>
      <c r="F21" s="267">
        <f t="shared" ref="F21" ca="1" si="15">100000/((1+D21%)^(E21/252))</f>
        <v>77429.590006506725</v>
      </c>
      <c r="G21" s="267">
        <f t="shared" ca="1" si="7"/>
        <v>138453.59205640983</v>
      </c>
      <c r="H21" s="267">
        <f t="shared" ca="1" si="8"/>
        <v>77412.469702292758</v>
      </c>
      <c r="I21" s="267">
        <f t="shared" ca="1" si="9"/>
        <v>138521.48622293415</v>
      </c>
      <c r="J21" s="262">
        <f t="shared" ref="J21" ca="1" si="16">(((100000/H21)^(252/(E21-1)))-1)*100</f>
        <v>7.716119576156899</v>
      </c>
      <c r="K21" s="262">
        <f>_xll.BDP(A21,"LAST_PRICE")</f>
        <v>7.78</v>
      </c>
      <c r="L21" s="262">
        <f t="shared" ref="L21" si="17">+K21-D21</f>
        <v>8.0000000000000071E-2</v>
      </c>
      <c r="M21" s="262">
        <f t="shared" ca="1" si="12"/>
        <v>44.285957252577646</v>
      </c>
      <c r="N21"/>
      <c r="O21" s="4"/>
      <c r="P21" s="52" t="s">
        <v>1348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308">
        <f>SUMIFS(Extranet!$H:$H,Extranet!$C:$C,U$2,Extranet!$D:$D,$P21)-774</f>
        <v>3226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308">
        <f>SUMIFS(Extranet!$H:$H,Extranet!$C:$C,Z$2,Extranet!$D:$D,$P21)+774</f>
        <v>774</v>
      </c>
      <c r="AA21" s="16">
        <f>SUMIFS(Extranet!$H:$H,Extranet!$C:$C,AA$2,Extranet!$D:$D,$P21)</f>
        <v>0</v>
      </c>
      <c r="AB21" s="16">
        <f>SUMIFS(Extranet!$H:$H,Extranet!$C:$C,AB$2,Extranet!$D:$D,$P21)</f>
        <v>0</v>
      </c>
      <c r="AC21" s="55">
        <f t="shared" si="4"/>
        <v>4000</v>
      </c>
      <c r="AH21" s="42">
        <f t="shared" ca="1" si="3"/>
        <v>45732</v>
      </c>
      <c r="AI21" s="43">
        <f ca="1">_xll.BInterpol('Base IPCA'!$C$3:$C$14,'Base IPCA'!$E$3:$E$14,AH21,"Cubic","Extrapolate=Linear","MultiX=Average","Skip=True","Sort=True")</f>
        <v>2.8001735229759301</v>
      </c>
      <c r="AJ21" s="43">
        <f ca="1">_xll.BInterpol('Base IPCA'!$C$3:$C$14,'Base IPCA'!$D$3:$D$14,AH21,"Cubic","Extrapolate=Linear","MultiX=Average","Skip=True","Sort=True")</f>
        <v>2.8545374179431073</v>
      </c>
    </row>
    <row r="22" spans="1:36" x14ac:dyDescent="0.25">
      <c r="A22" s="264" t="s">
        <v>1365</v>
      </c>
      <c r="B22" s="125" t="s">
        <v>1366</v>
      </c>
      <c r="C22" s="268" t="str">
        <f>_xll.BDP(A22,"FUT_DLV_DT_FIRST")</f>
        <v>15/05/2029</v>
      </c>
      <c r="D22" s="263">
        <f>_xll.BDP(A22,$D$17)</f>
        <v>7.7</v>
      </c>
      <c r="E22" s="125">
        <f t="shared" ca="1" si="13"/>
        <v>1054</v>
      </c>
      <c r="F22" s="269">
        <f t="shared" ca="1" si="6"/>
        <v>73325.75485791314</v>
      </c>
      <c r="G22" s="133">
        <f t="shared" ca="1" si="7"/>
        <v>131115.4320909188</v>
      </c>
      <c r="H22" s="133">
        <f t="shared" ca="1" si="8"/>
        <v>73309.541944609839</v>
      </c>
      <c r="I22" s="133">
        <f t="shared" ca="1" si="9"/>
        <v>131179.72780797514</v>
      </c>
      <c r="J22" s="263">
        <f t="shared" ca="1" si="10"/>
        <v>7.7132873771647237</v>
      </c>
      <c r="K22" s="263">
        <f>_xll.BDP(A22,"LAST_PRICE")</f>
        <v>7.75</v>
      </c>
      <c r="L22" s="263">
        <f t="shared" si="11"/>
        <v>4.9999999999999822E-2</v>
      </c>
      <c r="M22" s="263">
        <f t="shared" ca="1" si="12"/>
        <v>50.876928426150698</v>
      </c>
      <c r="N22"/>
      <c r="O22" s="4"/>
      <c r="P22" s="52" t="s">
        <v>1349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0</v>
      </c>
      <c r="U22" s="16">
        <f>SUMIFS(Extranet!$H:$H,Extranet!$C:$C,U$2,Extranet!$D:$D,$P22)</f>
        <v>166766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40234</v>
      </c>
      <c r="AA22" s="16">
        <f>SUMIFS(Extranet!$H:$H,Extranet!$C:$C,AA$2,Extranet!$D:$D,$P22)</f>
        <v>0</v>
      </c>
      <c r="AB22" s="16">
        <f>SUMIFS(Extranet!$H:$H,Extranet!$C:$C,AB$2,Extranet!$D:$D,$P22)</f>
        <v>0</v>
      </c>
      <c r="AC22" s="55">
        <f t="shared" si="4"/>
        <v>207000</v>
      </c>
      <c r="AH22" s="42">
        <f t="shared" ca="1" si="3"/>
        <v>45733</v>
      </c>
      <c r="AI22" s="43">
        <f ca="1">_xll.BInterpol('Base IPCA'!$C$3:$C$14,'Base IPCA'!$E$3:$E$14,AH22,"Cubic","Extrapolate=Linear","MultiX=Average","Skip=True","Sort=True")</f>
        <v>2.5324367614879648</v>
      </c>
      <c r="AJ22" s="43">
        <f ca="1">_xll.BInterpol('Base IPCA'!$C$3:$C$14,'Base IPCA'!$D$3:$D$14,AH22,"Cubic","Extrapolate=Linear","MultiX=Average","Skip=True","Sort=True")</f>
        <v>2.8647417943107216</v>
      </c>
    </row>
    <row r="23" spans="1:36" x14ac:dyDescent="0.25">
      <c r="A23" s="125" t="s">
        <v>151</v>
      </c>
      <c r="B23" s="264" t="s">
        <v>180</v>
      </c>
      <c r="C23" s="266" t="str">
        <f>_xll.BDP(A23,"FUT_DLV_DT_FIRST")</f>
        <v>15/08/2030</v>
      </c>
      <c r="D23" s="264">
        <f>_xll.BDP(A23,$D$17)</f>
        <v>7.77</v>
      </c>
      <c r="E23" s="264">
        <f ca="1">NETWORKDAYS(TODAY(),C23,feriadosbr)</f>
        <v>1375</v>
      </c>
      <c r="F23" s="267">
        <f t="shared" ca="1" si="6"/>
        <v>66478.345559659894</v>
      </c>
      <c r="G23" s="267">
        <f t="shared" ca="1" si="7"/>
        <v>118871.42545800295</v>
      </c>
      <c r="H23" s="267">
        <f t="shared" ca="1" si="8"/>
        <v>66463.646663546315</v>
      </c>
      <c r="I23" s="267">
        <f t="shared" ca="1" si="9"/>
        <v>118929.71702151647</v>
      </c>
      <c r="J23" s="262">
        <f t="shared" ca="1" si="10"/>
        <v>7.7802405601664626</v>
      </c>
      <c r="K23" s="262">
        <f>_xll.BDP(A23,"LAST_PRICE")</f>
        <v>7.88</v>
      </c>
      <c r="L23" s="262">
        <f t="shared" si="11"/>
        <v>0.11000000000000032</v>
      </c>
      <c r="M23" s="262">
        <f t="shared" ca="1" si="12"/>
        <v>60.146095821532072</v>
      </c>
      <c r="N23"/>
      <c r="O23" s="4"/>
      <c r="P23" s="52" t="s">
        <v>1350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2225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ref="AC23:AC24" si="18">SUM(Q23:AB23)</f>
        <v>2225</v>
      </c>
      <c r="AH23" s="42">
        <f t="shared" ca="1" si="3"/>
        <v>45734</v>
      </c>
      <c r="AI23" s="43">
        <f ca="1">_xll.BInterpol('Base IPCA'!$C$3:$C$14,'Base IPCA'!$E$3:$E$14,AH23,"Cubic","Extrapolate=Linear","MultiX=Average","Skip=True","Sort=True")</f>
        <v>2.8201310722100654</v>
      </c>
      <c r="AJ23" s="43">
        <f ca="1">_xll.BInterpol('Base IPCA'!$C$3:$C$14,'Base IPCA'!$D$3:$D$14,AH23,"Cubic","Extrapolate=Linear","MultiX=Average","Skip=True","Sort=True")</f>
        <v>2.6837838074398244</v>
      </c>
    </row>
    <row r="24" spans="1:36" x14ac:dyDescent="0.25">
      <c r="A24" s="264" t="s">
        <v>458</v>
      </c>
      <c r="B24" s="125" t="s">
        <v>451</v>
      </c>
      <c r="C24" s="268" t="str">
        <f>_xll.BDP(A24,"FUT_DLV_DT_FIRST")</f>
        <v>16/08/2032</v>
      </c>
      <c r="D24" s="263">
        <f>_xll.BDP(A24,$D$17)</f>
        <v>7.8250000000000002</v>
      </c>
      <c r="E24" s="125">
        <f t="shared" ca="1" si="13"/>
        <v>1897</v>
      </c>
      <c r="F24" s="269">
        <f t="shared" ca="1" si="6"/>
        <v>56714.632827111316</v>
      </c>
      <c r="G24" s="133">
        <f t="shared" ca="1" si="7"/>
        <v>101412.71103739635</v>
      </c>
      <c r="H24" s="133">
        <f t="shared" ca="1" si="8"/>
        <v>56702.092766298621</v>
      </c>
      <c r="I24" s="133">
        <f t="shared" ca="1" si="9"/>
        <v>101462.44128555093</v>
      </c>
      <c r="J24" s="263">
        <f t="shared" ca="1" si="10"/>
        <v>7.832453873522649</v>
      </c>
      <c r="K24" s="263">
        <f>_xll.BDP(A24,"LAST_PRICE")</f>
        <v>7.96</v>
      </c>
      <c r="L24" s="263">
        <f t="shared" si="11"/>
        <v>0.13499999999999979</v>
      </c>
      <c r="M24" s="263">
        <f t="shared" ca="1" si="12"/>
        <v>70.765565294408589</v>
      </c>
      <c r="N24"/>
      <c r="O24" s="4"/>
      <c r="P24" s="52" t="s">
        <v>1364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308">
        <f>SUMIFS(Extranet!$H:$H,Extranet!$C:$C,U$2,Extranet!$D:$D,$P24)-400</f>
        <v>1670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308">
        <f>SUMIFS(Extranet!$H:$H,Extranet!$C:$C,Z$2,Extranet!$D:$D,$P24)+400</f>
        <v>400</v>
      </c>
      <c r="AA24" s="16">
        <f>SUMIFS(Extranet!$H:$H,Extranet!$C:$C,AA$2,Extranet!$D:$D,$P24)</f>
        <v>0</v>
      </c>
      <c r="AB24" s="16">
        <f>SUMIFS(Extranet!$H:$H,Extranet!$C:$C,AB$2,Extranet!$D:$D,$P24)</f>
        <v>0</v>
      </c>
      <c r="AC24" s="55">
        <f t="shared" si="18"/>
        <v>2070</v>
      </c>
      <c r="AH24" s="42">
        <f t="shared" ca="1" si="3"/>
        <v>45735</v>
      </c>
      <c r="AI24" s="43">
        <f ca="1">_xll.BInterpol('Base IPCA'!$C$3:$C$14,'Base IPCA'!$E$3:$E$14,AH24,"Cubic","Extrapolate=Linear","MultiX=Average","Skip=True","Sort=True")</f>
        <v>2.830109846827134</v>
      </c>
      <c r="AJ24" s="43">
        <f ca="1">_xll.BInterpol('Base IPCA'!$C$3:$C$14,'Base IPCA'!$D$3:$D$14,AH24,"Cubic","Extrapolate=Linear","MultiX=Average","Skip=True","Sort=True")</f>
        <v>2.8851505470459529</v>
      </c>
    </row>
    <row r="25" spans="1:36" x14ac:dyDescent="0.25">
      <c r="A25" s="125" t="s">
        <v>152</v>
      </c>
      <c r="B25" s="264" t="s">
        <v>183</v>
      </c>
      <c r="C25" s="266" t="str">
        <f>_xll.BDP(A25,"FUT_DLV_DT_FIRST")</f>
        <v>15/05/2035</v>
      </c>
      <c r="D25" s="264">
        <f>_xll.BDP(A25,$D$17)</f>
        <v>7.7649999999999997</v>
      </c>
      <c r="E25" s="264">
        <f t="shared" ca="1" si="13"/>
        <v>2613</v>
      </c>
      <c r="F25" s="267">
        <f t="shared" ca="1" si="6"/>
        <v>46050.763748674755</v>
      </c>
      <c r="G25" s="267">
        <f t="shared" ca="1" si="7"/>
        <v>82344.406801189674</v>
      </c>
      <c r="H25" s="267">
        <f t="shared" ca="1" si="8"/>
        <v>46040.581554960481</v>
      </c>
      <c r="I25" s="267">
        <f t="shared" ca="1" si="9"/>
        <v>82384.786431538509</v>
      </c>
      <c r="J25" s="262">
        <f t="shared" ca="1" si="10"/>
        <v>7.7703845941464955</v>
      </c>
      <c r="K25" s="262">
        <f>_xll.BDP(A25,"LAST_PRICE")</f>
        <v>7.88</v>
      </c>
      <c r="L25" s="262">
        <f t="shared" si="11"/>
        <v>0.11500000000000021</v>
      </c>
      <c r="M25" s="262">
        <f t="shared" ca="1" si="12"/>
        <v>79.19381246494595</v>
      </c>
      <c r="N25"/>
      <c r="O25" s="210"/>
      <c r="P25" s="52" t="s">
        <v>1367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2584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620</v>
      </c>
      <c r="AA25" s="16">
        <f>SUMIFS(Extranet!$H:$H,Extranet!$C:$C,AA$2,Extranet!$D:$D,$P25)</f>
        <v>0</v>
      </c>
      <c r="AB25" s="16">
        <f>SUMIFS(Extranet!$H:$H,Extranet!$C:$C,AB$2,Extranet!$D:$D,$P25)</f>
        <v>0</v>
      </c>
      <c r="AC25" s="55">
        <f t="shared" si="4"/>
        <v>3204</v>
      </c>
      <c r="AH25" s="42">
        <f t="shared" ca="1" si="3"/>
        <v>45736</v>
      </c>
      <c r="AI25" s="43">
        <f ca="1">_xll.BInterpol('Base IPCA'!$C$3:$C$14,'Base IPCA'!$E$3:$E$14,AH25,"Cubic","Extrapolate=Linear","MultiX=Average","Skip=True","Sort=True")</f>
        <v>2.8400886214442016</v>
      </c>
      <c r="AJ25" s="43">
        <f ca="1">_xll.BInterpol('Base IPCA'!$C$3:$C$14,'Base IPCA'!$D$3:$D$14,AH25,"Cubic","Extrapolate=Linear","MultiX=Average","Skip=True","Sort=True")</f>
        <v>2.8953549234135671</v>
      </c>
    </row>
    <row r="26" spans="1:36" x14ac:dyDescent="0.25">
      <c r="A26" s="264" t="s">
        <v>153</v>
      </c>
      <c r="B26" s="125" t="s">
        <v>184</v>
      </c>
      <c r="C26" s="268" t="str">
        <f>_xll.BDP(A26,"FUT_DLV_DT_FIRST")</f>
        <v>15/08/2040</v>
      </c>
      <c r="D26" s="263">
        <f>_xll.BDP(A26,$D$17)</f>
        <v>7.6</v>
      </c>
      <c r="E26" s="125">
        <f t="shared" ca="1" si="13"/>
        <v>3984</v>
      </c>
      <c r="F26" s="269">
        <f t="shared" ca="1" si="6"/>
        <v>31409.653031565987</v>
      </c>
      <c r="G26" s="133">
        <f t="shared" ca="1" si="7"/>
        <v>56164.307302936351</v>
      </c>
      <c r="H26" s="133">
        <f t="shared" ca="1" si="8"/>
        <v>31402.708105019039</v>
      </c>
      <c r="I26" s="133">
        <f t="shared" ca="1" si="9"/>
        <v>56191.848869580543</v>
      </c>
      <c r="J26" s="263">
        <f t="shared" ca="1" si="10"/>
        <v>7.6034843147832376</v>
      </c>
      <c r="K26" s="263">
        <f>_xll.BDP(A26,"LAST_PRICE")</f>
        <v>7.6</v>
      </c>
      <c r="L26" s="263">
        <f t="shared" si="11"/>
        <v>0</v>
      </c>
      <c r="M26" s="263">
        <f t="shared" ca="1" si="12"/>
        <v>82.474115419950977</v>
      </c>
      <c r="N26"/>
      <c r="O26" s="146"/>
      <c r="P26" s="52" t="s">
        <v>1368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308">
        <f>SUMIFS(Extranet!$H:$H,Extranet!$C:$C,U$2,Extranet!$D:$D,$P26)-581</f>
        <v>2424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308">
        <f>SUMIFS(Extranet!$H:$H,Extranet!$C:$C,Z$2,Extranet!$D:$D,$P26)+581</f>
        <v>581</v>
      </c>
      <c r="AA26" s="16">
        <f>SUMIFS(Extranet!$H:$H,Extranet!$C:$C,AA$2,Extranet!$D:$D,$P26)</f>
        <v>0</v>
      </c>
      <c r="AB26" s="16">
        <f>SUMIFS(Extranet!$H:$H,Extranet!$C:$C,AB$2,Extranet!$D:$D,$P26)</f>
        <v>0</v>
      </c>
      <c r="AC26" s="55">
        <f t="shared" ref="AC26:AC27" si="19">SUM(Q26:AB26)</f>
        <v>3005</v>
      </c>
      <c r="AH26" s="42">
        <f t="shared" ca="1" si="3"/>
        <v>45737</v>
      </c>
      <c r="AI26" s="43">
        <f ca="1">_xll.BInterpol('Base IPCA'!$C$3:$C$14,'Base IPCA'!$E$3:$E$14,AH26,"Cubic","Extrapolate=Linear","MultiX=Average","Skip=True","Sort=True")</f>
        <v>2.5738783369803064</v>
      </c>
      <c r="AJ26" s="43">
        <f ca="1">_xll.BInterpol('Base IPCA'!$C$3:$C$14,'Base IPCA'!$D$3:$D$14,AH26,"Cubic","Extrapolate=Linear","MultiX=Average","Skip=True","Sort=True")</f>
        <v>2.9055592997811823</v>
      </c>
    </row>
    <row r="27" spans="1:36" x14ac:dyDescent="0.25">
      <c r="N27"/>
      <c r="O27" s="2"/>
      <c r="P27" s="52" t="s">
        <v>1380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4350</v>
      </c>
      <c r="V27" s="16">
        <f>SUMIFS(Extranet!$H:$H,Extranet!$C:$C,V$2,Extranet!$D:$D,$P27)</f>
        <v>0</v>
      </c>
      <c r="W27" s="16">
        <f>SUMIFS(Extranet!$H:$H,Extranet!$C:$C,W$2,Extranet!$D:$D,$P27)</f>
        <v>2480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0</v>
      </c>
      <c r="AA27" s="16">
        <f>SUMIFS(Extranet!$H:$H,Extranet!$C:$C,AA$2,Extranet!$D:$D,$P27)</f>
        <v>0</v>
      </c>
      <c r="AB27" s="16">
        <f>SUMIFS(Extranet!$H:$H,Extranet!$C:$C,AB$2,Extranet!$D:$D,$P27)</f>
        <v>0</v>
      </c>
      <c r="AC27" s="55">
        <f t="shared" si="19"/>
        <v>6830</v>
      </c>
      <c r="AH27" s="42">
        <f t="shared" ca="1" si="3"/>
        <v>45738</v>
      </c>
      <c r="AI27" s="43">
        <f ca="1">_xll.BInterpol('Base IPCA'!$C$3:$C$14,'Base IPCA'!$E$3:$E$14,AH27,"Cubic","Extrapolate=Linear","MultiX=Average","Skip=True","Sort=True")</f>
        <v>2.5842387308533921</v>
      </c>
      <c r="AJ27" s="43">
        <f ca="1">_xll.BInterpol('Base IPCA'!$C$3:$C$14,'Base IPCA'!$D$3:$D$14,AH27,"Cubic","Extrapolate=Linear","MultiX=Average","Skip=True","Sort=True")</f>
        <v>2.9157636761487966</v>
      </c>
    </row>
    <row r="28" spans="1:36" x14ac:dyDescent="0.25">
      <c r="B28" s="270" t="s">
        <v>1206</v>
      </c>
      <c r="C28" s="271"/>
      <c r="E28" s="270" t="s">
        <v>1207</v>
      </c>
      <c r="H28" s="270" t="s">
        <v>1208</v>
      </c>
      <c r="N28"/>
      <c r="O28" s="146"/>
      <c r="P28" s="52" t="s">
        <v>346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2145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2117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4262</v>
      </c>
      <c r="AH28" s="42">
        <f t="shared" ca="1" si="3"/>
        <v>45739</v>
      </c>
      <c r="AI28" s="43">
        <f ca="1">_xll.BInterpol('Base IPCA'!$C$3:$C$14,'Base IPCA'!$E$3:$E$14,AH28,"Cubic","Extrapolate=Linear","MultiX=Average","Skip=True","Sort=True")</f>
        <v>2.5945991247264768</v>
      </c>
      <c r="AJ28" s="43">
        <f ca="1">_xll.BInterpol('Base IPCA'!$C$3:$C$14,'Base IPCA'!$D$3:$D$14,AH28,"Cubic","Extrapolate=Linear","MultiX=Average","Skip=True","Sort=True")</f>
        <v>2.9259680525164109</v>
      </c>
    </row>
    <row r="29" spans="1:36" x14ac:dyDescent="0.25">
      <c r="B29" s="272" t="s">
        <v>88</v>
      </c>
      <c r="C29" s="272" t="s">
        <v>89</v>
      </c>
      <c r="E29" s="272" t="s">
        <v>1209</v>
      </c>
      <c r="F29" s="125">
        <f>_xll.BDP("bzdiovra index","PX_LAST")</f>
        <v>13.15</v>
      </c>
      <c r="H29" s="272" t="s">
        <v>88</v>
      </c>
      <c r="I29" s="272">
        <v>15</v>
      </c>
      <c r="J29" s="272" t="s">
        <v>1210</v>
      </c>
      <c r="K29" s="271"/>
      <c r="L29" s="271"/>
      <c r="M29" s="144"/>
      <c r="N29"/>
      <c r="O29" s="2"/>
      <c r="P29" s="52" t="s">
        <v>1463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2013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1987</v>
      </c>
      <c r="AA29" s="16">
        <f>SUMIFS(Extranet!$H:$H,Extranet!$C:$C,AA$2,Extranet!$D:$D,$P29)</f>
        <v>0</v>
      </c>
      <c r="AB29" s="16">
        <f>SUMIFS(Extranet!$H:$H,Extranet!$C:$C,AB$2,Extranet!$D:$D,$P29)</f>
        <v>0</v>
      </c>
      <c r="AC29" s="55">
        <f t="shared" si="4"/>
        <v>4000</v>
      </c>
      <c r="AH29" s="42">
        <f t="shared" ca="1" si="3"/>
        <v>45740</v>
      </c>
      <c r="AI29" s="43">
        <f ca="1">_xll.BInterpol('Base IPCA'!$C$3:$C$14,'Base IPCA'!$E$3:$E$14,AH29,"Cubic","Extrapolate=Linear","MultiX=Average","Skip=True","Sort=True")</f>
        <v>2.8800037199124731</v>
      </c>
      <c r="AJ29" s="43">
        <f ca="1">_xll.BInterpol('Base IPCA'!$C$3:$C$14,'Base IPCA'!$D$3:$D$14,AH29,"Cubic","Extrapolate=Linear","MultiX=Average","Skip=True","Sort=True")</f>
        <v>2.9361724288840261</v>
      </c>
    </row>
    <row r="30" spans="1:36" x14ac:dyDescent="0.25">
      <c r="B30" s="273">
        <f ca="1">_xll.BDH(B28,C29,DATE(YEAR(H31)-1,MONTH(H31),DAY(H31)),H31,"Sort=d","cols=2;rows=11")</f>
        <v>45688</v>
      </c>
      <c r="C30" s="125">
        <v>7111.86</v>
      </c>
      <c r="D30" s="167"/>
      <c r="E30" s="272" t="s">
        <v>1211</v>
      </c>
      <c r="F30" s="274">
        <v>2.5000000000000001E-4</v>
      </c>
      <c r="H30" s="275">
        <f ca="1">TODAY()</f>
        <v>45716</v>
      </c>
      <c r="I30" s="272" t="s">
        <v>351</v>
      </c>
      <c r="J30" s="276">
        <f>+_xll.BDP("BRSTNCNTB3D4 Govt", "INFLATION_ASSUMPTION")</f>
        <v>1.29</v>
      </c>
      <c r="K30" s="271"/>
      <c r="L30" s="271"/>
      <c r="M30" s="271"/>
      <c r="N30"/>
      <c r="O30" s="2"/>
      <c r="P30" s="52" t="s">
        <v>279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3709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897</v>
      </c>
      <c r="AA30" s="16">
        <f>SUMIFS(Extranet!$H:$H,Extranet!$C:$C,AA$2,Extranet!$D:$D,$P30)</f>
        <v>0</v>
      </c>
      <c r="AB30" s="16">
        <f>SUMIFS(Extranet!$H:$H,Extranet!$C:$C,AB$2,Extranet!$D:$D,$P30)</f>
        <v>0</v>
      </c>
      <c r="AC30" s="55">
        <f t="shared" si="4"/>
        <v>4606</v>
      </c>
      <c r="AH30" s="42">
        <f t="shared" ca="1" si="3"/>
        <v>45741</v>
      </c>
      <c r="AI30" s="43">
        <f ca="1">_xll.BInterpol('Base IPCA'!$C$3:$C$14,'Base IPCA'!$E$3:$E$14,AH30,"Cubic","Extrapolate=Linear","MultiX=Average","Skip=True","Sort=True")</f>
        <v>2.6153199124726472</v>
      </c>
      <c r="AJ30" s="43">
        <f ca="1">_xll.BInterpol('Base IPCA'!$C$3:$C$14,'Base IPCA'!$D$3:$D$14,AH30,"Cubic","Extrapolate=Linear","MultiX=Average","Skip=True","Sort=True")</f>
        <v>2.9463768052516404</v>
      </c>
    </row>
    <row r="31" spans="1:36" x14ac:dyDescent="0.25">
      <c r="B31" s="273">
        <v>45657</v>
      </c>
      <c r="C31" s="125">
        <v>7100.5</v>
      </c>
      <c r="E31" s="272" t="s">
        <v>1212</v>
      </c>
      <c r="F31" s="277">
        <f>C30</f>
        <v>7111.86</v>
      </c>
      <c r="H31" s="273">
        <f ca="1">WORKDAY(WORKDAY(DATE(YEAR(EOMONTH(H32,1)),MONTH(EOMONTH(H32,1)),I29),-1,feriadosbr),1,feriadosbr)</f>
        <v>45733</v>
      </c>
      <c r="I31" s="125">
        <f ca="1">+NETWORKDAYS(H32,H31,feriadosbr)-1</f>
        <v>18</v>
      </c>
      <c r="J31" s="272" t="s">
        <v>1213</v>
      </c>
      <c r="K31" s="271"/>
      <c r="L31" s="271"/>
      <c r="M31" s="144"/>
      <c r="N31"/>
      <c r="O31" s="2"/>
      <c r="P31" s="52" t="s">
        <v>1615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308">
        <v>1983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308">
        <v>2017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1"/>
        <v>4000</v>
      </c>
      <c r="AH31" s="42">
        <f t="shared" ca="1" si="3"/>
        <v>45742</v>
      </c>
      <c r="AI31" s="43">
        <f ca="1">_xll.BInterpol('Base IPCA'!$C$3:$C$14,'Base IPCA'!$E$3:$E$14,AH31,"Cubic","Extrapolate=Linear","MultiX=Average","Skip=True","Sort=True")</f>
        <v>2.8999612691466092</v>
      </c>
      <c r="AJ31" s="43">
        <f ca="1">_xll.BInterpol('Base IPCA'!$C$3:$C$14,'Base IPCA'!$D$3:$D$14,AH31,"Cubic","Extrapolate=Linear","MultiX=Average","Skip=True","Sort=True")</f>
        <v>2.9565811816192564</v>
      </c>
    </row>
    <row r="32" spans="1:36" x14ac:dyDescent="0.25">
      <c r="B32" s="273">
        <v>45626</v>
      </c>
      <c r="C32" s="125">
        <v>7063.77</v>
      </c>
      <c r="D32" s="167"/>
      <c r="E32" s="272" t="s">
        <v>1214</v>
      </c>
      <c r="F32" s="277">
        <f ca="1">+IF(I32=0,F31/((1+J30%)^(1/I37)),ROUND(F31*J38,2))</f>
        <v>7152.49</v>
      </c>
      <c r="H32" s="273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45705</v>
      </c>
      <c r="I32" s="125">
        <f ca="1">+NETWORKDAYS(H32,H30,feriadosbr)-1</f>
        <v>9</v>
      </c>
      <c r="J32" s="278">
        <f ca="1">(1+J30%)^(I32/I31)</f>
        <v>1.0064293318460069</v>
      </c>
      <c r="K32" s="271"/>
      <c r="L32" s="271"/>
      <c r="M32" s="144"/>
      <c r="N32"/>
      <c r="O32" s="205"/>
      <c r="P32" s="52" t="s">
        <v>271</v>
      </c>
      <c r="Q32" s="16">
        <f>SUMIFS(Extranet!$H:$H,Extranet!$C:$C,Q$2,Extranet!$D:$D,$P32)</f>
        <v>2730</v>
      </c>
      <c r="R32" s="16">
        <f>SUMIFS(Extranet!$H:$H,Extranet!$C:$C,R$2,Extranet!$D:$D,$P32)</f>
        <v>2466</v>
      </c>
      <c r="S32" s="16">
        <f>SUMIFS(Extranet!$H:$H,Extranet!$C:$C,S$2,Extranet!$D:$D,$P32)</f>
        <v>3549</v>
      </c>
      <c r="T32" s="16">
        <f>SUMIFS(Extranet!$H:$H,Extranet!$C:$C,T$2,Extranet!$D:$D,$P32)</f>
        <v>0</v>
      </c>
      <c r="U32" s="16">
        <f>SUMIFS(Extranet!$H:$H,Extranet!$C:$C,U$2,Extranet!$D:$D,$P32)</f>
        <v>1000</v>
      </c>
      <c r="V32" s="16">
        <f>SUMIFS(Extranet!$H:$H,Extranet!$C:$C,V$2,Extranet!$D:$D,$P32)</f>
        <v>185</v>
      </c>
      <c r="W32" s="16">
        <f>SUMIFS(Extranet!$H:$H,Extranet!$C:$C,W$2,Extranet!$D:$D,$P32)</f>
        <v>0</v>
      </c>
      <c r="X32" s="308">
        <f>SUMIFS(Extranet!$H:$H,Extranet!$C:$C,X$2,Extranet!$D:$D,$P32)+258</f>
        <v>258</v>
      </c>
      <c r="Y32" s="16">
        <f>SUMIFS(Extranet!$H:$H,Extranet!$C:$C,Y$2,Extranet!$D:$D,$P32)</f>
        <v>0</v>
      </c>
      <c r="Z32" s="16">
        <f>SUMIFS(Extranet!$H:$H,Extranet!$C:$C,Z$2,Extranet!$D:$D,$P32)</f>
        <v>0</v>
      </c>
      <c r="AA32" s="16">
        <f>SUMIFS(Extranet!$H:$H,Extranet!$C:$C,AA$2,Extranet!$D:$D,$P32)</f>
        <v>116</v>
      </c>
      <c r="AB32" s="16">
        <f>SUMIFS(Extranet!$H:$H,Extranet!$C:$C,AB$2,Extranet!$D:$D,$P32)</f>
        <v>245</v>
      </c>
      <c r="AC32" s="55">
        <f t="shared" si="1"/>
        <v>10549</v>
      </c>
      <c r="AH32" s="42">
        <f t="shared" ca="1" si="3"/>
        <v>45743</v>
      </c>
      <c r="AI32" s="43">
        <f ca="1">_xll.BInterpol('Base IPCA'!$C$3:$C$14,'Base IPCA'!$E$3:$E$14,AH32,"Cubic","Extrapolate=Linear","MultiX=Average","Skip=True","Sort=True")</f>
        <v>2.9099400437636769</v>
      </c>
      <c r="AJ32" s="43">
        <f ca="1">_xll.BInterpol('Base IPCA'!$C$3:$C$14,'Base IPCA'!$D$3:$D$14,AH32,"Cubic","Extrapolate=Linear","MultiX=Average","Skip=True","Sort=True")</f>
        <v>2.9667855579868716</v>
      </c>
    </row>
    <row r="33" spans="2:36" x14ac:dyDescent="0.25">
      <c r="B33" s="273">
        <v>45596</v>
      </c>
      <c r="C33" s="125">
        <v>7036.33</v>
      </c>
      <c r="E33" s="272" t="s">
        <v>1215</v>
      </c>
      <c r="F33" s="277">
        <f ca="1">ROUND(F31*J32,2)</f>
        <v>7157.58</v>
      </c>
      <c r="K33" s="271"/>
      <c r="L33" s="271"/>
      <c r="M33" s="271"/>
      <c r="N33"/>
      <c r="O33" s="208"/>
      <c r="P33" s="52" t="s">
        <v>311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531</v>
      </c>
      <c r="V33" s="16">
        <f>SUMIFS(Extranet!$H:$H,Extranet!$C:$C,V$2,Extranet!$D:$D,$P33)</f>
        <v>249</v>
      </c>
      <c r="W33" s="16">
        <f>SUMIFS(Extranet!$H:$H,Extranet!$C:$C,W$2,Extranet!$D:$D,$P33)</f>
        <v>0</v>
      </c>
      <c r="X33" s="308">
        <f>SUMIFS(Extranet!$H:$H,Extranet!$C:$C,X$2,Extranet!$D:$D,$P33)+313</f>
        <v>313</v>
      </c>
      <c r="Y33" s="16">
        <f>SUMIFS(Extranet!$H:$H,Extranet!$C:$C,Y$2,Extranet!$D:$D,$P33)</f>
        <v>0</v>
      </c>
      <c r="Z33" s="16">
        <f>SUMIFS(Extranet!$H:$H,Extranet!$C:$C,Z$2,Extranet!$D:$D,$P33)</f>
        <v>0</v>
      </c>
      <c r="AA33" s="16">
        <f>SUMIFS(Extranet!$H:$H,Extranet!$C:$C,AA$2,Extranet!$D:$D,$P33)</f>
        <v>0</v>
      </c>
      <c r="AB33" s="16">
        <f>SUMIFS(Extranet!$H:$H,Extranet!$C:$C,AB$2,Extranet!$D:$D,$P33)</f>
        <v>214</v>
      </c>
      <c r="AC33" s="55">
        <f t="shared" si="1"/>
        <v>1307</v>
      </c>
      <c r="AH33" s="42">
        <f t="shared" ca="1" si="3"/>
        <v>45744</v>
      </c>
      <c r="AI33" s="43">
        <f ca="1">_xll.BInterpol('Base IPCA'!$C$3:$C$14,'Base IPCA'!$E$3:$E$14,AH33,"Cubic","Extrapolate=Linear","MultiX=Average","Skip=True","Sort=True")</f>
        <v>2.9199188183807445</v>
      </c>
      <c r="AJ33" s="43">
        <f ca="1">_xll.BInterpol('Base IPCA'!$C$3:$C$14,'Base IPCA'!$D$3:$D$14,AH33,"Cubic","Extrapolate=Linear","MultiX=Average","Skip=True","Sort=True")</f>
        <v>2.9769899343544859</v>
      </c>
    </row>
    <row r="34" spans="2:36" x14ac:dyDescent="0.25">
      <c r="B34" s="273">
        <v>45565</v>
      </c>
      <c r="C34" s="125">
        <v>6997.15</v>
      </c>
      <c r="E34" s="272" t="s">
        <v>1216</v>
      </c>
      <c r="F34" s="274">
        <f ca="1">F33*F30</f>
        <v>1.7893950000000001</v>
      </c>
      <c r="H34" s="270" t="s">
        <v>1217</v>
      </c>
      <c r="K34" s="271"/>
      <c r="L34" s="271"/>
      <c r="M34" s="271"/>
      <c r="N34"/>
      <c r="O34" s="208"/>
      <c r="P34" s="52" t="s">
        <v>439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5344</v>
      </c>
      <c r="T34" s="16">
        <f>SUMIFS(Extranet!$H:$H,Extranet!$C:$C,T$2,Extranet!$D:$D,$P34)</f>
        <v>0</v>
      </c>
      <c r="U34" s="16">
        <f>SUMIFS(Extranet!$H:$H,Extranet!$C:$C,U$2,Extranet!$D:$D,$P34)</f>
        <v>911</v>
      </c>
      <c r="V34" s="16">
        <f>SUMIFS(Extranet!$H:$H,Extranet!$C:$C,V$2,Extranet!$D:$D,$P34)</f>
        <v>283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272</v>
      </c>
      <c r="AA34" s="16">
        <f>SUMIFS(Extranet!$H:$H,Extranet!$C:$C,AA$2,Extranet!$D:$D,$P34)</f>
        <v>82</v>
      </c>
      <c r="AB34" s="16">
        <f>SUMIFS(Extranet!$H:$H,Extranet!$C:$C,AB$2,Extranet!$D:$D,$P34)</f>
        <v>193</v>
      </c>
      <c r="AC34" s="55">
        <f t="shared" si="1"/>
        <v>7085</v>
      </c>
      <c r="AH34" s="42">
        <f t="shared" ca="1" si="3"/>
        <v>45745</v>
      </c>
      <c r="AI34" s="43">
        <f ca="1">_xll.BInterpol('Base IPCA'!$C$3:$C$14,'Base IPCA'!$E$3:$E$14,AH34,"Cubic","Extrapolate=Linear","MultiX=Average","Skip=True","Sort=True")</f>
        <v>2.9298975929978122</v>
      </c>
      <c r="AJ34" s="43">
        <f ca="1">_xll.BInterpol('Base IPCA'!$C$3:$C$14,'Base IPCA'!$D$3:$D$14,AH34,"Cubic","Extrapolate=Linear","MultiX=Average","Skip=True","Sort=True")</f>
        <v>2.7958730853391689</v>
      </c>
    </row>
    <row r="35" spans="2:36" x14ac:dyDescent="0.25">
      <c r="B35" s="273">
        <v>45535</v>
      </c>
      <c r="C35" s="125">
        <v>6966.5</v>
      </c>
      <c r="E35" s="272" t="s">
        <v>1218</v>
      </c>
      <c r="F35" s="279">
        <f ca="1">1+cdi_diario</f>
        <v>1.000490374901192</v>
      </c>
      <c r="H35" s="272" t="s">
        <v>88</v>
      </c>
      <c r="I35" s="272">
        <v>15</v>
      </c>
      <c r="J35" s="272" t="s">
        <v>1210</v>
      </c>
      <c r="K35" s="271"/>
      <c r="L35" s="271"/>
      <c r="M35" s="271"/>
      <c r="N35"/>
      <c r="O35" s="208"/>
      <c r="P35" s="52" t="s">
        <v>323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0</v>
      </c>
      <c r="U35" s="16">
        <f>SUMIFS(Extranet!$H:$H,Extranet!$C:$C,U$2,Extranet!$D:$D,$P35)</f>
        <v>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0</v>
      </c>
      <c r="AA35" s="16">
        <f>SUMIFS(Extranet!$H:$H,Extranet!$C:$C,AA$2,Extranet!$D:$D,$P35)</f>
        <v>0</v>
      </c>
      <c r="AB35" s="16">
        <f>SUMIFS(Extranet!$H:$H,Extranet!$C:$C,AB$2,Extranet!$D:$D,$P35)</f>
        <v>0</v>
      </c>
      <c r="AC35" s="55">
        <f t="shared" si="1"/>
        <v>0</v>
      </c>
      <c r="AH35" s="42">
        <f t="shared" ca="1" si="3"/>
        <v>45746</v>
      </c>
      <c r="AI35" s="43">
        <f ca="1">_xll.BInterpol('Base IPCA'!$C$3:$C$14,'Base IPCA'!$E$3:$E$14,AH35,"Cubic","Extrapolate=Linear","MultiX=Average","Skip=True","Sort=True")</f>
        <v>2.6671218818380744</v>
      </c>
      <c r="AJ35" s="43">
        <f ca="1">_xll.BInterpol('Base IPCA'!$C$3:$C$14,'Base IPCA'!$D$3:$D$14,AH35,"Cubic","Extrapolate=Linear","MultiX=Average","Skip=True","Sort=True")</f>
        <v>2.9973986870897154</v>
      </c>
    </row>
    <row r="36" spans="2:36" x14ac:dyDescent="0.25">
      <c r="B36" s="273">
        <v>45504</v>
      </c>
      <c r="C36" s="125">
        <v>6967.89</v>
      </c>
      <c r="E36" s="272" t="s">
        <v>1219</v>
      </c>
      <c r="F36" s="279">
        <f ca="1">F33/F32</f>
        <v>1.0007116402819158</v>
      </c>
      <c r="H36" s="273">
        <f ca="1">+WORKDAY(H30,-1,feriadosbr)</f>
        <v>45715</v>
      </c>
      <c r="I36" s="272" t="s">
        <v>351</v>
      </c>
      <c r="J36" s="280">
        <f>+_xll.BDP("BRSTNCNTB3D4 Govt", "INFLATION_ASSUMPTION")</f>
        <v>1.29</v>
      </c>
      <c r="K36" s="271"/>
      <c r="L36" s="271"/>
      <c r="M36" s="271"/>
      <c r="N36"/>
      <c r="O36" s="205"/>
      <c r="P36" s="52" t="s">
        <v>320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1</v>
      </c>
      <c r="T36" s="16">
        <f>SUMIFS(Extranet!$H:$H,Extranet!$C:$C,T$2,Extranet!$D:$D,$P36)</f>
        <v>0</v>
      </c>
      <c r="U36" s="16">
        <f>SUMIFS(Extranet!$H:$H,Extranet!$C:$C,U$2,Extranet!$D:$D,$P36)</f>
        <v>1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0</v>
      </c>
      <c r="AA36" s="16">
        <f>SUMIFS(Extranet!$H:$H,Extranet!$C:$C,AA$2,Extranet!$D:$D,$P36)</f>
        <v>0</v>
      </c>
      <c r="AB36" s="16">
        <f>SUMIFS(Extranet!$H:$H,Extranet!$C:$C,AB$2,Extranet!$D:$D,$P36)</f>
        <v>0</v>
      </c>
      <c r="AC36" s="55">
        <f t="shared" si="1"/>
        <v>2</v>
      </c>
      <c r="AH36" s="42">
        <f t="shared" ca="1" si="3"/>
        <v>45747</v>
      </c>
      <c r="AI36" s="43">
        <f ca="1">_xll.BInterpol('Base IPCA'!$C$3:$C$14,'Base IPCA'!$E$3:$E$14,AH36,"Cubic","Extrapolate=Linear","MultiX=Average","Skip=True","Sort=True")</f>
        <v>2.9498551422319474</v>
      </c>
      <c r="AJ36" s="43">
        <f ca="1">_xll.BInterpol('Base IPCA'!$C$3:$C$14,'Base IPCA'!$D$3:$D$14,AH36,"Cubic","Extrapolate=Linear","MultiX=Average","Skip=True","Sort=True")</f>
        <v>2.8162529540481396</v>
      </c>
    </row>
    <row r="37" spans="2:36" x14ac:dyDescent="0.25">
      <c r="B37" s="273">
        <v>45473</v>
      </c>
      <c r="C37" s="125">
        <v>6941.51</v>
      </c>
      <c r="E37" s="272" t="s">
        <v>1220</v>
      </c>
      <c r="F37" s="279">
        <f ca="1">F35/F36</f>
        <v>0.99977889196865788</v>
      </c>
      <c r="H37" s="273">
        <f ca="1">WORKDAY(WORKDAY(DATE(YEAR(EOMONTH(H38,1)),MONTH(EOMONTH(H38,1)),I35),-1,feriadosbr),1,feriadosbr)</f>
        <v>45733</v>
      </c>
      <c r="I37" s="125">
        <f ca="1">+NETWORKDAYS(H38,H37,feriadosbr)-1</f>
        <v>18</v>
      </c>
      <c r="J37" s="272" t="s">
        <v>1213</v>
      </c>
      <c r="K37" s="271"/>
      <c r="L37" s="271"/>
      <c r="M37" s="271"/>
      <c r="N37"/>
      <c r="O37" s="205"/>
      <c r="P37" s="52" t="s">
        <v>154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0</v>
      </c>
      <c r="AA37" s="16">
        <f>SUMIFS(Extranet!$H:$H,Extranet!$C:$C,AA$2,Extranet!$D:$D,$P37)</f>
        <v>0</v>
      </c>
      <c r="AB37" s="16">
        <f>SUMIFS(Extranet!$H:$H,Extranet!$C:$C,AB$2,Extranet!$D:$D,$P37)</f>
        <v>284</v>
      </c>
      <c r="AC37" s="55">
        <f t="shared" si="1"/>
        <v>284</v>
      </c>
      <c r="AH37" s="42">
        <f t="shared" ca="1" si="3"/>
        <v>45748</v>
      </c>
      <c r="AI37" s="43">
        <f ca="1">_xll.BInterpol('Base IPCA'!$C$3:$C$14,'Base IPCA'!$E$3:$E$14,AH37,"Cubic","Extrapolate=Linear","MultiX=Average","Skip=True","Sort=True")</f>
        <v>2.9598339168490151</v>
      </c>
      <c r="AJ37" s="43">
        <f ca="1">_xll.BInterpol('Base IPCA'!$C$3:$C$14,'Base IPCA'!$D$3:$D$14,AH37,"Cubic","Extrapolate=Linear","MultiX=Average","Skip=True","Sort=True")</f>
        <v>3.0178074398249448</v>
      </c>
    </row>
    <row r="38" spans="2:36" x14ac:dyDescent="0.25">
      <c r="B38" s="273">
        <v>45443</v>
      </c>
      <c r="C38" s="125">
        <v>6926.96</v>
      </c>
      <c r="H38" s="273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45705</v>
      </c>
      <c r="I38" s="125">
        <f ca="1">+NETWORKDAYS(H38,H36,feriadosbr)-1</f>
        <v>8</v>
      </c>
      <c r="J38" s="281">
        <f ca="1">(1+J36%)^(I38/I37)</f>
        <v>1.0057129251861179</v>
      </c>
      <c r="K38" s="271"/>
      <c r="L38" s="271"/>
      <c r="M38" s="271"/>
      <c r="N38"/>
      <c r="O38" s="2"/>
      <c r="P38" s="52" t="s">
        <v>116</v>
      </c>
      <c r="Q38" s="99">
        <f>SUMIFS(Estratégia!$F:$F,Estratégia!$C:$C,Q$2,Estratégia!$D:$D,$P38,Estratégia!$E:$E,"Juros Reais")</f>
        <v>0</v>
      </c>
      <c r="R38" s="100">
        <f>SUMIFS(Estratégia!$F:$F,Estratégia!$C:$C,R$2,Estratégia!$D:$D,$P38,Estratégia!$E:$E,"Juros Reais")</f>
        <v>0</v>
      </c>
      <c r="S38" s="100">
        <f>SUMIFS(Estratégia!$F:$F,Estratégia!$C:$C,S$2,Estratégia!$D:$D,$P38,Estratégia!$E:$E,"Juros Reais")</f>
        <v>4</v>
      </c>
      <c r="T38" s="100">
        <f>SUMIFS(Estratégia!$F:$F,Estratégia!$C:$C,T$2,Estratégia!$D:$D,$P38,Estratégia!$E:$E,"Juros Reais")</f>
        <v>0</v>
      </c>
      <c r="U38" s="100">
        <f>SUMIFS(Estratégia!$F:$F,Estratégia!$C:$C,U$2,Estratégia!$D:$D,$P38,Estratégia!$E:$E,"Juros Reais")</f>
        <v>2</v>
      </c>
      <c r="V38" s="100">
        <f>SUMIFS(Estratégia!$F:$F,Estratégia!$C:$C,V$2,Estratégia!$D:$D,$P38,Estratégia!$E:$E,"Juros Reais")</f>
        <v>7</v>
      </c>
      <c r="W38" s="100">
        <f>SUMIFS(Estratégia!$F:$F,Estratégia!$C:$C,W$2,Estratégia!$D:$D,$P38,Estratégia!$E:$E,"Juros Reais")</f>
        <v>0</v>
      </c>
      <c r="X38" s="100">
        <f>SUMIFS(Estratégia!$F:$F,Estratégia!$C:$C,X$2,Estratégia!$D:$D,$P38,Estratégia!$E:$E,"Juros Reais")</f>
        <v>25</v>
      </c>
      <c r="Y38" s="100">
        <f>SUMIFS(Estratégia!$F:$F,Estratégia!$C:$C,Y$2,Estratégia!$D:$D,$P38,Estratégia!$E:$E,"Juros Reais")</f>
        <v>0</v>
      </c>
      <c r="Z38" s="100">
        <f>SUMIFS(Estratégia!$F:$F,Estratégia!$C:$C,Z$2,Estratégia!$D:$D,$P38,Estratégia!$E:$E,"Juros Reais")</f>
        <v>3</v>
      </c>
      <c r="AA38" s="100">
        <f>SUMIFS(Estratégia!$F:$F,Estratégia!$C:$C,AA$2,Estratégia!$D:$D,$P38,Estratégia!$E:$E,"Juros Reais")</f>
        <v>0</v>
      </c>
      <c r="AB38" s="100">
        <f>SUMIFS(Estratégia!$F:$F,Estratégia!$C:$C,AB$2,Estratégia!$D:$D,$P38,Estratégia!$E:$E,"Juros Reais")</f>
        <v>0</v>
      </c>
      <c r="AC38" s="55">
        <f>SUM(Q38:AB38)</f>
        <v>41</v>
      </c>
      <c r="AH38" s="42">
        <f t="shared" ca="1" si="3"/>
        <v>45749</v>
      </c>
      <c r="AI38" s="43">
        <f ca="1">_xll.BInterpol('Base IPCA'!$C$3:$C$14,'Base IPCA'!$E$3:$E$14,AH38,"Cubic","Extrapolate=Linear","MultiX=Average","Skip=True","Sort=True")</f>
        <v>2.9698126914660836</v>
      </c>
      <c r="AJ38" s="43">
        <f ca="1">_xll.BInterpol('Base IPCA'!$C$3:$C$14,'Base IPCA'!$D$3:$D$14,AH38,"Cubic","Extrapolate=Linear","MultiX=Average","Skip=True","Sort=True")</f>
        <v>3.0280118161925609</v>
      </c>
    </row>
    <row r="39" spans="2:36" x14ac:dyDescent="0.25">
      <c r="B39" s="273">
        <v>45412</v>
      </c>
      <c r="C39" s="125">
        <v>6895.24</v>
      </c>
      <c r="E39" s="272" t="s">
        <v>1221</v>
      </c>
      <c r="F39" s="282">
        <f ca="1">((1+cdi)^(1/252)-1)*10000</f>
        <v>4.9037490119197003</v>
      </c>
      <c r="K39" s="271"/>
      <c r="L39" s="271"/>
      <c r="M39" s="271"/>
      <c r="N39"/>
      <c r="O39" s="226"/>
      <c r="P39" s="52" t="s">
        <v>319</v>
      </c>
      <c r="Q39" s="99">
        <f>SUMIFS(Estratégia!$F:$F,Estratégia!$C:$C,Q$2,Estratégia!$D:$D,$P39,Estratégia!$E:$E,"Juros Reais")</f>
        <v>0</v>
      </c>
      <c r="R39" s="100">
        <f>SUMIFS(Estratégia!$F:$F,Estratégia!$C:$C,R$2,Estratégia!$D:$D,$P39,Estratégia!$E:$E,"Juros Reais")</f>
        <v>0</v>
      </c>
      <c r="S39" s="100">
        <f>SUMIFS(Estratégia!$F:$F,Estratégia!$C:$C,S$2,Estratégia!$D:$D,$P39,Estratégia!$E:$E,"Juros Reais")</f>
        <v>0</v>
      </c>
      <c r="T39" s="100">
        <f>SUMIFS(Estratégia!$F:$F,Estratégia!$C:$C,T$2,Estratégia!$D:$D,$P39,Estratégia!$E:$E,"Juros Reais")</f>
        <v>0</v>
      </c>
      <c r="U39" s="100">
        <f>SUMIFS(Estratégia!$F:$F,Estratégia!$C:$C,U$2,Estratégia!$D:$D,$P39,Estratégia!$E:$E,"Juros Reais")</f>
        <v>6</v>
      </c>
      <c r="V39" s="100">
        <f>SUMIFS(Estratégia!$F:$F,Estratégia!$C:$C,V$2,Estratégia!$D:$D,$P39,Estratégia!$E:$E,"Juros Reais")</f>
        <v>5</v>
      </c>
      <c r="W39" s="100">
        <f>SUMIFS(Estratégia!$F:$F,Estratégia!$C:$C,W$2,Estratégia!$D:$D,$P39,Estratégia!$E:$E,"Juros Reais")</f>
        <v>0</v>
      </c>
      <c r="X39" s="100">
        <f>SUMIFS(Estratégia!$F:$F,Estratégia!$C:$C,X$2,Estratégia!$D:$D,$P39,Estratégia!$E:$E,"Juros Reais")</f>
        <v>20</v>
      </c>
      <c r="Y39" s="100">
        <f>SUMIFS(Estratégia!$F:$F,Estratégia!$C:$C,Y$2,Estratégia!$D:$D,$P39,Estratégia!$E:$E,"Juros Reais")</f>
        <v>0</v>
      </c>
      <c r="Z39" s="100">
        <f>SUMIFS(Estratégia!$F:$F,Estratégia!$C:$C,Z$2,Estratégia!$D:$D,$P39,Estratégia!$E:$E,"Juros Reais")</f>
        <v>2</v>
      </c>
      <c r="AA39" s="100">
        <f>SUMIFS(Estratégia!$F:$F,Estratégia!$C:$C,AA$2,Estratégia!$D:$D,$P39,Estratégia!$E:$E,"Juros Reais")</f>
        <v>0</v>
      </c>
      <c r="AB39" s="100">
        <f>SUMIFS(Estratégia!$F:$F,Estratégia!$C:$C,AB$2,Estratégia!$D:$D,$P39,Estratégia!$E:$E,"Juros Reais")</f>
        <v>0</v>
      </c>
      <c r="AC39" s="55">
        <f t="shared" si="1"/>
        <v>33</v>
      </c>
      <c r="AH39" s="42">
        <f t="shared" ca="1" si="3"/>
        <v>45750</v>
      </c>
      <c r="AI39" s="43">
        <f ca="1">_xll.BInterpol('Base IPCA'!$C$3:$C$14,'Base IPCA'!$E$3:$E$14,AH39,"Cubic","Extrapolate=Linear","MultiX=Average","Skip=True","Sort=True")</f>
        <v>2.9797914660831513</v>
      </c>
      <c r="AJ39" s="43">
        <f ca="1">_xll.BInterpol('Base IPCA'!$C$3:$C$14,'Base IPCA'!$D$3:$D$14,AH39,"Cubic","Extrapolate=Linear","MultiX=Average","Skip=True","Sort=True")</f>
        <v>3.0382161925601752</v>
      </c>
    </row>
    <row r="40" spans="2:36" ht="15.75" thickBot="1" x14ac:dyDescent="0.3">
      <c r="B40" s="273">
        <v>45382</v>
      </c>
      <c r="C40" s="125">
        <v>6869.14</v>
      </c>
      <c r="E40" s="272" t="s">
        <v>1222</v>
      </c>
      <c r="F40" s="282">
        <f ca="1">F39*22</f>
        <v>107.88247826223341</v>
      </c>
      <c r="K40" s="271"/>
      <c r="L40" s="271"/>
      <c r="M40" s="271"/>
      <c r="N40"/>
      <c r="P40" s="53" t="s">
        <v>183</v>
      </c>
      <c r="Q40" s="102">
        <f>SUMIFS(Estratégia!$F:$F,Estratégia!$C:$C,Q$2,Estratégia!$D:$D,$P40,Estratégia!$E:$E,"Juros Reais")</f>
        <v>0</v>
      </c>
      <c r="R40" s="103">
        <f>SUMIFS(Estratégia!$F:$F,Estratégia!$C:$C,R$2,Estratégia!$D:$D,$P40,Estratégia!$E:$E,"Juros Reais")</f>
        <v>0</v>
      </c>
      <c r="S40" s="103">
        <f>SUMIFS(Estratégia!$F:$F,Estratégia!$C:$C,S$2,Estratégia!$D:$D,$P40,Estratégia!$E:$E,"Juros Reais")</f>
        <v>0</v>
      </c>
      <c r="T40" s="103">
        <f>SUMIFS(Estratégia!$F:$F,Estratégia!$C:$C,T$2,Estratégia!$D:$D,$P40,Estratégia!$E:$E,"Juros Reais")</f>
        <v>0</v>
      </c>
      <c r="U40" s="103">
        <f>SUMIFS(Estratégia!$F:$F,Estratégia!$C:$C,U$2,Estratégia!$D:$D,$P40,Estratégia!$E:$E,"Juros Reais")</f>
        <v>0</v>
      </c>
      <c r="V40" s="103">
        <f>SUMIFS(Estratégia!$F:$F,Estratégia!$C:$C,V$2,Estratégia!$D:$D,$P40,Estratégia!$E:$E,"Juros Reais")</f>
        <v>0</v>
      </c>
      <c r="W40" s="103">
        <f>SUMIFS(Estratégia!$F:$F,Estratégia!$C:$C,W$2,Estratégia!$D:$D,$P40,Estratégia!$E:$E,"Juros Reais")</f>
        <v>0</v>
      </c>
      <c r="X40" s="103">
        <f>SUMIFS(Estratégia!$F:$F,Estratégia!$C:$C,X$2,Estratégia!$D:$D,$P40,Estratégia!$E:$E,"Juros Reais")</f>
        <v>0</v>
      </c>
      <c r="Y40" s="103">
        <f>SUMIFS(Estratégia!$F:$F,Estratégia!$C:$C,Y$2,Estratégia!$D:$D,$P40,Estratégia!$E:$E,"Juros Reais")</f>
        <v>0</v>
      </c>
      <c r="Z40" s="103">
        <f>SUMIFS(Estratégia!$F:$F,Estratégia!$C:$C,Z$2,Estratégia!$D:$D,$P40,Estratégia!$E:$E,"Juros Reais")</f>
        <v>1</v>
      </c>
      <c r="AA40" s="103">
        <f>SUMIFS(Estratégia!$F:$F,Estratégia!$C:$C,AA$2,Estratégia!$D:$D,$P40,Estratégia!$E:$E,"Juros Reais")</f>
        <v>0</v>
      </c>
      <c r="AB40" s="103">
        <f>SUMIFS(Estratégia!$F:$F,Estratégia!$C:$C,AB$2,Estratégia!$D:$D,$P40,Estratégia!$E:$E,"Juros Reais")</f>
        <v>0</v>
      </c>
      <c r="AC40" s="56">
        <f t="shared" si="1"/>
        <v>1</v>
      </c>
      <c r="AH40" s="42">
        <f t="shared" ca="1" si="3"/>
        <v>45751</v>
      </c>
      <c r="AI40" s="43">
        <f ca="1">_xll.BInterpol('Base IPCA'!$C$3:$C$14,'Base IPCA'!$E$3:$E$14,AH40,"Cubic","Extrapolate=Linear","MultiX=Average","Skip=True","Sort=True")</f>
        <v>2.9897702407002189</v>
      </c>
      <c r="AJ40" s="43">
        <f ca="1">_xll.BInterpol('Base IPCA'!$C$3:$C$14,'Base IPCA'!$D$3:$D$14,AH40,"Cubic","Extrapolate=Linear","MultiX=Average","Skip=True","Sort=True")</f>
        <v>3.0484205689277903</v>
      </c>
    </row>
    <row r="41" spans="2:36" ht="15.75" thickBot="1" x14ac:dyDescent="0.3">
      <c r="B41" s="273"/>
      <c r="C41" s="125"/>
      <c r="F41" s="283"/>
      <c r="K41" s="271"/>
      <c r="L41" s="271"/>
      <c r="M41" s="271"/>
      <c r="N41"/>
      <c r="AH41" s="42">
        <f t="shared" ca="1" si="3"/>
        <v>45752</v>
      </c>
      <c r="AI41" s="43">
        <f ca="1">_xll.BInterpol('Base IPCA'!$C$3:$C$14,'Base IPCA'!$E$3:$E$14,AH41,"Cubic","Extrapolate=Linear","MultiX=Average","Skip=True","Sort=True")</f>
        <v>2.7292842450765864</v>
      </c>
      <c r="AJ41" s="43">
        <f ca="1">_xll.BInterpol('Base IPCA'!$C$3:$C$14,'Base IPCA'!$D$3:$D$14,AH41,"Cubic","Extrapolate=Linear","MultiX=Average","Skip=True","Sort=True")</f>
        <v>3.0586249452954046</v>
      </c>
    </row>
    <row r="42" spans="2:36" ht="15.75" thickBot="1" x14ac:dyDescent="0.3">
      <c r="B42" s="273"/>
      <c r="C42" s="125"/>
      <c r="K42" s="271"/>
      <c r="L42" s="271"/>
      <c r="M42" s="271"/>
      <c r="N42"/>
      <c r="P42" s="45" t="s">
        <v>66</v>
      </c>
      <c r="Q42" s="48" t="str">
        <f t="shared" ref="Q42:AB42" si="20">Q2</f>
        <v>FIRF GERAES</v>
      </c>
      <c r="R42" s="49" t="str">
        <f t="shared" si="20"/>
        <v>FIRF GERAES 30</v>
      </c>
      <c r="S42" s="49" t="str">
        <f t="shared" si="20"/>
        <v>HORIZONTE</v>
      </c>
      <c r="T42" s="49" t="str">
        <f t="shared" si="20"/>
        <v>MANACA INFRA FIRF</v>
      </c>
      <c r="U42" s="49" t="str">
        <f t="shared" si="20"/>
        <v>BH FIRF INFRA</v>
      </c>
      <c r="V42" s="49" t="str">
        <f t="shared" si="20"/>
        <v>REAL FIM</v>
      </c>
      <c r="W42" s="49" t="str">
        <f>W2</f>
        <v>RIO INFRA</v>
      </c>
      <c r="X42" s="49" t="str">
        <f t="shared" si="20"/>
        <v>JERA2026</v>
      </c>
      <c r="Y42" s="49" t="str">
        <f t="shared" si="20"/>
        <v>SANTANA</v>
      </c>
      <c r="Z42" s="49" t="str">
        <f t="shared" si="20"/>
        <v>BORDEAUX INFRA</v>
      </c>
      <c r="AA42" s="49" t="str">
        <f t="shared" si="20"/>
        <v>AF INVEST GERAES PREV</v>
      </c>
      <c r="AB42" s="50" t="str">
        <f t="shared" si="20"/>
        <v>TOPAZIO INFRA</v>
      </c>
      <c r="AC42" s="45" t="s">
        <v>159</v>
      </c>
      <c r="AH42" s="42">
        <f t="shared" ca="1" si="3"/>
        <v>45753</v>
      </c>
      <c r="AI42" s="43">
        <f ca="1">_xll.BInterpol('Base IPCA'!$C$3:$C$14,'Base IPCA'!$E$3:$E$14,AH42,"Cubic","Extrapolate=Linear","MultiX=Average","Skip=True","Sort=True")</f>
        <v>2.7396446389496711</v>
      </c>
      <c r="AJ42" s="43">
        <f ca="1">_xll.BInterpol('Base IPCA'!$C$3:$C$14,'Base IPCA'!$D$3:$D$14,AH42,"Cubic","Extrapolate=Linear","MultiX=Average","Skip=True","Sort=True")</f>
        <v>2.8773925601750543</v>
      </c>
    </row>
    <row r="43" spans="2:36" x14ac:dyDescent="0.25">
      <c r="B43" s="273"/>
      <c r="C43" s="125"/>
      <c r="N43"/>
      <c r="O43" t="s">
        <v>179</v>
      </c>
      <c r="P43" s="52" t="str">
        <f t="shared" ref="P43:P80" si="21">$P3</f>
        <v>LORTA7</v>
      </c>
      <c r="Q43" s="60">
        <f>Q3*_xll.BDP($P43&amp;" Corp","RISK_MTY_MID")/100</f>
        <v>0</v>
      </c>
      <c r="R43" s="16">
        <f>R3*_xll.BDP($P43&amp;" Corp","RISK_MTY_MID")/100</f>
        <v>0</v>
      </c>
      <c r="S43" s="16">
        <f>S3*_xll.BDP($P43&amp;" Corp","RISK_MTY_MID")/100</f>
        <v>0</v>
      </c>
      <c r="T43" s="16">
        <f>T3*_xll.BDP($P43&amp;" Corp","RISK_MTY_MID")/100</f>
        <v>0</v>
      </c>
      <c r="U43" s="16">
        <f>U3*_xll.BDP($P43&amp;" Corp","RISK_MTY_MID")/100</f>
        <v>0</v>
      </c>
      <c r="V43" s="16">
        <f>V3*_xll.BDP($P43&amp;" Corp","RISK_MTY_MID")/100</f>
        <v>0</v>
      </c>
      <c r="W43" s="16">
        <f>W3*_xll.BDP($P43&amp;" Corp","RISK_MTY_MID")/100</f>
        <v>0</v>
      </c>
      <c r="X43" s="16">
        <f>X3*_xll.BDP($P43&amp;" Corp","RISK_MTY_MID")/100</f>
        <v>0</v>
      </c>
      <c r="Y43" s="16">
        <f>Y3*_xll.BDP($P43&amp;" Corp","RISK_MTY_MID")/100</f>
        <v>0</v>
      </c>
      <c r="Z43" s="16">
        <f>Z3*_xll.BDP($P43&amp;" Corp","RISK_MTY_MID")/100</f>
        <v>86.056249500002309</v>
      </c>
      <c r="AA43" s="16">
        <f>AA3*_xll.BDP($P43&amp;" Corp","RISK_MTY_MID")/100</f>
        <v>0</v>
      </c>
      <c r="AB43" s="31">
        <f>AB3*_xll.BDP($P43&amp;" Corp","RISK_MTY_MID")/100</f>
        <v>0</v>
      </c>
      <c r="AC43" s="55">
        <f t="shared" ref="AC43:AC80" si="22">SUM(Q43:AB43)</f>
        <v>86.056249500002309</v>
      </c>
      <c r="AD43" s="5">
        <f t="shared" ref="AD43:AD80" ca="1" si="23">+AC43/$AC$81</f>
        <v>1.3996663453921605E-3</v>
      </c>
      <c r="AH43" s="42">
        <f t="shared" ca="1" si="3"/>
        <v>45754</v>
      </c>
      <c r="AI43" s="43">
        <f ca="1">_xll.BInterpol('Base IPCA'!$C$3:$C$14,'Base IPCA'!$E$3:$E$14,AH43,"Cubic","Extrapolate=Linear","MultiX=Average","Skip=True","Sort=True")</f>
        <v>3.0197065645514218</v>
      </c>
      <c r="AJ43" s="43">
        <f ca="1">_xll.BInterpol('Base IPCA'!$C$3:$C$14,'Base IPCA'!$D$3:$D$14,AH43,"Cubic","Extrapolate=Linear","MultiX=Average","Skip=True","Sort=True")</f>
        <v>3.0790336980306341</v>
      </c>
    </row>
    <row r="44" spans="2:36" x14ac:dyDescent="0.25">
      <c r="N44"/>
      <c r="O44" t="s">
        <v>179</v>
      </c>
      <c r="P44" s="52" t="str">
        <f t="shared" si="21"/>
        <v>VAMO33</v>
      </c>
      <c r="Q44" s="60">
        <f>Q4*_xll.BDP($P44&amp;" Corp","RISK_MTY_MID")/100</f>
        <v>0</v>
      </c>
      <c r="R44" s="16">
        <f>R4*_xll.BDP($P44&amp;" Corp","RISK_MTY_MID")/100</f>
        <v>0</v>
      </c>
      <c r="S44" s="16">
        <f>S4*_xll.BDP($P44&amp;" Corp","RISK_MTY_MID")/100</f>
        <v>0</v>
      </c>
      <c r="T44" s="16">
        <f>T4*_xll.BDP($P44&amp;" Corp","RISK_MTY_MID")/100</f>
        <v>0</v>
      </c>
      <c r="U44" s="16">
        <f>U4*_xll.BDP($P44&amp;" Corp","RISK_MTY_MID")/100</f>
        <v>330.17915000001813</v>
      </c>
      <c r="V44" s="16">
        <f>V4*_xll.BDP($P44&amp;" Corp","RISK_MTY_MID")/100</f>
        <v>0</v>
      </c>
      <c r="W44" s="16">
        <f>W4*_xll.BDP($P44&amp;" Corp","RISK_MTY_MID")/100</f>
        <v>0</v>
      </c>
      <c r="X44" s="16">
        <f>X4*_xll.BDP($P44&amp;" Corp","RISK_MTY_MID")/100</f>
        <v>0</v>
      </c>
      <c r="Y44" s="16">
        <f>Y4*_xll.BDP($P44&amp;" Corp","RISK_MTY_MID")/100</f>
        <v>0</v>
      </c>
      <c r="Z44" s="16">
        <f>Z4*_xll.BDP($P44&amp;" Corp","RISK_MTY_MID")/100</f>
        <v>112.12731250000616</v>
      </c>
      <c r="AA44" s="16">
        <f>AA4*_xll.BDP($P44&amp;" Corp","RISK_MTY_MID")/100</f>
        <v>0</v>
      </c>
      <c r="AB44" s="31">
        <f>AB4*_xll.BDP($P44&amp;" Corp","RISK_MTY_MID")/100</f>
        <v>0</v>
      </c>
      <c r="AC44" s="55">
        <f t="shared" si="22"/>
        <v>442.30646250002428</v>
      </c>
      <c r="AD44" s="5">
        <f t="shared" ca="1" si="23"/>
        <v>7.1939164617059806E-3</v>
      </c>
      <c r="AH44" s="42">
        <f t="shared" ca="1" si="3"/>
        <v>45755</v>
      </c>
      <c r="AI44" s="43">
        <f ca="1">_xll.BInterpol('Base IPCA'!$C$3:$C$14,'Base IPCA'!$E$3:$E$14,AH44,"Cubic","Extrapolate=Linear","MultiX=Average","Skip=True","Sort=True")</f>
        <v>2.7603654266958415</v>
      </c>
      <c r="AJ44" s="43">
        <f ca="1">_xll.BInterpol('Base IPCA'!$C$3:$C$14,'Base IPCA'!$D$3:$D$14,AH44,"Cubic","Extrapolate=Linear","MultiX=Average","Skip=True","Sort=True")</f>
        <v>2.8977724288840259</v>
      </c>
    </row>
    <row r="45" spans="2:36" x14ac:dyDescent="0.25">
      <c r="O45" t="s">
        <v>179</v>
      </c>
      <c r="P45" s="52" t="str">
        <f t="shared" si="21"/>
        <v>MOVI37</v>
      </c>
      <c r="Q45" s="16">
        <f>Q5*_xll.BDP($P45&amp;" Corp","RISK_MTY_MID")/100</f>
        <v>0</v>
      </c>
      <c r="R45" s="16">
        <f>R5*_xll.BDP($P45&amp;" Corp","RISK_MTY_MID")/100</f>
        <v>0</v>
      </c>
      <c r="S45" s="16">
        <f>S5*_xll.BDP($P45&amp;" Corp","RISK_MTY_MID")/100</f>
        <v>0</v>
      </c>
      <c r="T45" s="16">
        <f>T5*_xll.BDP($P45&amp;" Corp","RISK_MTY_MID")/100</f>
        <v>0</v>
      </c>
      <c r="U45" s="16">
        <f>U5*_xll.BDP($P45&amp;" Corp","RISK_MTY_MID")/100</f>
        <v>102.58970999997494</v>
      </c>
      <c r="V45" s="16">
        <f>V5*_xll.BDP($P45&amp;" Corp","RISK_MTY_MID")/100</f>
        <v>0</v>
      </c>
      <c r="W45" s="16">
        <f>W5*_xll.BDP($P45&amp;" Corp","RISK_MTY_MID")/100</f>
        <v>0</v>
      </c>
      <c r="X45" s="16">
        <f>X5*_xll.BDP($P45&amp;" Corp","RISK_MTY_MID")/100</f>
        <v>0</v>
      </c>
      <c r="Y45" s="16">
        <f>Y5*_xll.BDP($P45&amp;" Corp","RISK_MTY_MID")/100</f>
        <v>0</v>
      </c>
      <c r="Z45" s="16">
        <f>Z5*_xll.BDP($P45&amp;" Corp","RISK_MTY_MID")/100</f>
        <v>69.43844999998305</v>
      </c>
      <c r="AA45" s="16">
        <f>AA5*_xll.BDP($P45&amp;" Corp","RISK_MTY_MID")/100</f>
        <v>0</v>
      </c>
      <c r="AB45" s="16">
        <f>AB5*_xll.BDP($P45&amp;" Corp","RISK_MTY_MID")/100</f>
        <v>52.414829999987205</v>
      </c>
      <c r="AC45" s="55">
        <f t="shared" si="22"/>
        <v>224.44298999994521</v>
      </c>
      <c r="AD45" s="5">
        <f t="shared" ca="1" si="23"/>
        <v>3.6504646831268671E-3</v>
      </c>
      <c r="AH45" s="42">
        <f t="shared" ca="1" si="3"/>
        <v>45756</v>
      </c>
      <c r="AI45" s="43">
        <f ca="1">_xll.BInterpol('Base IPCA'!$C$3:$C$14,'Base IPCA'!$E$3:$E$14,AH45,"Cubic","Extrapolate=Linear","MultiX=Average","Skip=True","Sort=True")</f>
        <v>2.770725820568928</v>
      </c>
      <c r="AJ45" s="43">
        <f ca="1">_xll.BInterpol('Base IPCA'!$C$3:$C$14,'Base IPCA'!$D$3:$D$14,AH45,"Cubic","Extrapolate=Linear","MultiX=Average","Skip=True","Sort=True")</f>
        <v>3.0994424507658644</v>
      </c>
    </row>
    <row r="46" spans="2:36" x14ac:dyDescent="0.25">
      <c r="O46" t="s">
        <v>319</v>
      </c>
      <c r="P46" s="52" t="str">
        <f t="shared" si="21"/>
        <v>MSGT13</v>
      </c>
      <c r="Q46" s="60">
        <f>Q6*_xll.BDP($P46&amp;" Corp","RISK_MTY_MID")/100</f>
        <v>0</v>
      </c>
      <c r="R46" s="16">
        <f>R6*_xll.BDP($P46&amp;" Corp","RISK_MTY_MID")/100</f>
        <v>0</v>
      </c>
      <c r="S46" s="16">
        <f>S6*_xll.BDP($P46&amp;" Corp","RISK_MTY_MID")/100</f>
        <v>0</v>
      </c>
      <c r="T46" s="16">
        <f>T6*_xll.BDP($P46&amp;" Corp","RISK_MTY_MID")/100</f>
        <v>0</v>
      </c>
      <c r="U46" s="16">
        <f>U6*_xll.BDP($P46&amp;" Corp","RISK_MTY_MID")/100</f>
        <v>77.858171999994511</v>
      </c>
      <c r="V46" s="16">
        <f>V6*_xll.BDP($P46&amp;" Corp","RISK_MTY_MID")/100</f>
        <v>0</v>
      </c>
      <c r="W46" s="16">
        <f>W6*_xll.BDP($P46&amp;" Corp","RISK_MTY_MID")/100</f>
        <v>0</v>
      </c>
      <c r="X46" s="16">
        <f>X6*_xll.BDP($P46&amp;" Corp","RISK_MTY_MID")/100</f>
        <v>0</v>
      </c>
      <c r="Y46" s="16">
        <f>Y6*_xll.BDP($P46&amp;" Corp","RISK_MTY_MID")/100</f>
        <v>0</v>
      </c>
      <c r="Z46" s="16">
        <f>Z6*_xll.BDP($P46&amp;" Corp","RISK_MTY_MID")/100</f>
        <v>52.866659999996273</v>
      </c>
      <c r="AA46" s="16">
        <f>AA6*_xll.BDP($P46&amp;" Corp","RISK_MTY_MID")/100</f>
        <v>0</v>
      </c>
      <c r="AB46" s="31">
        <f>AB6*_xll.BDP($P46&amp;" Corp","RISK_MTY_MID")/100</f>
        <v>0</v>
      </c>
      <c r="AC46" s="55">
        <f t="shared" si="22"/>
        <v>130.72483199999078</v>
      </c>
      <c r="AD46" s="5">
        <f t="shared" ca="1" si="23"/>
        <v>2.126180828475756E-3</v>
      </c>
      <c r="AH46" s="42">
        <f t="shared" ca="1" si="3"/>
        <v>45757</v>
      </c>
      <c r="AI46" s="43">
        <f ca="1">_xll.BInterpol('Base IPCA'!$C$3:$C$14,'Base IPCA'!$E$3:$E$14,AH46,"Cubic","Extrapolate=Linear","MultiX=Average","Skip=True","Sort=True")</f>
        <v>2.7810862144420136</v>
      </c>
      <c r="AJ46" s="43">
        <f ca="1">_xll.BInterpol('Base IPCA'!$C$3:$C$14,'Base IPCA'!$D$3:$D$14,AH46,"Cubic","Extrapolate=Linear","MultiX=Average","Skip=True","Sort=True")</f>
        <v>2.9181522975929983</v>
      </c>
    </row>
    <row r="47" spans="2:36" x14ac:dyDescent="0.25">
      <c r="O47" t="s">
        <v>179</v>
      </c>
      <c r="P47" s="52" t="str">
        <f t="shared" si="21"/>
        <v>PEJA11</v>
      </c>
      <c r="Q47" s="16">
        <f>Q7*_xll.BDP($P47&amp;" Corp","RISK_MTY_MID")/100</f>
        <v>0</v>
      </c>
      <c r="R47" s="16">
        <f>R7*_xll.BDP($P47&amp;" Corp","RISK_MTY_MID")/100</f>
        <v>0</v>
      </c>
      <c r="S47" s="16">
        <f>S7*_xll.BDP($P47&amp;" Corp","RISK_MTY_MID")/100</f>
        <v>0</v>
      </c>
      <c r="T47" s="16">
        <f>T7*_xll.BDP($P47&amp;" Corp","RISK_MTY_MID")/100</f>
        <v>0</v>
      </c>
      <c r="U47" s="16">
        <f>U7*_xll.BDP($P47&amp;" Corp","RISK_MTY_MID")/100</f>
        <v>3023.7015865001381</v>
      </c>
      <c r="V47" s="16">
        <f>V7*_xll.BDP($P47&amp;" Corp","RISK_MTY_MID")/100</f>
        <v>0</v>
      </c>
      <c r="W47" s="16">
        <f>W7*_xll.BDP($P47&amp;" Corp","RISK_MTY_MID")/100</f>
        <v>131.82837850000601</v>
      </c>
      <c r="X47" s="16">
        <f>X7*_xll.BDP($P47&amp;" Corp","RISK_MTY_MID")/100</f>
        <v>0</v>
      </c>
      <c r="Y47" s="16">
        <f>Y7*_xll.BDP($P47&amp;" Corp","RISK_MTY_MID")/100</f>
        <v>0</v>
      </c>
      <c r="Z47" s="16">
        <f>Z7*_xll.BDP($P47&amp;" Corp","RISK_MTY_MID")/100</f>
        <v>723.5648105000331</v>
      </c>
      <c r="AA47" s="16">
        <f>AA7*_xll.BDP($P47&amp;" Corp","RISK_MTY_MID")/100</f>
        <v>0</v>
      </c>
      <c r="AB47" s="16">
        <f>AB7*_xll.BDP($P47&amp;" Corp","RISK_MTY_MID")/100</f>
        <v>0</v>
      </c>
      <c r="AC47" s="55">
        <f t="shared" si="22"/>
        <v>3879.0947755001775</v>
      </c>
      <c r="AD47" s="5">
        <f t="shared" ca="1" si="23"/>
        <v>6.3091738710435094E-2</v>
      </c>
      <c r="AH47" s="42">
        <f t="shared" ca="1" si="3"/>
        <v>45758</v>
      </c>
      <c r="AI47" s="43">
        <f ca="1">_xll.BInterpol('Base IPCA'!$C$3:$C$14,'Base IPCA'!$E$3:$E$14,AH47,"Cubic","Extrapolate=Linear","MultiX=Average","Skip=True","Sort=True")</f>
        <v>3.0596216630196942</v>
      </c>
      <c r="AJ47" s="43">
        <f ca="1">_xll.BInterpol('Base IPCA'!$C$3:$C$14,'Base IPCA'!$D$3:$D$14,AH47,"Cubic","Extrapolate=Linear","MultiX=Average","Skip=True","Sort=True")</f>
        <v>2.9283422319474832</v>
      </c>
    </row>
    <row r="48" spans="2:36" x14ac:dyDescent="0.25">
      <c r="O48" t="s">
        <v>177</v>
      </c>
      <c r="P48" s="52" t="str">
        <f t="shared" si="21"/>
        <v>BRFS31</v>
      </c>
      <c r="Q48" s="16">
        <f>Q8*_xll.BDP($P48&amp;" Corp","RISK_MTY_MID")/100</f>
        <v>172.53521849999538</v>
      </c>
      <c r="R48" s="16">
        <f>R8*_xll.BDP($P48&amp;" Corp","RISK_MTY_MID")/100</f>
        <v>157.09710449999579</v>
      </c>
      <c r="S48" s="16">
        <f>S8*_xll.BDP($P48&amp;" Corp","RISK_MTY_MID")/100</f>
        <v>408.25234799998907</v>
      </c>
      <c r="T48" s="16">
        <f>T8*_xll.BDP($P48&amp;" Corp","RISK_MTY_MID")/100</f>
        <v>0</v>
      </c>
      <c r="U48" s="16">
        <f>U8*_xll.BDP($P48&amp;" Corp","RISK_MTY_MID")/100</f>
        <v>0</v>
      </c>
      <c r="V48" s="16">
        <f>V8*_xll.BDP($P48&amp;" Corp","RISK_MTY_MID")/100</f>
        <v>24.586625999999342</v>
      </c>
      <c r="W48" s="16">
        <f>W8*_xll.BDP($P48&amp;" Corp","RISK_MTY_MID")/100</f>
        <v>0</v>
      </c>
      <c r="X48" s="16">
        <f>X8*_xll.BDP($P48&amp;" Corp","RISK_MTY_MID")/100</f>
        <v>272.31117749999271</v>
      </c>
      <c r="Y48" s="16">
        <f>Y8*_xll.BDP($P48&amp;" Corp","RISK_MTY_MID")/100</f>
        <v>0</v>
      </c>
      <c r="Z48" s="16">
        <f>Z8*_xll.BDP($P48&amp;" Corp","RISK_MTY_MID")/100</f>
        <v>0</v>
      </c>
      <c r="AA48" s="16">
        <f>AA8*_xll.BDP($P48&amp;" Corp","RISK_MTY_MID")/100</f>
        <v>3.5736374999999043</v>
      </c>
      <c r="AB48" s="16">
        <f>AB8*_xll.BDP($P48&amp;" Corp","RISK_MTY_MID")/100</f>
        <v>23.15717099999938</v>
      </c>
      <c r="AC48" s="55">
        <f t="shared" si="22"/>
        <v>1061.5132829999716</v>
      </c>
      <c r="AD48" s="5">
        <f t="shared" ca="1" si="23"/>
        <v>1.7265037995895516E-2</v>
      </c>
      <c r="AH48" s="42">
        <f t="shared" ca="1" si="3"/>
        <v>45759</v>
      </c>
      <c r="AI48" s="43">
        <f ca="1">_xll.BInterpol('Base IPCA'!$C$3:$C$14,'Base IPCA'!$E$3:$E$14,AH48,"Cubic","Extrapolate=Linear","MultiX=Average","Skip=True","Sort=True")</f>
        <v>2.801807002188184</v>
      </c>
      <c r="AJ48" s="43">
        <f ca="1">_xll.BInterpol('Base IPCA'!$C$3:$C$14,'Base IPCA'!$D$3:$D$14,AH48,"Cubic","Extrapolate=Linear","MultiX=Average","Skip=True","Sort=True")</f>
        <v>2.938532166301969</v>
      </c>
    </row>
    <row r="49" spans="9:36" x14ac:dyDescent="0.25">
      <c r="O49" t="s">
        <v>179</v>
      </c>
      <c r="P49" s="52" t="str">
        <f t="shared" si="21"/>
        <v>ENGIA5</v>
      </c>
      <c r="Q49" s="16">
        <f>Q9*_xll.BDP($P49&amp;" Corp","RISK_MTY_MID")/100</f>
        <v>0</v>
      </c>
      <c r="R49" s="16">
        <f>R9*_xll.BDP($P49&amp;" Corp","RISK_MTY_MID")/100</f>
        <v>0</v>
      </c>
      <c r="S49" s="16">
        <f>S9*_xll.BDP($P49&amp;" Corp","RISK_MTY_MID")/100</f>
        <v>0</v>
      </c>
      <c r="T49" s="16">
        <f>T9*_xll.BDP($P49&amp;" Corp","RISK_MTY_MID")/100</f>
        <v>0</v>
      </c>
      <c r="U49" s="16">
        <f>U9*_xll.BDP($P49&amp;" Corp","RISK_MTY_MID")/100</f>
        <v>329.38988400000767</v>
      </c>
      <c r="V49" s="16">
        <f>V9*_xll.BDP($P49&amp;" Corp","RISK_MTY_MID")/100</f>
        <v>0</v>
      </c>
      <c r="W49" s="16">
        <f>W9*_xll.BDP($P49&amp;" Corp","RISK_MTY_MID")/100</f>
        <v>0</v>
      </c>
      <c r="X49" s="16">
        <f>X9*_xll.BDP($P49&amp;" Corp","RISK_MTY_MID")/100</f>
        <v>0</v>
      </c>
      <c r="Y49" s="16">
        <f>Y9*_xll.BDP($P49&amp;" Corp","RISK_MTY_MID")/100</f>
        <v>0</v>
      </c>
      <c r="Z49" s="16">
        <f>Z9*_xll.BDP($P49&amp;" Corp","RISK_MTY_MID")/100</f>
        <v>0</v>
      </c>
      <c r="AA49" s="16">
        <f>AA9*_xll.BDP($P49&amp;" Corp","RISK_MTY_MID")/100</f>
        <v>0</v>
      </c>
      <c r="AB49" s="16">
        <f>AB9*_xll.BDP($P49&amp;" Corp","RISK_MTY_MID")/100</f>
        <v>0</v>
      </c>
      <c r="AC49" s="55">
        <f t="shared" si="22"/>
        <v>329.38988400000767</v>
      </c>
      <c r="AD49" s="5">
        <f t="shared" ca="1" si="23"/>
        <v>5.3573788984079074E-3</v>
      </c>
      <c r="AH49" s="42">
        <f t="shared" ca="1" si="3"/>
        <v>45760</v>
      </c>
      <c r="AI49" s="43">
        <f ca="1">_xll.BInterpol('Base IPCA'!$C$3:$C$14,'Base IPCA'!$E$3:$E$14,AH49,"Cubic","Extrapolate=Linear","MultiX=Average","Skip=True","Sort=True")</f>
        <v>3.0795792122538295</v>
      </c>
      <c r="AJ49" s="43">
        <f ca="1">_xll.BInterpol('Base IPCA'!$C$3:$C$14,'Base IPCA'!$D$3:$D$14,AH49,"Cubic","Extrapolate=Linear","MultiX=Average","Skip=True","Sort=True")</f>
        <v>3.1402599562363234</v>
      </c>
    </row>
    <row r="50" spans="9:36" x14ac:dyDescent="0.25">
      <c r="I50" s="144"/>
      <c r="O50" t="s">
        <v>179</v>
      </c>
      <c r="P50" s="52" t="str">
        <f t="shared" si="21"/>
        <v>TBCR18</v>
      </c>
      <c r="Q50" s="16">
        <f t="shared" ref="Q50:AB50" si="24">Q10*0.4340811</f>
        <v>0</v>
      </c>
      <c r="R50" s="16">
        <f t="shared" si="24"/>
        <v>0</v>
      </c>
      <c r="S50" s="16">
        <f t="shared" si="24"/>
        <v>0</v>
      </c>
      <c r="T50" s="16">
        <f t="shared" si="24"/>
        <v>0</v>
      </c>
      <c r="U50" s="16">
        <f t="shared" si="24"/>
        <v>540.86505060000002</v>
      </c>
      <c r="V50" s="16">
        <f t="shared" si="24"/>
        <v>0</v>
      </c>
      <c r="W50" s="16">
        <f t="shared" si="24"/>
        <v>0</v>
      </c>
      <c r="X50" s="16">
        <f t="shared" si="24"/>
        <v>0</v>
      </c>
      <c r="Y50" s="16">
        <f t="shared" si="24"/>
        <v>0</v>
      </c>
      <c r="Z50" s="16">
        <f t="shared" si="24"/>
        <v>130.22433000000001</v>
      </c>
      <c r="AA50" s="16">
        <f t="shared" si="24"/>
        <v>0</v>
      </c>
      <c r="AB50" s="16">
        <f t="shared" si="24"/>
        <v>0</v>
      </c>
      <c r="AC50" s="55">
        <f t="shared" si="22"/>
        <v>671.08938060000003</v>
      </c>
      <c r="AD50" s="5">
        <f t="shared" ca="1" si="23"/>
        <v>1.091496813111598E-2</v>
      </c>
      <c r="AH50" s="42">
        <f t="shared" ca="1" si="3"/>
        <v>45761</v>
      </c>
      <c r="AI50" s="43">
        <f ca="1">_xll.BInterpol('Base IPCA'!$C$3:$C$14,'Base IPCA'!$E$3:$E$14,AH50,"Cubic","Extrapolate=Linear","MultiX=Average","Skip=True","Sort=True")</f>
        <v>2.8225277899343544</v>
      </c>
      <c r="AJ50" s="43">
        <f ca="1">_xll.BInterpol('Base IPCA'!$C$3:$C$14,'Base IPCA'!$D$3:$D$14,AH50,"Cubic","Extrapolate=Linear","MultiX=Average","Skip=True","Sort=True")</f>
        <v>2.9589120350109406</v>
      </c>
    </row>
    <row r="51" spans="9:36" x14ac:dyDescent="0.25">
      <c r="O51" t="s">
        <v>180</v>
      </c>
      <c r="P51" s="52" t="str">
        <f t="shared" si="21"/>
        <v>VERO13</v>
      </c>
      <c r="Q51" s="16">
        <f>IFERROR(Q11*_xll.BDP($P51&amp;" Corp","RISK_MTY_MID")/100,(Q11*0.39103))</f>
        <v>0</v>
      </c>
      <c r="R51" s="16">
        <f>IFERROR(R11*_xll.BDP($P51&amp;" Corp","RISK_MTY_MID")/100,(R11*0.39103))</f>
        <v>0</v>
      </c>
      <c r="S51" s="16">
        <f>IFERROR(S11*_xll.BDP($P51&amp;" Corp","RISK_MTY_MID")/100,(S11*0.39103))</f>
        <v>0</v>
      </c>
      <c r="T51" s="16">
        <f>IFERROR(T11*_xll.BDP($P51&amp;" Corp","RISK_MTY_MID")/100,(T11*0.39103))</f>
        <v>0</v>
      </c>
      <c r="U51" s="16">
        <f>IFERROR(U11*_xll.BDP($P51&amp;" Corp","RISK_MTY_MID")/100,(U11*0.39103))</f>
        <v>1093.71091</v>
      </c>
      <c r="V51" s="16">
        <f>IFERROR(V11*_xll.BDP($P51&amp;" Corp","RISK_MTY_MID")/100,(V11*0.39103))</f>
        <v>0</v>
      </c>
      <c r="W51" s="16">
        <f>IFERROR(W11*_xll.BDP($P51&amp;" Corp","RISK_MTY_MID")/100,(W11*0.39103))</f>
        <v>0</v>
      </c>
      <c r="X51" s="16">
        <f>IFERROR(X11*_xll.BDP($P51&amp;" Corp","RISK_MTY_MID")/100,(X11*0.39103))</f>
        <v>0</v>
      </c>
      <c r="Y51" s="16">
        <f>IFERROR(Y11*_xll.BDP($P51&amp;" Corp","RISK_MTY_MID")/100,(Y11*0.39103))</f>
        <v>0</v>
      </c>
      <c r="Z51" s="16">
        <f>IFERROR(Z11*_xll.BDP($P51&amp;" Corp","RISK_MTY_MID")/100,(Z11*0.39103))</f>
        <v>261.99009999999998</v>
      </c>
      <c r="AA51" s="16">
        <f>IFERROR(AA11*_xll.BDP($P51&amp;" Corp","RISK_MTY_MID")/100,(AA11*0.39103))</f>
        <v>0</v>
      </c>
      <c r="AB51" s="16">
        <f>IFERROR(AB11*_xll.BDP($P51&amp;" Corp","RISK_MTY_MID")/100,(AB11*0.39103))</f>
        <v>0</v>
      </c>
      <c r="AC51" s="55">
        <f>SUM(Q51:AB51)</f>
        <v>1355.70101</v>
      </c>
      <c r="AD51" s="5">
        <f t="shared" ca="1" si="23"/>
        <v>2.2049869581071042E-2</v>
      </c>
      <c r="AH51" s="42">
        <f t="shared" ca="1" si="3"/>
        <v>45762</v>
      </c>
      <c r="AI51" s="43">
        <f ca="1">_xll.BInterpol('Base IPCA'!$C$3:$C$14,'Base IPCA'!$E$3:$E$14,AH51,"Cubic","Extrapolate=Linear","MultiX=Average","Skip=True","Sort=True")</f>
        <v>3.0995367614879656</v>
      </c>
      <c r="AJ51" s="43">
        <f ca="1">_xll.BInterpol('Base IPCA'!$C$3:$C$14,'Base IPCA'!$D$3:$D$14,AH51,"Cubic","Extrapolate=Linear","MultiX=Average","Skip=True","Sort=True")</f>
        <v>3.1606687089715546</v>
      </c>
    </row>
    <row r="52" spans="9:36" x14ac:dyDescent="0.25">
      <c r="O52" t="s">
        <v>451</v>
      </c>
      <c r="P52" s="52" t="str">
        <f t="shared" si="21"/>
        <v>BHSA11</v>
      </c>
      <c r="Q52" s="16">
        <f>IFERROR(Q12*_xll.BDP($P52&amp;" Corp","RISK_MTY_MID")/100,(Q12*0.7310661))</f>
        <v>0</v>
      </c>
      <c r="R52" s="16">
        <f>IFERROR(R12*_xll.BDP($P52&amp;" Corp","RISK_MTY_MID")/100,(R12*0.7310661))</f>
        <v>0</v>
      </c>
      <c r="S52" s="16">
        <f>IFERROR(S12*_xll.BDP($P52&amp;" Corp","RISK_MTY_MID")/100,(S12*0.7310661))</f>
        <v>0</v>
      </c>
      <c r="T52" s="16">
        <f>IFERROR(T12*_xll.BDP($P52&amp;" Corp","RISK_MTY_MID")/100,(T12*0.7310661))</f>
        <v>0</v>
      </c>
      <c r="U52" s="16">
        <f>IFERROR(U12*_xll.BDP($P52&amp;" Corp","RISK_MTY_MID")/100,(U12*0.7310661))</f>
        <v>453.99204810000003</v>
      </c>
      <c r="V52" s="16">
        <f>IFERROR(V12*_xll.BDP($P52&amp;" Corp","RISK_MTY_MID")/100,(V12*0.7310661))</f>
        <v>0</v>
      </c>
      <c r="W52" s="16">
        <f>IFERROR(W12*_xll.BDP($P52&amp;" Corp","RISK_MTY_MID")/100,(W12*0.7310661))</f>
        <v>0</v>
      </c>
      <c r="X52" s="16">
        <f>IFERROR(X12*_xll.BDP($P52&amp;" Corp","RISK_MTY_MID")/100,(X12*0.7310661))</f>
        <v>0</v>
      </c>
      <c r="Y52" s="16">
        <f>IFERROR(Y12*_xll.BDP($P52&amp;" Corp","RISK_MTY_MID")/100,(Y12*0.7310661))</f>
        <v>0</v>
      </c>
      <c r="Z52" s="16">
        <f>IFERROR(Z12*_xll.BDP($P52&amp;" Corp","RISK_MTY_MID")/100,(Z12*0.7310661))</f>
        <v>108.92884890000001</v>
      </c>
      <c r="AA52" s="16">
        <f>IFERROR(AA12*_xll.BDP($P52&amp;" Corp","RISK_MTY_MID")/100,(AA12*0.7310661))</f>
        <v>0</v>
      </c>
      <c r="AB52" s="16">
        <f>IFERROR(AB12*_xll.BDP($P52&amp;" Corp","RISK_MTY_MID")/100,(AB12*0.7310661))</f>
        <v>0</v>
      </c>
      <c r="AC52" s="55">
        <f t="shared" ref="AC52:AC70" si="25">SUM(Q52:AB52)</f>
        <v>562.92089700000008</v>
      </c>
      <c r="AD52" s="5">
        <f t="shared" ca="1" si="23"/>
        <v>9.1556562042463385E-3</v>
      </c>
      <c r="AH52" s="42">
        <f t="shared" ca="1" si="3"/>
        <v>45763</v>
      </c>
      <c r="AI52" s="43">
        <f ca="1">_xll.BInterpol('Base IPCA'!$C$3:$C$14,'Base IPCA'!$E$3:$E$14,AH52,"Cubic","Extrapolate=Linear","MultiX=Average","Skip=True","Sort=True")</f>
        <v>2.8432485776805256</v>
      </c>
      <c r="AJ52" s="43">
        <f ca="1">_xll.BInterpol('Base IPCA'!$C$3:$C$14,'Base IPCA'!$D$3:$D$14,AH52,"Cubic","Extrapolate=Linear","MultiX=Average","Skip=True","Sort=True")</f>
        <v>2.979291903719913</v>
      </c>
    </row>
    <row r="53" spans="9:36" x14ac:dyDescent="0.25">
      <c r="O53" t="s">
        <v>180</v>
      </c>
      <c r="P53" s="52" t="str">
        <f t="shared" si="21"/>
        <v>ENAT14</v>
      </c>
      <c r="Q53" s="16">
        <f>IFERROR(Q13*_xll.BDP($P53&amp;" Corp","RISK_MTY_MID")/100,(Q13*0.42393))</f>
        <v>0</v>
      </c>
      <c r="R53" s="16">
        <f>IFERROR(R13*_xll.BDP($P53&amp;" Corp","RISK_MTY_MID")/100,(R13*0.42393))</f>
        <v>0</v>
      </c>
      <c r="S53" s="16">
        <f>IFERROR(S13*_xll.BDP($P53&amp;" Corp","RISK_MTY_MID")/100,(S13*0.42393))</f>
        <v>0</v>
      </c>
      <c r="T53" s="16">
        <f>IFERROR(T13*_xll.BDP($P53&amp;" Corp","RISK_MTY_MID")/100,(T13*0.42393))</f>
        <v>0</v>
      </c>
      <c r="U53" s="16">
        <f>IFERROR(U13*_xll.BDP($P53&amp;" Corp","RISK_MTY_MID")/100,(U13*0.42393))</f>
        <v>1387.0116609999591</v>
      </c>
      <c r="V53" s="16">
        <f>IFERROR(V13*_xll.BDP($P53&amp;" Corp","RISK_MTY_MID")/100,(V13*0.42393))</f>
        <v>0</v>
      </c>
      <c r="W53" s="16">
        <f>IFERROR(W13*_xll.BDP($P53&amp;" Corp","RISK_MTY_MID")/100,(W13*0.42393))</f>
        <v>0</v>
      </c>
      <c r="X53" s="16">
        <f>IFERROR(X13*_xll.BDP($P53&amp;" Corp","RISK_MTY_MID")/100,(X13*0.42393))</f>
        <v>0</v>
      </c>
      <c r="Y53" s="16">
        <f>IFERROR(Y13*_xll.BDP($P53&amp;" Corp","RISK_MTY_MID")/100,(Y13*0.42393))</f>
        <v>0</v>
      </c>
      <c r="Z53" s="16">
        <f>IFERROR(Z13*_xll.BDP($P53&amp;" Corp","RISK_MTY_MID")/100,(Z13*0.42393))</f>
        <v>334.94898999999009</v>
      </c>
      <c r="AA53" s="16">
        <f>IFERROR(AA13*_xll.BDP($P53&amp;" Corp","RISK_MTY_MID")/100,(AA13*0.42393))</f>
        <v>0</v>
      </c>
      <c r="AB53" s="16">
        <f>IFERROR(AB13*_xll.BDP($P53&amp;" Corp","RISK_MTY_MID")/100,(AB13*0.42393))</f>
        <v>0</v>
      </c>
      <c r="AC53" s="55">
        <f t="shared" ref="AC53:AC56" si="26">SUM(Q53:AB53)</f>
        <v>1721.9606509999492</v>
      </c>
      <c r="AD53" s="5">
        <f t="shared" ca="1" si="23"/>
        <v>2.8006918559635111E-2</v>
      </c>
      <c r="AH53" s="42">
        <f t="shared" ca="1" si="3"/>
        <v>45764</v>
      </c>
      <c r="AI53" s="43">
        <f ca="1">_xll.BInterpol('Base IPCA'!$C$3:$C$14,'Base IPCA'!$E$3:$E$14,AH53,"Cubic","Extrapolate=Linear","MultiX=Average","Skip=True","Sort=True")</f>
        <v>2.8536089715536104</v>
      </c>
      <c r="AJ53" s="43">
        <f ca="1">_xll.BInterpol('Base IPCA'!$C$3:$C$14,'Base IPCA'!$D$3:$D$14,AH53,"Cubic","Extrapolate=Linear","MultiX=Average","Skip=True","Sort=True")</f>
        <v>3.1810774617067841</v>
      </c>
    </row>
    <row r="54" spans="9:36" x14ac:dyDescent="0.25">
      <c r="O54" t="s">
        <v>183</v>
      </c>
      <c r="P54" s="52" t="str">
        <f t="shared" si="21"/>
        <v>RMSA12</v>
      </c>
      <c r="Q54" s="16">
        <f>IFERROR(Q14*_xll.BDP($P54&amp;" Corp","RISK_MTY_MID")/100,(Q14*0.894042))</f>
        <v>0</v>
      </c>
      <c r="R54" s="16">
        <f>IFERROR(R14*_xll.BDP($P54&amp;" Corp","RISK_MTY_MID")/100,(R14*0.894042))</f>
        <v>0</v>
      </c>
      <c r="S54" s="16">
        <f>IFERROR(S14*_xll.BDP($P54&amp;" Corp","RISK_MTY_MID")/100,(S14*0.894042))</f>
        <v>0</v>
      </c>
      <c r="T54" s="16">
        <f>IFERROR(T14*_xll.BDP($P54&amp;" Corp","RISK_MTY_MID")/100,(T14*0.894042))</f>
        <v>0</v>
      </c>
      <c r="U54" s="16">
        <f>IFERROR(U14*_xll.BDP($P54&amp;" Corp","RISK_MTY_MID")/100,(U14*0.894042))</f>
        <v>1189.969902</v>
      </c>
      <c r="V54" s="16">
        <f>IFERROR(V14*_xll.BDP($P54&amp;" Corp","RISK_MTY_MID")/100,(V14*0.894042))</f>
        <v>0</v>
      </c>
      <c r="W54" s="16">
        <f>IFERROR(W14*_xll.BDP($P54&amp;" Corp","RISK_MTY_MID")/100,(W14*0.894042))</f>
        <v>0</v>
      </c>
      <c r="X54" s="16">
        <f>IFERROR(X14*_xll.BDP($P54&amp;" Corp","RISK_MTY_MID")/100,(X14*0.894042))</f>
        <v>0</v>
      </c>
      <c r="Y54" s="16">
        <f>IFERROR(Y14*_xll.BDP($P54&amp;" Corp","RISK_MTY_MID")/100,(Y14*0.894042))</f>
        <v>0</v>
      </c>
      <c r="Z54" s="16">
        <f>IFERROR(Z14*_xll.BDP($P54&amp;" Corp","RISK_MTY_MID")/100,(Z14*0.894042))</f>
        <v>285.19939799999997</v>
      </c>
      <c r="AA54" s="16">
        <f>IFERROR(AA14*_xll.BDP($P54&amp;" Corp","RISK_MTY_MID")/100,(AA14*0.894042))</f>
        <v>0</v>
      </c>
      <c r="AB54" s="16">
        <f>IFERROR(AB14*_xll.BDP($P54&amp;" Corp","RISK_MTY_MID")/100,(AB14*0.894042))</f>
        <v>0</v>
      </c>
      <c r="AC54" s="55">
        <f t="shared" si="26"/>
        <v>1475.1693</v>
      </c>
      <c r="AD54" s="5">
        <f t="shared" ca="1" si="23"/>
        <v>2.3992967796785711E-2</v>
      </c>
      <c r="AH54" s="42">
        <f t="shared" ca="1" si="3"/>
        <v>45765</v>
      </c>
      <c r="AI54" s="43">
        <f ca="1">_xll.BInterpol('Base IPCA'!$C$3:$C$14,'Base IPCA'!$E$3:$E$14,AH54,"Cubic","Extrapolate=Linear","MultiX=Average","Skip=True","Sort=True")</f>
        <v>2.863969365426696</v>
      </c>
      <c r="AJ54" s="43">
        <f ca="1">_xll.BInterpol('Base IPCA'!$C$3:$C$14,'Base IPCA'!$D$3:$D$14,AH54,"Cubic","Extrapolate=Linear","MultiX=Average","Skip=True","Sort=True")</f>
        <v>2.9996717724288837</v>
      </c>
    </row>
    <row r="55" spans="9:36" x14ac:dyDescent="0.25">
      <c r="O55" t="s">
        <v>180</v>
      </c>
      <c r="P55" s="52" t="str">
        <f t="shared" si="21"/>
        <v>ERDVC3</v>
      </c>
      <c r="Q55" s="16">
        <f>IFERROR(Q15*_xll.BDP($P55&amp;" Corp","RISK_MTY_MID")/100,(Q15*0.58201))</f>
        <v>0</v>
      </c>
      <c r="R55" s="16">
        <f>IFERROR(R15*_xll.BDP($P55&amp;" Corp","RISK_MTY_MID")/100,(R15*0.58201))</f>
        <v>0</v>
      </c>
      <c r="S55" s="16">
        <f>IFERROR(S15*_xll.BDP($P55&amp;" Corp","RISK_MTY_MID")/100,(S15*0.58201))</f>
        <v>0</v>
      </c>
      <c r="T55" s="16">
        <f>IFERROR(T15*_xll.BDP($P55&amp;" Corp","RISK_MTY_MID")/100,(T15*0.58201))</f>
        <v>0</v>
      </c>
      <c r="U55" s="16">
        <f>IFERROR(U15*_xll.BDP($P55&amp;" Corp","RISK_MTY_MID")/100,(U15*0.58201))</f>
        <v>2406.1345135000956</v>
      </c>
      <c r="V55" s="16">
        <f>IFERROR(V15*_xll.BDP($P55&amp;" Corp","RISK_MTY_MID")/100,(V15*0.58201))</f>
        <v>0</v>
      </c>
      <c r="W55" s="16">
        <f>IFERROR(W15*_xll.BDP($P55&amp;" Corp","RISK_MTY_MID")/100,(W15*0.58201))</f>
        <v>0</v>
      </c>
      <c r="X55" s="16">
        <f>IFERROR(X15*_xll.BDP($P55&amp;" Corp","RISK_MTY_MID")/100,(X15*0.58201))</f>
        <v>0</v>
      </c>
      <c r="Y55" s="16">
        <f>IFERROR(Y15*_xll.BDP($P55&amp;" Corp","RISK_MTY_MID")/100,(Y15*0.58201))</f>
        <v>0</v>
      </c>
      <c r="Z55" s="16">
        <f>IFERROR(Z15*_xll.BDP($P55&amp;" Corp","RISK_MTY_MID")/100,(Z15*0.58201))</f>
        <v>581.36798650002311</v>
      </c>
      <c r="AA55" s="16">
        <f>IFERROR(AA15*_xll.BDP($P55&amp;" Corp","RISK_MTY_MID")/100,(AA15*0.58201))</f>
        <v>0</v>
      </c>
      <c r="AB55" s="16">
        <f>IFERROR(AB15*_xll.BDP($P55&amp;" Corp","RISK_MTY_MID")/100,(AB15*0.58201))</f>
        <v>0</v>
      </c>
      <c r="AC55" s="55">
        <f t="shared" si="26"/>
        <v>2987.5025000001187</v>
      </c>
      <c r="AD55" s="5">
        <f t="shared" ca="1" si="23"/>
        <v>4.8590389777851024E-2</v>
      </c>
      <c r="AH55" s="42">
        <f t="shared" ca="1" si="3"/>
        <v>45766</v>
      </c>
      <c r="AI55" s="43">
        <f ca="1">_xll.BInterpol('Base IPCA'!$C$3:$C$14,'Base IPCA'!$E$3:$E$14,AH55,"Cubic","Extrapolate=Linear","MultiX=Average","Skip=True","Sort=True")</f>
        <v>3.1394518599562362</v>
      </c>
      <c r="AJ55" s="43">
        <f ca="1">_xll.BInterpol('Base IPCA'!$C$3:$C$14,'Base IPCA'!$D$3:$D$14,AH55,"Cubic","Extrapolate=Linear","MultiX=Average","Skip=True","Sort=True")</f>
        <v>3.0098617067833695</v>
      </c>
    </row>
    <row r="56" spans="9:36" x14ac:dyDescent="0.25">
      <c r="O56" t="s">
        <v>180</v>
      </c>
      <c r="P56" s="52" t="str">
        <f t="shared" si="21"/>
        <v>COCE18</v>
      </c>
      <c r="Q56" s="16">
        <f>IFERROR(Q16*_xll.BDP($P56&amp;" Corp","RISK_MTY_MID")/100,(Q16*0.5088))</f>
        <v>0</v>
      </c>
      <c r="R56" s="16">
        <f>IFERROR(R16*_xll.BDP($P56&amp;" Corp","RISK_MTY_MID")/100,(R16*0.5088))</f>
        <v>0</v>
      </c>
      <c r="S56" s="16">
        <f>IFERROR(S16*_xll.BDP($P56&amp;" Corp","RISK_MTY_MID")/100,(S16*0.5088))</f>
        <v>0</v>
      </c>
      <c r="T56" s="16">
        <f>IFERROR(T16*_xll.BDP($P56&amp;" Corp","RISK_MTY_MID")/100,(T16*0.5088))</f>
        <v>0</v>
      </c>
      <c r="U56" s="16">
        <f>IFERROR(U16*_xll.BDP($P56&amp;" Corp","RISK_MTY_MID")/100,(U16*0.5088))</f>
        <v>2155.7810500000191</v>
      </c>
      <c r="V56" s="16">
        <f>IFERROR(V16*_xll.BDP($P56&amp;" Corp","RISK_MTY_MID")/100,(V16*0.5088))</f>
        <v>0</v>
      </c>
      <c r="W56" s="16">
        <f>IFERROR(W16*_xll.BDP($P56&amp;" Corp","RISK_MTY_MID")/100,(W16*0.5088))</f>
        <v>0</v>
      </c>
      <c r="X56" s="16">
        <f>IFERROR(X16*_xll.BDP($P56&amp;" Corp","RISK_MTY_MID")/100,(X16*0.5088))</f>
        <v>0</v>
      </c>
      <c r="Y56" s="16">
        <f>IFERROR(Y16*_xll.BDP($P56&amp;" Corp","RISK_MTY_MID")/100,(Y16*0.5088))</f>
        <v>0</v>
      </c>
      <c r="Z56" s="16">
        <f>IFERROR(Z16*_xll.BDP($P56&amp;" Corp","RISK_MTY_MID")/100,(Z16*0.5088))</f>
        <v>521.51495000000466</v>
      </c>
      <c r="AA56" s="16">
        <f>IFERROR(AA16*_xll.BDP($P56&amp;" Corp","RISK_MTY_MID")/100,(AA16*0.5088))</f>
        <v>0</v>
      </c>
      <c r="AB56" s="16">
        <f>IFERROR(AB16*_xll.BDP($P56&amp;" Corp","RISK_MTY_MID")/100,(AB16*0.5088))</f>
        <v>0</v>
      </c>
      <c r="AC56" s="55">
        <f t="shared" si="26"/>
        <v>2677.2960000000239</v>
      </c>
      <c r="AD56" s="5">
        <f t="shared" ca="1" si="23"/>
        <v>4.3545020026151418E-2</v>
      </c>
      <c r="AH56" s="42">
        <f t="shared" ca="1" si="3"/>
        <v>45767</v>
      </c>
      <c r="AI56" s="43">
        <f ca="1">_xll.BInterpol('Base IPCA'!$C$3:$C$14,'Base IPCA'!$E$3:$E$14,AH56,"Cubic","Extrapolate=Linear","MultiX=Average","Skip=True","Sort=True")</f>
        <v>2.8846901531728664</v>
      </c>
      <c r="AJ56" s="43">
        <f ca="1">_xll.BInterpol('Base IPCA'!$C$3:$C$14,'Base IPCA'!$D$3:$D$14,AH56,"Cubic","Extrapolate=Linear","MultiX=Average","Skip=True","Sort=True")</f>
        <v>3.0200516411378553</v>
      </c>
    </row>
    <row r="57" spans="9:36" x14ac:dyDescent="0.25">
      <c r="N57" s="207"/>
      <c r="O57" t="s">
        <v>451</v>
      </c>
      <c r="P57" s="52" t="str">
        <f t="shared" si="21"/>
        <v>BRKP28</v>
      </c>
      <c r="Q57" s="16">
        <f>IFERROR(Q17*_xll.BDP($P57&amp;" Corp","RISK_MTY_MID")/100,(Q17*0.65223))</f>
        <v>0</v>
      </c>
      <c r="R57" s="16">
        <f>IFERROR(R17*_xll.BDP($P57&amp;" Corp","RISK_MTY_MID")/100,(R17*0.65223))</f>
        <v>0</v>
      </c>
      <c r="S57" s="16">
        <f>IFERROR(S17*_xll.BDP($P57&amp;" Corp","RISK_MTY_MID")/100,(S17*0.65223))</f>
        <v>0</v>
      </c>
      <c r="T57" s="16">
        <f>IFERROR(T17*_xll.BDP($P57&amp;" Corp","RISK_MTY_MID")/100,(T17*0.65223))</f>
        <v>0</v>
      </c>
      <c r="U57" s="16">
        <f>IFERROR(U17*_xll.BDP($P57&amp;" Corp","RISK_MTY_MID")/100,(U17*0.65223))</f>
        <v>1439.7900674999585</v>
      </c>
      <c r="V57" s="16">
        <f>IFERROR(V17*_xll.BDP($P57&amp;" Corp","RISK_MTY_MID")/100,(V17*0.65223))</f>
        <v>0</v>
      </c>
      <c r="W57" s="16">
        <f>IFERROR(W17*_xll.BDP($P57&amp;" Corp","RISK_MTY_MID")/100,(W17*0.65223))</f>
        <v>0</v>
      </c>
      <c r="X57" s="16">
        <f>IFERROR(X17*_xll.BDP($P57&amp;" Corp","RISK_MTY_MID")/100,(X17*0.65223))</f>
        <v>0</v>
      </c>
      <c r="Y57" s="16">
        <f>IFERROR(Y17*_xll.BDP($P57&amp;" Corp","RISK_MTY_MID")/100,(Y17*0.65223))</f>
        <v>0</v>
      </c>
      <c r="Z57" s="16">
        <f>IFERROR(Z17*_xll.BDP($P57&amp;" Corp","RISK_MTY_MID")/100,(Z17*0.65223))</f>
        <v>344.77868249999005</v>
      </c>
      <c r="AA57" s="16">
        <f>IFERROR(AA17*_xll.BDP($P57&amp;" Corp","RISK_MTY_MID")/100,(AA17*0.65223))</f>
        <v>0</v>
      </c>
      <c r="AB57" s="16">
        <f>IFERROR(AB17*_xll.BDP($P57&amp;" Corp","RISK_MTY_MID")/100,(AB17*0.65223))</f>
        <v>0</v>
      </c>
      <c r="AC57" s="55">
        <f t="shared" si="25"/>
        <v>1784.5687499999485</v>
      </c>
      <c r="AD57" s="5">
        <f t="shared" ca="1" si="23"/>
        <v>2.9025211241786888E-2</v>
      </c>
      <c r="AH57" s="42">
        <f t="shared" ca="1" si="3"/>
        <v>45768</v>
      </c>
      <c r="AI57" s="43">
        <f ca="1">_xll.BInterpol('Base IPCA'!$C$3:$C$14,'Base IPCA'!$E$3:$E$14,AH57,"Cubic","Extrapolate=Linear","MultiX=Average","Skip=True","Sort=True")</f>
        <v>3.1594094091903715</v>
      </c>
      <c r="AJ57" s="43">
        <f ca="1">_xll.BInterpol('Base IPCA'!$C$3:$C$14,'Base IPCA'!$D$3:$D$14,AH57,"Cubic","Extrapolate=Linear","MultiX=Average","Skip=True","Sort=True")</f>
        <v>3.2218949671772421</v>
      </c>
    </row>
    <row r="58" spans="9:36" x14ac:dyDescent="0.25">
      <c r="O58" t="s">
        <v>319</v>
      </c>
      <c r="P58" s="52" t="str">
        <f t="shared" si="21"/>
        <v>CAEC21</v>
      </c>
      <c r="Q58" s="16">
        <f>IFERROR(Q18*_xll.BDP($P58&amp;" Corp","RISK_MTY_MID")/100,(Q18*0.29806))</f>
        <v>0</v>
      </c>
      <c r="R58" s="16">
        <f>IFERROR(R18*_xll.BDP($P58&amp;" Corp","RISK_MTY_MID")/100,(R18*0.29806))</f>
        <v>0</v>
      </c>
      <c r="S58" s="16">
        <f>IFERROR(S18*_xll.BDP($P58&amp;" Corp","RISK_MTY_MID")/100,(S18*0.29806))</f>
        <v>0</v>
      </c>
      <c r="T58" s="16">
        <f>IFERROR(T18*_xll.BDP($P58&amp;" Corp","RISK_MTY_MID")/100,(T18*0.29806))</f>
        <v>0</v>
      </c>
      <c r="U58" s="16">
        <f>IFERROR(U18*_xll.BDP($P58&amp;" Corp","RISK_MTY_MID")/100,(U18*0.29806))</f>
        <v>1576.9758124998675</v>
      </c>
      <c r="V58" s="16">
        <f>IFERROR(V18*_xll.BDP($P58&amp;" Corp","RISK_MTY_MID")/100,(V18*0.29806))</f>
        <v>0</v>
      </c>
      <c r="W58" s="16">
        <f>IFERROR(W18*_xll.BDP($P58&amp;" Corp","RISK_MTY_MID")/100,(W18*0.29806))</f>
        <v>0</v>
      </c>
      <c r="X58" s="16">
        <f>IFERROR(X18*_xll.BDP($P58&amp;" Corp","RISK_MTY_MID")/100,(X18*0.29806))</f>
        <v>0</v>
      </c>
      <c r="Y58" s="16">
        <f>IFERROR(Y18*_xll.BDP($P58&amp;" Corp","RISK_MTY_MID")/100,(Y18*0.29806))</f>
        <v>0</v>
      </c>
      <c r="Z58" s="16">
        <f>IFERROR(Z18*_xll.BDP($P58&amp;" Corp","RISK_MTY_MID")/100,(Z18*0.29806))</f>
        <v>376.43938749996835</v>
      </c>
      <c r="AA58" s="16">
        <f>IFERROR(AA18*_xll.BDP($P58&amp;" Corp","RISK_MTY_MID")/100,(AA18*0.29806))</f>
        <v>0</v>
      </c>
      <c r="AB58" s="16">
        <f>IFERROR(AB18*_xll.BDP($P58&amp;" Corp","RISK_MTY_MID")/100,(AB18*0.29806))</f>
        <v>0</v>
      </c>
      <c r="AC58" s="55">
        <f t="shared" si="25"/>
        <v>1953.4151999998357</v>
      </c>
      <c r="AD58" s="5">
        <f t="shared" ca="1" si="23"/>
        <v>3.1771423108756247E-2</v>
      </c>
      <c r="AH58" s="42">
        <f t="shared" ca="1" si="3"/>
        <v>45769</v>
      </c>
      <c r="AI58" s="43">
        <f ca="1">_xll.BInterpol('Base IPCA'!$C$3:$C$14,'Base IPCA'!$E$3:$E$14,AH58,"Cubic","Extrapolate=Linear","MultiX=Average","Skip=True","Sort=True")</f>
        <v>2.9054109409190376</v>
      </c>
      <c r="AJ58" s="43">
        <f ca="1">_xll.BInterpol('Base IPCA'!$C$3:$C$14,'Base IPCA'!$D$3:$D$14,AH58,"Cubic","Extrapolate=Linear","MultiX=Average","Skip=True","Sort=True")</f>
        <v>3.0404315098468278</v>
      </c>
    </row>
    <row r="59" spans="9:36" x14ac:dyDescent="0.25">
      <c r="O59" t="s">
        <v>180</v>
      </c>
      <c r="P59" s="52" t="str">
        <f t="shared" si="21"/>
        <v>CHSF13</v>
      </c>
      <c r="Q59" s="16">
        <f>IFERROR(Q19*_xll.BDP($P59&amp;" Corp","RISK_MTY_MID")/100,(Q19*0.49567))</f>
        <v>0</v>
      </c>
      <c r="R59" s="16">
        <f>IFERROR(R19*_xll.BDP($P59&amp;" Corp","RISK_MTY_MID")/100,(R19*0.49567))</f>
        <v>0</v>
      </c>
      <c r="S59" s="16">
        <f>IFERROR(S19*_xll.BDP($P59&amp;" Corp","RISK_MTY_MID")/100,(S19*0.49567))</f>
        <v>0</v>
      </c>
      <c r="T59" s="16">
        <f>IFERROR(T19*_xll.BDP($P59&amp;" Corp","RISK_MTY_MID")/100,(T19*0.49567))</f>
        <v>0</v>
      </c>
      <c r="U59" s="16">
        <f>IFERROR(U19*_xll.BDP($P59&amp;" Corp","RISK_MTY_MID")/100,(U19*0.49567))</f>
        <v>1957.7163000000762</v>
      </c>
      <c r="V59" s="16">
        <f>IFERROR(V19*_xll.BDP($P59&amp;" Corp","RISK_MTY_MID")/100,(V19*0.49567))</f>
        <v>0</v>
      </c>
      <c r="W59" s="16">
        <f>IFERROR(W19*_xll.BDP($P59&amp;" Corp","RISK_MTY_MID")/100,(W19*0.49567))</f>
        <v>714.49500000002774</v>
      </c>
      <c r="X59" s="16">
        <f>IFERROR(X19*_xll.BDP($P59&amp;" Corp","RISK_MTY_MID")/100,(X19*0.49567))</f>
        <v>0</v>
      </c>
      <c r="Y59" s="16">
        <f>IFERROR(Y19*_xll.BDP($P59&amp;" Corp","RISK_MTY_MID")/100,(Y19*0.49567))</f>
        <v>0</v>
      </c>
      <c r="Z59" s="16">
        <f>IFERROR(Z19*_xll.BDP($P59&amp;" Corp","RISK_MTY_MID")/100,(Z19*0.49567))</f>
        <v>471.56670000001839</v>
      </c>
      <c r="AA59" s="16">
        <f>IFERROR(AA19*_xll.BDP($P59&amp;" Corp","RISK_MTY_MID")/100,(AA19*0.49567))</f>
        <v>0</v>
      </c>
      <c r="AB59" s="16">
        <f>IFERROR(AB19*_xll.BDP($P59&amp;" Corp","RISK_MTY_MID")/100,(AB19*0.49567))</f>
        <v>0</v>
      </c>
      <c r="AC59" s="55">
        <f t="shared" si="25"/>
        <v>3143.7780000001226</v>
      </c>
      <c r="AD59" s="5">
        <f t="shared" ca="1" si="23"/>
        <v>5.113214077478858E-2</v>
      </c>
      <c r="AH59" s="42">
        <f t="shared" ca="1" si="3"/>
        <v>45770</v>
      </c>
      <c r="AI59" s="43">
        <f ca="1">_xll.BInterpol('Base IPCA'!$C$3:$C$14,'Base IPCA'!$E$3:$E$14,AH59,"Cubic","Extrapolate=Linear","MultiX=Average","Skip=True","Sort=True")</f>
        <v>3.1793669584245086</v>
      </c>
      <c r="AJ59" s="43">
        <f ca="1">_xll.BInterpol('Base IPCA'!$C$3:$C$14,'Base IPCA'!$D$3:$D$14,AH59,"Cubic","Extrapolate=Linear","MultiX=Average","Skip=True","Sort=True")</f>
        <v>3.2423037199124733</v>
      </c>
    </row>
    <row r="60" spans="9:36" x14ac:dyDescent="0.25">
      <c r="O60" t="s">
        <v>183</v>
      </c>
      <c r="P60" s="52" t="str">
        <f t="shared" si="21"/>
        <v>EQPA18</v>
      </c>
      <c r="Q60" s="16">
        <f>IFERROR(Q20*_xll.BDP($P60&amp;" Corp","RISK_MTY_MID")/100,(Q20*0.68124))</f>
        <v>0</v>
      </c>
      <c r="R60" s="16">
        <f>IFERROR(R20*_xll.BDP($P60&amp;" Corp","RISK_MTY_MID")/100,(R20*0.68124))</f>
        <v>0</v>
      </c>
      <c r="S60" s="16">
        <f>IFERROR(S20*_xll.BDP($P60&amp;" Corp","RISK_MTY_MID")/100,(S20*0.68124))</f>
        <v>0</v>
      </c>
      <c r="T60" s="16">
        <f>IFERROR(T20*_xll.BDP($P60&amp;" Corp","RISK_MTY_MID")/100,(T20*0.68124))</f>
        <v>0</v>
      </c>
      <c r="U60" s="16">
        <f>IFERROR(U20*_xll.BDP($P60&amp;" Corp","RISK_MTY_MID")/100,(U20*0.68124))</f>
        <v>1754.0386710000769</v>
      </c>
      <c r="V60" s="16">
        <f>IFERROR(V20*_xll.BDP($P60&amp;" Corp","RISK_MTY_MID")/100,(V20*0.68124))</f>
        <v>0</v>
      </c>
      <c r="W60" s="16">
        <f>IFERROR(W20*_xll.BDP($P60&amp;" Corp","RISK_MTY_MID")/100,(W20*0.68124))</f>
        <v>0</v>
      </c>
      <c r="X60" s="16">
        <f>IFERROR(X20*_xll.BDP($P60&amp;" Corp","RISK_MTY_MID")/100,(X20*0.68124))</f>
        <v>0</v>
      </c>
      <c r="Y60" s="16">
        <f>IFERROR(Y20*_xll.BDP($P60&amp;" Corp","RISK_MTY_MID")/100,(Y20*0.68124))</f>
        <v>0</v>
      </c>
      <c r="Z60" s="16">
        <f>IFERROR(Z20*_xll.BDP($P60&amp;" Corp","RISK_MTY_MID")/100,(Z20*0.68124))</f>
        <v>1146.3973290000501</v>
      </c>
      <c r="AA60" s="16">
        <f>IFERROR(AA20*_xll.BDP($P60&amp;" Corp","RISK_MTY_MID")/100,(AA20*0.68124))</f>
        <v>0</v>
      </c>
      <c r="AB60" s="16">
        <f>IFERROR(AB20*_xll.BDP($P60&amp;" Corp","RISK_MTY_MID")/100,(AB20*0.68124))</f>
        <v>0</v>
      </c>
      <c r="AC60" s="55">
        <f t="shared" si="25"/>
        <v>2900.436000000127</v>
      </c>
      <c r="AD60" s="5">
        <f t="shared" ca="1" si="23"/>
        <v>4.7174292160663191E-2</v>
      </c>
      <c r="AH60" s="42">
        <f t="shared" ca="1" si="3"/>
        <v>45771</v>
      </c>
      <c r="AI60" s="43">
        <f ca="1">_xll.BInterpol('Base IPCA'!$C$3:$C$14,'Base IPCA'!$E$3:$E$14,AH60,"Cubic","Extrapolate=Linear","MultiX=Average","Skip=True","Sort=True")</f>
        <v>2.926131728665208</v>
      </c>
      <c r="AJ60" s="43">
        <f ca="1">_xll.BInterpol('Base IPCA'!$C$3:$C$14,'Base IPCA'!$D$3:$D$14,AH60,"Cubic","Extrapolate=Linear","MultiX=Average","Skip=True","Sort=True")</f>
        <v>3.0608113785557984</v>
      </c>
    </row>
    <row r="61" spans="9:36" x14ac:dyDescent="0.25">
      <c r="O61" t="s">
        <v>184</v>
      </c>
      <c r="P61" s="52" t="str">
        <f t="shared" si="21"/>
        <v>CRTA12</v>
      </c>
      <c r="Q61" s="16">
        <f>IFERROR(Q21*_xll.BDP($P61&amp;" Corp","RISK_MTY_MID")/100,(Q21*0.8157))</f>
        <v>0</v>
      </c>
      <c r="R61" s="16">
        <f>IFERROR(R21*_xll.BDP($P61&amp;" Corp","RISK_MTY_MID")/100,(R21*0.8157))</f>
        <v>0</v>
      </c>
      <c r="S61" s="16">
        <f>IFERROR(S21*_xll.BDP($P61&amp;" Corp","RISK_MTY_MID")/100,(S21*0.8157))</f>
        <v>0</v>
      </c>
      <c r="T61" s="16">
        <f>IFERROR(T21*_xll.BDP($P61&amp;" Corp","RISK_MTY_MID")/100,(T21*0.8157))</f>
        <v>0</v>
      </c>
      <c r="U61" s="16">
        <f>IFERROR(U21*_xll.BDP($P61&amp;" Corp","RISK_MTY_MID")/100,(U21*0.8157))</f>
        <v>2631.4481999999998</v>
      </c>
      <c r="V61" s="16">
        <f>IFERROR(V21*_xll.BDP($P61&amp;" Corp","RISK_MTY_MID")/100,(V21*0.8157))</f>
        <v>0</v>
      </c>
      <c r="W61" s="16">
        <f>IFERROR(W21*_xll.BDP($P61&amp;" Corp","RISK_MTY_MID")/100,(W21*0.8157))</f>
        <v>0</v>
      </c>
      <c r="X61" s="16">
        <f>IFERROR(X21*_xll.BDP($P61&amp;" Corp","RISK_MTY_MID")/100,(X21*0.8157))</f>
        <v>0</v>
      </c>
      <c r="Y61" s="16">
        <f>IFERROR(Y21*_xll.BDP($P61&amp;" Corp","RISK_MTY_MID")/100,(Y21*0.8157))</f>
        <v>0</v>
      </c>
      <c r="Z61" s="16">
        <f>IFERROR(Z21*_xll.BDP($P61&amp;" Corp","RISK_MTY_MID")/100,(Z21*0.8157))</f>
        <v>631.35180000000003</v>
      </c>
      <c r="AA61" s="16">
        <f>IFERROR(AA21*_xll.BDP($P61&amp;" Corp","RISK_MTY_MID")/100,(AA21*0.8157))</f>
        <v>0</v>
      </c>
      <c r="AB61" s="16">
        <f>IFERROR(AB21*_xll.BDP($P61&amp;" Corp","RISK_MTY_MID")/100,(AB21*0.8157))</f>
        <v>0</v>
      </c>
      <c r="AC61" s="55">
        <f t="shared" si="25"/>
        <v>3262.7999999999997</v>
      </c>
      <c r="AD61" s="5">
        <f t="shared" ca="1" si="23"/>
        <v>5.306798028358671E-2</v>
      </c>
      <c r="AH61" s="42">
        <f t="shared" ca="1" si="3"/>
        <v>45772</v>
      </c>
      <c r="AI61" s="43">
        <f ca="1">_xll.BInterpol('Base IPCA'!$C$3:$C$14,'Base IPCA'!$E$3:$E$14,AH61,"Cubic","Extrapolate=Linear","MultiX=Average","Skip=True","Sort=True")</f>
        <v>2.9364921225382927</v>
      </c>
      <c r="AJ61" s="43">
        <f ca="1">_xll.BInterpol('Base IPCA'!$C$3:$C$14,'Base IPCA'!$D$3:$D$14,AH61,"Cubic","Extrapolate=Linear","MultiX=Average","Skip=True","Sort=True")</f>
        <v>3.2627124726477028</v>
      </c>
    </row>
    <row r="62" spans="9:36" x14ac:dyDescent="0.25">
      <c r="O62" t="s">
        <v>180</v>
      </c>
      <c r="P62" s="52" t="str">
        <f t="shared" si="21"/>
        <v>RISP12</v>
      </c>
      <c r="Q62" s="16">
        <f>IFERROR(Q22*_xll.BDP($P62&amp;" Corp","RISK_MTY_MID")/100,(Q22*0.00467))</f>
        <v>0</v>
      </c>
      <c r="R62" s="16">
        <f>IFERROR(R22*_xll.BDP($P62&amp;" Corp","RISK_MTY_MID")/100,(R22*0.00467))</f>
        <v>0</v>
      </c>
      <c r="S62" s="16">
        <f>IFERROR(S22*_xll.BDP($P62&amp;" Corp","RISK_MTY_MID")/100,(S22*0.00467))</f>
        <v>0</v>
      </c>
      <c r="T62" s="16">
        <f>IFERROR(T22*_xll.BDP($P62&amp;" Corp","RISK_MTY_MID")/100,(T22*0.00467))</f>
        <v>0</v>
      </c>
      <c r="U62" s="16">
        <f>IFERROR(U22*_xll.BDP($P62&amp;" Corp","RISK_MTY_MID")/100,(U22*0.00467))</f>
        <v>1015.1880250000779</v>
      </c>
      <c r="V62" s="16">
        <f>IFERROR(V22*_xll.BDP($P62&amp;" Corp","RISK_MTY_MID")/100,(V22*0.00467))</f>
        <v>0</v>
      </c>
      <c r="W62" s="16">
        <f>IFERROR(W22*_xll.BDP($P62&amp;" Corp","RISK_MTY_MID")/100,(W22*0.00467))</f>
        <v>0</v>
      </c>
      <c r="X62" s="16">
        <f>IFERROR(X22*_xll.BDP($P62&amp;" Corp","RISK_MTY_MID")/100,(X22*0.00467))</f>
        <v>0</v>
      </c>
      <c r="Y62" s="16">
        <f>IFERROR(Y22*_xll.BDP($P62&amp;" Corp","RISK_MTY_MID")/100,(Y22*0.00467))</f>
        <v>0</v>
      </c>
      <c r="Z62" s="16">
        <f>IFERROR(Z22*_xll.BDP($P62&amp;" Corp","RISK_MTY_MID")/100,(Z22*0.00467))</f>
        <v>244.92447500001882</v>
      </c>
      <c r="AA62" s="16">
        <f>IFERROR(AA22*_xll.BDP($P62&amp;" Corp","RISK_MTY_MID")/100,(AA22*0.00467))</f>
        <v>0</v>
      </c>
      <c r="AB62" s="16">
        <f>IFERROR(AB22*_xll.BDP($P62&amp;" Corp","RISK_MTY_MID")/100,(AB22*0.00467))</f>
        <v>0</v>
      </c>
      <c r="AC62" s="55">
        <f t="shared" si="25"/>
        <v>1260.1125000000968</v>
      </c>
      <c r="AD62" s="5">
        <f t="shared" ca="1" si="23"/>
        <v>2.0495165289048149E-2</v>
      </c>
      <c r="AH62" s="42">
        <f t="shared" ca="1" si="3"/>
        <v>45773</v>
      </c>
      <c r="AI62" s="43">
        <f ca="1">_xll.BInterpol('Base IPCA'!$C$3:$C$14,'Base IPCA'!$E$3:$E$14,AH62,"Cubic","Extrapolate=Linear","MultiX=Average","Skip=True","Sort=True")</f>
        <v>2.9468525164113784</v>
      </c>
      <c r="AJ62" s="43">
        <f ca="1">_xll.BInterpol('Base IPCA'!$C$3:$C$14,'Base IPCA'!$D$3:$D$14,AH62,"Cubic","Extrapolate=Linear","MultiX=Average","Skip=True","Sort=True")</f>
        <v>3.08119124726477</v>
      </c>
    </row>
    <row r="63" spans="9:36" x14ac:dyDescent="0.25">
      <c r="O63" t="s">
        <v>180</v>
      </c>
      <c r="P63" s="52" t="str">
        <f t="shared" si="21"/>
        <v>SUMI17</v>
      </c>
      <c r="Q63" s="16">
        <f>IFERROR(Q23*_xll.BDP($P63&amp;" Corp","RISK_MTY_MID")/100,(Q23*0.41467))</f>
        <v>0</v>
      </c>
      <c r="R63" s="16">
        <f>IFERROR(R23*_xll.BDP($P63&amp;" Corp","RISK_MTY_MID")/100,(R23*0.41467))</f>
        <v>0</v>
      </c>
      <c r="S63" s="16">
        <f>IFERROR(S23*_xll.BDP($P63&amp;" Corp","RISK_MTY_MID")/100,(S23*0.41467))</f>
        <v>0</v>
      </c>
      <c r="T63" s="16">
        <f>IFERROR(T23*_xll.BDP($P63&amp;" Corp","RISK_MTY_MID")/100,(T23*0.41467))</f>
        <v>0</v>
      </c>
      <c r="U63" s="16">
        <f>IFERROR(U23*_xll.BDP($P63&amp;" Corp","RISK_MTY_MID")/100,(U23*0.41467))</f>
        <v>1001.4624874999441</v>
      </c>
      <c r="V63" s="16">
        <f>IFERROR(V23*_xll.BDP($P63&amp;" Corp","RISK_MTY_MID")/100,(V23*0.41467))</f>
        <v>0</v>
      </c>
      <c r="W63" s="16">
        <f>IFERROR(W23*_xll.BDP($P63&amp;" Corp","RISK_MTY_MID")/100,(W23*0.41467))</f>
        <v>0</v>
      </c>
      <c r="X63" s="16">
        <f>IFERROR(X23*_xll.BDP($P63&amp;" Corp","RISK_MTY_MID")/100,(X23*0.41467))</f>
        <v>0</v>
      </c>
      <c r="Y63" s="16">
        <f>IFERROR(Y23*_xll.BDP($P63&amp;" Corp","RISK_MTY_MID")/100,(Y23*0.41467))</f>
        <v>0</v>
      </c>
      <c r="Z63" s="16">
        <f>IFERROR(Z23*_xll.BDP($P63&amp;" Corp","RISK_MTY_MID")/100,(Z23*0.41467))</f>
        <v>0</v>
      </c>
      <c r="AA63" s="16">
        <f>IFERROR(AA23*_xll.BDP($P63&amp;" Corp","RISK_MTY_MID")/100,(AA23*0.41467))</f>
        <v>0</v>
      </c>
      <c r="AB63" s="16">
        <f>IFERROR(AB23*_xll.BDP($P63&amp;" Corp","RISK_MTY_MID")/100,(AB23*0.41467))</f>
        <v>0</v>
      </c>
      <c r="AC63" s="55">
        <f t="shared" ref="AC63:AC64" si="27">SUM(Q63:AB63)</f>
        <v>1001.4624874999441</v>
      </c>
      <c r="AD63" s="5">
        <f t="shared" ca="1" si="23"/>
        <v>1.6288338709512917E-2</v>
      </c>
      <c r="AH63" s="42">
        <f t="shared" ca="1" si="3"/>
        <v>45774</v>
      </c>
      <c r="AI63" s="43">
        <f ca="1">_xll.BInterpol('Base IPCA'!$C$3:$C$14,'Base IPCA'!$E$3:$E$14,AH63,"Cubic","Extrapolate=Linear","MultiX=Average","Skip=True","Sort=True")</f>
        <v>3.2192820568927791</v>
      </c>
      <c r="AJ63" s="43">
        <f ca="1">_xll.BInterpol('Base IPCA'!$C$3:$C$14,'Base IPCA'!$D$3:$D$14,AH63,"Cubic","Extrapolate=Linear","MultiX=Average","Skip=True","Sort=True")</f>
        <v>3.0913811816192558</v>
      </c>
    </row>
    <row r="64" spans="9:36" x14ac:dyDescent="0.25">
      <c r="O64" t="s">
        <v>451</v>
      </c>
      <c r="P64" s="52" t="str">
        <f t="shared" si="21"/>
        <v>AESOA1</v>
      </c>
      <c r="Q64" s="16">
        <f>IFERROR(Q24*_xll.BDP($P64&amp;" Corp","RISK_MTY_MID")/100,(Q24*0.53441))</f>
        <v>0</v>
      </c>
      <c r="R64" s="16">
        <f>IFERROR(R24*_xll.BDP($P64&amp;" Corp","RISK_MTY_MID")/100,(R24*0.53441))</f>
        <v>0</v>
      </c>
      <c r="S64" s="16">
        <f>IFERROR(S24*_xll.BDP($P64&amp;" Corp","RISK_MTY_MID")/100,(S24*0.53441))</f>
        <v>0</v>
      </c>
      <c r="T64" s="16">
        <f>IFERROR(T24*_xll.BDP($P64&amp;" Corp","RISK_MTY_MID")/100,(T24*0.53441))</f>
        <v>0</v>
      </c>
      <c r="U64" s="16">
        <f>IFERROR(U24*_xll.BDP($P64&amp;" Corp","RISK_MTY_MID")/100,(U24*0.53441))</f>
        <v>1299.6541199999876</v>
      </c>
      <c r="V64" s="16">
        <f>IFERROR(V24*_xll.BDP($P64&amp;" Corp","RISK_MTY_MID")/100,(V24*0.53441))</f>
        <v>0</v>
      </c>
      <c r="W64" s="16">
        <f>IFERROR(W24*_xll.BDP($P64&amp;" Corp","RISK_MTY_MID")/100,(W24*0.53441))</f>
        <v>0</v>
      </c>
      <c r="X64" s="16">
        <f>IFERROR(X24*_xll.BDP($P64&amp;" Corp","RISK_MTY_MID")/100,(X24*0.53441))</f>
        <v>0</v>
      </c>
      <c r="Y64" s="16">
        <f>IFERROR(Y24*_xll.BDP($P64&amp;" Corp","RISK_MTY_MID")/100,(Y24*0.53441))</f>
        <v>0</v>
      </c>
      <c r="Z64" s="16">
        <f>IFERROR(Z24*_xll.BDP($P64&amp;" Corp","RISK_MTY_MID")/100,(Z24*0.53441))</f>
        <v>311.29439999999704</v>
      </c>
      <c r="AA64" s="16">
        <f>IFERROR(AA24*_xll.BDP($P64&amp;" Corp","RISK_MTY_MID")/100,(AA24*0.53441))</f>
        <v>0</v>
      </c>
      <c r="AB64" s="16">
        <f>IFERROR(AB24*_xll.BDP($P64&amp;" Corp","RISK_MTY_MID")/100,(AB24*0.53441))</f>
        <v>0</v>
      </c>
      <c r="AC64" s="55">
        <f t="shared" si="27"/>
        <v>1610.9485199999847</v>
      </c>
      <c r="AD64" s="5">
        <f t="shared" ca="1" si="23"/>
        <v>2.6201355981743404E-2</v>
      </c>
      <c r="AH64" s="42">
        <f t="shared" ca="1" si="3"/>
        <v>45775</v>
      </c>
      <c r="AI64" s="43">
        <f ca="1">_xll.BInterpol('Base IPCA'!$C$3:$C$14,'Base IPCA'!$E$3:$E$14,AH64,"Cubic","Extrapolate=Linear","MultiX=Average","Skip=True","Sort=True")</f>
        <v>2.9675733041575487</v>
      </c>
      <c r="AJ64" s="43">
        <f ca="1">_xll.BInterpol('Base IPCA'!$C$3:$C$14,'Base IPCA'!$D$3:$D$14,AH64,"Cubic","Extrapolate=Linear","MultiX=Average","Skip=True","Sort=True")</f>
        <v>3.1015711159737416</v>
      </c>
    </row>
    <row r="65" spans="10:36" x14ac:dyDescent="0.25">
      <c r="O65" t="s">
        <v>184</v>
      </c>
      <c r="P65" s="52" t="str">
        <f t="shared" si="21"/>
        <v>VALEC0</v>
      </c>
      <c r="Q65" s="16">
        <f>IFERROR(Q25*_xll.BDP($P65&amp;" Corp","RISK_MTY_MID")/100,(Q25*0.82523))</f>
        <v>0</v>
      </c>
      <c r="R65" s="16">
        <f>IFERROR(R25*_xll.BDP($P65&amp;" Corp","RISK_MTY_MID")/100,(R25*0.82523))</f>
        <v>0</v>
      </c>
      <c r="S65" s="16">
        <f>IFERROR(S25*_xll.BDP($P65&amp;" Corp","RISK_MTY_MID")/100,(S25*0.82523))</f>
        <v>0</v>
      </c>
      <c r="T65" s="16">
        <f>IFERROR(T25*_xll.BDP($P65&amp;" Corp","RISK_MTY_MID")/100,(T25*0.82523))</f>
        <v>0</v>
      </c>
      <c r="U65" s="16">
        <f>IFERROR(U25*_xll.BDP($P65&amp;" Corp","RISK_MTY_MID")/100,(U25*0.82523))</f>
        <v>2174.5018919999711</v>
      </c>
      <c r="V65" s="16">
        <f>IFERROR(V25*_xll.BDP($P65&amp;" Corp","RISK_MTY_MID")/100,(V25*0.82523))</f>
        <v>0</v>
      </c>
      <c r="W65" s="16">
        <f>IFERROR(W25*_xll.BDP($P65&amp;" Corp","RISK_MTY_MID")/100,(W25*0.82523))</f>
        <v>0</v>
      </c>
      <c r="X65" s="16">
        <f>IFERROR(X25*_xll.BDP($P65&amp;" Corp","RISK_MTY_MID")/100,(X25*0.82523))</f>
        <v>0</v>
      </c>
      <c r="Y65" s="16">
        <f>IFERROR(Y25*_xll.BDP($P65&amp;" Corp","RISK_MTY_MID")/100,(Y25*0.82523))</f>
        <v>0</v>
      </c>
      <c r="Z65" s="16">
        <f>IFERROR(Z25*_xll.BDP($P65&amp;" Corp","RISK_MTY_MID")/100,(Z25*0.82523))</f>
        <v>521.74580999999307</v>
      </c>
      <c r="AA65" s="16">
        <f>IFERROR(AA25*_xll.BDP($P65&amp;" Corp","RISK_MTY_MID")/100,(AA25*0.82523))</f>
        <v>0</v>
      </c>
      <c r="AB65" s="16">
        <f>IFERROR(AB25*_xll.BDP($P65&amp;" Corp","RISK_MTY_MID")/100,(AB25*0.82523))</f>
        <v>0</v>
      </c>
      <c r="AC65" s="55">
        <f t="shared" si="25"/>
        <v>2696.2477019999642</v>
      </c>
      <c r="AD65" s="5">
        <f t="shared" ca="1" si="23"/>
        <v>4.385326096892242E-2</v>
      </c>
      <c r="AH65" s="42">
        <f t="shared" ca="1" si="3"/>
        <v>45776</v>
      </c>
      <c r="AI65" s="43">
        <f ca="1">_xll.BInterpol('Base IPCA'!$C$3:$C$14,'Base IPCA'!$E$3:$E$14,AH65,"Cubic","Extrapolate=Linear","MultiX=Average","Skip=True","Sort=True")</f>
        <v>3.2392396061269153</v>
      </c>
      <c r="AJ65" s="43">
        <f ca="1">_xll.BInterpol('Base IPCA'!$C$3:$C$14,'Base IPCA'!$D$3:$D$14,AH65,"Cubic","Extrapolate=Linear","MultiX=Average","Skip=True","Sort=True")</f>
        <v>3.3035299781181626</v>
      </c>
    </row>
    <row r="66" spans="10:36" x14ac:dyDescent="0.25">
      <c r="O66" t="s">
        <v>1366</v>
      </c>
      <c r="P66" s="52" t="str">
        <f t="shared" si="21"/>
        <v>PLSB1A</v>
      </c>
      <c r="Q66" s="16">
        <f>IFERROR(Q26*_xll.BDP($P66&amp;" Corp","RISK_MTY_MID")/100,(Q26*0.38543))</f>
        <v>0</v>
      </c>
      <c r="R66" s="16">
        <f>IFERROR(R26*_xll.BDP($P66&amp;" Corp","RISK_MTY_MID")/100,(R26*0.38543))</f>
        <v>0</v>
      </c>
      <c r="S66" s="16">
        <f>IFERROR(S26*_xll.BDP($P66&amp;" Corp","RISK_MTY_MID")/100,(S26*0.38543))</f>
        <v>0</v>
      </c>
      <c r="T66" s="16">
        <f>IFERROR(T26*_xll.BDP($P66&amp;" Corp","RISK_MTY_MID")/100,(T26*0.38543))</f>
        <v>0</v>
      </c>
      <c r="U66" s="16">
        <f>IFERROR(U26*_xll.BDP($P66&amp;" Corp","RISK_MTY_MID")/100,(U26*0.38543))</f>
        <v>1348.9329719999887</v>
      </c>
      <c r="V66" s="16">
        <f>IFERROR(V26*_xll.BDP($P66&amp;" Corp","RISK_MTY_MID")/100,(V26*0.38543))</f>
        <v>0</v>
      </c>
      <c r="W66" s="16">
        <f>IFERROR(W26*_xll.BDP($P66&amp;" Corp","RISK_MTY_MID")/100,(W26*0.38543))</f>
        <v>0</v>
      </c>
      <c r="X66" s="16">
        <f>IFERROR(X26*_xll.BDP($P66&amp;" Corp","RISK_MTY_MID")/100,(X26*0.38543))</f>
        <v>0</v>
      </c>
      <c r="Y66" s="16">
        <f>IFERROR(Y26*_xll.BDP($P66&amp;" Corp","RISK_MTY_MID")/100,(Y26*0.38543))</f>
        <v>0</v>
      </c>
      <c r="Z66" s="16">
        <f>IFERROR(Z26*_xll.BDP($P66&amp;" Corp","RISK_MTY_MID")/100,(Z26*0.38543))</f>
        <v>323.32098049999729</v>
      </c>
      <c r="AA66" s="16">
        <f>IFERROR(AA26*_xll.BDP($P66&amp;" Corp","RISK_MTY_MID")/100,(AA26*0.38543))</f>
        <v>0</v>
      </c>
      <c r="AB66" s="16">
        <f>IFERROR(AB26*_xll.BDP($P66&amp;" Corp","RISK_MTY_MID")/100,(AB26*0.38543))</f>
        <v>0</v>
      </c>
      <c r="AC66" s="55">
        <f t="shared" ref="AC66:AC67" si="28">SUM(Q66:AB66)</f>
        <v>1672.2539524999861</v>
      </c>
      <c r="AD66" s="5">
        <f t="shared" ca="1" si="23"/>
        <v>2.7198461376860123E-2</v>
      </c>
      <c r="AH66" s="42">
        <f t="shared" ca="1" si="3"/>
        <v>45777</v>
      </c>
      <c r="AI66" s="43">
        <f ca="1">_xll.BInterpol('Base IPCA'!$C$3:$C$14,'Base IPCA'!$E$3:$E$14,AH66,"Cubic","Extrapolate=Linear","MultiX=Average","Skip=True","Sort=True")</f>
        <v>2.98829409190372</v>
      </c>
      <c r="AJ66" s="43">
        <f ca="1">_xll.BInterpol('Base IPCA'!$C$3:$C$14,'Base IPCA'!$D$3:$D$14,AH66,"Cubic","Extrapolate=Linear","MultiX=Average","Skip=True","Sort=True")</f>
        <v>3.1219509846827131</v>
      </c>
    </row>
    <row r="67" spans="10:36" x14ac:dyDescent="0.25">
      <c r="O67" t="s">
        <v>184</v>
      </c>
      <c r="P67" s="52" t="str">
        <f t="shared" si="21"/>
        <v>KLBNA5</v>
      </c>
      <c r="Q67" s="16">
        <f>IFERROR(Q27*_xll.BDP($P67&amp;" Corp","RISK_MTY_MID")/100,(Q27*0.79307))</f>
        <v>0</v>
      </c>
      <c r="R67" s="16">
        <f>IFERROR(R27*_xll.BDP($P67&amp;" Corp","RISK_MTY_MID")/100,(R27*0.79307))</f>
        <v>0</v>
      </c>
      <c r="S67" s="16">
        <f>IFERROR(S27*_xll.BDP($P67&amp;" Corp","RISK_MTY_MID")/100,(S27*0.79307))</f>
        <v>0</v>
      </c>
      <c r="T67" s="16">
        <f>IFERROR(T27*_xll.BDP($P67&amp;" Corp","RISK_MTY_MID")/100,(T27*0.79307))</f>
        <v>0</v>
      </c>
      <c r="U67" s="16">
        <f>IFERROR(U27*_xll.BDP($P67&amp;" Corp","RISK_MTY_MID")/100,(U27*0.79307))</f>
        <v>3531.4148249998084</v>
      </c>
      <c r="V67" s="16">
        <f>IFERROR(V27*_xll.BDP($P67&amp;" Corp","RISK_MTY_MID")/100,(V27*0.79307))</f>
        <v>0</v>
      </c>
      <c r="W67" s="16">
        <f>IFERROR(W27*_xll.BDP($P67&amp;" Corp","RISK_MTY_MID")/100,(W27*0.79307))</f>
        <v>2013.312359999891</v>
      </c>
      <c r="X67" s="16">
        <f>IFERROR(X27*_xll.BDP($P67&amp;" Corp","RISK_MTY_MID")/100,(X27*0.79307))</f>
        <v>0</v>
      </c>
      <c r="Y67" s="16">
        <f>IFERROR(Y27*_xll.BDP($P67&amp;" Corp","RISK_MTY_MID")/100,(Y27*0.79307))</f>
        <v>0</v>
      </c>
      <c r="Z67" s="16">
        <f>IFERROR(Z27*_xll.BDP($P67&amp;" Corp","RISK_MTY_MID")/100,(Z27*0.79307))</f>
        <v>0</v>
      </c>
      <c r="AA67" s="16">
        <f>IFERROR(AA27*_xll.BDP($P67&amp;" Corp","RISK_MTY_MID")/100,(AA27*0.79307))</f>
        <v>0</v>
      </c>
      <c r="AB67" s="16">
        <f>IFERROR(AB27*_xll.BDP($P67&amp;" Corp","RISK_MTY_MID")/100,(AB27*0.79307))</f>
        <v>0</v>
      </c>
      <c r="AC67" s="55">
        <f t="shared" si="28"/>
        <v>5544.7271849996996</v>
      </c>
      <c r="AD67" s="5">
        <f t="shared" ca="1" si="23"/>
        <v>9.0182503656807439E-2</v>
      </c>
      <c r="AH67" s="42">
        <f t="shared" ca="1" si="3"/>
        <v>45778</v>
      </c>
      <c r="AI67" s="43">
        <f ca="1">_xll.BInterpol('Base IPCA'!$C$3:$C$14,'Base IPCA'!$E$3:$E$14,AH67,"Cubic","Extrapolate=Linear","MultiX=Average","Skip=True","Sort=True")</f>
        <v>3.2591971553610506</v>
      </c>
      <c r="AJ67" s="43">
        <f ca="1">_xll.BInterpol('Base IPCA'!$C$3:$C$14,'Base IPCA'!$D$3:$D$14,AH67,"Cubic","Extrapolate=Linear","MultiX=Average","Skip=True","Sort=True")</f>
        <v>3.3239387308533921</v>
      </c>
    </row>
    <row r="68" spans="10:36" x14ac:dyDescent="0.25">
      <c r="O68" t="s">
        <v>180</v>
      </c>
      <c r="P68" s="52" t="str">
        <f t="shared" si="21"/>
        <v>CPLD37</v>
      </c>
      <c r="Q68" s="16">
        <f>IFERROR(Q28*_xll.BDP($P68&amp;" Corp","RISK_MTY_MID")/100,(Q28*0.5276))</f>
        <v>0</v>
      </c>
      <c r="R68" s="16">
        <f>IFERROR(R28*_xll.BDP($P68&amp;" Corp","RISK_MTY_MID")/100,(R28*0.5276))</f>
        <v>0</v>
      </c>
      <c r="S68" s="16">
        <f>IFERROR(S28*_xll.BDP($P68&amp;" Corp","RISK_MTY_MID")/100,(S28*0.5276))</f>
        <v>0</v>
      </c>
      <c r="T68" s="16">
        <f>IFERROR(T28*_xll.BDP($P68&amp;" Corp","RISK_MTY_MID")/100,(T28*0.5276))</f>
        <v>0</v>
      </c>
      <c r="U68" s="16">
        <f>IFERROR(U28*_xll.BDP($P68&amp;" Corp","RISK_MTY_MID")/100,(U28*0.5276))</f>
        <v>1221.2975774999859</v>
      </c>
      <c r="V68" s="16">
        <f>IFERROR(V28*_xll.BDP($P68&amp;" Corp","RISK_MTY_MID")/100,(V28*0.5276))</f>
        <v>0</v>
      </c>
      <c r="W68" s="16">
        <f>IFERROR(W28*_xll.BDP($P68&amp;" Corp","RISK_MTY_MID")/100,(W28*0.5276))</f>
        <v>0</v>
      </c>
      <c r="X68" s="16">
        <f>IFERROR(X28*_xll.BDP($P68&amp;" Corp","RISK_MTY_MID")/100,(X28*0.5276))</f>
        <v>0</v>
      </c>
      <c r="Y68" s="16">
        <f>IFERROR(Y28*_xll.BDP($P68&amp;" Corp","RISK_MTY_MID")/100,(Y28*0.5276))</f>
        <v>0</v>
      </c>
      <c r="Z68" s="16">
        <f>IFERROR(Z28*_xll.BDP($P68&amp;" Corp","RISK_MTY_MID")/100,(Z28*0.5276))</f>
        <v>1205.3552314999861</v>
      </c>
      <c r="AA68" s="16">
        <f>IFERROR(AA28*_xll.BDP($P68&amp;" Corp","RISK_MTY_MID")/100,(AA28*0.5276))</f>
        <v>0</v>
      </c>
      <c r="AB68" s="16">
        <f>IFERROR(AB28*_xll.BDP($P68&amp;" Corp","RISK_MTY_MID")/100,(AB28*0.5276))</f>
        <v>0</v>
      </c>
      <c r="AC68" s="55">
        <f t="shared" si="25"/>
        <v>2426.652808999972</v>
      </c>
      <c r="AD68" s="5">
        <f t="shared" ca="1" si="23"/>
        <v>3.9468420811303424E-2</v>
      </c>
      <c r="AH68" s="42">
        <f t="shared" ca="1" si="3"/>
        <v>45779</v>
      </c>
      <c r="AI68" s="43">
        <f ca="1">_xll.BInterpol('Base IPCA'!$C$3:$C$14,'Base IPCA'!$E$3:$E$14,AH68,"Cubic","Extrapolate=Linear","MultiX=Average","Skip=True","Sort=True")</f>
        <v>3.0090148796498903</v>
      </c>
      <c r="AJ68" s="43">
        <f ca="1">_xll.BInterpol('Base IPCA'!$C$3:$C$14,'Base IPCA'!$D$3:$D$14,AH68,"Cubic","Extrapolate=Linear","MultiX=Average","Skip=True","Sort=True")</f>
        <v>3.1423308533916847</v>
      </c>
    </row>
    <row r="69" spans="10:36" x14ac:dyDescent="0.25">
      <c r="O69" t="s">
        <v>451</v>
      </c>
      <c r="P69" s="52" t="str">
        <f t="shared" si="21"/>
        <v>FBRI13</v>
      </c>
      <c r="Q69" s="16">
        <f>IFERROR(Q29*_xll.BDP($P69&amp;" Corp","RISK_MTY_MID")/100,(Q29*0.51479))</f>
        <v>0</v>
      </c>
      <c r="R69" s="16">
        <f>IFERROR(R29*_xll.BDP($P69&amp;" Corp","RISK_MTY_MID")/100,(R29*0.51479))</f>
        <v>0</v>
      </c>
      <c r="S69" s="16">
        <f>IFERROR(S29*_xll.BDP($P69&amp;" Corp","RISK_MTY_MID")/100,(S29*0.51479))</f>
        <v>0</v>
      </c>
      <c r="T69" s="16">
        <f>IFERROR(T29*_xll.BDP($P69&amp;" Corp","RISK_MTY_MID")/100,(T29*0.51479))</f>
        <v>0</v>
      </c>
      <c r="U69" s="16">
        <f>IFERROR(U29*_xll.BDP($P69&amp;" Corp","RISK_MTY_MID")/100,(U29*0.51479))</f>
        <v>1253.8826025000694</v>
      </c>
      <c r="V69" s="16">
        <f>IFERROR(V29*_xll.BDP($P69&amp;" Corp","RISK_MTY_MID")/100,(V29*0.51479))</f>
        <v>0</v>
      </c>
      <c r="W69" s="16">
        <f>IFERROR(W29*_xll.BDP($P69&amp;" Corp","RISK_MTY_MID")/100,(W29*0.51479))</f>
        <v>0</v>
      </c>
      <c r="X69" s="16">
        <f>IFERROR(X29*_xll.BDP($P69&amp;" Corp","RISK_MTY_MID")/100,(X29*0.51479))</f>
        <v>0</v>
      </c>
      <c r="Y69" s="16">
        <f>IFERROR(Y29*_xll.BDP($P69&amp;" Corp","RISK_MTY_MID")/100,(Y29*0.51479))</f>
        <v>0</v>
      </c>
      <c r="Z69" s="16">
        <f>IFERROR(Z29*_xll.BDP($P69&amp;" Corp","RISK_MTY_MID")/100,(Z29*0.51479))</f>
        <v>1237.6873975000685</v>
      </c>
      <c r="AA69" s="16">
        <f>IFERROR(AA29*_xll.BDP($P69&amp;" Corp","RISK_MTY_MID")/100,(AA29*0.51479))</f>
        <v>0</v>
      </c>
      <c r="AB69" s="16">
        <f>IFERROR(AB29*_xll.BDP($P69&amp;" Corp","RISK_MTY_MID")/100,(AB29*0.51479))</f>
        <v>0</v>
      </c>
      <c r="AC69" s="55">
        <f t="shared" si="25"/>
        <v>2491.570000000138</v>
      </c>
      <c r="AD69" s="5">
        <f t="shared" ca="1" si="23"/>
        <v>4.0524269840377429E-2</v>
      </c>
      <c r="AH69" s="42">
        <f t="shared" ca="1" si="3"/>
        <v>45780</v>
      </c>
      <c r="AI69" s="43">
        <f ca="1">_xll.BInterpol('Base IPCA'!$C$3:$C$14,'Base IPCA'!$E$3:$E$14,AH69,"Cubic","Extrapolate=Linear","MultiX=Average","Skip=True","Sort=True")</f>
        <v>3.019375273522976</v>
      </c>
      <c r="AJ69" s="43">
        <f ca="1">_xll.BInterpol('Base IPCA'!$C$3:$C$14,'Base IPCA'!$D$3:$D$14,AH69,"Cubic","Extrapolate=Linear","MultiX=Average","Skip=True","Sort=True")</f>
        <v>3.3443474835886216</v>
      </c>
    </row>
    <row r="70" spans="10:36" x14ac:dyDescent="0.25">
      <c r="O70" t="s">
        <v>180</v>
      </c>
      <c r="P70" s="52" t="str">
        <f t="shared" si="21"/>
        <v>ALGAB1</v>
      </c>
      <c r="Q70" s="16">
        <f>IFERROR(Q30*_xll.BDP($P70&amp;" Corp","RISK_MTY_MID")/100,(Q30*0.51479))</f>
        <v>0</v>
      </c>
      <c r="R70" s="16">
        <f>IFERROR(R30*_xll.BDP($P70&amp;" Corp","RISK_MTY_MID")/100,(R30*0.51479))</f>
        <v>0</v>
      </c>
      <c r="S70" s="16">
        <f>IFERROR(S30*_xll.BDP($P70&amp;" Corp","RISK_MTY_MID")/100,(S30*0.51479))</f>
        <v>0</v>
      </c>
      <c r="T70" s="16">
        <f>IFERROR(T30*_xll.BDP($P70&amp;" Corp","RISK_MTY_MID")/100,(T30*0.51479))</f>
        <v>0</v>
      </c>
      <c r="U70" s="16">
        <f>IFERROR(U30*_xll.BDP($P70&amp;" Corp","RISK_MTY_MID")/100,(U30*0.51479))</f>
        <v>1975.3967094998393</v>
      </c>
      <c r="V70" s="16">
        <f>IFERROR(V30*_xll.BDP($P70&amp;" Corp","RISK_MTY_MID")/100,(V30*0.51479))</f>
        <v>0</v>
      </c>
      <c r="W70" s="16">
        <f>IFERROR(W30*_xll.BDP($P70&amp;" Corp","RISK_MTY_MID")/100,(W30*0.51479))</f>
        <v>0</v>
      </c>
      <c r="X70" s="16">
        <f>IFERROR(X30*_xll.BDP($P70&amp;" Corp","RISK_MTY_MID")/100,(X30*0.51479))</f>
        <v>0</v>
      </c>
      <c r="Y70" s="16">
        <f>IFERROR(Y30*_xll.BDP($P70&amp;" Corp","RISK_MTY_MID")/100,(Y30*0.51479))</f>
        <v>0</v>
      </c>
      <c r="Z70" s="16">
        <f>IFERROR(Z30*_xll.BDP($P70&amp;" Corp","RISK_MTY_MID")/100,(Z30*0.51479))</f>
        <v>477.73816349996116</v>
      </c>
      <c r="AA70" s="16">
        <f>IFERROR(AA30*_xll.BDP($P70&amp;" Corp","RISK_MTY_MID")/100,(AA30*0.51479))</f>
        <v>0</v>
      </c>
      <c r="AB70" s="16">
        <f>IFERROR(AB30*_xll.BDP($P70&amp;" Corp","RISK_MTY_MID")/100,(AB30*0.51479))</f>
        <v>0</v>
      </c>
      <c r="AC70" s="55">
        <f t="shared" si="25"/>
        <v>2453.1348729998003</v>
      </c>
      <c r="AD70" s="5">
        <f t="shared" ca="1" si="23"/>
        <v>3.9899139718441952E-2</v>
      </c>
      <c r="AH70" s="42">
        <f t="shared" ref="AH70:AH133" ca="1" si="29">AH69+1</f>
        <v>45781</v>
      </c>
      <c r="AI70" s="43">
        <f ca="1">_xll.BInterpol('Base IPCA'!$C$3:$C$14,'Base IPCA'!$E$3:$E$14,AH70,"Cubic","Extrapolate=Linear","MultiX=Average","Skip=True","Sort=True")</f>
        <v>3.0297356673960607</v>
      </c>
      <c r="AJ70" s="43">
        <f ca="1">_xll.BInterpol('Base IPCA'!$C$3:$C$14,'Base IPCA'!$D$3:$D$14,AH70,"Cubic","Extrapolate=Linear","MultiX=Average","Skip=True","Sort=True")</f>
        <v>3.1627107221006563</v>
      </c>
    </row>
    <row r="71" spans="10:36" x14ac:dyDescent="0.25">
      <c r="J71">
        <v>1000</v>
      </c>
      <c r="O71" t="s">
        <v>180</v>
      </c>
      <c r="P71" s="52" t="str">
        <f t="shared" si="21"/>
        <v>ECORAPOSO</v>
      </c>
      <c r="Q71" s="308">
        <f>IFERROR(Q31*_xll.BDP($P71&amp;" Corp","RISK_MTY_MID")/100,(Q31*0.4))</f>
        <v>0</v>
      </c>
      <c r="R71" s="308">
        <f>IFERROR(R31*_xll.BDP($P71&amp;" Corp","RISK_MTY_MID")/100,(R31*0.4))</f>
        <v>0</v>
      </c>
      <c r="S71" s="308">
        <f>IFERROR(S31*_xll.BDP($P71&amp;" Corp","RISK_MTY_MID")/100,(S31*0.4))</f>
        <v>0</v>
      </c>
      <c r="T71" s="308">
        <f>IFERROR(T31*_xll.BDP($P71&amp;" Corp","RISK_MTY_MID")/100,(T31*0.4))</f>
        <v>0</v>
      </c>
      <c r="U71" s="308">
        <f>IFERROR(U31*_xll.BDP($P71&amp;" Corp","RISK_MTY_MID")/100,(U31*0.4))</f>
        <v>793.2</v>
      </c>
      <c r="V71" s="308">
        <f>IFERROR(V31*_xll.BDP($P71&amp;" Corp","RISK_MTY_MID")/100,(V31*0.4))</f>
        <v>0</v>
      </c>
      <c r="W71" s="308">
        <f>IFERROR(W31*_xll.BDP($P71&amp;" Corp","RISK_MTY_MID")/100,(W31*0.4))</f>
        <v>0</v>
      </c>
      <c r="X71" s="308">
        <f>IFERROR(X31*_xll.BDP($P71&amp;" Corp","RISK_MTY_MID")/100,(X31*0.4))</f>
        <v>0</v>
      </c>
      <c r="Y71" s="308">
        <f>IFERROR(Y31*_xll.BDP($P71&amp;" Corp","RISK_MTY_MID")/100,(Y31*0.4))</f>
        <v>0</v>
      </c>
      <c r="Z71" s="308">
        <f>IFERROR(Z31*_xll.BDP($P71&amp;" Corp","RISK_MTY_MID")/100,(Z31*0.4))</f>
        <v>806.80000000000007</v>
      </c>
      <c r="AA71" s="308">
        <f>IFERROR(AA31*_xll.BDP($P71&amp;" Corp","RISK_MTY_MID")/100,(AA31*0.4))</f>
        <v>0</v>
      </c>
      <c r="AB71" s="308">
        <f>IFERROR(AB31*_xll.BDP($P71&amp;" Corp","RISK_MTY_MID")/100,(AB31*0.4))</f>
        <v>0</v>
      </c>
      <c r="AC71" s="55">
        <f t="shared" si="22"/>
        <v>1600</v>
      </c>
      <c r="AD71" s="5">
        <f t="shared" ca="1" si="23"/>
        <v>2.6023283208820257E-2</v>
      </c>
      <c r="AH71" s="42">
        <f t="shared" ca="1" si="29"/>
        <v>45782</v>
      </c>
      <c r="AI71" s="43">
        <f ca="1">_xll.BInterpol('Base IPCA'!$C$3:$C$14,'Base IPCA'!$E$3:$E$14,AH71,"Cubic","Extrapolate=Linear","MultiX=Average","Skip=True","Sort=True")</f>
        <v>3.2991122538293221</v>
      </c>
      <c r="AJ71" s="43">
        <f ca="1">_xll.BInterpol('Base IPCA'!$C$3:$C$14,'Base IPCA'!$D$3:$D$14,AH71,"Cubic","Extrapolate=Linear","MultiX=Average","Skip=True","Sort=True")</f>
        <v>3.172900656455143</v>
      </c>
    </row>
    <row r="72" spans="10:36" x14ac:dyDescent="0.25">
      <c r="J72">
        <v>4</v>
      </c>
      <c r="O72" t="s">
        <v>179</v>
      </c>
      <c r="P72" s="52" t="str">
        <f t="shared" si="21"/>
        <v>CRA Ferroeste 2ª Série</v>
      </c>
      <c r="Q72" s="84">
        <f>Q32*(IF(_xll.BDP($P72&amp;" Corp","RISK_MTY_MID")&lt;&gt;"#N/A N/A",(0.44),(VLOOKUP($P72,#REF!,13,0)/252)/10))</f>
        <v>1201.2</v>
      </c>
      <c r="R72" s="85">
        <f>R32*(IF(_xll.BDP($P72&amp;" Corp","RISK_MTY_MID")&lt;&gt;"#N/A N/A",(0.44),(VLOOKUP($P72,#REF!,13,0)/252)/10))</f>
        <v>1085.04</v>
      </c>
      <c r="S72" s="85">
        <f>S32*(IF(_xll.BDP($P72&amp;" Corp","RISK_MTY_MID")&lt;&gt;"#N/A N/A",(0.44),(VLOOKUP($P72,#REF!,13,0)/252)/10))</f>
        <v>1561.56</v>
      </c>
      <c r="T72" s="85">
        <f>T32*(IF(_xll.BDP($P72&amp;" Corp","RISK_MTY_MID")&lt;&gt;"#N/A N/A",(0.44),(VLOOKUP($P72,#REF!,13,0)/252)/10))</f>
        <v>0</v>
      </c>
      <c r="U72" s="85">
        <f>U32*(IF(_xll.BDP($P72&amp;" Corp","RISK_MTY_MID")&lt;&gt;"#N/A N/A",(0.44),(VLOOKUP($P72,#REF!,13,0)/252)/10))</f>
        <v>440</v>
      </c>
      <c r="V72" s="85">
        <f>V32*(IF(_xll.BDP($P72&amp;" Corp","RISK_MTY_MID")&lt;&gt;"#N/A N/A",(0.44),(VLOOKUP($P72,#REF!,13,0)/252)/10))</f>
        <v>81.400000000000006</v>
      </c>
      <c r="W72" s="85">
        <f>W32*(IF(_xll.BDP($P72&amp;" Corp","RISK_MTY_MID")&lt;&gt;"#N/A N/A",(0.44),(VLOOKUP($P72,#REF!,13,0)/252)/10))</f>
        <v>0</v>
      </c>
      <c r="X72" s="85">
        <f>X32*(IF(_xll.BDP($P72&amp;" Corp","RISK_MTY_MID")&lt;&gt;"#N/A N/A",(0.44),(VLOOKUP($P72,#REF!,13,0)/252)/10))</f>
        <v>113.52</v>
      </c>
      <c r="Y72" s="85">
        <f>Y32*(IF(_xll.BDP($P72&amp;" Corp","RISK_MTY_MID")&lt;&gt;"#N/A N/A",(0.44),(VLOOKUP($P72,#REF!,13,0)/252)/10))</f>
        <v>0</v>
      </c>
      <c r="Z72" s="85">
        <f>Z32*(IF(_xll.BDP($P72&amp;" Corp","RISK_MTY_MID")&lt;&gt;"#N/A N/A",(0.44),(VLOOKUP($P72,#REF!,13,0)/252)/10))</f>
        <v>0</v>
      </c>
      <c r="AA72" s="85">
        <f>AA32*(IF(_xll.BDP($P72&amp;" Corp","RISK_MTY_MID")&lt;&gt;"#N/A N/A",(0.44),(VLOOKUP($P72,#REF!,13,0)/252)/10))</f>
        <v>51.04</v>
      </c>
      <c r="AB72" s="86">
        <f>AB32*(IF(_xll.BDP($P72&amp;" Corp","RISK_MTY_MID")&lt;&gt;"#N/A N/A",(0.44),(VLOOKUP($P72,#REF!,13,0)/252)/10))</f>
        <v>107.8</v>
      </c>
      <c r="AC72" s="55">
        <f t="shared" si="22"/>
        <v>4641.5599999999995</v>
      </c>
      <c r="AD72" s="5">
        <f t="shared" ca="1" si="23"/>
        <v>7.5492894006707348E-2</v>
      </c>
      <c r="AH72" s="42">
        <f t="shared" ca="1" si="29"/>
        <v>45783</v>
      </c>
      <c r="AI72" s="43">
        <f ca="1">_xll.BInterpol('Base IPCA'!$C$3:$C$14,'Base IPCA'!$E$3:$E$14,AH72,"Cubic","Extrapolate=Linear","MultiX=Average","Skip=True","Sort=True")</f>
        <v>3.050456455142232</v>
      </c>
      <c r="AJ72" s="43">
        <f ca="1">_xll.BInterpol('Base IPCA'!$C$3:$C$14,'Base IPCA'!$D$3:$D$14,AH72,"Cubic","Extrapolate=Linear","MultiX=Average","Skip=True","Sort=True")</f>
        <v>3.1830905908096279</v>
      </c>
    </row>
    <row r="73" spans="10:36" x14ac:dyDescent="0.25">
      <c r="J73" s="5">
        <v>1E-4</v>
      </c>
      <c r="O73" t="s">
        <v>116</v>
      </c>
      <c r="P73" s="52" t="str">
        <f t="shared" si="21"/>
        <v>CRI Bem Brasil</v>
      </c>
      <c r="Q73" s="84">
        <f>Q33*(IF(_xll.BDP($P73&amp;" Corp","RISK_MTY_MID")&lt;&gt;"#N/A N/A",(0.29),(VLOOKUP($P73,#REF!,13,0)/252)/10))</f>
        <v>0</v>
      </c>
      <c r="R73" s="85">
        <f>R33*(IF(_xll.BDP($P73&amp;" Corp","RISK_MTY_MID")&lt;&gt;"#N/A N/A",(0.29),(VLOOKUP($P73,#REF!,13,0)/252)/10))</f>
        <v>0</v>
      </c>
      <c r="S73" s="85">
        <f>S33*(IF(_xll.BDP($P73&amp;" Corp","RISK_MTY_MID")&lt;&gt;"#N/A N/A",(0.29),(VLOOKUP($P73,#REF!,13,0)/252)/10))</f>
        <v>0</v>
      </c>
      <c r="T73" s="85">
        <f>T33*(IF(_xll.BDP($P73&amp;" Corp","RISK_MTY_MID")&lt;&gt;"#N/A N/A",(0.29),(VLOOKUP($P73,#REF!,13,0)/252)/10))</f>
        <v>0</v>
      </c>
      <c r="U73" s="85">
        <f>U33*(IF(_xll.BDP($P73&amp;" Corp","RISK_MTY_MID")&lt;&gt;"#N/A N/A",(0.29),(VLOOKUP($P73,#REF!,13,0)/252)/10))</f>
        <v>153.98999999999998</v>
      </c>
      <c r="V73" s="85">
        <f>V33*(IF(_xll.BDP($P73&amp;" Corp","RISK_MTY_MID")&lt;&gt;"#N/A N/A",(0.29),(VLOOKUP($P73,#REF!,13,0)/252)/10))</f>
        <v>72.209999999999994</v>
      </c>
      <c r="W73" s="85">
        <f>W33*(IF(_xll.BDP($P73&amp;" Corp","RISK_MTY_MID")&lt;&gt;"#N/A N/A",(0.29),(VLOOKUP($P73,#REF!,13,0)/252)/10))</f>
        <v>0</v>
      </c>
      <c r="X73" s="85">
        <f>X33*(IF(_xll.BDP($P73&amp;" Corp","RISK_MTY_MID")&lt;&gt;"#N/A N/A",(0.29),(VLOOKUP($P73,#REF!,13,0)/252)/10))</f>
        <v>90.77</v>
      </c>
      <c r="Y73" s="85">
        <f>Y33*(IF(_xll.BDP($P73&amp;" Corp","RISK_MTY_MID")&lt;&gt;"#N/A N/A",(0.29),(VLOOKUP($P73,#REF!,13,0)/252)/10))</f>
        <v>0</v>
      </c>
      <c r="Z73" s="85">
        <f>Z33*(IF(_xll.BDP($P73&amp;" Corp","RISK_MTY_MID")&lt;&gt;"#N/A N/A",(0.29),(VLOOKUP($P73,#REF!,13,0)/252)/10))</f>
        <v>0</v>
      </c>
      <c r="AA73" s="85">
        <f>AA33*(IF(_xll.BDP($P73&amp;" Corp","RISK_MTY_MID")&lt;&gt;"#N/A N/A",(0.29),(VLOOKUP($P73,#REF!,13,0)/252)/10))</f>
        <v>0</v>
      </c>
      <c r="AB73" s="86">
        <f>AB33*(IF(_xll.BDP($P73&amp;" Corp","RISK_MTY_MID")&lt;&gt;"#N/A N/A",(0.29),(VLOOKUP($P73,#REF!,13,0)/252)/10))</f>
        <v>62.059999999999995</v>
      </c>
      <c r="AC73" s="55">
        <f t="shared" si="22"/>
        <v>379.03</v>
      </c>
      <c r="AD73" s="5">
        <f t="shared" ca="1" si="23"/>
        <v>6.1647531466494637E-3</v>
      </c>
      <c r="AH73" s="42">
        <f t="shared" ca="1" si="29"/>
        <v>45784</v>
      </c>
      <c r="AI73" s="43">
        <f ca="1">_xll.BInterpol('Base IPCA'!$C$3:$C$14,'Base IPCA'!$E$3:$E$14,AH73,"Cubic","Extrapolate=Linear","MultiX=Average","Skip=True","Sort=True")</f>
        <v>3.3190698030634582</v>
      </c>
      <c r="AJ73" s="43">
        <f ca="1">_xll.BInterpol('Base IPCA'!$C$3:$C$14,'Base IPCA'!$D$3:$D$14,AH73,"Cubic","Extrapolate=Linear","MultiX=Average","Skip=True","Sort=True")</f>
        <v>3.3851649890590814</v>
      </c>
    </row>
    <row r="74" spans="10:36" x14ac:dyDescent="0.25">
      <c r="J74" s="329">
        <f>J72*J71*J73</f>
        <v>0.4</v>
      </c>
      <c r="O74" t="s">
        <v>116</v>
      </c>
      <c r="P74" s="52" t="str">
        <f t="shared" si="21"/>
        <v>CRI Vic Engenharia 1ª Emissão</v>
      </c>
      <c r="Q74" s="85">
        <f t="shared" ref="Q74:AB74" si="30">Q34*0.0962110000000393</f>
        <v>0</v>
      </c>
      <c r="R74" s="85">
        <f t="shared" si="30"/>
        <v>0</v>
      </c>
      <c r="S74" s="85">
        <f t="shared" si="30"/>
        <v>514.15158400021005</v>
      </c>
      <c r="T74" s="85">
        <f t="shared" si="30"/>
        <v>0</v>
      </c>
      <c r="U74" s="85">
        <f t="shared" si="30"/>
        <v>87.648221000035804</v>
      </c>
      <c r="V74" s="85">
        <f t="shared" si="30"/>
        <v>27.227713000011125</v>
      </c>
      <c r="W74" s="85">
        <f t="shared" si="30"/>
        <v>0</v>
      </c>
      <c r="X74" s="85">
        <f t="shared" si="30"/>
        <v>0</v>
      </c>
      <c r="Y74" s="85">
        <f t="shared" si="30"/>
        <v>0</v>
      </c>
      <c r="Z74" s="85">
        <f t="shared" si="30"/>
        <v>26.169392000010692</v>
      </c>
      <c r="AA74" s="85">
        <f t="shared" si="30"/>
        <v>7.889302000003223</v>
      </c>
      <c r="AB74" s="85">
        <f t="shared" si="30"/>
        <v>18.568723000007587</v>
      </c>
      <c r="AC74" s="55">
        <f t="shared" si="22"/>
        <v>681.65493500027856</v>
      </c>
      <c r="AD74" s="5">
        <f t="shared" ca="1" si="23"/>
        <v>1.1086812140126384E-2</v>
      </c>
      <c r="AH74" s="42">
        <f t="shared" ca="1" si="29"/>
        <v>45785</v>
      </c>
      <c r="AI74" s="43">
        <f ca="1">_xll.BInterpol('Base IPCA'!$C$3:$C$14,'Base IPCA'!$E$3:$E$14,AH74,"Cubic","Extrapolate=Linear","MultiX=Average","Skip=True","Sort=True")</f>
        <v>3.0711772428884023</v>
      </c>
      <c r="AJ74" s="43">
        <f ca="1">_xll.BInterpol('Base IPCA'!$C$3:$C$14,'Base IPCA'!$D$3:$D$14,AH74,"Cubic","Extrapolate=Linear","MultiX=Average","Skip=True","Sort=True")</f>
        <v>3.3953693654266957</v>
      </c>
    </row>
    <row r="75" spans="10:36" x14ac:dyDescent="0.25">
      <c r="O75" t="s">
        <v>178</v>
      </c>
      <c r="P75" s="52" t="str">
        <f t="shared" si="21"/>
        <v>LF002100A25</v>
      </c>
      <c r="Q75" s="85">
        <f t="shared" ref="Q75:AB75" si="31">Q35*8.435</f>
        <v>0</v>
      </c>
      <c r="R75" s="85">
        <f t="shared" si="31"/>
        <v>0</v>
      </c>
      <c r="S75" s="85">
        <f t="shared" si="31"/>
        <v>0</v>
      </c>
      <c r="T75" s="85">
        <f t="shared" si="31"/>
        <v>0</v>
      </c>
      <c r="U75" s="85">
        <f t="shared" si="31"/>
        <v>0</v>
      </c>
      <c r="V75" s="85">
        <f t="shared" si="31"/>
        <v>0</v>
      </c>
      <c r="W75" s="85">
        <f t="shared" si="31"/>
        <v>0</v>
      </c>
      <c r="X75" s="85">
        <f t="shared" si="31"/>
        <v>0</v>
      </c>
      <c r="Y75" s="85">
        <f t="shared" si="31"/>
        <v>0</v>
      </c>
      <c r="Z75" s="85">
        <f t="shared" si="31"/>
        <v>0</v>
      </c>
      <c r="AA75" s="85">
        <f t="shared" si="31"/>
        <v>0</v>
      </c>
      <c r="AB75" s="85">
        <f t="shared" si="31"/>
        <v>0</v>
      </c>
      <c r="AC75" s="55">
        <f t="shared" si="22"/>
        <v>0</v>
      </c>
      <c r="AD75" s="5">
        <f t="shared" ca="1" si="23"/>
        <v>0</v>
      </c>
      <c r="AH75" s="42">
        <f t="shared" ca="1" si="29"/>
        <v>45786</v>
      </c>
      <c r="AI75" s="43">
        <f ca="1">_xll.BInterpol('Base IPCA'!$C$3:$C$14,'Base IPCA'!$E$3:$E$14,AH75,"Cubic","Extrapolate=Linear","MultiX=Average","Skip=True","Sort=True")</f>
        <v>3.3390273522975935</v>
      </c>
      <c r="AJ75" s="43">
        <f ca="1">_xll.BInterpol('Base IPCA'!$C$3:$C$14,'Base IPCA'!$D$3:$D$14,AH75,"Cubic","Extrapolate=Linear","MultiX=Average","Skip=True","Sort=True")</f>
        <v>3.2136603938730852</v>
      </c>
    </row>
    <row r="76" spans="10:36" x14ac:dyDescent="0.25">
      <c r="O76" t="s">
        <v>116</v>
      </c>
      <c r="P76" s="52" t="str">
        <f t="shared" si="21"/>
        <v>LFSN210099R</v>
      </c>
      <c r="Q76" s="85">
        <f t="shared" ref="Q76:AB76" si="32">Q36*113.01235875</f>
        <v>0</v>
      </c>
      <c r="R76" s="85">
        <f t="shared" si="32"/>
        <v>0</v>
      </c>
      <c r="S76" s="85">
        <f t="shared" si="32"/>
        <v>113.01235875</v>
      </c>
      <c r="T76" s="85">
        <f t="shared" si="32"/>
        <v>0</v>
      </c>
      <c r="U76" s="85">
        <f t="shared" si="32"/>
        <v>113.01235875</v>
      </c>
      <c r="V76" s="85">
        <f t="shared" si="32"/>
        <v>0</v>
      </c>
      <c r="W76" s="85">
        <f t="shared" si="32"/>
        <v>0</v>
      </c>
      <c r="X76" s="85">
        <f t="shared" si="32"/>
        <v>0</v>
      </c>
      <c r="Y76" s="85">
        <f t="shared" si="32"/>
        <v>0</v>
      </c>
      <c r="Z76" s="85">
        <f t="shared" si="32"/>
        <v>0</v>
      </c>
      <c r="AA76" s="85">
        <f t="shared" si="32"/>
        <v>0</v>
      </c>
      <c r="AB76" s="85">
        <f t="shared" si="32"/>
        <v>0</v>
      </c>
      <c r="AC76" s="55">
        <f t="shared" si="22"/>
        <v>226.02471750000001</v>
      </c>
      <c r="AD76" s="5">
        <f t="shared" ca="1" si="23"/>
        <v>3.6761907723100581E-3</v>
      </c>
      <c r="AH76" s="42">
        <f t="shared" ca="1" si="29"/>
        <v>45787</v>
      </c>
      <c r="AI76" s="43">
        <f ca="1">_xll.BInterpol('Base IPCA'!$C$3:$C$14,'Base IPCA'!$E$3:$E$14,AH76,"Cubic","Extrapolate=Linear","MultiX=Average","Skip=True","Sort=True")</f>
        <v>3.0918980306345727</v>
      </c>
      <c r="AJ76" s="43">
        <f ca="1">_xll.BInterpol('Base IPCA'!$C$3:$C$14,'Base IPCA'!$D$3:$D$14,AH76,"Cubic","Extrapolate=Linear","MultiX=Average","Skip=True","Sort=True")</f>
        <v>3.4157781181619251</v>
      </c>
    </row>
    <row r="77" spans="10:36" x14ac:dyDescent="0.25">
      <c r="O77" t="s">
        <v>116</v>
      </c>
      <c r="P77" s="52" t="str">
        <f t="shared" si="21"/>
        <v>NTN-B26</v>
      </c>
      <c r="Q77" s="85">
        <f t="shared" ref="Q77:AB77" si="33">Q37*VLOOKUP($P77,$B$3:$J$14,6,0)</f>
        <v>0</v>
      </c>
      <c r="R77" s="85">
        <f t="shared" si="33"/>
        <v>0</v>
      </c>
      <c r="S77" s="85">
        <f t="shared" si="33"/>
        <v>0</v>
      </c>
      <c r="T77" s="85">
        <f t="shared" si="33"/>
        <v>0</v>
      </c>
      <c r="U77" s="85">
        <f t="shared" si="33"/>
        <v>0</v>
      </c>
      <c r="V77" s="85">
        <f t="shared" si="33"/>
        <v>0</v>
      </c>
      <c r="W77" s="85">
        <f t="shared" si="33"/>
        <v>0</v>
      </c>
      <c r="X77" s="85">
        <f t="shared" si="33"/>
        <v>0</v>
      </c>
      <c r="Y77" s="85">
        <f t="shared" si="33"/>
        <v>0</v>
      </c>
      <c r="Z77" s="85">
        <f t="shared" si="33"/>
        <v>0</v>
      </c>
      <c r="AA77" s="85">
        <f t="shared" si="33"/>
        <v>0</v>
      </c>
      <c r="AB77" s="85">
        <f t="shared" si="33"/>
        <v>159.37282689373751</v>
      </c>
      <c r="AC77" s="55">
        <f t="shared" si="22"/>
        <v>159.37282689373751</v>
      </c>
      <c r="AD77" s="5">
        <f t="shared" ca="1" si="23"/>
        <v>2.5921276312787607E-3</v>
      </c>
      <c r="AH77" s="42">
        <f t="shared" ca="1" si="29"/>
        <v>45788</v>
      </c>
      <c r="AI77" s="43">
        <f ca="1">_xll.BInterpol('Base IPCA'!$C$3:$C$14,'Base IPCA'!$E$3:$E$14,AH77,"Cubic","Extrapolate=Linear","MultiX=Average","Skip=True","Sort=True")</f>
        <v>3.3589849015317288</v>
      </c>
      <c r="AJ77" s="43">
        <f ca="1">_xll.BInterpol('Base IPCA'!$C$3:$C$14,'Base IPCA'!$D$3:$D$14,AH77,"Cubic","Extrapolate=Linear","MultiX=Average","Skip=True","Sort=True")</f>
        <v>3.2340402625820568</v>
      </c>
    </row>
    <row r="78" spans="10:36" x14ac:dyDescent="0.25">
      <c r="O78" t="str">
        <f>$P38</f>
        <v>DAPAGO26</v>
      </c>
      <c r="P78" s="52" t="str">
        <f t="shared" si="21"/>
        <v>DAPAGO26</v>
      </c>
      <c r="Q78" s="99">
        <f t="shared" ref="Q78:AB78" ca="1" si="34">Q38*VLOOKUP($P78,$B$18:$M$26,12,0)</f>
        <v>0</v>
      </c>
      <c r="R78" s="100">
        <f t="shared" ca="1" si="34"/>
        <v>0</v>
      </c>
      <c r="S78" s="100">
        <f t="shared" ca="1" si="34"/>
        <v>86.315873920335434</v>
      </c>
      <c r="T78" s="100">
        <f t="shared" ca="1" si="34"/>
        <v>0</v>
      </c>
      <c r="U78" s="100">
        <f t="shared" ca="1" si="34"/>
        <v>43.157936960167717</v>
      </c>
      <c r="V78" s="100">
        <f t="shared" ca="1" si="34"/>
        <v>151.05277936058701</v>
      </c>
      <c r="W78" s="100">
        <f t="shared" ca="1" si="34"/>
        <v>0</v>
      </c>
      <c r="X78" s="100">
        <f t="shared" ca="1" si="34"/>
        <v>539.47421200209646</v>
      </c>
      <c r="Y78" s="100">
        <f t="shared" ca="1" si="34"/>
        <v>0</v>
      </c>
      <c r="Z78" s="100">
        <f t="shared" ca="1" si="34"/>
        <v>64.736905440251576</v>
      </c>
      <c r="AA78" s="100">
        <f t="shared" ca="1" si="34"/>
        <v>0</v>
      </c>
      <c r="AB78" s="101">
        <f t="shared" ca="1" si="34"/>
        <v>0</v>
      </c>
      <c r="AC78" s="55">
        <f ca="1">SUM(Q78:AB78)</f>
        <v>884.7377076834382</v>
      </c>
      <c r="AD78" s="5">
        <f t="shared" ca="1" si="23"/>
        <v>1.438986245785534E-2</v>
      </c>
      <c r="AH78" s="42">
        <f t="shared" ca="1" si="29"/>
        <v>45789</v>
      </c>
      <c r="AI78" s="43">
        <f ca="1">_xll.BInterpol('Base IPCA'!$C$3:$C$14,'Base IPCA'!$E$3:$E$14,AH78,"Cubic","Extrapolate=Linear","MultiX=Average","Skip=True","Sort=True")</f>
        <v>3.1126188183807439</v>
      </c>
      <c r="AJ78" s="43">
        <f ca="1">_xll.BInterpol('Base IPCA'!$C$3:$C$14,'Base IPCA'!$D$3:$D$14,AH78,"Cubic","Extrapolate=Linear","MultiX=Average","Skip=True","Sort=True")</f>
        <v>3.4361868708971564</v>
      </c>
    </row>
    <row r="79" spans="10:36" x14ac:dyDescent="0.25">
      <c r="O79" t="str">
        <f>$P39</f>
        <v>DAPMAI27</v>
      </c>
      <c r="P79" s="52" t="str">
        <f t="shared" si="21"/>
        <v>DAPMAI27</v>
      </c>
      <c r="Q79" s="99">
        <f t="shared" ref="Q79:AB79" ca="1" si="35">Q39*VLOOKUP($P79,$B$18:$M$26,12,0)</f>
        <v>0</v>
      </c>
      <c r="R79" s="100">
        <f t="shared" ca="1" si="35"/>
        <v>0</v>
      </c>
      <c r="S79" s="100">
        <f t="shared" ca="1" si="35"/>
        <v>0</v>
      </c>
      <c r="T79" s="100">
        <f t="shared" ca="1" si="35"/>
        <v>0</v>
      </c>
      <c r="U79" s="100">
        <f t="shared" ca="1" si="35"/>
        <v>186.28226616955362</v>
      </c>
      <c r="V79" s="100">
        <f t="shared" ca="1" si="35"/>
        <v>155.23522180796135</v>
      </c>
      <c r="W79" s="100">
        <f t="shared" ca="1" si="35"/>
        <v>0</v>
      </c>
      <c r="X79" s="100">
        <f t="shared" ca="1" si="35"/>
        <v>620.94088723184541</v>
      </c>
      <c r="Y79" s="100">
        <f t="shared" ca="1" si="35"/>
        <v>0</v>
      </c>
      <c r="Z79" s="100">
        <f t="shared" ca="1" si="35"/>
        <v>62.094088723184541</v>
      </c>
      <c r="AA79" s="100">
        <f t="shared" ca="1" si="35"/>
        <v>0</v>
      </c>
      <c r="AB79" s="101">
        <f t="shared" ca="1" si="35"/>
        <v>0</v>
      </c>
      <c r="AC79" s="55">
        <f t="shared" ca="1" si="22"/>
        <v>1024.5524639325449</v>
      </c>
      <c r="AD79" s="5">
        <f t="shared" ca="1" si="23"/>
        <v>1.6663886832007011E-2</v>
      </c>
      <c r="AH79" s="42">
        <f t="shared" ca="1" si="29"/>
        <v>45790</v>
      </c>
      <c r="AI79" s="43">
        <f ca="1">_xll.BInterpol('Base IPCA'!$C$3:$C$14,'Base IPCA'!$E$3:$E$14,AH79,"Cubic","Extrapolate=Linear","MultiX=Average","Skip=True","Sort=True")</f>
        <v>3.1229792122538296</v>
      </c>
      <c r="AJ79" s="43">
        <f ca="1">_xll.BInterpol('Base IPCA'!$C$3:$C$14,'Base IPCA'!$D$3:$D$14,AH79,"Cubic","Extrapolate=Linear","MultiX=Average","Skip=True","Sort=True")</f>
        <v>3.2544201312910284</v>
      </c>
    </row>
    <row r="80" spans="10:36" ht="15.75" thickBot="1" x14ac:dyDescent="0.3">
      <c r="O80" t="str">
        <f>$P40</f>
        <v>DAPMAI35</v>
      </c>
      <c r="P80" s="53" t="str">
        <f t="shared" si="21"/>
        <v>DAPMAI35</v>
      </c>
      <c r="Q80" s="102">
        <f t="shared" ref="Q80:AB80" ca="1" si="36">Q40*VLOOKUP($P80,$B$18:$M$26,12,0)</f>
        <v>0</v>
      </c>
      <c r="R80" s="103">
        <f t="shared" ca="1" si="36"/>
        <v>0</v>
      </c>
      <c r="S80" s="103">
        <f t="shared" ca="1" si="36"/>
        <v>0</v>
      </c>
      <c r="T80" s="103">
        <f t="shared" ca="1" si="36"/>
        <v>0</v>
      </c>
      <c r="U80" s="103">
        <f t="shared" ca="1" si="36"/>
        <v>0</v>
      </c>
      <c r="V80" s="103">
        <f t="shared" ca="1" si="36"/>
        <v>0</v>
      </c>
      <c r="W80" s="103">
        <f t="shared" ca="1" si="36"/>
        <v>0</v>
      </c>
      <c r="X80" s="103">
        <f t="shared" ca="1" si="36"/>
        <v>0</v>
      </c>
      <c r="Y80" s="103">
        <f t="shared" ca="1" si="36"/>
        <v>0</v>
      </c>
      <c r="Z80" s="103">
        <f t="shared" ca="1" si="36"/>
        <v>79.19381246494595</v>
      </c>
      <c r="AA80" s="103">
        <f t="shared" ca="1" si="36"/>
        <v>0</v>
      </c>
      <c r="AB80" s="104">
        <f t="shared" ca="1" si="36"/>
        <v>0</v>
      </c>
      <c r="AC80" s="55">
        <f t="shared" ca="1" si="22"/>
        <v>79.19381246494595</v>
      </c>
      <c r="AD80" s="5">
        <f t="shared" ca="1" si="23"/>
        <v>1.2880518813509303E-3</v>
      </c>
      <c r="AH80" s="42">
        <f t="shared" ca="1" si="29"/>
        <v>45791</v>
      </c>
      <c r="AI80" s="43">
        <f ca="1">_xll.BInterpol('Base IPCA'!$C$3:$C$14,'Base IPCA'!$E$3:$E$14,AH80,"Cubic","Extrapolate=Linear","MultiX=Average","Skip=True","Sort=True")</f>
        <v>3.1333396061269143</v>
      </c>
      <c r="AJ80" s="43">
        <f ca="1">_xll.BInterpol('Base IPCA'!$C$3:$C$14,'Base IPCA'!$D$3:$D$14,AH80,"Cubic","Extrapolate=Linear","MultiX=Average","Skip=True","Sort=True")</f>
        <v>3.2646100656455141</v>
      </c>
    </row>
    <row r="81" spans="14:36" ht="15.75" thickBot="1" x14ac:dyDescent="0.3">
      <c r="Q81" s="63">
        <f t="shared" ref="Q81:AC81" ca="1" si="37">SUM(Q43:Q80)</f>
        <v>1373.7352184999954</v>
      </c>
      <c r="R81" s="64">
        <f t="shared" ca="1" si="37"/>
        <v>1242.1371044999958</v>
      </c>
      <c r="S81" s="64">
        <f t="shared" ca="1" si="37"/>
        <v>2683.2921646705345</v>
      </c>
      <c r="T81" s="64">
        <f t="shared" ca="1" si="37"/>
        <v>0</v>
      </c>
      <c r="U81" s="64">
        <f t="shared" ca="1" si="37"/>
        <v>39090.174682579607</v>
      </c>
      <c r="V81" s="64">
        <f t="shared" ca="1" si="37"/>
        <v>511.71234016855885</v>
      </c>
      <c r="W81" s="64">
        <f t="shared" ca="1" si="37"/>
        <v>2859.6357384999246</v>
      </c>
      <c r="X81" s="64">
        <f t="shared" ca="1" si="37"/>
        <v>1637.0162767339345</v>
      </c>
      <c r="Y81" s="64">
        <f t="shared" ca="1" si="37"/>
        <v>0</v>
      </c>
      <c r="Z81" s="64">
        <f t="shared" ca="1" si="37"/>
        <v>11599.822641528481</v>
      </c>
      <c r="AA81" s="64">
        <f t="shared" ca="1" si="37"/>
        <v>62.502939500003123</v>
      </c>
      <c r="AB81" s="57">
        <f t="shared" ca="1" si="37"/>
        <v>423.3735508937317</v>
      </c>
      <c r="AC81" s="65">
        <f t="shared" ca="1" si="37"/>
        <v>61483.402657574756</v>
      </c>
      <c r="AH81" s="42">
        <f t="shared" ca="1" si="29"/>
        <v>45792</v>
      </c>
      <c r="AI81" s="43">
        <f ca="1">_xll.BInterpol('Base IPCA'!$C$3:$C$14,'Base IPCA'!$E$3:$E$14,AH81,"Cubic","Extrapolate=Linear","MultiX=Average","Skip=True","Sort=True")</f>
        <v>3.1436999999999999</v>
      </c>
      <c r="AJ81" s="43">
        <f ca="1">_xll.BInterpol('Base IPCA'!$C$3:$C$14,'Base IPCA'!$D$3:$D$14,AH81,"Cubic","Extrapolate=Linear","MultiX=Average","Skip=True","Sort=True")</f>
        <v>3.2747999999999999</v>
      </c>
    </row>
    <row r="82" spans="14:36" ht="15.75" thickBot="1" x14ac:dyDescent="0.3">
      <c r="U82" s="144"/>
      <c r="AH82" s="42">
        <f t="shared" ca="1" si="29"/>
        <v>45793</v>
      </c>
      <c r="AI82" s="43">
        <f ca="1">_xll.BInterpol('Base IPCA'!$C$3:$C$14,'Base IPCA'!$E$3:$E$14,AH82,"Cubic","Extrapolate=Linear","MultiX=Average","Skip=True","Sort=True")</f>
        <v>3.157909069996911</v>
      </c>
      <c r="AJ82" s="43">
        <f ca="1">_xll.BInterpol('Base IPCA'!$C$3:$C$14,'Base IPCA'!$D$3:$D$14,AH82,"Cubic","Extrapolate=Linear","MultiX=Average","Skip=True","Sort=True")</f>
        <v>3.288807796906112</v>
      </c>
    </row>
    <row r="83" spans="14:36" ht="15.75" thickBot="1" x14ac:dyDescent="0.3">
      <c r="P83" s="45" t="s">
        <v>369</v>
      </c>
      <c r="Q83" s="48" t="str">
        <f t="shared" ref="Q83:AB83" si="38">Q2</f>
        <v>FIRF GERAES</v>
      </c>
      <c r="R83" s="49" t="str">
        <f t="shared" si="38"/>
        <v>FIRF GERAES 30</v>
      </c>
      <c r="S83" s="49" t="str">
        <f t="shared" si="38"/>
        <v>HORIZONTE</v>
      </c>
      <c r="T83" s="49" t="str">
        <f t="shared" si="38"/>
        <v>MANACA INFRA FIRF</v>
      </c>
      <c r="U83" s="49" t="str">
        <f t="shared" si="38"/>
        <v>BH FIRF INFRA</v>
      </c>
      <c r="V83" s="49" t="str">
        <f t="shared" si="38"/>
        <v>REAL FIM</v>
      </c>
      <c r="W83" s="49" t="str">
        <f t="shared" si="38"/>
        <v>RIO INFRA</v>
      </c>
      <c r="X83" s="49" t="str">
        <f t="shared" si="38"/>
        <v>JERA2026</v>
      </c>
      <c r="Y83" s="49" t="str">
        <f t="shared" si="38"/>
        <v>SANTANA</v>
      </c>
      <c r="Z83" s="49" t="str">
        <f t="shared" si="38"/>
        <v>BORDEAUX INFRA</v>
      </c>
      <c r="AA83" s="49" t="str">
        <f t="shared" si="38"/>
        <v>AF INVEST GERAES PREV</v>
      </c>
      <c r="AB83" s="50" t="str">
        <f t="shared" si="38"/>
        <v>TOPAZIO INFRA</v>
      </c>
      <c r="AC83" s="45" t="s">
        <v>159</v>
      </c>
      <c r="AH83" s="42">
        <f t="shared" ca="1" si="29"/>
        <v>45794</v>
      </c>
      <c r="AI83" s="43">
        <f ca="1">_xll.BInterpol('Base IPCA'!$C$3:$C$14,'Base IPCA'!$E$3:$E$14,AH83,"Cubic","Extrapolate=Linear","MultiX=Average","Skip=True","Sort=True")</f>
        <v>3.4263368830173584</v>
      </c>
      <c r="AJ83" s="43">
        <f ca="1">_xll.BInterpol('Base IPCA'!$C$3:$C$14,'Base IPCA'!$D$3:$D$14,AH83,"Cubic","Extrapolate=Linear","MultiX=Average","Skip=True","Sort=True")</f>
        <v>3.494926795059027</v>
      </c>
    </row>
    <row r="84" spans="14:36" x14ac:dyDescent="0.25">
      <c r="N84"/>
      <c r="P84" s="52" t="s">
        <v>177</v>
      </c>
      <c r="Q84" s="16">
        <f ca="1">SUMIFS(Estratégia!$F:$F,Estratégia!$C:$C,Q$83,Estratégia!$D:$D,$P84,Estratégia!$E:$E,"Hedge IPCA")*VLOOKUP($P84,$B$18:$M$26,12,0)</f>
        <v>-100.24864340055501</v>
      </c>
      <c r="R84" s="16">
        <f ca="1">SUMIFS(Estratégia!$F:$F,Estratégia!$C:$C,R$83,Estratégia!$D:$D,$P84,Estratégia!$E:$E,"Hedge IPCA")*VLOOKUP($P84,$B$18:$M$26,12,0)</f>
        <v>-93.565400507184677</v>
      </c>
      <c r="S84" s="16">
        <f ca="1">SUMIFS(Estratégia!$F:$F,Estratégia!$C:$C,S$83,Estratégia!$D:$D,$P84,Estratégia!$E:$E,"Hedge IPCA")*VLOOKUP($P84,$B$18:$M$26,12,0)</f>
        <v>-30.074593020166503</v>
      </c>
      <c r="T84" s="16">
        <f ca="1">SUMIFS(Estratégia!$F:$F,Estratégia!$C:$C,T$83,Estratégia!$D:$D,$P84,Estratégia!$E:$E,"Hedge IPCA")*VLOOKUP($P84,$B$18:$M$26,12,0)</f>
        <v>0</v>
      </c>
      <c r="U84" s="16">
        <f ca="1">SUMIFS(Estratégia!$F:$F,Estratégia!$C:$C,U$83,Estratégia!$D:$D,$P84,Estratégia!$E:$E,"Hedge IPCA")*VLOOKUP($P84,$B$18:$M$26,12,0)</f>
        <v>0</v>
      </c>
      <c r="V84" s="16">
        <f ca="1">SUMIFS(Estratégia!$F:$F,Estratégia!$C:$C,V$83,Estratégia!$D:$D,$P84,Estratégia!$E:$E,"Hedge IPCA")*VLOOKUP($P84,$B$18:$M$26,12,0)</f>
        <v>-13.366485786740668</v>
      </c>
      <c r="W84" s="16">
        <f ca="1">SUMIFS(Estratégia!$F:$F,Estratégia!$C:$C,W$83,Estratégia!$D:$D,$P84,Estratégia!$E:$E,"Hedge IPCA")*VLOOKUP($P84,$B$18:$M$26,12,0)</f>
        <v>0</v>
      </c>
      <c r="X84" s="16">
        <f ca="1">SUMIFS(Estratégia!$F:$F,Estratégia!$C:$C,X$83,Estratégia!$D:$D,$P84,Estratégia!$E:$E,"Hedge IPCA")*VLOOKUP($P84,$B$18:$M$26,12,0)</f>
        <v>-66.832428933703341</v>
      </c>
      <c r="Y84" s="16">
        <f ca="1">SUMIFS(Estratégia!$F:$F,Estratégia!$C:$C,Y$83,Estratégia!$D:$D,$P84,Estratégia!$E:$E,"Hedge IPCA")*VLOOKUP($P84,$B$18:$M$26,12,0)</f>
        <v>0</v>
      </c>
      <c r="Z84" s="16">
        <f ca="1">SUMIFS(Estratégia!$F:$F,Estratégia!$C:$C,Z$83,Estratégia!$D:$D,$P84,Estratégia!$E:$E,"Hedge IPCA")*VLOOKUP($P84,$B$18:$M$26,12,0)</f>
        <v>-20.049728680111002</v>
      </c>
      <c r="AA84" s="16">
        <f ca="1">SUMIFS(Estratégia!$F:$F,Estratégia!$C:$C,AA$83,Estratégia!$D:$D,$P84,Estratégia!$E:$E,"Hedge IPCA")*VLOOKUP($P84,$B$18:$M$26,12,0)</f>
        <v>0</v>
      </c>
      <c r="AB84" s="16">
        <f ca="1">SUMIFS(Estratégia!$F:$F,Estratégia!$C:$C,AB$83,Estratégia!$D:$D,$P84,Estratégia!$E:$E,"Hedge IPCA")*VLOOKUP($P84,$B$18:$M$26,12,0)</f>
        <v>-23.391350126796169</v>
      </c>
      <c r="AC84" s="55">
        <f t="shared" ref="AC84:AC92" ca="1" si="39">SUM(Q84:AB84)</f>
        <v>-347.52863045525737</v>
      </c>
      <c r="AH84" s="42">
        <f t="shared" ca="1" si="29"/>
        <v>45795</v>
      </c>
      <c r="AI84" s="43">
        <f ca="1">_xll.BInterpol('Base IPCA'!$C$3:$C$14,'Base IPCA'!$E$3:$E$14,AH84,"Cubic","Extrapolate=Linear","MultiX=Average","Skip=True","Sort=True")</f>
        <v>3.4400550559296939</v>
      </c>
      <c r="AJ84" s="43">
        <f ca="1">_xll.BInterpol('Base IPCA'!$C$3:$C$14,'Base IPCA'!$D$3:$D$14,AH84,"Cubic","Extrapolate=Linear","MultiX=Average","Skip=True","Sort=True")</f>
        <v>3.5089899154197433</v>
      </c>
    </row>
    <row r="85" spans="14:36" x14ac:dyDescent="0.25">
      <c r="N85"/>
      <c r="P85" s="52" t="s">
        <v>116</v>
      </c>
      <c r="Q85" s="16">
        <f ca="1">SUMIFS(Estratégia!$F:$F,Estratégia!$C:$C,Q$83,Estratégia!$D:$D,$P85,Estratégia!$E:$E,"Hedge IPCA")*VLOOKUP($P85,$B$18:$M$26,12,0)</f>
        <v>0</v>
      </c>
      <c r="R85" s="16">
        <f ca="1">SUMIFS(Estratégia!$F:$F,Estratégia!$C:$C,R$83,Estratégia!$D:$D,$P85,Estratégia!$E:$E,"Hedge IPCA")*VLOOKUP($P85,$B$18:$M$26,12,0)</f>
        <v>0</v>
      </c>
      <c r="S85" s="16">
        <f ca="1">SUMIFS(Estratégia!$F:$F,Estratégia!$C:$C,S$83,Estratégia!$D:$D,$P85,Estratégia!$E:$E,"Hedge IPCA")*VLOOKUP($P85,$B$18:$M$26,12,0)</f>
        <v>0</v>
      </c>
      <c r="T85" s="16">
        <f ca="1">SUMIFS(Estratégia!$F:$F,Estratégia!$C:$C,T$83,Estratégia!$D:$D,$P85,Estratégia!$E:$E,"Hedge IPCA")*VLOOKUP($P85,$B$18:$M$26,12,0)</f>
        <v>0</v>
      </c>
      <c r="U85" s="16">
        <f ca="1">SUMIFS(Estratégia!$F:$F,Estratégia!$C:$C,U$83,Estratégia!$D:$D,$P85,Estratégia!$E:$E,"Hedge IPCA")*VLOOKUP($P85,$B$18:$M$26,12,0)</f>
        <v>-388.42143264150945</v>
      </c>
      <c r="V85" s="16">
        <f ca="1">SUMIFS(Estratégia!$F:$F,Estratégia!$C:$C,V$83,Estratégia!$D:$D,$P85,Estratégia!$E:$E,"Hedge IPCA")*VLOOKUP($P85,$B$18:$M$26,12,0)</f>
        <v>-43.157936960167717</v>
      </c>
      <c r="W85" s="16">
        <f ca="1">SUMIFS(Estratégia!$F:$F,Estratégia!$C:$C,W$83,Estratégia!$D:$D,$P85,Estratégia!$E:$E,"Hedge IPCA")*VLOOKUP($P85,$B$18:$M$26,12,0)</f>
        <v>0</v>
      </c>
      <c r="X85" s="16">
        <f ca="1">SUMIFS(Estratégia!$F:$F,Estratégia!$C:$C,X$83,Estratégia!$D:$D,$P85,Estratégia!$E:$E,"Hedge IPCA")*VLOOKUP($P85,$B$18:$M$26,12,0)</f>
        <v>-215.78968480083859</v>
      </c>
      <c r="Y85" s="16">
        <f ca="1">SUMIFS(Estratégia!$F:$F,Estratégia!$C:$C,Y$83,Estratégia!$D:$D,$P85,Estratégia!$E:$E,"Hedge IPCA")*VLOOKUP($P85,$B$18:$M$26,12,0)</f>
        <v>0</v>
      </c>
      <c r="Z85" s="16">
        <f ca="1">SUMIFS(Estratégia!$F:$F,Estratégia!$C:$C,Z$83,Estratégia!$D:$D,$P85,Estratégia!$E:$E,"Hedge IPCA")*VLOOKUP($P85,$B$18:$M$26,12,0)</f>
        <v>-86.315873920335434</v>
      </c>
      <c r="AA85" s="16">
        <f ca="1">SUMIFS(Estratégia!$F:$F,Estratégia!$C:$C,AA$83,Estratégia!$D:$D,$P85,Estratégia!$E:$E,"Hedge IPCA")*VLOOKUP($P85,$B$18:$M$26,12,0)</f>
        <v>0</v>
      </c>
      <c r="AB85" s="16">
        <f ca="1">SUMIFS(Estratégia!$F:$F,Estratégia!$C:$C,AB$83,Estratégia!$D:$D,$P85,Estratégia!$E:$E,"Hedge IPCA")*VLOOKUP($P85,$B$18:$M$26,12,0)</f>
        <v>-129.47381088050315</v>
      </c>
      <c r="AC85" s="55">
        <f t="shared" ca="1" si="39"/>
        <v>-863.15873920335434</v>
      </c>
      <c r="AH85" s="42">
        <f t="shared" ca="1" si="29"/>
        <v>45796</v>
      </c>
      <c r="AI85" s="43">
        <f ca="1">_xll.BInterpol('Base IPCA'!$C$3:$C$14,'Base IPCA'!$E$3:$E$14,AH85,"Cubic","Extrapolate=Linear","MultiX=Average","Skip=True","Sort=True")</f>
        <v>3.4537729065264173</v>
      </c>
      <c r="AJ85" s="43">
        <f ca="1">_xll.BInterpol('Base IPCA'!$C$3:$C$14,'Base IPCA'!$D$3:$D$14,AH85,"Cubic","Extrapolate=Linear","MultiX=Average","Skip=True","Sort=True")</f>
        <v>3.5230527031779029</v>
      </c>
    </row>
    <row r="86" spans="14:36" x14ac:dyDescent="0.25">
      <c r="N86"/>
      <c r="P86" s="52" t="s">
        <v>319</v>
      </c>
      <c r="Q86" s="16">
        <f ca="1">SUMIFS(Estratégia!$F:$F,Estratégia!$C:$C,Q$83,Estratégia!$D:$D,$P86,Estratégia!$E:$E,"Hedge IPCA")*VLOOKUP($P86,$B$18:$M$26,12,0)</f>
        <v>0</v>
      </c>
      <c r="R86" s="16">
        <f ca="1">SUMIFS(Estratégia!$F:$F,Estratégia!$C:$C,R$83,Estratégia!$D:$D,$P86,Estratégia!$E:$E,"Hedge IPCA")*VLOOKUP($P86,$B$18:$M$26,12,0)</f>
        <v>0</v>
      </c>
      <c r="S86" s="16">
        <f ca="1">SUMIFS(Estratégia!$F:$F,Estratégia!$C:$C,S$83,Estratégia!$D:$D,$P86,Estratégia!$E:$E,"Hedge IPCA")*VLOOKUP($P86,$B$18:$M$26,12,0)</f>
        <v>0</v>
      </c>
      <c r="T86" s="16">
        <f ca="1">SUMIFS(Estratégia!$F:$F,Estratégia!$C:$C,T$83,Estratégia!$D:$D,$P86,Estratégia!$E:$E,"Hedge IPCA")*VLOOKUP($P86,$B$18:$M$26,12,0)</f>
        <v>0</v>
      </c>
      <c r="U86" s="16">
        <f ca="1">SUMIFS(Estratégia!$F:$F,Estratégia!$C:$C,U$83,Estratégia!$D:$D,$P86,Estratégia!$E:$E,"Hedge IPCA")*VLOOKUP($P86,$B$18:$M$26,12,0)</f>
        <v>-1831.775617333944</v>
      </c>
      <c r="V86" s="16">
        <f ca="1">SUMIFS(Estratégia!$F:$F,Estratégia!$C:$C,V$83,Estratégia!$D:$D,$P86,Estratégia!$E:$E,"Hedge IPCA")*VLOOKUP($P86,$B$18:$M$26,12,0)</f>
        <v>0</v>
      </c>
      <c r="W86" s="16">
        <f ca="1">SUMIFS(Estratégia!$F:$F,Estratégia!$C:$C,W$83,Estratégia!$D:$D,$P86,Estratégia!$E:$E,"Hedge IPCA")*VLOOKUP($P86,$B$18:$M$26,12,0)</f>
        <v>0</v>
      </c>
      <c r="X86" s="16">
        <f ca="1">SUMIFS(Estratégia!$F:$F,Estratégia!$C:$C,X$83,Estratégia!$D:$D,$P86,Estratégia!$E:$E,"Hedge IPCA")*VLOOKUP($P86,$B$18:$M$26,12,0)</f>
        <v>0</v>
      </c>
      <c r="Y86" s="16">
        <f ca="1">SUMIFS(Estratégia!$F:$F,Estratégia!$C:$C,Y$83,Estratégia!$D:$D,$P86,Estratégia!$E:$E,"Hedge IPCA")*VLOOKUP($P86,$B$18:$M$26,12,0)</f>
        <v>0</v>
      </c>
      <c r="Z86" s="16">
        <f ca="1">SUMIFS(Estratégia!$F:$F,Estratégia!$C:$C,Z$83,Estratégia!$D:$D,$P86,Estratégia!$E:$E,"Hedge IPCA")*VLOOKUP($P86,$B$18:$M$26,12,0)</f>
        <v>-496.75270978547633</v>
      </c>
      <c r="AA86" s="16">
        <f ca="1">SUMIFS(Estratégia!$F:$F,Estratégia!$C:$C,AA$83,Estratégia!$D:$D,$P86,Estratégia!$E:$E,"Hedge IPCA")*VLOOKUP($P86,$B$18:$M$26,12,0)</f>
        <v>0</v>
      </c>
      <c r="AB86" s="16">
        <f ca="1">SUMIFS(Estratégia!$F:$F,Estratégia!$C:$C,AB$83,Estratégia!$D:$D,$P86,Estratégia!$E:$E,"Hedge IPCA")*VLOOKUP($P86,$B$18:$M$26,12,0)</f>
        <v>0</v>
      </c>
      <c r="AC86" s="55">
        <f t="shared" ca="1" si="39"/>
        <v>-2328.5283271194203</v>
      </c>
      <c r="AH86" s="42">
        <f t="shared" ca="1" si="29"/>
        <v>45797</v>
      </c>
      <c r="AI86" s="43">
        <f ca="1">_xll.BInterpol('Base IPCA'!$C$3:$C$14,'Base IPCA'!$E$3:$E$14,AH86,"Cubic","Extrapolate=Linear","MultiX=Average","Skip=True","Sort=True")</f>
        <v>3.4674903273689912</v>
      </c>
      <c r="AJ86" s="43">
        <f ca="1">_xll.BInterpol('Base IPCA'!$C$3:$C$14,'Base IPCA'!$D$3:$D$14,AH86,"Cubic","Extrapolate=Linear","MultiX=Average","Skip=True","Sort=True")</f>
        <v>3.5371150474659871</v>
      </c>
    </row>
    <row r="87" spans="14:36" x14ac:dyDescent="0.25">
      <c r="N87"/>
      <c r="P87" s="52" t="s">
        <v>179</v>
      </c>
      <c r="Q87" s="16">
        <f ca="1">SUMIFS(Estratégia!$F:$F,Estratégia!$C:$C,Q$83,Estratégia!$D:$D,$P87,Estratégia!$E:$E,"Hedge IPCA")*VLOOKUP($P87,$B$18:$M$26,12,0)</f>
        <v>-1195.7208458195964</v>
      </c>
      <c r="R87" s="16">
        <f ca="1">SUMIFS(Estratégia!$F:$F,Estratégia!$C:$C,R$83,Estratégia!$D:$D,$P87,Estratégia!$E:$E,"Hedge IPCA")*VLOOKUP($P87,$B$18:$M$26,12,0)</f>
        <v>-1062.8629740618635</v>
      </c>
      <c r="S87" s="16">
        <f ca="1">SUMIFS(Estratégia!$F:$F,Estratégia!$C:$C,S$83,Estratégia!$D:$D,$P87,Estratégia!$E:$E,"Hedge IPCA")*VLOOKUP($P87,$B$18:$M$26,12,0)</f>
        <v>-1372.864674829907</v>
      </c>
      <c r="T87" s="16">
        <f ca="1">SUMIFS(Estratégia!$F:$F,Estratégia!$C:$C,T$83,Estratégia!$D:$D,$P87,Estratégia!$E:$E,"Hedge IPCA")*VLOOKUP($P87,$B$18:$M$26,12,0)</f>
        <v>0</v>
      </c>
      <c r="U87" s="16">
        <f ca="1">SUMIFS(Estratégia!$F:$F,Estratégia!$C:$C,U$83,Estratégia!$D:$D,$P87,Estratégia!$E:$E,"Hedge IPCA")*VLOOKUP($P87,$B$18:$M$26,12,0)</f>
        <v>-4871.455297783541</v>
      </c>
      <c r="V87" s="16">
        <f ca="1">SUMIFS(Estratégia!$F:$F,Estratégia!$C:$C,V$83,Estratégia!$D:$D,$P87,Estratégia!$E:$E,"Hedge IPCA")*VLOOKUP($P87,$B$18:$M$26,12,0)</f>
        <v>-132.85787175773294</v>
      </c>
      <c r="W87" s="16">
        <f ca="1">SUMIFS(Estratégia!$F:$F,Estratégia!$C:$C,W$83,Estratégia!$D:$D,$P87,Estratégia!$E:$E,"Hedge IPCA")*VLOOKUP($P87,$B$18:$M$26,12,0)</f>
        <v>0</v>
      </c>
      <c r="X87" s="16">
        <f ca="1">SUMIFS(Estratégia!$F:$F,Estratégia!$C:$C,X$83,Estratégia!$D:$D,$P87,Estratégia!$E:$E,"Hedge IPCA")*VLOOKUP($P87,$B$18:$M$26,12,0)</f>
        <v>0</v>
      </c>
      <c r="Y87" s="16">
        <f ca="1">SUMIFS(Estratégia!$F:$F,Estratégia!$C:$C,Y$83,Estratégia!$D:$D,$P87,Estratégia!$E:$E,"Hedge IPCA")*VLOOKUP($P87,$B$18:$M$26,12,0)</f>
        <v>0</v>
      </c>
      <c r="Z87" s="16">
        <f ca="1">SUMIFS(Estratégia!$F:$F,Estratégia!$C:$C,Z$83,Estratégia!$D:$D,$P87,Estratégia!$E:$E,"Hedge IPCA")*VLOOKUP($P87,$B$18:$M$26,12,0)</f>
        <v>-974.29105955670821</v>
      </c>
      <c r="AA87" s="16">
        <f ca="1">SUMIFS(Estratégia!$F:$F,Estratégia!$C:$C,AA$83,Estratégia!$D:$D,$P87,Estratégia!$E:$E,"Hedge IPCA")*VLOOKUP($P87,$B$18:$M$26,12,0)</f>
        <v>-44.285957252577646</v>
      </c>
      <c r="AB87" s="16">
        <f ca="1">SUMIFS(Estratégia!$F:$F,Estratégia!$C:$C,AB$83,Estratégia!$D:$D,$P87,Estratégia!$E:$E,"Hedge IPCA")*VLOOKUP($P87,$B$18:$M$26,12,0)</f>
        <v>-177.14382901031058</v>
      </c>
      <c r="AC87" s="55">
        <f t="shared" ca="1" si="39"/>
        <v>-9831.4825100722373</v>
      </c>
      <c r="AH87" s="42">
        <f t="shared" ca="1" si="29"/>
        <v>45798</v>
      </c>
      <c r="AI87" s="43">
        <f ca="1">_xll.BInterpol('Base IPCA'!$C$3:$C$14,'Base IPCA'!$E$3:$E$14,AH87,"Cubic","Extrapolate=Linear","MultiX=Average","Skip=True","Sort=True")</f>
        <v>3.4812072110188779</v>
      </c>
      <c r="AJ87" s="43">
        <f ca="1">_xll.BInterpol('Base IPCA'!$C$3:$C$14,'Base IPCA'!$D$3:$D$14,AH87,"Cubic","Extrapolate=Linear","MultiX=Average","Skip=True","Sort=True")</f>
        <v>3.5511768374164774</v>
      </c>
    </row>
    <row r="88" spans="14:36" x14ac:dyDescent="0.25">
      <c r="N88"/>
      <c r="P88" s="52" t="s">
        <v>1366</v>
      </c>
      <c r="Q88" s="16">
        <f ca="1">SUMIFS(Estratégia!$F:$F,Estratégia!$C:$C,Q$83,Estratégia!$D:$D,$P88,Estratégia!$E:$E,"Hedge IPCA")*VLOOKUP($P88,$B$18:$M$26,12,0)</f>
        <v>0</v>
      </c>
      <c r="R88" s="16">
        <f ca="1">SUMIFS(Estratégia!$F:$F,Estratégia!$C:$C,R$83,Estratégia!$D:$D,$P88,Estratégia!$E:$E,"Hedge IPCA")*VLOOKUP($P88,$B$18:$M$26,12,0)</f>
        <v>0</v>
      </c>
      <c r="S88" s="16">
        <f ca="1">SUMIFS(Estratégia!$F:$F,Estratégia!$C:$C,S$83,Estratégia!$D:$D,$P88,Estratégia!$E:$E,"Hedge IPCA")*VLOOKUP($P88,$B$18:$M$26,12,0)</f>
        <v>0</v>
      </c>
      <c r="T88" s="16">
        <f ca="1">SUMIFS(Estratégia!$F:$F,Estratégia!$C:$C,T$83,Estratégia!$D:$D,$P88,Estratégia!$E:$E,"Hedge IPCA")*VLOOKUP($P88,$B$18:$M$26,12,0)</f>
        <v>0</v>
      </c>
      <c r="U88" s="16">
        <f ca="1">SUMIFS(Estratégia!$F:$F,Estratégia!$C:$C,U$83,Estratégia!$D:$D,$P88,Estratégia!$E:$E,"Hedge IPCA")*VLOOKUP($P88,$B$18:$M$26,12,0)</f>
        <v>-1678.938638062973</v>
      </c>
      <c r="V88" s="16">
        <f ca="1">SUMIFS(Estratégia!$F:$F,Estratégia!$C:$C,V$83,Estratégia!$D:$D,$P88,Estratégia!$E:$E,"Hedge IPCA")*VLOOKUP($P88,$B$18:$M$26,12,0)</f>
        <v>0</v>
      </c>
      <c r="W88" s="16">
        <f ca="1">SUMIFS(Estratégia!$F:$F,Estratégia!$C:$C,W$83,Estratégia!$D:$D,$P88,Estratégia!$E:$E,"Hedge IPCA")*VLOOKUP($P88,$B$18:$M$26,12,0)</f>
        <v>0</v>
      </c>
      <c r="X88" s="16">
        <f ca="1">SUMIFS(Estratégia!$F:$F,Estratégia!$C:$C,X$83,Estratégia!$D:$D,$P88,Estratégia!$E:$E,"Hedge IPCA")*VLOOKUP($P88,$B$18:$M$26,12,0)</f>
        <v>0</v>
      </c>
      <c r="Y88" s="16">
        <f ca="1">SUMIFS(Estratégia!$F:$F,Estratégia!$C:$C,Y$83,Estratégia!$D:$D,$P88,Estratégia!$E:$E,"Hedge IPCA")*VLOOKUP($P88,$B$18:$M$26,12,0)</f>
        <v>0</v>
      </c>
      <c r="Z88" s="16">
        <f ca="1">SUMIFS(Estratégia!$F:$F,Estratégia!$C:$C,Z$83,Estratégia!$D:$D,$P88,Estratégia!$E:$E,"Hedge IPCA")*VLOOKUP($P88,$B$18:$M$26,12,0)</f>
        <v>0</v>
      </c>
      <c r="AA88" s="16">
        <f ca="1">SUMIFS(Estratégia!$F:$F,Estratégia!$C:$C,AA$83,Estratégia!$D:$D,$P88,Estratégia!$E:$E,"Hedge IPCA")*VLOOKUP($P88,$B$18:$M$26,12,0)</f>
        <v>0</v>
      </c>
      <c r="AB88" s="16">
        <f ca="1">SUMIFS(Estratégia!$F:$F,Estratégia!$C:$C,AB$83,Estratégia!$D:$D,$P88,Estratégia!$E:$E,"Hedge IPCA")*VLOOKUP($P88,$B$18:$M$26,12,0)</f>
        <v>0</v>
      </c>
      <c r="AC88" s="55">
        <f t="shared" ref="AC88" ca="1" si="40">SUM(Q88:AB88)</f>
        <v>-1678.938638062973</v>
      </c>
      <c r="AH88" s="42">
        <f t="shared" ca="1" si="29"/>
        <v>45799</v>
      </c>
      <c r="AI88" s="43">
        <f ca="1">_xll.BInterpol('Base IPCA'!$C$3:$C$14,'Base IPCA'!$E$3:$E$14,AH88,"Cubic","Extrapolate=Linear","MultiX=Average","Skip=True","Sort=True")</f>
        <v>3.4949234500375397</v>
      </c>
      <c r="AJ88" s="43">
        <f ca="1">_xll.BInterpol('Base IPCA'!$C$3:$C$14,'Base IPCA'!$D$3:$D$14,AH88,"Cubic","Extrapolate=Linear","MultiX=Average","Skip=True","Sort=True")</f>
        <v>3.5652379621618548</v>
      </c>
    </row>
    <row r="89" spans="14:36" x14ac:dyDescent="0.25">
      <c r="P89" s="52" t="s">
        <v>180</v>
      </c>
      <c r="Q89" s="16">
        <f ca="1">SUMIFS(Estratégia!$F:$F,Estratégia!$C:$C,Q$83,Estratégia!$D:$D,$P89,Estratégia!$E:$E,"Hedge IPCA")*VLOOKUP($P89,$B$18:$M$26,12,0)</f>
        <v>-60.146095821532072</v>
      </c>
      <c r="R89" s="16">
        <f ca="1">SUMIFS(Estratégia!$F:$F,Estratégia!$C:$C,R$83,Estratégia!$D:$D,$P89,Estratégia!$E:$E,"Hedge IPCA")*VLOOKUP($P89,$B$18:$M$26,12,0)</f>
        <v>0</v>
      </c>
      <c r="S89" s="16">
        <f ca="1">SUMIFS(Estratégia!$F:$F,Estratégia!$C:$C,S$83,Estratégia!$D:$D,$P89,Estratégia!$E:$E,"Hedge IPCA")*VLOOKUP($P89,$B$18:$M$26,12,0)</f>
        <v>0</v>
      </c>
      <c r="T89" s="16">
        <f ca="1">SUMIFS(Estratégia!$F:$F,Estratégia!$C:$C,T$83,Estratégia!$D:$D,$P89,Estratégia!$E:$E,"Hedge IPCA")*VLOOKUP($P89,$B$18:$M$26,12,0)</f>
        <v>0</v>
      </c>
      <c r="U89" s="16">
        <f ca="1">SUMIFS(Estratégia!$F:$F,Estratégia!$C:$C,U$83,Estratégia!$D:$D,$P89,Estratégia!$E:$E,"Hedge IPCA")*VLOOKUP($P89,$B$18:$M$26,12,0)</f>
        <v>-15277.108338669146</v>
      </c>
      <c r="V89" s="16">
        <f ca="1">SUMIFS(Estratégia!$F:$F,Estratégia!$C:$C,V$83,Estratégia!$D:$D,$P89,Estratégia!$E:$E,"Hedge IPCA")*VLOOKUP($P89,$B$18:$M$26,12,0)</f>
        <v>0</v>
      </c>
      <c r="W89" s="16">
        <f ca="1">SUMIFS(Estratégia!$F:$F,Estratégia!$C:$C,W$83,Estratégia!$D:$D,$P89,Estratégia!$E:$E,"Hedge IPCA")*VLOOKUP($P89,$B$18:$M$26,12,0)</f>
        <v>0</v>
      </c>
      <c r="X89" s="16">
        <f ca="1">SUMIFS(Estratégia!$F:$F,Estratégia!$C:$C,X$83,Estratégia!$D:$D,$P89,Estratégia!$E:$E,"Hedge IPCA")*VLOOKUP($P89,$B$18:$M$26,12,0)</f>
        <v>0</v>
      </c>
      <c r="Y89" s="16">
        <f ca="1">SUMIFS(Estratégia!$F:$F,Estratégia!$C:$C,Y$83,Estratégia!$D:$D,$P89,Estratégia!$E:$E,"Hedge IPCA")*VLOOKUP($P89,$B$18:$M$26,12,0)</f>
        <v>0</v>
      </c>
      <c r="Z89" s="16">
        <f ca="1">SUMIFS(Estratégia!$F:$F,Estratégia!$C:$C,Z$83,Estratégia!$D:$D,$P89,Estratégia!$E:$E,"Hedge IPCA")*VLOOKUP($P89,$B$18:$M$26,12,0)</f>
        <v>-4571.1032824364374</v>
      </c>
      <c r="AA89" s="16">
        <f ca="1">SUMIFS(Estratégia!$F:$F,Estratégia!$C:$C,AA$83,Estratégia!$D:$D,$P89,Estratégia!$E:$E,"Hedge IPCA")*VLOOKUP($P89,$B$18:$M$26,12,0)</f>
        <v>0</v>
      </c>
      <c r="AB89" s="16">
        <f ca="1">SUMIFS(Estratégia!$F:$F,Estratégia!$C:$C,AB$83,Estratégia!$D:$D,$P89,Estratégia!$E:$E,"Hedge IPCA")*VLOOKUP($P89,$B$18:$M$26,12,0)</f>
        <v>0</v>
      </c>
      <c r="AC89" s="55">
        <f t="shared" ca="1" si="39"/>
        <v>-19908.357716927116</v>
      </c>
      <c r="AH89" s="42">
        <f t="shared" ca="1" si="29"/>
        <v>45800</v>
      </c>
      <c r="AI89" s="43">
        <f ca="1">_xll.BInterpol('Base IPCA'!$C$3:$C$14,'Base IPCA'!$E$3:$E$14,AH89,"Cubic","Extrapolate=Linear","MultiX=Average","Skip=True","Sort=True")</f>
        <v>3.5086389369864395</v>
      </c>
      <c r="AJ89" s="43">
        <f ca="1">_xll.BInterpol('Base IPCA'!$C$3:$C$14,'Base IPCA'!$D$3:$D$14,AH89,"Cubic","Extrapolate=Linear","MultiX=Average","Skip=True","Sort=True")</f>
        <v>3.5792983108345999</v>
      </c>
    </row>
    <row r="90" spans="14:36" x14ac:dyDescent="0.25">
      <c r="P90" s="52" t="s">
        <v>451</v>
      </c>
      <c r="Q90" s="16">
        <f ca="1">SUMIFS(Estratégia!$F:$F,Estratégia!$C:$C,Q$83,Estratégia!$D:$D,$P90,Estratégia!$E:$E,"Hedge IPCA")*VLOOKUP($P90,$B$18:$M$26,12,0)</f>
        <v>0</v>
      </c>
      <c r="R90" s="16">
        <f ca="1">SUMIFS(Estratégia!$F:$F,Estratégia!$C:$C,R$83,Estratégia!$D:$D,$P90,Estratégia!$E:$E,"Hedge IPCA")*VLOOKUP($P90,$B$18:$M$26,12,0)</f>
        <v>0</v>
      </c>
      <c r="S90" s="16">
        <f ca="1">SUMIFS(Estratégia!$F:$F,Estratégia!$C:$C,S$83,Estratégia!$D:$D,$P90,Estratégia!$E:$E,"Hedge IPCA")*VLOOKUP($P90,$B$18:$M$26,12,0)</f>
        <v>0</v>
      </c>
      <c r="T90" s="16">
        <f ca="1">SUMIFS(Estratégia!$F:$F,Estratégia!$C:$C,T$83,Estratégia!$D:$D,$P90,Estratégia!$E:$E,"Hedge IPCA")*VLOOKUP($P90,$B$18:$M$26,12,0)</f>
        <v>0</v>
      </c>
      <c r="U90" s="16">
        <f ca="1">SUMIFS(Estratégia!$F:$F,Estratégia!$C:$C,U$83,Estratégia!$D:$D,$P90,Estratégia!$E:$E,"Hedge IPCA")*VLOOKUP($P90,$B$18:$M$26,12,0)</f>
        <v>-5095.1207011974184</v>
      </c>
      <c r="V90" s="16">
        <f ca="1">SUMIFS(Estratégia!$F:$F,Estratégia!$C:$C,V$83,Estratégia!$D:$D,$P90,Estratégia!$E:$E,"Hedge IPCA")*VLOOKUP($P90,$B$18:$M$26,12,0)</f>
        <v>0</v>
      </c>
      <c r="W90" s="16">
        <f ca="1">SUMIFS(Estratégia!$F:$F,Estratégia!$C:$C,W$83,Estratégia!$D:$D,$P90,Estratégia!$E:$E,"Hedge IPCA")*VLOOKUP($P90,$B$18:$M$26,12,0)</f>
        <v>0</v>
      </c>
      <c r="X90" s="16">
        <f ca="1">SUMIFS(Estratégia!$F:$F,Estratégia!$C:$C,X$83,Estratégia!$D:$D,$P90,Estratégia!$E:$E,"Hedge IPCA")*VLOOKUP($P90,$B$18:$M$26,12,0)</f>
        <v>0</v>
      </c>
      <c r="Y90" s="16">
        <f ca="1">SUMIFS(Estratégia!$F:$F,Estratégia!$C:$C,Y$83,Estratégia!$D:$D,$P90,Estratégia!$E:$E,"Hedge IPCA")*VLOOKUP($P90,$B$18:$M$26,12,0)</f>
        <v>0</v>
      </c>
      <c r="Z90" s="16">
        <f ca="1">SUMIFS(Estratégia!$F:$F,Estratégia!$C:$C,Z$83,Estratégia!$D:$D,$P90,Estratégia!$E:$E,"Hedge IPCA")*VLOOKUP($P90,$B$18:$M$26,12,0)</f>
        <v>-1203.014610004946</v>
      </c>
      <c r="AA90" s="16">
        <f ca="1">SUMIFS(Estratégia!$F:$F,Estratégia!$C:$C,AA$83,Estratégia!$D:$D,$P90,Estratégia!$E:$E,"Hedge IPCA")*VLOOKUP($P90,$B$18:$M$26,12,0)</f>
        <v>0</v>
      </c>
      <c r="AB90" s="16">
        <f ca="1">SUMIFS(Estratégia!$F:$F,Estratégia!$C:$C,AB$83,Estratégia!$D:$D,$P90,Estratégia!$E:$E,"Hedge IPCA")*VLOOKUP($P90,$B$18:$M$26,12,0)</f>
        <v>0</v>
      </c>
      <c r="AC90" s="55">
        <f t="shared" ref="AC90" ca="1" si="41">SUM(Q90:AB90)</f>
        <v>-6298.1353112023644</v>
      </c>
      <c r="AH90" s="42">
        <f t="shared" ca="1" si="29"/>
        <v>45801</v>
      </c>
      <c r="AI90" s="43">
        <f ca="1">_xll.BInterpol('Base IPCA'!$C$3:$C$14,'Base IPCA'!$E$3:$E$14,AH90,"Cubic","Extrapolate=Linear","MultiX=Average","Skip=True","Sort=True")</f>
        <v>3.2715683617253926</v>
      </c>
      <c r="AJ90" s="43">
        <f ca="1">_xll.BInterpol('Base IPCA'!$C$3:$C$14,'Base IPCA'!$D$3:$D$14,AH90,"Cubic","Extrapolate=Linear","MultiX=Average","Skip=True","Sort=True")</f>
        <v>3.4008570101374769</v>
      </c>
    </row>
    <row r="91" spans="14:36" x14ac:dyDescent="0.25">
      <c r="P91" s="52" t="s">
        <v>183</v>
      </c>
      <c r="Q91" s="16">
        <f ca="1">SUMIFS(Estratégia!$F:$F,Estratégia!$C:$C,Q$83,Estratégia!$D:$D,$P91,Estratégia!$E:$E,"Hedge IPCA")*VLOOKUP($P91,$B$18:$M$26,12,0)</f>
        <v>0</v>
      </c>
      <c r="R91" s="16">
        <f ca="1">SUMIFS(Estratégia!$F:$F,Estratégia!$C:$C,R$83,Estratégia!$D:$D,$P91,Estratégia!$E:$E,"Hedge IPCA")*VLOOKUP($P91,$B$18:$M$26,12,0)</f>
        <v>0</v>
      </c>
      <c r="S91" s="16">
        <f ca="1">SUMIFS(Estratégia!$F:$F,Estratégia!$C:$C,S$83,Estratégia!$D:$D,$P91,Estratégia!$E:$E,"Hedge IPCA")*VLOOKUP($P91,$B$18:$M$26,12,0)</f>
        <v>0</v>
      </c>
      <c r="T91" s="16">
        <f ca="1">SUMIFS(Estratégia!$F:$F,Estratégia!$C:$C,T$83,Estratégia!$D:$D,$P91,Estratégia!$E:$E,"Hedge IPCA")*VLOOKUP($P91,$B$18:$M$26,12,0)</f>
        <v>0</v>
      </c>
      <c r="U91" s="16">
        <f ca="1">SUMIFS(Estratégia!$F:$F,Estratégia!$C:$C,U$83,Estratégia!$D:$D,$P91,Estratégia!$E:$E,"Hedge IPCA")*VLOOKUP($P91,$B$18:$M$26,12,0)</f>
        <v>-3563.7215609225677</v>
      </c>
      <c r="V91" s="16">
        <f ca="1">SUMIFS(Estratégia!$F:$F,Estratégia!$C:$C,V$83,Estratégia!$D:$D,$P91,Estratégia!$E:$E,"Hedge IPCA")*VLOOKUP($P91,$B$18:$M$26,12,0)</f>
        <v>0</v>
      </c>
      <c r="W91" s="16">
        <f ca="1">SUMIFS(Estratégia!$F:$F,Estratégia!$C:$C,W$83,Estratégia!$D:$D,$P91,Estratégia!$E:$E,"Hedge IPCA")*VLOOKUP($P91,$B$18:$M$26,12,0)</f>
        <v>0</v>
      </c>
      <c r="X91" s="16">
        <f ca="1">SUMIFS(Estratégia!$F:$F,Estratégia!$C:$C,X$83,Estratégia!$D:$D,$P91,Estratégia!$E:$E,"Hedge IPCA")*VLOOKUP($P91,$B$18:$M$26,12,0)</f>
        <v>0</v>
      </c>
      <c r="Y91" s="16">
        <f ca="1">SUMIFS(Estratégia!$F:$F,Estratégia!$C:$C,Y$83,Estratégia!$D:$D,$P91,Estratégia!$E:$E,"Hedge IPCA")*VLOOKUP($P91,$B$18:$M$26,12,0)</f>
        <v>0</v>
      </c>
      <c r="Z91" s="16">
        <f ca="1">SUMIFS(Estratégia!$F:$F,Estratégia!$C:$C,Z$83,Estratégia!$D:$D,$P91,Estratégia!$E:$E,"Hedge IPCA")*VLOOKUP($P91,$B$18:$M$26,12,0)</f>
        <v>-791.9381246494595</v>
      </c>
      <c r="AA91" s="16">
        <f ca="1">SUMIFS(Estratégia!$F:$F,Estratégia!$C:$C,AA$83,Estratégia!$D:$D,$P91,Estratégia!$E:$E,"Hedge IPCA")*VLOOKUP($P91,$B$18:$M$26,12,0)</f>
        <v>0</v>
      </c>
      <c r="AB91" s="16">
        <f ca="1">SUMIFS(Estratégia!$F:$F,Estratégia!$C:$C,AB$83,Estratégia!$D:$D,$P91,Estratégia!$E:$E,"Hedge IPCA")*VLOOKUP($P91,$B$18:$M$26,12,0)</f>
        <v>0</v>
      </c>
      <c r="AC91" s="55">
        <f t="shared" ca="1" si="39"/>
        <v>-4355.6596855720272</v>
      </c>
      <c r="AH91" s="42">
        <f t="shared" ca="1" si="29"/>
        <v>45802</v>
      </c>
      <c r="AI91" s="43">
        <f ca="1">_xll.BInterpol('Base IPCA'!$C$3:$C$14,'Base IPCA'!$E$3:$E$14,AH91,"Cubic","Extrapolate=Linear","MultiX=Average","Skip=True","Sort=True")</f>
        <v>3.285772456129751</v>
      </c>
      <c r="AJ91" s="43">
        <f ca="1">_xll.BInterpol('Base IPCA'!$C$3:$C$14,'Base IPCA'!$D$3:$D$14,AH91,"Cubic","Extrapolate=Linear","MultiX=Average","Skip=True","Sort=True")</f>
        <v>3.4148598712870148</v>
      </c>
    </row>
    <row r="92" spans="14:36" ht="15.75" thickBot="1" x14ac:dyDescent="0.3">
      <c r="P92" s="53" t="s">
        <v>184</v>
      </c>
      <c r="Q92" s="16">
        <f ca="1">SUMIFS(Estratégia!$F:$F,Estratégia!$C:$C,Q$83,Estratégia!$D:$D,$P92,Estratégia!$E:$E,"Hedge IPCA")*VLOOKUP($P92,$B$18:$M$26,12,0)</f>
        <v>0</v>
      </c>
      <c r="R92" s="16">
        <f ca="1">SUMIFS(Estratégia!$F:$F,Estratégia!$C:$C,R$83,Estratégia!$D:$D,$P92,Estratégia!$E:$E,"Hedge IPCA")*VLOOKUP($P92,$B$18:$M$26,12,0)</f>
        <v>0</v>
      </c>
      <c r="S92" s="16">
        <f ca="1">SUMIFS(Estratégia!$F:$F,Estratégia!$C:$C,S$83,Estratégia!$D:$D,$P92,Estratégia!$E:$E,"Hedge IPCA")*VLOOKUP($P92,$B$18:$M$26,12,0)</f>
        <v>0</v>
      </c>
      <c r="T92" s="16">
        <f ca="1">SUMIFS(Estratégia!$F:$F,Estratégia!$C:$C,T$83,Estratégia!$D:$D,$P92,Estratégia!$E:$E,"Hedge IPCA")*VLOOKUP($P92,$B$18:$M$26,12,0)</f>
        <v>0</v>
      </c>
      <c r="U92" s="16">
        <f ca="1">SUMIFS(Estratégia!$F:$F,Estratégia!$C:$C,U$83,Estratégia!$D:$D,$P92,Estratégia!$E:$E,"Hedge IPCA")*VLOOKUP($P92,$B$18:$M$26,12,0)</f>
        <v>-8824.7303499347545</v>
      </c>
      <c r="V92" s="16">
        <f ca="1">SUMIFS(Estratégia!$F:$F,Estratégia!$C:$C,V$83,Estratégia!$D:$D,$P92,Estratégia!$E:$E,"Hedge IPCA")*VLOOKUP($P92,$B$18:$M$26,12,0)</f>
        <v>0</v>
      </c>
      <c r="W92" s="16">
        <f ca="1">SUMIFS(Estratégia!$F:$F,Estratégia!$C:$C,W$83,Estratégia!$D:$D,$P92,Estratégia!$E:$E,"Hedge IPCA")*VLOOKUP($P92,$B$18:$M$26,12,0)</f>
        <v>0</v>
      </c>
      <c r="X92" s="16">
        <f ca="1">SUMIFS(Estratégia!$F:$F,Estratégia!$C:$C,X$83,Estratégia!$D:$D,$P92,Estratégia!$E:$E,"Hedge IPCA")*VLOOKUP($P92,$B$18:$M$26,12,0)</f>
        <v>0</v>
      </c>
      <c r="Y92" s="16">
        <f ca="1">SUMIFS(Estratégia!$F:$F,Estratégia!$C:$C,Y$83,Estratégia!$D:$D,$P92,Estratégia!$E:$E,"Hedge IPCA")*VLOOKUP($P92,$B$18:$M$26,12,0)</f>
        <v>0</v>
      </c>
      <c r="Z92" s="16">
        <f ca="1">SUMIFS(Estratégia!$F:$F,Estratégia!$C:$C,Z$83,Estratégia!$D:$D,$P92,Estratégia!$E:$E,"Hedge IPCA")*VLOOKUP($P92,$B$18:$M$26,12,0)</f>
        <v>-494.84469251970586</v>
      </c>
      <c r="AA92" s="16">
        <f ca="1">SUMIFS(Estratégia!$F:$F,Estratégia!$C:$C,AA$83,Estratégia!$D:$D,$P92,Estratégia!$E:$E,"Hedge IPCA")*VLOOKUP($P92,$B$18:$M$26,12,0)</f>
        <v>0</v>
      </c>
      <c r="AB92" s="16">
        <f ca="1">SUMIFS(Estratégia!$F:$F,Estratégia!$C:$C,AB$83,Estratégia!$D:$D,$P92,Estratégia!$E:$E,"Hedge IPCA")*VLOOKUP($P92,$B$18:$M$26,12,0)</f>
        <v>0</v>
      </c>
      <c r="AC92" s="56">
        <f t="shared" ca="1" si="39"/>
        <v>-9319.5750424544603</v>
      </c>
      <c r="AH92" s="42">
        <f t="shared" ca="1" si="29"/>
        <v>45803</v>
      </c>
      <c r="AI92" s="43">
        <f ca="1">_xll.BInterpol('Base IPCA'!$C$3:$C$14,'Base IPCA'!$E$3:$E$14,AH92,"Cubic","Extrapolate=Linear","MultiX=Average","Skip=True","Sort=True")</f>
        <v>3.2999754448468757</v>
      </c>
      <c r="AJ92" s="43">
        <f ca="1">_xll.BInterpol('Base IPCA'!$C$3:$C$14,'Base IPCA'!$D$3:$D$14,AH92,"Cubic","Extrapolate=Linear","MultiX=Average","Skip=True","Sort=True")</f>
        <v>3.4288616356017587</v>
      </c>
    </row>
    <row r="93" spans="14:36" ht="15.75" thickBot="1" x14ac:dyDescent="0.3">
      <c r="Q93" s="66">
        <f t="shared" ref="Q93:AC93" ca="1" si="42">SUM(Q84:Q92)</f>
        <v>-1356.1155850416835</v>
      </c>
      <c r="R93" s="67">
        <f t="shared" ca="1" si="42"/>
        <v>-1156.4283745690482</v>
      </c>
      <c r="S93" s="67">
        <f t="shared" ca="1" si="42"/>
        <v>-1402.9392678500735</v>
      </c>
      <c r="T93" s="67">
        <f t="shared" ca="1" si="42"/>
        <v>0</v>
      </c>
      <c r="U93" s="67">
        <f t="shared" ca="1" si="42"/>
        <v>-41531.271936545854</v>
      </c>
      <c r="V93" s="67">
        <f t="shared" ca="1" si="42"/>
        <v>-189.38229450464132</v>
      </c>
      <c r="W93" s="67">
        <f t="shared" ca="1" si="42"/>
        <v>0</v>
      </c>
      <c r="X93" s="67">
        <f t="shared" ca="1" si="42"/>
        <v>-282.62211373454193</v>
      </c>
      <c r="Y93" s="67">
        <f t="shared" ca="1" si="42"/>
        <v>0</v>
      </c>
      <c r="Z93" s="67">
        <f t="shared" ca="1" si="42"/>
        <v>-8638.3100815531798</v>
      </c>
      <c r="AA93" s="67">
        <f t="shared" ca="1" si="42"/>
        <v>-44.285957252577646</v>
      </c>
      <c r="AB93" s="68">
        <f t="shared" ca="1" si="42"/>
        <v>-330.0089900176099</v>
      </c>
      <c r="AC93" s="65">
        <f t="shared" ca="1" si="42"/>
        <v>-54931.36460106921</v>
      </c>
      <c r="AH93" s="42">
        <f t="shared" ca="1" si="29"/>
        <v>45804</v>
      </c>
      <c r="AI93" s="43">
        <f ca="1">_xll.BInterpol('Base IPCA'!$C$3:$C$14,'Base IPCA'!$E$3:$E$14,AH93,"Cubic","Extrapolate=Linear","MultiX=Average","Skip=True","Sort=True")</f>
        <v>3.3141772173080426</v>
      </c>
      <c r="AJ93" s="43">
        <f ca="1">_xll.BInterpol('Base IPCA'!$C$3:$C$14,'Base IPCA'!$D$3:$D$14,AH93,"Cubic","Extrapolate=Linear","MultiX=Average","Skip=True","Sort=True")</f>
        <v>3.4428621933982289</v>
      </c>
    </row>
    <row r="94" spans="14:36" ht="15.75" thickBot="1" x14ac:dyDescent="0.3">
      <c r="Q94" s="3">
        <f t="shared" ref="Q94:AB94" ca="1" si="43">+IFERROR(Q93/Q81,0)</f>
        <v>-0.9871739231687231</v>
      </c>
      <c r="R94" s="3">
        <f t="shared" ca="1" si="43"/>
        <v>-0.93099897779364027</v>
      </c>
      <c r="S94" s="3">
        <f t="shared" ca="1" si="43"/>
        <v>-0.52284253139550763</v>
      </c>
      <c r="T94" s="3">
        <f t="shared" ca="1" si="43"/>
        <v>0</v>
      </c>
      <c r="U94" s="3">
        <f t="shared" ca="1" si="43"/>
        <v>-1.0624478471582302</v>
      </c>
      <c r="V94" s="3">
        <f t="shared" ca="1" si="43"/>
        <v>-0.37009522663115474</v>
      </c>
      <c r="W94" s="3">
        <f t="shared" ca="1" si="43"/>
        <v>0</v>
      </c>
      <c r="X94" s="3">
        <f t="shared" ca="1" si="43"/>
        <v>-0.17264465708209736</v>
      </c>
      <c r="Y94" s="3">
        <f t="shared" ca="1" si="43"/>
        <v>0</v>
      </c>
      <c r="Z94" s="3">
        <f t="shared" ca="1" si="43"/>
        <v>-0.74469328958765268</v>
      </c>
      <c r="AA94" s="3">
        <f t="shared" ca="1" si="43"/>
        <v>-0.70854199189424416</v>
      </c>
      <c r="AB94" s="3">
        <f t="shared" ca="1" si="43"/>
        <v>-0.77947474357094015</v>
      </c>
      <c r="AH94" s="42">
        <f t="shared" ca="1" si="29"/>
        <v>45805</v>
      </c>
      <c r="AI94" s="43">
        <f ca="1">_xll.BInterpol('Base IPCA'!$C$3:$C$14,'Base IPCA'!$E$3:$E$14,AH94,"Cubic","Extrapolate=Linear","MultiX=Average","Skip=True","Sort=True")</f>
        <v>3.3283776629445292</v>
      </c>
      <c r="AJ94" s="43">
        <f ca="1">_xll.BInterpol('Base IPCA'!$C$3:$C$14,'Base IPCA'!$D$3:$D$14,AH94,"Cubic","Extrapolate=Linear","MultiX=Average","Skip=True","Sort=True")</f>
        <v>3.4568614349929461</v>
      </c>
    </row>
    <row r="95" spans="14:36" ht="15.75" thickBot="1" x14ac:dyDescent="0.3">
      <c r="P95" s="69" t="s">
        <v>227</v>
      </c>
      <c r="Q95" s="63">
        <f t="shared" ref="Q95:AB95" ca="1" si="44">+Q93+Q81</f>
        <v>17.61963345831191</v>
      </c>
      <c r="R95" s="64">
        <f t="shared" ca="1" si="44"/>
        <v>85.708729930947584</v>
      </c>
      <c r="S95" s="64">
        <f t="shared" ca="1" si="44"/>
        <v>1280.352896820461</v>
      </c>
      <c r="T95" s="64">
        <f t="shared" ca="1" si="44"/>
        <v>0</v>
      </c>
      <c r="U95" s="64">
        <f t="shared" ca="1" si="44"/>
        <v>-2441.0972539662471</v>
      </c>
      <c r="V95" s="64">
        <f t="shared" ca="1" si="44"/>
        <v>322.33004566391753</v>
      </c>
      <c r="W95" s="64">
        <f t="shared" ca="1" si="44"/>
        <v>2859.6357384999246</v>
      </c>
      <c r="X95" s="64">
        <f t="shared" ca="1" si="44"/>
        <v>1354.3941629993926</v>
      </c>
      <c r="Y95" s="64">
        <f t="shared" ca="1" si="44"/>
        <v>0</v>
      </c>
      <c r="Z95" s="64">
        <f t="shared" ca="1" si="44"/>
        <v>2961.512559975301</v>
      </c>
      <c r="AA95" s="64">
        <f t="shared" ca="1" si="44"/>
        <v>18.216982247425477</v>
      </c>
      <c r="AB95" s="57">
        <f t="shared" ca="1" si="44"/>
        <v>93.3645608761218</v>
      </c>
      <c r="AC95" s="65">
        <f ca="1">SUM(Q95:AB95)</f>
        <v>6552.0380565055557</v>
      </c>
      <c r="AH95" s="42">
        <f t="shared" ca="1" si="29"/>
        <v>45806</v>
      </c>
      <c r="AI95" s="43">
        <f ca="1">_xll.BInterpol('Base IPCA'!$C$3:$C$14,'Base IPCA'!$E$3:$E$14,AH95,"Cubic","Extrapolate=Linear","MultiX=Average","Skip=True","Sort=True")</f>
        <v>3.3425766711876115</v>
      </c>
      <c r="AJ95" s="43">
        <f ca="1">_xll.BInterpol('Base IPCA'!$C$3:$C$14,'Base IPCA'!$D$3:$D$14,AH95,"Cubic","Extrapolate=Linear","MultiX=Average","Skip=True","Sort=True")</f>
        <v>3.4708592507024307</v>
      </c>
    </row>
    <row r="96" spans="14:36" ht="15.75" thickBot="1" x14ac:dyDescent="0.3">
      <c r="AH96" s="42">
        <f t="shared" ca="1" si="29"/>
        <v>45807</v>
      </c>
      <c r="AI96" s="43">
        <f ca="1">_xll.BInterpol('Base IPCA'!$C$3:$C$14,'Base IPCA'!$E$3:$E$14,AH96,"Cubic","Extrapolate=Linear","MultiX=Average","Skip=True","Sort=True")</f>
        <v>3.3567741314685664</v>
      </c>
      <c r="AJ96" s="43">
        <f ca="1">_xll.BInterpol('Base IPCA'!$C$3:$C$14,'Base IPCA'!$D$3:$D$14,AH96,"Cubic","Extrapolate=Linear","MultiX=Average","Skip=True","Sort=True")</f>
        <v>3.4848555308432037</v>
      </c>
    </row>
    <row r="97" spans="14:36" ht="15.75" thickBot="1" x14ac:dyDescent="0.3">
      <c r="P97" s="69"/>
      <c r="Q97" s="48" t="str">
        <f t="shared" ref="Q97:AA97" si="45">Q$2</f>
        <v>FIRF GERAES</v>
      </c>
      <c r="R97" s="49" t="str">
        <f t="shared" si="45"/>
        <v>FIRF GERAES 30</v>
      </c>
      <c r="S97" s="49" t="str">
        <f t="shared" si="45"/>
        <v>HORIZONTE</v>
      </c>
      <c r="T97" s="49" t="str">
        <f t="shared" si="45"/>
        <v>MANACA INFRA FIRF</v>
      </c>
      <c r="U97" s="49" t="str">
        <f t="shared" si="45"/>
        <v>BH FIRF INFRA</v>
      </c>
      <c r="V97" s="49" t="str">
        <f t="shared" si="45"/>
        <v>REAL FIM</v>
      </c>
      <c r="W97" s="49" t="str">
        <f>W$2</f>
        <v>RIO INFRA</v>
      </c>
      <c r="X97" s="49" t="str">
        <f t="shared" si="45"/>
        <v>JERA2026</v>
      </c>
      <c r="Y97" s="49" t="str">
        <f t="shared" si="45"/>
        <v>SANTANA</v>
      </c>
      <c r="Z97" s="49" t="str">
        <f t="shared" si="45"/>
        <v>BORDEAUX INFRA</v>
      </c>
      <c r="AA97" s="49" t="str">
        <f t="shared" si="45"/>
        <v>AF INVEST GERAES PREV</v>
      </c>
      <c r="AB97" s="50" t="str">
        <f>AB$2</f>
        <v>TOPAZIO INFRA</v>
      </c>
      <c r="AC97" s="45" t="s">
        <v>159</v>
      </c>
      <c r="AH97" s="42">
        <f t="shared" ca="1" si="29"/>
        <v>45808</v>
      </c>
      <c r="AI97" s="43">
        <f ca="1">_xll.BInterpol('Base IPCA'!$C$3:$C$14,'Base IPCA'!$E$3:$E$14,AH97,"Cubic","Extrapolate=Linear","MultiX=Average","Skip=True","Sort=True")</f>
        <v>3.3709699332186709</v>
      </c>
      <c r="AJ97" s="43">
        <f ca="1">_xll.BInterpol('Base IPCA'!$C$3:$C$14,'Base IPCA'!$D$3:$D$14,AH97,"Cubic","Extrapolate=Linear","MultiX=Average","Skip=True","Sort=True")</f>
        <v>3.4988501657317856</v>
      </c>
    </row>
    <row r="98" spans="14:36" ht="15.75" thickBot="1" x14ac:dyDescent="0.3">
      <c r="P98" s="45" t="s">
        <v>217</v>
      </c>
      <c r="Q98" s="67">
        <f t="shared" ref="Q98:AB98" ca="1" si="46">+Q81+Q93</f>
        <v>17.61963345831191</v>
      </c>
      <c r="R98" s="67">
        <f t="shared" ca="1" si="46"/>
        <v>85.708729930947584</v>
      </c>
      <c r="S98" s="67">
        <f t="shared" ca="1" si="46"/>
        <v>1280.352896820461</v>
      </c>
      <c r="T98" s="67">
        <f t="shared" ca="1" si="46"/>
        <v>0</v>
      </c>
      <c r="U98" s="67">
        <f t="shared" ca="1" si="46"/>
        <v>-2441.0972539662471</v>
      </c>
      <c r="V98" s="67">
        <f t="shared" ca="1" si="46"/>
        <v>322.33004566391753</v>
      </c>
      <c r="W98" s="67">
        <f t="shared" ca="1" si="46"/>
        <v>2859.6357384999246</v>
      </c>
      <c r="X98" s="67">
        <f t="shared" ca="1" si="46"/>
        <v>1354.3941629993926</v>
      </c>
      <c r="Y98" s="67">
        <f t="shared" ca="1" si="46"/>
        <v>0</v>
      </c>
      <c r="Z98" s="67">
        <f t="shared" ca="1" si="46"/>
        <v>2961.512559975301</v>
      </c>
      <c r="AA98" s="67">
        <f t="shared" ca="1" si="46"/>
        <v>18.216982247425477</v>
      </c>
      <c r="AB98" s="67">
        <f t="shared" ca="1" si="46"/>
        <v>93.3645608761218</v>
      </c>
      <c r="AC98" s="65">
        <f ca="1">SUM(Q98:AB98)</f>
        <v>6552.0380565055557</v>
      </c>
      <c r="AH98" s="42">
        <f t="shared" ca="1" si="29"/>
        <v>45809</v>
      </c>
      <c r="AI98" s="43">
        <f ca="1">_xll.BInterpol('Base IPCA'!$C$3:$C$14,'Base IPCA'!$E$3:$E$14,AH98,"Cubic","Extrapolate=Linear","MultiX=Average","Skip=True","Sort=True")</f>
        <v>3.3851639658692005</v>
      </c>
      <c r="AJ98" s="43">
        <f ca="1">_xll.BInterpol('Base IPCA'!$C$3:$C$14,'Base IPCA'!$D$3:$D$14,AH98,"Cubic","Extrapolate=Linear","MultiX=Average","Skip=True","Sort=True")</f>
        <v>3.5128430456846962</v>
      </c>
    </row>
    <row r="99" spans="14:36" x14ac:dyDescent="0.25">
      <c r="O99" s="12"/>
      <c r="P99" s="2" t="s">
        <v>78</v>
      </c>
      <c r="Q99" s="3">
        <f ca="1">Q98/VLOOKUP(Q83,'Base CDI'!$A:$D,4,0)</f>
        <v>6.9134573161246348E-5</v>
      </c>
      <c r="R99" s="3">
        <f ca="1">R98/VLOOKUP(R83,'Base CDI'!$A:$D,4,0)</f>
        <v>6.2782711957663057E-4</v>
      </c>
      <c r="S99" s="3">
        <f ca="1">S98/VLOOKUP(S83,'Base CDI'!$A:$D,4,0)</f>
        <v>1.065333954861874E-2</v>
      </c>
      <c r="T99" s="3">
        <f ca="1">T98/VLOOKUP(T83,'Base CDI'!$A:$D,4,0)</f>
        <v>0</v>
      </c>
      <c r="U99" s="3">
        <f ca="1">U98/VLOOKUP(U83,'Base CDI'!$A:$D,4,0)</f>
        <v>-5.0624272816561011E-2</v>
      </c>
      <c r="V99" s="3">
        <f ca="1">V98/VLOOKUP(V83,'Base CDI'!$A:$D,4,0)</f>
        <v>1.7660635955537275E-2</v>
      </c>
      <c r="W99" s="3" t="e">
        <f ca="1">W98/VLOOKUP(W83,'Base CDI'!$A:$D,4,0)</f>
        <v>#N/A</v>
      </c>
      <c r="X99" s="3">
        <f ca="1">X98/VLOOKUP(X83,'Base CDI'!$A:$D,4,0)</f>
        <v>1.4140449441392776E-2</v>
      </c>
      <c r="Y99" s="3">
        <f ca="1">Y98/VLOOKUP(Y83,'Base CDI'!$A:$D,4,0)</f>
        <v>0</v>
      </c>
      <c r="Z99" s="3">
        <f ca="1">Z98/VLOOKUP(Z83,'Base CDI'!$A:$D,4,0)</f>
        <v>0.13066381568120872</v>
      </c>
      <c r="AA99" s="3">
        <f ca="1">AA98/VLOOKUP(AA83,'Base CDI'!$A:$D,4,0)</f>
        <v>8.5974076657798892E-3</v>
      </c>
      <c r="AB99" s="3">
        <f ca="1">AB98/VLOOKUP(AB83,'Base CDI'!$A:$D,4,0)</f>
        <v>6.1030406654923545E-3</v>
      </c>
      <c r="AH99" s="42">
        <f t="shared" ca="1" si="29"/>
        <v>45810</v>
      </c>
      <c r="AI99" s="43">
        <f ca="1">_xll.BInterpol('Base IPCA'!$C$3:$C$14,'Base IPCA'!$E$3:$E$14,AH99,"Cubic","Extrapolate=Linear","MultiX=Average","Skip=True","Sort=True")</f>
        <v>3.6457288061602933</v>
      </c>
      <c r="AJ99" s="43">
        <f ca="1">_xll.BInterpol('Base IPCA'!$C$3:$C$14,'Base IPCA'!$D$3:$D$14,AH99,"Cubic","Extrapolate=Linear","MultiX=Average","Skip=True","Sort=True")</f>
        <v>3.526834061018457</v>
      </c>
    </row>
    <row r="100" spans="14:36" x14ac:dyDescent="0.25">
      <c r="P100" s="34" t="s">
        <v>218</v>
      </c>
      <c r="Q100" s="70">
        <f ca="1">+(Q98/VLOOKUP(Q97,'Base CDI'!$A:$D,3,0))</f>
        <v>3.3901859482895203E-8</v>
      </c>
      <c r="R100" s="70">
        <f ca="1">+(R98/VLOOKUP(R97,'Base CDI'!$A:$D,3,0))</f>
        <v>3.078706617280293E-7</v>
      </c>
      <c r="S100" s="70">
        <f ca="1">+(S98/VLOOKUP(S97,'Base CDI'!$A:$D,3,0))</f>
        <v>5.224130328518421E-6</v>
      </c>
      <c r="T100" s="70">
        <f ca="1">+(T98/VLOOKUP(T97,'Base CDI'!$A:$D,3,0))</f>
        <v>0</v>
      </c>
      <c r="U100" s="70">
        <f ca="1">+(U98/VLOOKUP(U97,'Base CDI'!$A:$D,3,0))</f>
        <v>-2.4824872780336442E-5</v>
      </c>
      <c r="V100" s="70">
        <f ca="1">+(V98/VLOOKUP(V97,'Base CDI'!$A:$D,3,0))</f>
        <v>8.6603326116839433E-6</v>
      </c>
      <c r="W100" s="70" t="e">
        <f ca="1">+(W98/VLOOKUP(W97,'Base CDI'!$A:$D,3,0))</f>
        <v>#N/A</v>
      </c>
      <c r="X100" s="70">
        <f ca="1">+(X98/VLOOKUP(X97,'Base CDI'!$A:$D,3,0))</f>
        <v>6.9341214976330298E-6</v>
      </c>
      <c r="Y100" s="70">
        <f ca="1">+(Y98/VLOOKUP(Y97,'Base CDI'!$A:$D,3,0))</f>
        <v>0</v>
      </c>
      <c r="Z100" s="70">
        <f ca="1">+(Z98/VLOOKUP(Z97,'Base CDI'!$A:$D,3,0))</f>
        <v>6.4074255704038506E-5</v>
      </c>
      <c r="AA100" s="70">
        <f ca="1">+(AA98/VLOOKUP(AA97,'Base CDI'!$A:$D,3,0))</f>
        <v>4.2159529346138987E-6</v>
      </c>
      <c r="AB100" s="70">
        <f ca="1">+(AB98/VLOOKUP(AB97,'Base CDI'!$A:$D,3,0))</f>
        <v>2.9927779633113885E-6</v>
      </c>
      <c r="AH100" s="42">
        <f t="shared" ca="1" si="29"/>
        <v>45811</v>
      </c>
      <c r="AI100" s="43">
        <f ca="1">_xll.BInterpol('Base IPCA'!$C$3:$C$14,'Base IPCA'!$E$3:$E$14,AH100,"Cubic","Extrapolate=Linear","MultiX=Average","Skip=True","Sort=True")</f>
        <v>3.4135462815966435</v>
      </c>
      <c r="AJ100" s="43">
        <f ca="1">_xll.BInterpol('Base IPCA'!$C$3:$C$14,'Base IPCA'!$D$3:$D$14,AH100,"Cubic","Extrapolate=Linear","MultiX=Average","Skip=True","Sort=True")</f>
        <v>3.7338792173307094</v>
      </c>
    </row>
    <row r="101" spans="14:36" x14ac:dyDescent="0.25">
      <c r="Q101" s="144"/>
      <c r="R101" s="144"/>
      <c r="S101" s="144"/>
      <c r="T101" s="144"/>
      <c r="U101" s="213"/>
      <c r="V101" s="144"/>
      <c r="W101" s="144"/>
      <c r="X101" s="144"/>
      <c r="Y101" s="144"/>
      <c r="Z101" s="167"/>
      <c r="AA101" s="144"/>
      <c r="AB101" s="167"/>
      <c r="AH101" s="42">
        <f t="shared" ca="1" si="29"/>
        <v>45812</v>
      </c>
      <c r="AI101" s="43">
        <f ca="1">_xll.BInterpol('Base IPCA'!$C$3:$C$14,'Base IPCA'!$E$3:$E$14,AH101,"Cubic","Extrapolate=Linear","MultiX=Average","Skip=True","Sort=True")</f>
        <v>3.4277343435361103</v>
      </c>
      <c r="AJ101" s="43">
        <f ca="1">_xll.BInterpol('Base IPCA'!$C$3:$C$14,'Base IPCA'!$D$3:$D$14,AH101,"Cubic","Extrapolate=Linear","MultiX=Average","Skip=True","Sort=True")</f>
        <v>3.5548100590946108</v>
      </c>
    </row>
    <row r="102" spans="14:36" x14ac:dyDescent="0.25"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H102" s="42">
        <f t="shared" ca="1" si="29"/>
        <v>45813</v>
      </c>
      <c r="AI102" s="43">
        <f ca="1">_xll.BInterpol('Base IPCA'!$C$3:$C$14,'Base IPCA'!$E$3:$E$14,AH102,"Cubic","Extrapolate=Linear","MultiX=Average","Skip=True","Sort=True")</f>
        <v>3.4419201941011091</v>
      </c>
      <c r="AJ102" s="43">
        <f ca="1">_xll.BInterpol('Base IPCA'!$C$3:$C$14,'Base IPCA'!$D$3:$D$14,AH102,"Cubic","Extrapolate=Linear","MultiX=Average","Skip=True","Sort=True")</f>
        <v>3.5687948224700445</v>
      </c>
    </row>
    <row r="103" spans="14:36" x14ac:dyDescent="0.25">
      <c r="Q103" s="5"/>
      <c r="R103" s="144"/>
      <c r="S103" s="5"/>
      <c r="U103" s="167"/>
      <c r="AH103" s="42">
        <f t="shared" ca="1" si="29"/>
        <v>45814</v>
      </c>
      <c r="AI103" s="43">
        <f ca="1">_xll.BInterpol('Base IPCA'!$C$3:$C$14,'Base IPCA'!$E$3:$E$14,AH103,"Cubic","Extrapolate=Linear","MultiX=Average","Skip=True","Sort=True")</f>
        <v>3.700516621365066</v>
      </c>
      <c r="AJ103" s="43">
        <f ca="1">_xll.BInterpol('Base IPCA'!$C$3:$C$14,'Base IPCA'!$D$3:$D$14,AH103,"Cubic","Extrapolate=Linear","MultiX=Average","Skip=True","Sort=True")</f>
        <v>3.5827772824924105</v>
      </c>
    </row>
    <row r="104" spans="14:36" x14ac:dyDescent="0.25">
      <c r="Q104" s="5"/>
      <c r="R104" s="5"/>
      <c r="AH104" s="42">
        <f t="shared" ca="1" si="29"/>
        <v>45815</v>
      </c>
      <c r="AI104" s="43">
        <f ca="1">_xll.BInterpol('Base IPCA'!$C$3:$C$14,'Base IPCA'!$E$3:$E$14,AH104,"Cubic","Extrapolate=Linear","MultiX=Average","Skip=True","Sort=True")</f>
        <v>3.4702848188328095</v>
      </c>
      <c r="AJ104" s="43">
        <f ca="1">_xll.BInterpol('Base IPCA'!$C$3:$C$14,'Base IPCA'!$D$3:$D$14,AH104,"Cubic","Extrapolate=Linear","MultiX=Average","Skip=True","Sort=True")</f>
        <v>3.5967573294782293</v>
      </c>
    </row>
    <row r="105" spans="14:36" ht="15.75" thickBot="1" x14ac:dyDescent="0.3">
      <c r="P105" s="344" t="s">
        <v>412</v>
      </c>
      <c r="Q105" s="344"/>
      <c r="R105" s="344"/>
      <c r="S105" s="344"/>
      <c r="T105" s="344"/>
      <c r="U105" s="344"/>
      <c r="V105" s="344"/>
      <c r="W105" s="344"/>
      <c r="X105" s="344"/>
      <c r="Y105" s="344"/>
      <c r="Z105" s="344"/>
      <c r="AA105" s="344"/>
      <c r="AB105" s="344"/>
      <c r="AC105" s="344"/>
      <c r="AH105" s="42">
        <f t="shared" ca="1" si="29"/>
        <v>45816</v>
      </c>
      <c r="AI105" s="43">
        <f ca="1">_xll.BInterpol('Base IPCA'!$C$3:$C$14,'Base IPCA'!$E$3:$E$14,AH105,"Cubic","Extrapolate=Linear","MultiX=Average","Skip=True","Sort=True")</f>
        <v>3.4844633718620646</v>
      </c>
      <c r="AJ105" s="43">
        <f ca="1">_xll.BInterpol('Base IPCA'!$C$3:$C$14,'Base IPCA'!$D$3:$D$14,AH105,"Cubic","Extrapolate=Linear","MultiX=Average","Skip=True","Sort=True")</f>
        <v>3.6107348537440216</v>
      </c>
    </row>
    <row r="106" spans="14:36" ht="15.75" thickBot="1" x14ac:dyDescent="0.3">
      <c r="P106" s="45" t="s">
        <v>413</v>
      </c>
      <c r="Q106" s="49" t="str">
        <f>Q97</f>
        <v>FIRF GERAES</v>
      </c>
      <c r="R106" s="49" t="str">
        <f>R97</f>
        <v>FIRF GERAES 30</v>
      </c>
      <c r="S106" s="49" t="str">
        <f t="shared" ref="S106:AA106" si="47">S97</f>
        <v>HORIZONTE</v>
      </c>
      <c r="T106" s="49" t="str">
        <f t="shared" si="47"/>
        <v>MANACA INFRA FIRF</v>
      </c>
      <c r="U106" s="49" t="str">
        <f t="shared" si="47"/>
        <v>BH FIRF INFRA</v>
      </c>
      <c r="V106" s="49" t="str">
        <f t="shared" si="47"/>
        <v>REAL FIM</v>
      </c>
      <c r="W106" s="49" t="str">
        <f t="shared" si="47"/>
        <v>RIO INFRA</v>
      </c>
      <c r="X106" s="49" t="str">
        <f t="shared" si="47"/>
        <v>JERA2026</v>
      </c>
      <c r="Y106" s="49" t="str">
        <f t="shared" si="47"/>
        <v>SANTANA</v>
      </c>
      <c r="Z106" s="49" t="str">
        <f>Z97</f>
        <v>BORDEAUX INFRA</v>
      </c>
      <c r="AA106" s="49" t="str">
        <f t="shared" si="47"/>
        <v>AF INVEST GERAES PREV</v>
      </c>
      <c r="AB106" s="49" t="str">
        <f>AB97</f>
        <v>TOPAZIO INFRA</v>
      </c>
      <c r="AC106" s="45" t="s">
        <v>159</v>
      </c>
      <c r="AH106" s="42">
        <f t="shared" ca="1" si="29"/>
        <v>45817</v>
      </c>
      <c r="AI106" s="43">
        <f ca="1">_xll.BInterpol('Base IPCA'!$C$3:$C$14,'Base IPCA'!$E$3:$E$14,AH106,"Cubic","Extrapolate=Linear","MultiX=Average","Skip=True","Sort=True")</f>
        <v>3.4986392712419576</v>
      </c>
      <c r="AJ106" s="43">
        <f ca="1">_xll.BInterpol('Base IPCA'!$C$3:$C$14,'Base IPCA'!$D$3:$D$14,AH106,"Cubic","Extrapolate=Linear","MultiX=Average","Skip=True","Sort=True")</f>
        <v>3.6247097456063075</v>
      </c>
    </row>
    <row r="107" spans="14:36" x14ac:dyDescent="0.25">
      <c r="P107" s="52" t="s">
        <v>177</v>
      </c>
      <c r="Q107" s="16">
        <f t="shared" ref="Q107:AB115" si="48">SUMIF($O$43:$O$80,$P107,Q$43:Q$80)</f>
        <v>172.53521849999538</v>
      </c>
      <c r="R107" s="16">
        <f t="shared" si="48"/>
        <v>157.09710449999579</v>
      </c>
      <c r="S107" s="16">
        <f t="shared" si="48"/>
        <v>408.25234799998907</v>
      </c>
      <c r="T107" s="16">
        <f t="shared" si="48"/>
        <v>0</v>
      </c>
      <c r="U107" s="16">
        <f t="shared" si="48"/>
        <v>0</v>
      </c>
      <c r="V107" s="16">
        <f t="shared" si="48"/>
        <v>24.586625999999342</v>
      </c>
      <c r="W107" s="16">
        <f t="shared" si="48"/>
        <v>0</v>
      </c>
      <c r="X107" s="16">
        <f t="shared" si="48"/>
        <v>272.31117749999271</v>
      </c>
      <c r="Y107" s="16">
        <f t="shared" si="48"/>
        <v>0</v>
      </c>
      <c r="Z107" s="16">
        <f t="shared" si="48"/>
        <v>0</v>
      </c>
      <c r="AA107" s="16">
        <f t="shared" si="48"/>
        <v>3.5736374999999043</v>
      </c>
      <c r="AB107" s="16">
        <f t="shared" si="48"/>
        <v>23.15717099999938</v>
      </c>
      <c r="AC107" s="55">
        <f t="shared" ref="AC107:AC115" si="49">SUM(Q107:AB107)</f>
        <v>1061.5132829999716</v>
      </c>
      <c r="AH107" s="42">
        <f t="shared" ca="1" si="29"/>
        <v>45818</v>
      </c>
      <c r="AI107" s="43">
        <f ca="1">_xll.BInterpol('Base IPCA'!$C$3:$C$14,'Base IPCA'!$E$3:$E$14,AH107,"Cubic","Extrapolate=Linear","MultiX=Average","Skip=True","Sort=True")</f>
        <v>3.5128124064037665</v>
      </c>
      <c r="AJ107" s="43">
        <f ca="1">_xll.BInterpol('Base IPCA'!$C$3:$C$14,'Base IPCA'!$D$3:$D$14,AH107,"Cubic","Extrapolate=Linear","MultiX=Average","Skip=True","Sort=True")</f>
        <v>3.6386818953816085</v>
      </c>
    </row>
    <row r="108" spans="14:36" x14ac:dyDescent="0.25">
      <c r="P108" s="52" t="s">
        <v>116</v>
      </c>
      <c r="Q108" s="16">
        <f t="shared" ca="1" si="48"/>
        <v>0</v>
      </c>
      <c r="R108" s="16">
        <f t="shared" ca="1" si="48"/>
        <v>0</v>
      </c>
      <c r="S108" s="16">
        <f t="shared" ca="1" si="48"/>
        <v>713.47981667054546</v>
      </c>
      <c r="T108" s="16">
        <f t="shared" ca="1" si="48"/>
        <v>0</v>
      </c>
      <c r="U108" s="16">
        <f t="shared" ca="1" si="48"/>
        <v>397.80851671020355</v>
      </c>
      <c r="V108" s="16">
        <f t="shared" ca="1" si="48"/>
        <v>250.49049236059813</v>
      </c>
      <c r="W108" s="16">
        <f t="shared" ca="1" si="48"/>
        <v>0</v>
      </c>
      <c r="X108" s="16">
        <f t="shared" ca="1" si="48"/>
        <v>630.24421200209645</v>
      </c>
      <c r="Y108" s="16">
        <f t="shared" ca="1" si="48"/>
        <v>0</v>
      </c>
      <c r="Z108" s="16">
        <f t="shared" ca="1" si="48"/>
        <v>90.906297440262264</v>
      </c>
      <c r="AA108" s="16">
        <f t="shared" ca="1" si="48"/>
        <v>7.889302000003223</v>
      </c>
      <c r="AB108" s="16">
        <f t="shared" ca="1" si="48"/>
        <v>240.00154989374511</v>
      </c>
      <c r="AC108" s="55">
        <f t="shared" ca="1" si="49"/>
        <v>2330.8201870774542</v>
      </c>
      <c r="AH108" s="42">
        <f t="shared" ca="1" si="29"/>
        <v>45819</v>
      </c>
      <c r="AI108" s="43">
        <f ca="1">_xll.BInterpol('Base IPCA'!$C$3:$C$14,'Base IPCA'!$E$3:$E$14,AH108,"Cubic","Extrapolate=Linear","MultiX=Average","Skip=True","Sort=True")</f>
        <v>3.5269826667787672</v>
      </c>
      <c r="AJ108" s="43">
        <f ca="1">_xll.BInterpol('Base IPCA'!$C$3:$C$14,'Base IPCA'!$D$3:$D$14,AH108,"Cubic","Extrapolate=Linear","MultiX=Average","Skip=True","Sort=True")</f>
        <v>3.6526511933864443</v>
      </c>
    </row>
    <row r="109" spans="14:36" x14ac:dyDescent="0.25">
      <c r="P109" s="52" t="s">
        <v>319</v>
      </c>
      <c r="Q109" s="16">
        <f t="shared" ca="1" si="48"/>
        <v>0</v>
      </c>
      <c r="R109" s="16">
        <f t="shared" ca="1" si="48"/>
        <v>0</v>
      </c>
      <c r="S109" s="16">
        <f t="shared" ca="1" si="48"/>
        <v>0</v>
      </c>
      <c r="T109" s="16">
        <f t="shared" ca="1" si="48"/>
        <v>0</v>
      </c>
      <c r="U109" s="16">
        <f t="shared" ca="1" si="48"/>
        <v>1841.1162506694156</v>
      </c>
      <c r="V109" s="16">
        <f t="shared" ca="1" si="48"/>
        <v>155.23522180796135</v>
      </c>
      <c r="W109" s="16">
        <f t="shared" ca="1" si="48"/>
        <v>0</v>
      </c>
      <c r="X109" s="16">
        <f t="shared" ca="1" si="48"/>
        <v>620.94088723184541</v>
      </c>
      <c r="Y109" s="16">
        <f t="shared" ca="1" si="48"/>
        <v>0</v>
      </c>
      <c r="Z109" s="16">
        <f t="shared" ca="1" si="48"/>
        <v>491.40013622314916</v>
      </c>
      <c r="AA109" s="16">
        <f t="shared" ca="1" si="48"/>
        <v>0</v>
      </c>
      <c r="AB109" s="16">
        <f t="shared" ca="1" si="48"/>
        <v>0</v>
      </c>
      <c r="AC109" s="55">
        <f t="shared" ca="1" si="49"/>
        <v>3108.6924959323715</v>
      </c>
      <c r="AH109" s="42">
        <f t="shared" ca="1" si="29"/>
        <v>45820</v>
      </c>
      <c r="AI109" s="43">
        <f ca="1">_xll.BInterpol('Base IPCA'!$C$3:$C$14,'Base IPCA'!$E$3:$E$14,AH109,"Cubic","Extrapolate=Linear","MultiX=Average","Skip=True","Sort=True")</f>
        <v>3.5411499417982362</v>
      </c>
      <c r="AJ109" s="43">
        <f ca="1">_xll.BInterpol('Base IPCA'!$C$3:$C$14,'Base IPCA'!$D$3:$D$14,AH109,"Cubic","Extrapolate=Linear","MultiX=Average","Skip=True","Sort=True")</f>
        <v>3.6666175299373354</v>
      </c>
    </row>
    <row r="110" spans="14:36" x14ac:dyDescent="0.25">
      <c r="P110" s="52" t="s">
        <v>179</v>
      </c>
      <c r="Q110" s="16">
        <f t="shared" si="48"/>
        <v>1201.2</v>
      </c>
      <c r="R110" s="16">
        <f t="shared" si="48"/>
        <v>1085.04</v>
      </c>
      <c r="S110" s="16">
        <f t="shared" si="48"/>
        <v>1561.56</v>
      </c>
      <c r="T110" s="16">
        <f t="shared" si="48"/>
        <v>0</v>
      </c>
      <c r="U110" s="16">
        <f t="shared" si="48"/>
        <v>4766.7253811001392</v>
      </c>
      <c r="V110" s="16">
        <f t="shared" si="48"/>
        <v>81.400000000000006</v>
      </c>
      <c r="W110" s="16">
        <f t="shared" si="48"/>
        <v>131.82837850000601</v>
      </c>
      <c r="X110" s="16">
        <f t="shared" si="48"/>
        <v>113.52</v>
      </c>
      <c r="Y110" s="16">
        <f t="shared" si="48"/>
        <v>0</v>
      </c>
      <c r="Z110" s="16">
        <f t="shared" si="48"/>
        <v>1121.4111525000246</v>
      </c>
      <c r="AA110" s="16">
        <f t="shared" si="48"/>
        <v>51.04</v>
      </c>
      <c r="AB110" s="16">
        <f t="shared" si="48"/>
        <v>160.21482999998722</v>
      </c>
      <c r="AC110" s="55">
        <f t="shared" si="49"/>
        <v>10273.939742100158</v>
      </c>
      <c r="AH110" s="42">
        <f t="shared" ca="1" si="29"/>
        <v>45821</v>
      </c>
      <c r="AI110" s="43">
        <f ca="1">_xll.BInterpol('Base IPCA'!$C$3:$C$14,'Base IPCA'!$E$3:$E$14,AH110,"Cubic","Extrapolate=Linear","MultiX=Average","Skip=True","Sort=True")</f>
        <v>3.55531412089345</v>
      </c>
      <c r="AJ110" s="43">
        <f ca="1">_xll.BInterpol('Base IPCA'!$C$3:$C$14,'Base IPCA'!$D$3:$D$14,AH110,"Cubic","Extrapolate=Linear","MultiX=Average","Skip=True","Sort=True")</f>
        <v>3.680580795350803</v>
      </c>
    </row>
    <row r="111" spans="14:36" x14ac:dyDescent="0.25">
      <c r="N111"/>
      <c r="P111" s="52" t="s">
        <v>1366</v>
      </c>
      <c r="Q111" s="16">
        <f t="shared" si="48"/>
        <v>0</v>
      </c>
      <c r="R111" s="16">
        <f t="shared" si="48"/>
        <v>0</v>
      </c>
      <c r="S111" s="16">
        <f t="shared" si="48"/>
        <v>0</v>
      </c>
      <c r="T111" s="16">
        <f t="shared" si="48"/>
        <v>0</v>
      </c>
      <c r="U111" s="16">
        <f t="shared" si="48"/>
        <v>1348.9329719999887</v>
      </c>
      <c r="V111" s="16">
        <f t="shared" si="48"/>
        <v>0</v>
      </c>
      <c r="W111" s="16">
        <f t="shared" si="48"/>
        <v>0</v>
      </c>
      <c r="X111" s="16">
        <f t="shared" si="48"/>
        <v>0</v>
      </c>
      <c r="Y111" s="16">
        <f t="shared" si="48"/>
        <v>0</v>
      </c>
      <c r="Z111" s="16">
        <f t="shared" si="48"/>
        <v>323.32098049999729</v>
      </c>
      <c r="AA111" s="16">
        <f t="shared" si="48"/>
        <v>0</v>
      </c>
      <c r="AB111" s="16">
        <f t="shared" si="48"/>
        <v>0</v>
      </c>
      <c r="AC111" s="55">
        <f>SUM(Q111:AB111)</f>
        <v>1672.2539524999861</v>
      </c>
      <c r="AH111" s="42">
        <f t="shared" ca="1" si="29"/>
        <v>45822</v>
      </c>
      <c r="AI111" s="43">
        <f ca="1">_xll.BInterpol('Base IPCA'!$C$3:$C$14,'Base IPCA'!$E$3:$E$14,AH111,"Cubic","Extrapolate=Linear","MultiX=Average","Skip=True","Sort=True")</f>
        <v>3.5694750934956856</v>
      </c>
      <c r="AJ111" s="43">
        <f ca="1">_xll.BInterpol('Base IPCA'!$C$3:$C$14,'Base IPCA'!$D$3:$D$14,AH111,"Cubic","Extrapolate=Linear","MultiX=Average","Skip=True","Sort=True")</f>
        <v>3.6945408799433679</v>
      </c>
    </row>
    <row r="112" spans="14:36" x14ac:dyDescent="0.25">
      <c r="P112" s="52" t="s">
        <v>180</v>
      </c>
      <c r="Q112" s="16">
        <f t="shared" si="48"/>
        <v>0</v>
      </c>
      <c r="R112" s="16">
        <f t="shared" si="48"/>
        <v>0</v>
      </c>
      <c r="S112" s="16">
        <f t="shared" si="48"/>
        <v>0</v>
      </c>
      <c r="T112" s="16">
        <f t="shared" si="48"/>
        <v>0</v>
      </c>
      <c r="U112" s="16">
        <f t="shared" si="48"/>
        <v>15006.899233999999</v>
      </c>
      <c r="V112" s="16">
        <f t="shared" si="48"/>
        <v>0</v>
      </c>
      <c r="W112" s="16">
        <f t="shared" si="48"/>
        <v>714.49500000002774</v>
      </c>
      <c r="X112" s="16">
        <f t="shared" si="48"/>
        <v>0</v>
      </c>
      <c r="Y112" s="16">
        <f t="shared" si="48"/>
        <v>0</v>
      </c>
      <c r="Z112" s="16">
        <f t="shared" si="48"/>
        <v>4906.2065965000029</v>
      </c>
      <c r="AA112" s="16">
        <f t="shared" si="48"/>
        <v>0</v>
      </c>
      <c r="AB112" s="16">
        <f t="shared" si="48"/>
        <v>0</v>
      </c>
      <c r="AC112" s="55">
        <f>SUM(Q112:AB112)</f>
        <v>20627.600830500029</v>
      </c>
      <c r="AH112" s="42">
        <f t="shared" ca="1" si="29"/>
        <v>45823</v>
      </c>
      <c r="AI112" s="43">
        <f ca="1">_xll.BInterpol('Base IPCA'!$C$3:$C$14,'Base IPCA'!$E$3:$E$14,AH112,"Cubic","Extrapolate=Linear","MultiX=Average","Skip=True","Sort=True")</f>
        <v>3.5836327490362194</v>
      </c>
      <c r="AJ112" s="43">
        <f ca="1">_xll.BInterpol('Base IPCA'!$C$3:$C$14,'Base IPCA'!$D$3:$D$14,AH112,"Cubic","Extrapolate=Linear","MultiX=Average","Skip=True","Sort=True")</f>
        <v>3.7084976740315496</v>
      </c>
    </row>
    <row r="113" spans="15:36" x14ac:dyDescent="0.25">
      <c r="P113" s="52" t="s">
        <v>451</v>
      </c>
      <c r="Q113" s="16">
        <f t="shared" si="48"/>
        <v>0</v>
      </c>
      <c r="R113" s="16">
        <f t="shared" si="48"/>
        <v>0</v>
      </c>
      <c r="S113" s="16">
        <f t="shared" si="48"/>
        <v>0</v>
      </c>
      <c r="T113" s="16">
        <f t="shared" si="48"/>
        <v>0</v>
      </c>
      <c r="U113" s="16">
        <f t="shared" si="48"/>
        <v>4447.3188381000164</v>
      </c>
      <c r="V113" s="16">
        <f t="shared" si="48"/>
        <v>0</v>
      </c>
      <c r="W113" s="16">
        <f t="shared" si="48"/>
        <v>0</v>
      </c>
      <c r="X113" s="16">
        <f t="shared" si="48"/>
        <v>0</v>
      </c>
      <c r="Y113" s="16">
        <f t="shared" si="48"/>
        <v>0</v>
      </c>
      <c r="Z113" s="16">
        <f t="shared" si="48"/>
        <v>2002.6893289000557</v>
      </c>
      <c r="AA113" s="16">
        <f t="shared" si="48"/>
        <v>0</v>
      </c>
      <c r="AB113" s="16">
        <f t="shared" si="48"/>
        <v>0</v>
      </c>
      <c r="AC113" s="55">
        <f t="shared" si="49"/>
        <v>6450.0081670000718</v>
      </c>
      <c r="AH113" s="42">
        <f t="shared" ca="1" si="29"/>
        <v>45824</v>
      </c>
      <c r="AI113" s="43">
        <f ca="1">_xll.BInterpol('Base IPCA'!$C$3:$C$14,'Base IPCA'!$E$3:$E$14,AH113,"Cubic","Extrapolate=Linear","MultiX=Average","Skip=True","Sort=True")</f>
        <v>3.597786976946328</v>
      </c>
      <c r="AJ113" s="43">
        <f ca="1">_xll.BInterpol('Base IPCA'!$C$3:$C$14,'Base IPCA'!$D$3:$D$14,AH113,"Cubic","Extrapolate=Linear","MultiX=Average","Skip=True","Sort=True")</f>
        <v>3.7224510679318694</v>
      </c>
    </row>
    <row r="114" spans="15:36" ht="15" customHeight="1" x14ac:dyDescent="0.25">
      <c r="P114" s="52" t="s">
        <v>183</v>
      </c>
      <c r="Q114" s="16">
        <f t="shared" ca="1" si="48"/>
        <v>0</v>
      </c>
      <c r="R114" s="16">
        <f t="shared" ca="1" si="48"/>
        <v>0</v>
      </c>
      <c r="S114" s="16">
        <f t="shared" ca="1" si="48"/>
        <v>0</v>
      </c>
      <c r="T114" s="16">
        <f t="shared" ca="1" si="48"/>
        <v>0</v>
      </c>
      <c r="U114" s="16">
        <f t="shared" ca="1" si="48"/>
        <v>2944.0085730000769</v>
      </c>
      <c r="V114" s="16">
        <f t="shared" ca="1" si="48"/>
        <v>0</v>
      </c>
      <c r="W114" s="16">
        <f t="shared" ca="1" si="48"/>
        <v>0</v>
      </c>
      <c r="X114" s="16">
        <f t="shared" ca="1" si="48"/>
        <v>0</v>
      </c>
      <c r="Y114" s="16">
        <f t="shared" ca="1" si="48"/>
        <v>0</v>
      </c>
      <c r="Z114" s="16">
        <f t="shared" ca="1" si="48"/>
        <v>1510.7905394649961</v>
      </c>
      <c r="AA114" s="16">
        <f t="shared" ca="1" si="48"/>
        <v>0</v>
      </c>
      <c r="AB114" s="16">
        <f t="shared" ca="1" si="48"/>
        <v>0</v>
      </c>
      <c r="AC114" s="55">
        <f t="shared" ca="1" si="49"/>
        <v>4454.7991124650725</v>
      </c>
      <c r="AH114" s="42">
        <f t="shared" ca="1" si="29"/>
        <v>45825</v>
      </c>
      <c r="AI114" s="43">
        <f ca="1">_xll.BInterpol('Base IPCA'!$C$3:$C$14,'Base IPCA'!$E$3:$E$14,AH114,"Cubic","Extrapolate=Linear","MultiX=Average","Skip=True","Sort=True")</f>
        <v>3.6119376666572882</v>
      </c>
      <c r="AJ114" s="43">
        <f ca="1">_xll.BInterpol('Base IPCA'!$C$3:$C$14,'Base IPCA'!$D$3:$D$14,AH114,"Cubic","Extrapolate=Linear","MultiX=Average","Skip=True","Sort=True")</f>
        <v>3.7364009519608481</v>
      </c>
    </row>
    <row r="115" spans="15:36" ht="15.75" customHeight="1" thickBot="1" x14ac:dyDescent="0.3">
      <c r="P115" s="52" t="s">
        <v>184</v>
      </c>
      <c r="Q115" s="16">
        <f t="shared" si="48"/>
        <v>0</v>
      </c>
      <c r="R115" s="16">
        <f t="shared" si="48"/>
        <v>0</v>
      </c>
      <c r="S115" s="16">
        <f t="shared" si="48"/>
        <v>0</v>
      </c>
      <c r="T115" s="16">
        <f t="shared" si="48"/>
        <v>0</v>
      </c>
      <c r="U115" s="16">
        <f t="shared" si="48"/>
        <v>8337.3649169997789</v>
      </c>
      <c r="V115" s="16">
        <f t="shared" si="48"/>
        <v>0</v>
      </c>
      <c r="W115" s="16">
        <f t="shared" si="48"/>
        <v>2013.312359999891</v>
      </c>
      <c r="X115" s="16">
        <f t="shared" si="48"/>
        <v>0</v>
      </c>
      <c r="Y115" s="16">
        <f t="shared" si="48"/>
        <v>0</v>
      </c>
      <c r="Z115" s="16">
        <f t="shared" si="48"/>
        <v>1153.097609999993</v>
      </c>
      <c r="AA115" s="16">
        <f t="shared" si="48"/>
        <v>0</v>
      </c>
      <c r="AB115" s="16">
        <f t="shared" si="48"/>
        <v>0</v>
      </c>
      <c r="AC115" s="55">
        <f t="shared" si="49"/>
        <v>11503.774886999663</v>
      </c>
      <c r="AH115" s="42">
        <f t="shared" ca="1" si="29"/>
        <v>45826</v>
      </c>
      <c r="AI115" s="43">
        <f ca="1">_xll.BInterpol('Base IPCA'!$C$3:$C$14,'Base IPCA'!$E$3:$E$14,AH115,"Cubic","Extrapolate=Linear","MultiX=Average","Skip=True","Sort=True")</f>
        <v>3.6260847076003766</v>
      </c>
      <c r="AJ115" s="43">
        <f ca="1">_xll.BInterpol('Base IPCA'!$C$3:$C$14,'Base IPCA'!$D$3:$D$14,AH115,"Cubic","Extrapolate=Linear","MultiX=Average","Skip=True","Sort=True")</f>
        <v>3.750347216435006</v>
      </c>
    </row>
    <row r="116" spans="15:36" ht="15.75" thickBot="1" x14ac:dyDescent="0.3">
      <c r="P116" s="74" t="s">
        <v>159</v>
      </c>
      <c r="Q116" s="67">
        <f t="shared" ref="Q116:AC116" ca="1" si="50">SUM(Q107:Q115)</f>
        <v>1373.7352184999954</v>
      </c>
      <c r="R116" s="67">
        <f t="shared" ca="1" si="50"/>
        <v>1242.1371044999958</v>
      </c>
      <c r="S116" s="67">
        <f t="shared" ca="1" si="50"/>
        <v>2683.2921646705345</v>
      </c>
      <c r="T116" s="67">
        <f t="shared" ca="1" si="50"/>
        <v>0</v>
      </c>
      <c r="U116" s="67">
        <f t="shared" ca="1" si="50"/>
        <v>39090.174682579614</v>
      </c>
      <c r="V116" s="67">
        <f t="shared" ca="1" si="50"/>
        <v>511.71234016855885</v>
      </c>
      <c r="W116" s="67">
        <f t="shared" ca="1" si="50"/>
        <v>2859.6357384999246</v>
      </c>
      <c r="X116" s="67">
        <f t="shared" ca="1" si="50"/>
        <v>1637.0162767339345</v>
      </c>
      <c r="Y116" s="67">
        <f t="shared" ca="1" si="50"/>
        <v>0</v>
      </c>
      <c r="Z116" s="67">
        <f t="shared" ca="1" si="50"/>
        <v>11599.822641528481</v>
      </c>
      <c r="AA116" s="67">
        <f t="shared" ca="1" si="50"/>
        <v>62.502939500003123</v>
      </c>
      <c r="AB116" s="68">
        <f t="shared" ca="1" si="50"/>
        <v>423.3735508937317</v>
      </c>
      <c r="AC116" s="65">
        <f t="shared" ca="1" si="50"/>
        <v>61483.402657574778</v>
      </c>
      <c r="AH116" s="42">
        <f t="shared" ca="1" si="29"/>
        <v>45827</v>
      </c>
      <c r="AI116" s="43">
        <f ca="1">_xll.BInterpol('Base IPCA'!$C$3:$C$14,'Base IPCA'!$E$3:$E$14,AH116,"Cubic","Extrapolate=Linear","MultiX=Average","Skip=True","Sort=True")</f>
        <v>3.6402279892068692</v>
      </c>
      <c r="AJ116" s="43">
        <f ca="1">_xll.BInterpol('Base IPCA'!$C$3:$C$14,'Base IPCA'!$D$3:$D$14,AH116,"Cubic","Extrapolate=Linear","MultiX=Average","Skip=True","Sort=True")</f>
        <v>3.7642897516708631</v>
      </c>
    </row>
    <row r="117" spans="15:36" x14ac:dyDescent="0.25">
      <c r="AH117" s="42">
        <f t="shared" ca="1" si="29"/>
        <v>45828</v>
      </c>
      <c r="AI117" s="43">
        <f ca="1">_xll.BInterpol('Base IPCA'!$C$3:$C$14,'Base IPCA'!$E$3:$E$14,AH117,"Cubic","Extrapolate=Linear","MultiX=Average","Skip=True","Sort=True")</f>
        <v>3.6543674009080434</v>
      </c>
      <c r="AJ117" s="43">
        <f ca="1">_xll.BInterpol('Base IPCA'!$C$3:$C$14,'Base IPCA'!$D$3:$D$14,AH117,"Cubic","Extrapolate=Linear","MultiX=Average","Skip=True","Sort=True")</f>
        <v>3.7782284479849411</v>
      </c>
    </row>
    <row r="118" spans="15:36" ht="15.75" thickBot="1" x14ac:dyDescent="0.3">
      <c r="P118" s="344" t="s">
        <v>414</v>
      </c>
      <c r="Q118" s="344"/>
      <c r="R118" s="344"/>
      <c r="S118" s="344"/>
      <c r="T118" s="344"/>
      <c r="U118" s="344"/>
      <c r="V118" s="344"/>
      <c r="W118" s="344"/>
      <c r="X118" s="344"/>
      <c r="Y118" s="344"/>
      <c r="Z118" s="344"/>
      <c r="AA118" s="344"/>
      <c r="AB118" s="344"/>
      <c r="AC118" s="344"/>
      <c r="AH118" s="42">
        <f t="shared" ca="1" si="29"/>
        <v>45829</v>
      </c>
      <c r="AI118" s="43">
        <f ca="1">_xll.BInterpol('Base IPCA'!$C$3:$C$14,'Base IPCA'!$E$3:$E$14,AH118,"Cubic","Extrapolate=Linear","MultiX=Average","Skip=True","Sort=True")</f>
        <v>3.6685028321351756</v>
      </c>
      <c r="AJ118" s="43">
        <f ca="1">_xll.BInterpol('Base IPCA'!$C$3:$C$14,'Base IPCA'!$D$3:$D$14,AH118,"Cubic","Extrapolate=Linear","MultiX=Average","Skip=True","Sort=True")</f>
        <v>3.7921631956937598</v>
      </c>
    </row>
    <row r="119" spans="15:36" ht="15.75" thickBot="1" x14ac:dyDescent="0.3">
      <c r="O119">
        <v>-3</v>
      </c>
      <c r="P119" s="45" t="s">
        <v>413</v>
      </c>
      <c r="Q119" s="49" t="str">
        <f t="shared" ref="Q119:AB119" si="51">Q97</f>
        <v>FIRF GERAES</v>
      </c>
      <c r="R119" s="49" t="str">
        <f t="shared" si="51"/>
        <v>FIRF GERAES 30</v>
      </c>
      <c r="S119" s="49" t="str">
        <f t="shared" si="51"/>
        <v>HORIZONTE</v>
      </c>
      <c r="T119" s="49" t="str">
        <f t="shared" si="51"/>
        <v>MANACA INFRA FIRF</v>
      </c>
      <c r="U119" s="49" t="str">
        <f t="shared" si="51"/>
        <v>BH FIRF INFRA</v>
      </c>
      <c r="V119" s="49" t="str">
        <f t="shared" si="51"/>
        <v>REAL FIM</v>
      </c>
      <c r="W119" s="49" t="str">
        <f t="shared" si="51"/>
        <v>RIO INFRA</v>
      </c>
      <c r="X119" s="49" t="str">
        <f t="shared" si="51"/>
        <v>JERA2026</v>
      </c>
      <c r="Y119" s="49" t="str">
        <f t="shared" si="51"/>
        <v>SANTANA</v>
      </c>
      <c r="Z119" s="49" t="str">
        <f t="shared" si="51"/>
        <v>BORDEAUX INFRA</v>
      </c>
      <c r="AA119" s="49" t="str">
        <f t="shared" si="51"/>
        <v>AF INVEST GERAES PREV</v>
      </c>
      <c r="AB119" s="49" t="str">
        <f t="shared" si="51"/>
        <v>TOPAZIO INFRA</v>
      </c>
      <c r="AC119" s="45" t="s">
        <v>159</v>
      </c>
      <c r="AH119" s="42"/>
      <c r="AI119" s="43"/>
      <c r="AJ119" s="43"/>
    </row>
    <row r="120" spans="15:36" x14ac:dyDescent="0.25">
      <c r="P120" s="52" t="str">
        <f t="shared" ref="P120:P128" si="52">P107</f>
        <v>DAPMAI25</v>
      </c>
      <c r="Q120" s="16">
        <f t="shared" ref="Q120:AB128" ca="1" si="53">SUMIF($P$84:$AC$92,$P120,Q$84:Q$92)</f>
        <v>-100.24864340055501</v>
      </c>
      <c r="R120" s="16">
        <f t="shared" ca="1" si="53"/>
        <v>-93.565400507184677</v>
      </c>
      <c r="S120" s="16">
        <f t="shared" ca="1" si="53"/>
        <v>-30.074593020166503</v>
      </c>
      <c r="T120" s="16">
        <f t="shared" ca="1" si="53"/>
        <v>0</v>
      </c>
      <c r="U120" s="16">
        <f t="shared" ca="1" si="53"/>
        <v>0</v>
      </c>
      <c r="V120" s="16">
        <f t="shared" ca="1" si="53"/>
        <v>-13.366485786740668</v>
      </c>
      <c r="W120" s="16">
        <f t="shared" ca="1" si="53"/>
        <v>0</v>
      </c>
      <c r="X120" s="16">
        <f t="shared" ca="1" si="53"/>
        <v>-66.832428933703341</v>
      </c>
      <c r="Y120" s="16">
        <f t="shared" ca="1" si="53"/>
        <v>0</v>
      </c>
      <c r="Z120" s="16">
        <f t="shared" ca="1" si="53"/>
        <v>-20.049728680111002</v>
      </c>
      <c r="AA120" s="16">
        <f t="shared" ca="1" si="53"/>
        <v>0</v>
      </c>
      <c r="AB120" s="16">
        <f t="shared" ca="1" si="53"/>
        <v>-23.391350126796169</v>
      </c>
      <c r="AC120" s="55">
        <f t="shared" ref="AC120:AC128" ca="1" si="54">SUM(Q120:AB120)</f>
        <v>-347.52863045525737</v>
      </c>
      <c r="AH120" s="42">
        <f ca="1">AH118+1</f>
        <v>45830</v>
      </c>
      <c r="AI120" s="43">
        <f ca="1">_xll.BInterpol('Base IPCA'!$C$3:$C$14,'Base IPCA'!$E$3:$E$14,AH120,"Cubic","Extrapolate=Linear","MultiX=Average","Skip=True","Sort=True")</f>
        <v>3.6826341723195419</v>
      </c>
      <c r="AJ120" s="43">
        <f ca="1">_xll.BInterpol('Base IPCA'!$C$3:$C$14,'Base IPCA'!$D$3:$D$14,AH120,"Cubic","Extrapolate=Linear","MultiX=Average","Skip=True","Sort=True")</f>
        <v>3.8060938851138397</v>
      </c>
    </row>
    <row r="121" spans="15:36" x14ac:dyDescent="0.25">
      <c r="P121" s="52" t="str">
        <f t="shared" si="52"/>
        <v>DAPAGO26</v>
      </c>
      <c r="Q121" s="16">
        <f t="shared" ca="1" si="53"/>
        <v>0</v>
      </c>
      <c r="R121" s="16">
        <f t="shared" ca="1" si="53"/>
        <v>0</v>
      </c>
      <c r="S121" s="16">
        <f t="shared" ca="1" si="53"/>
        <v>0</v>
      </c>
      <c r="T121" s="16">
        <f t="shared" ca="1" si="53"/>
        <v>0</v>
      </c>
      <c r="U121" s="16">
        <f t="shared" ca="1" si="53"/>
        <v>-388.42143264150945</v>
      </c>
      <c r="V121" s="16">
        <f t="shared" ca="1" si="53"/>
        <v>-43.157936960167717</v>
      </c>
      <c r="W121" s="16">
        <f t="shared" ca="1" si="53"/>
        <v>0</v>
      </c>
      <c r="X121" s="16">
        <f t="shared" ca="1" si="53"/>
        <v>-215.78968480083859</v>
      </c>
      <c r="Y121" s="16">
        <f t="shared" ca="1" si="53"/>
        <v>0</v>
      </c>
      <c r="Z121" s="16">
        <f t="shared" ca="1" si="53"/>
        <v>-86.315873920335434</v>
      </c>
      <c r="AA121" s="16">
        <f t="shared" ca="1" si="53"/>
        <v>0</v>
      </c>
      <c r="AB121" s="16">
        <f t="shared" ca="1" si="53"/>
        <v>-129.47381088050315</v>
      </c>
      <c r="AC121" s="55">
        <f t="shared" ca="1" si="54"/>
        <v>-863.15873920335434</v>
      </c>
      <c r="AH121" s="42">
        <f t="shared" ca="1" si="29"/>
        <v>45831</v>
      </c>
      <c r="AI121" s="43">
        <f ca="1">_xll.BInterpol('Base IPCA'!$C$3:$C$14,'Base IPCA'!$E$3:$E$14,AH121,"Cubic","Extrapolate=Linear","MultiX=Average","Skip=True","Sort=True")</f>
        <v>3.6967613108924198</v>
      </c>
      <c r="AJ121" s="43">
        <f ca="1">_xll.BInterpol('Base IPCA'!$C$3:$C$14,'Base IPCA'!$D$3:$D$14,AH121,"Cubic","Extrapolate=Linear","MultiX=Average","Skip=True","Sort=True")</f>
        <v>3.8200204065617021</v>
      </c>
    </row>
    <row r="122" spans="15:36" x14ac:dyDescent="0.25">
      <c r="P122" s="52" t="str">
        <f t="shared" si="52"/>
        <v>DAPMAI27</v>
      </c>
      <c r="Q122" s="16">
        <f t="shared" ca="1" si="53"/>
        <v>0</v>
      </c>
      <c r="R122" s="16">
        <f t="shared" ca="1" si="53"/>
        <v>0</v>
      </c>
      <c r="S122" s="16">
        <f t="shared" ca="1" si="53"/>
        <v>0</v>
      </c>
      <c r="T122" s="16">
        <f t="shared" ca="1" si="53"/>
        <v>0</v>
      </c>
      <c r="U122" s="16">
        <f t="shared" ca="1" si="53"/>
        <v>-1831.775617333944</v>
      </c>
      <c r="V122" s="16">
        <f t="shared" ca="1" si="53"/>
        <v>0</v>
      </c>
      <c r="W122" s="16">
        <f t="shared" ca="1" si="53"/>
        <v>0</v>
      </c>
      <c r="X122" s="16">
        <f t="shared" ca="1" si="53"/>
        <v>0</v>
      </c>
      <c r="Y122" s="16">
        <f t="shared" ca="1" si="53"/>
        <v>0</v>
      </c>
      <c r="Z122" s="16">
        <f t="shared" ca="1" si="53"/>
        <v>-496.75270978547633</v>
      </c>
      <c r="AA122" s="16">
        <f t="shared" ca="1" si="53"/>
        <v>0</v>
      </c>
      <c r="AB122" s="16">
        <f t="shared" ca="1" si="53"/>
        <v>0</v>
      </c>
      <c r="AC122" s="55">
        <f t="shared" ca="1" si="54"/>
        <v>-2328.5283271194203</v>
      </c>
      <c r="AH122" s="42">
        <f t="shared" ca="1" si="29"/>
        <v>45832</v>
      </c>
      <c r="AI122" s="43">
        <f ca="1">_xll.BInterpol('Base IPCA'!$C$3:$C$14,'Base IPCA'!$E$3:$E$14,AH122,"Cubic","Extrapolate=Linear","MultiX=Average","Skip=True","Sort=True")</f>
        <v>3.7108841372850851</v>
      </c>
      <c r="AJ122" s="43">
        <f ca="1">_xll.BInterpol('Base IPCA'!$C$3:$C$14,'Base IPCA'!$D$3:$D$14,AH122,"Cubic","Extrapolate=Linear","MultiX=Average","Skip=True","Sort=True")</f>
        <v>3.8339426503538672</v>
      </c>
    </row>
    <row r="123" spans="15:36" x14ac:dyDescent="0.25">
      <c r="P123" s="52" t="str">
        <f t="shared" si="52"/>
        <v>DAPAGO28</v>
      </c>
      <c r="Q123" s="16">
        <f t="shared" ca="1" si="53"/>
        <v>-1195.7208458195964</v>
      </c>
      <c r="R123" s="16">
        <f t="shared" ca="1" si="53"/>
        <v>-1062.8629740618635</v>
      </c>
      <c r="S123" s="16">
        <f t="shared" ca="1" si="53"/>
        <v>-1372.864674829907</v>
      </c>
      <c r="T123" s="16">
        <f t="shared" ca="1" si="53"/>
        <v>0</v>
      </c>
      <c r="U123" s="16">
        <f t="shared" ca="1" si="53"/>
        <v>-4871.455297783541</v>
      </c>
      <c r="V123" s="16">
        <f t="shared" ca="1" si="53"/>
        <v>-132.85787175773294</v>
      </c>
      <c r="W123" s="16">
        <f t="shared" ca="1" si="53"/>
        <v>0</v>
      </c>
      <c r="X123" s="16">
        <f t="shared" ca="1" si="53"/>
        <v>0</v>
      </c>
      <c r="Y123" s="16">
        <f t="shared" ca="1" si="53"/>
        <v>0</v>
      </c>
      <c r="Z123" s="16">
        <f t="shared" ca="1" si="53"/>
        <v>-974.29105955670821</v>
      </c>
      <c r="AA123" s="16">
        <f t="shared" ca="1" si="53"/>
        <v>-44.285957252577646</v>
      </c>
      <c r="AB123" s="16">
        <f t="shared" ca="1" si="53"/>
        <v>-177.14382901031058</v>
      </c>
      <c r="AC123" s="55">
        <f t="shared" ca="1" si="54"/>
        <v>-9831.4825100722373</v>
      </c>
      <c r="AH123" s="42">
        <f t="shared" ca="1" si="29"/>
        <v>45833</v>
      </c>
      <c r="AI123" s="43">
        <f ca="1">_xll.BInterpol('Base IPCA'!$C$3:$C$14,'Base IPCA'!$E$3:$E$14,AH123,"Cubic","Extrapolate=Linear","MultiX=Average","Skip=True","Sort=True")</f>
        <v>3.725002540928815</v>
      </c>
      <c r="AJ123" s="43">
        <f ca="1">_xll.BInterpol('Base IPCA'!$C$3:$C$14,'Base IPCA'!$D$3:$D$14,AH123,"Cubic","Extrapolate=Linear","MultiX=Average","Skip=True","Sort=True")</f>
        <v>3.847860506806855</v>
      </c>
    </row>
    <row r="124" spans="15:36" x14ac:dyDescent="0.25">
      <c r="P124" s="52" t="str">
        <f t="shared" si="52"/>
        <v>DAPMAI29</v>
      </c>
      <c r="Q124" s="16">
        <f t="shared" ca="1" si="53"/>
        <v>0</v>
      </c>
      <c r="R124" s="16">
        <f t="shared" ca="1" si="53"/>
        <v>0</v>
      </c>
      <c r="S124" s="16">
        <f t="shared" ca="1" si="53"/>
        <v>0</v>
      </c>
      <c r="T124" s="16">
        <f t="shared" ca="1" si="53"/>
        <v>0</v>
      </c>
      <c r="U124" s="16">
        <f t="shared" ca="1" si="53"/>
        <v>-1678.938638062973</v>
      </c>
      <c r="V124" s="16">
        <f t="shared" ca="1" si="53"/>
        <v>0</v>
      </c>
      <c r="W124" s="16">
        <f t="shared" ca="1" si="53"/>
        <v>0</v>
      </c>
      <c r="X124" s="16">
        <f t="shared" ca="1" si="53"/>
        <v>0</v>
      </c>
      <c r="Y124" s="16">
        <f t="shared" ca="1" si="53"/>
        <v>0</v>
      </c>
      <c r="Z124" s="16">
        <f t="shared" ca="1" si="53"/>
        <v>0</v>
      </c>
      <c r="AA124" s="16">
        <f t="shared" ca="1" si="53"/>
        <v>0</v>
      </c>
      <c r="AB124" s="16">
        <f t="shared" ca="1" si="53"/>
        <v>0</v>
      </c>
      <c r="AC124" s="55">
        <f t="shared" ref="AC124" ca="1" si="55">SUM(Q124:AB124)</f>
        <v>-1678.938638062973</v>
      </c>
      <c r="AH124" s="42">
        <f t="shared" ca="1" si="29"/>
        <v>45834</v>
      </c>
      <c r="AI124" s="43">
        <f ca="1">_xll.BInterpol('Base IPCA'!$C$3:$C$14,'Base IPCA'!$E$3:$E$14,AH124,"Cubic","Extrapolate=Linear","MultiX=Average","Skip=True","Sort=True")</f>
        <v>3.7391164112548854</v>
      </c>
      <c r="AJ124" s="43">
        <f ca="1">_xll.BInterpol('Base IPCA'!$C$3:$C$14,'Base IPCA'!$D$3:$D$14,AH124,"Cubic","Extrapolate=Linear","MultiX=Average","Skip=True","Sort=True")</f>
        <v>3.8617738662371872</v>
      </c>
    </row>
    <row r="125" spans="15:36" x14ac:dyDescent="0.25">
      <c r="P125" s="52" t="str">
        <f t="shared" si="52"/>
        <v>DAPAGO30</v>
      </c>
      <c r="Q125" s="16">
        <f t="shared" ca="1" si="53"/>
        <v>-60.146095821532072</v>
      </c>
      <c r="R125" s="16">
        <f t="shared" ca="1" si="53"/>
        <v>0</v>
      </c>
      <c r="S125" s="16">
        <f t="shared" ca="1" si="53"/>
        <v>0</v>
      </c>
      <c r="T125" s="16">
        <f t="shared" ca="1" si="53"/>
        <v>0</v>
      </c>
      <c r="U125" s="16">
        <f t="shared" ca="1" si="53"/>
        <v>-15277.108338669146</v>
      </c>
      <c r="V125" s="16">
        <f t="shared" ca="1" si="53"/>
        <v>0</v>
      </c>
      <c r="W125" s="16">
        <f t="shared" ca="1" si="53"/>
        <v>0</v>
      </c>
      <c r="X125" s="16">
        <f t="shared" ca="1" si="53"/>
        <v>0</v>
      </c>
      <c r="Y125" s="16">
        <f t="shared" ca="1" si="53"/>
        <v>0</v>
      </c>
      <c r="Z125" s="16">
        <f t="shared" ca="1" si="53"/>
        <v>-4571.1032824364374</v>
      </c>
      <c r="AA125" s="16">
        <f t="shared" ca="1" si="53"/>
        <v>0</v>
      </c>
      <c r="AB125" s="16">
        <f t="shared" ca="1" si="53"/>
        <v>0</v>
      </c>
      <c r="AC125" s="55">
        <f t="shared" ca="1" si="54"/>
        <v>-19908.357716927116</v>
      </c>
      <c r="AH125" s="42">
        <f t="shared" ca="1" si="29"/>
        <v>45835</v>
      </c>
      <c r="AI125" s="43">
        <f ca="1">_xll.BInterpol('Base IPCA'!$C$3:$C$14,'Base IPCA'!$E$3:$E$14,AH125,"Cubic","Extrapolate=Linear","MultiX=Average","Skip=True","Sort=True")</f>
        <v>3.7532256376945736</v>
      </c>
      <c r="AJ125" s="43">
        <f ca="1">_xll.BInterpol('Base IPCA'!$C$3:$C$14,'Base IPCA'!$D$3:$D$14,AH125,"Cubic","Extrapolate=Linear","MultiX=Average","Skip=True","Sort=True")</f>
        <v>3.8756826189613833</v>
      </c>
    </row>
    <row r="126" spans="15:36" x14ac:dyDescent="0.25">
      <c r="P126" s="52" t="str">
        <f t="shared" si="52"/>
        <v>DAPAGO32</v>
      </c>
      <c r="Q126" s="16">
        <f t="shared" ca="1" si="53"/>
        <v>0</v>
      </c>
      <c r="R126" s="16">
        <f t="shared" ca="1" si="53"/>
        <v>0</v>
      </c>
      <c r="S126" s="16">
        <f t="shared" ca="1" si="53"/>
        <v>0</v>
      </c>
      <c r="T126" s="16">
        <f t="shared" ca="1" si="53"/>
        <v>0</v>
      </c>
      <c r="U126" s="16">
        <f t="shared" ca="1" si="53"/>
        <v>-5095.1207011974184</v>
      </c>
      <c r="V126" s="16">
        <f t="shared" ca="1" si="53"/>
        <v>0</v>
      </c>
      <c r="W126" s="16">
        <f t="shared" ca="1" si="53"/>
        <v>0</v>
      </c>
      <c r="X126" s="16">
        <f t="shared" ca="1" si="53"/>
        <v>0</v>
      </c>
      <c r="Y126" s="16">
        <f t="shared" ca="1" si="53"/>
        <v>0</v>
      </c>
      <c r="Z126" s="16">
        <f t="shared" ca="1" si="53"/>
        <v>-1203.014610004946</v>
      </c>
      <c r="AA126" s="16">
        <f t="shared" ca="1" si="53"/>
        <v>0</v>
      </c>
      <c r="AB126" s="16">
        <f t="shared" ca="1" si="53"/>
        <v>0</v>
      </c>
      <c r="AC126" s="55">
        <f t="shared" ca="1" si="54"/>
        <v>-6298.1353112023644</v>
      </c>
      <c r="AH126" s="42">
        <f t="shared" ca="1" si="29"/>
        <v>45836</v>
      </c>
      <c r="AI126" s="43">
        <f ca="1">_xll.BInterpol('Base IPCA'!$C$3:$C$14,'Base IPCA'!$E$3:$E$14,AH126,"Cubic","Extrapolate=Linear","MultiX=Average","Skip=True","Sort=True")</f>
        <v>3.7673301096791558</v>
      </c>
      <c r="AJ126" s="43">
        <f ca="1">_xll.BInterpol('Base IPCA'!$C$3:$C$14,'Base IPCA'!$D$3:$D$14,AH126,"Cubic","Extrapolate=Linear","MultiX=Average","Skip=True","Sort=True")</f>
        <v>3.8895866552959646</v>
      </c>
    </row>
    <row r="127" spans="15:36" x14ac:dyDescent="0.25">
      <c r="P127" s="52" t="str">
        <f t="shared" si="52"/>
        <v>DAPMAI35</v>
      </c>
      <c r="Q127" s="16">
        <f t="shared" ca="1" si="53"/>
        <v>0</v>
      </c>
      <c r="R127" s="16">
        <f t="shared" ca="1" si="53"/>
        <v>0</v>
      </c>
      <c r="S127" s="16">
        <f t="shared" ca="1" si="53"/>
        <v>0</v>
      </c>
      <c r="T127" s="16">
        <f t="shared" ca="1" si="53"/>
        <v>0</v>
      </c>
      <c r="U127" s="16">
        <f t="shared" ca="1" si="53"/>
        <v>-3563.7215609225677</v>
      </c>
      <c r="V127" s="16">
        <f t="shared" ca="1" si="53"/>
        <v>0</v>
      </c>
      <c r="W127" s="16">
        <f t="shared" ca="1" si="53"/>
        <v>0</v>
      </c>
      <c r="X127" s="16">
        <f t="shared" ca="1" si="53"/>
        <v>0</v>
      </c>
      <c r="Y127" s="16">
        <f t="shared" ca="1" si="53"/>
        <v>0</v>
      </c>
      <c r="Z127" s="16">
        <f t="shared" ca="1" si="53"/>
        <v>-791.9381246494595</v>
      </c>
      <c r="AA127" s="16">
        <f t="shared" ca="1" si="53"/>
        <v>0</v>
      </c>
      <c r="AB127" s="16">
        <f t="shared" ca="1" si="53"/>
        <v>0</v>
      </c>
      <c r="AC127" s="55">
        <f t="shared" ca="1" si="54"/>
        <v>-4355.6596855720272</v>
      </c>
      <c r="AH127" s="42">
        <f t="shared" ca="1" si="29"/>
        <v>45837</v>
      </c>
      <c r="AI127" s="43">
        <f ca="1">_xll.BInterpol('Base IPCA'!$C$3:$C$14,'Base IPCA'!$E$3:$E$14,AH127,"Cubic","Extrapolate=Linear","MultiX=Average","Skip=True","Sort=True")</f>
        <v>3.7814297166399093</v>
      </c>
      <c r="AJ127" s="43">
        <f ca="1">_xll.BInterpol('Base IPCA'!$C$3:$C$14,'Base IPCA'!$D$3:$D$14,AH127,"Cubic","Extrapolate=Linear","MultiX=Average","Skip=True","Sort=True")</f>
        <v>3.9034858655574514</v>
      </c>
    </row>
    <row r="128" spans="15:36" ht="15.75" thickBot="1" x14ac:dyDescent="0.3">
      <c r="P128" s="52" t="str">
        <f t="shared" si="52"/>
        <v>DAPAGO40</v>
      </c>
      <c r="Q128" s="16">
        <f t="shared" ca="1" si="53"/>
        <v>0</v>
      </c>
      <c r="R128" s="16">
        <f t="shared" ca="1" si="53"/>
        <v>0</v>
      </c>
      <c r="S128" s="16">
        <f t="shared" ca="1" si="53"/>
        <v>0</v>
      </c>
      <c r="T128" s="16">
        <f t="shared" ca="1" si="53"/>
        <v>0</v>
      </c>
      <c r="U128" s="16">
        <f t="shared" ca="1" si="53"/>
        <v>-8824.7303499347545</v>
      </c>
      <c r="V128" s="16">
        <f t="shared" ca="1" si="53"/>
        <v>0</v>
      </c>
      <c r="W128" s="16">
        <f t="shared" ca="1" si="53"/>
        <v>0</v>
      </c>
      <c r="X128" s="16">
        <f t="shared" ca="1" si="53"/>
        <v>0</v>
      </c>
      <c r="Y128" s="16">
        <f t="shared" ca="1" si="53"/>
        <v>0</v>
      </c>
      <c r="Z128" s="16">
        <f t="shared" ca="1" si="53"/>
        <v>-494.84469251970586</v>
      </c>
      <c r="AA128" s="16">
        <f t="shared" ca="1" si="53"/>
        <v>0</v>
      </c>
      <c r="AB128" s="16">
        <f t="shared" ca="1" si="53"/>
        <v>0</v>
      </c>
      <c r="AC128" s="55">
        <f t="shared" ca="1" si="54"/>
        <v>-9319.5750424544603</v>
      </c>
      <c r="AG128"/>
      <c r="AH128" s="42">
        <f t="shared" ca="1" si="29"/>
        <v>45838</v>
      </c>
      <c r="AI128" s="43">
        <f ca="1">_xll.BInterpol('Base IPCA'!$C$3:$C$14,'Base IPCA'!$E$3:$E$14,AH128,"Cubic","Extrapolate=Linear","MultiX=Average","Skip=True","Sort=True")</f>
        <v>3.7955243480081098</v>
      </c>
      <c r="AJ128" s="43">
        <f ca="1">_xll.BInterpol('Base IPCA'!$C$3:$C$14,'Base IPCA'!$D$3:$D$14,AH128,"Cubic","Extrapolate=Linear","MultiX=Average","Skip=True","Sort=True")</f>
        <v>3.9173801400623645</v>
      </c>
    </row>
    <row r="129" spans="14:36" ht="15.75" thickBot="1" x14ac:dyDescent="0.3">
      <c r="P129" s="74" t="s">
        <v>159</v>
      </c>
      <c r="Q129" s="67">
        <f t="shared" ref="Q129:AC129" ca="1" si="56">SUM(Q120:Q128)</f>
        <v>-1356.1155850416835</v>
      </c>
      <c r="R129" s="67">
        <f t="shared" ca="1" si="56"/>
        <v>-1156.4283745690482</v>
      </c>
      <c r="S129" s="67">
        <f t="shared" ca="1" si="56"/>
        <v>-1402.9392678500735</v>
      </c>
      <c r="T129" s="67">
        <f t="shared" ca="1" si="56"/>
        <v>0</v>
      </c>
      <c r="U129" s="67">
        <f t="shared" ca="1" si="56"/>
        <v>-41531.271936545854</v>
      </c>
      <c r="V129" s="67">
        <f t="shared" ca="1" si="56"/>
        <v>-189.38229450464132</v>
      </c>
      <c r="W129" s="67">
        <f t="shared" ca="1" si="56"/>
        <v>0</v>
      </c>
      <c r="X129" s="67">
        <f t="shared" ca="1" si="56"/>
        <v>-282.62211373454193</v>
      </c>
      <c r="Y129" s="67">
        <f t="shared" ca="1" si="56"/>
        <v>0</v>
      </c>
      <c r="Z129" s="67">
        <f t="shared" ca="1" si="56"/>
        <v>-8638.3100815531798</v>
      </c>
      <c r="AA129" s="67">
        <f t="shared" ca="1" si="56"/>
        <v>-44.285957252577646</v>
      </c>
      <c r="AB129" s="68">
        <f t="shared" ca="1" si="56"/>
        <v>-330.0089900176099</v>
      </c>
      <c r="AC129" s="65">
        <f t="shared" ca="1" si="56"/>
        <v>-54931.36460106921</v>
      </c>
      <c r="AE129" s="2"/>
      <c r="AG129"/>
      <c r="AH129" s="42" t="e">
        <f>#REF!+1</f>
        <v>#REF!</v>
      </c>
      <c r="AI129" s="43" t="str">
        <f ca="1">_xll.BInterpol('Base IPCA'!$C$3:$C$14,'Base IPCA'!$E$3:$E$14,AH129,"Cubic","Extrapolate=Linear","MultiX=Average","Skip=True","Sort=True")</f>
        <v>#N/A Invalid Parameter: Interpolation value</v>
      </c>
      <c r="AJ129" s="43" t="str">
        <f ca="1">_xll.BInterpol('Base IPCA'!$C$3:$C$14,'Base IPCA'!$D$3:$D$14,AH129,"Cubic","Extrapolate=Linear","MultiX=Average","Skip=True","Sort=True")</f>
        <v>#N/A Invalid Parameter: Interpolation value</v>
      </c>
    </row>
    <row r="130" spans="14:36" x14ac:dyDescent="0.25">
      <c r="N130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E130" s="2"/>
      <c r="AG130"/>
      <c r="AH130" s="42" t="e">
        <f t="shared" si="29"/>
        <v>#REF!</v>
      </c>
      <c r="AI130" s="43" t="str">
        <f ca="1">_xll.BInterpol('Base IPCA'!$C$3:$C$14,'Base IPCA'!$E$3:$E$14,AH130,"Cubic","Extrapolate=Linear","MultiX=Average","Skip=True","Sort=True")</f>
        <v>#N/A Invalid Parameter: Interpolation value</v>
      </c>
      <c r="AJ130" s="43" t="str">
        <f ca="1">_xll.BInterpol('Base IPCA'!$C$3:$C$14,'Base IPCA'!$D$3:$D$14,AH130,"Cubic","Extrapolate=Linear","MultiX=Average","Skip=True","Sort=True")</f>
        <v>#N/A Invalid Parameter: Interpolation value</v>
      </c>
    </row>
    <row r="131" spans="14:36" ht="15.75" thickBot="1" x14ac:dyDescent="0.3">
      <c r="P131" s="344" t="s">
        <v>415</v>
      </c>
      <c r="Q131" s="344"/>
      <c r="R131" s="344"/>
      <c r="S131" s="344"/>
      <c r="T131" s="344"/>
      <c r="U131" s="344"/>
      <c r="V131" s="344"/>
      <c r="W131" s="344"/>
      <c r="X131" s="344"/>
      <c r="Y131" s="344"/>
      <c r="Z131" s="344"/>
      <c r="AA131" s="344"/>
      <c r="AB131" s="344"/>
      <c r="AC131" s="344"/>
      <c r="AE131" s="2"/>
      <c r="AG131"/>
      <c r="AH131" s="42" t="e">
        <f t="shared" si="29"/>
        <v>#REF!</v>
      </c>
      <c r="AI131" s="43" t="str">
        <f ca="1">_xll.BInterpol('Base IPCA'!$C$3:$C$14,'Base IPCA'!$E$3:$E$14,AH131,"Cubic","Extrapolate=Linear","MultiX=Average","Skip=True","Sort=True")</f>
        <v>#N/A Invalid Parameter: Interpolation value</v>
      </c>
      <c r="AJ131" s="43" t="str">
        <f ca="1">_xll.BInterpol('Base IPCA'!$C$3:$C$14,'Base IPCA'!$D$3:$D$14,AH131,"Cubic","Extrapolate=Linear","MultiX=Average","Skip=True","Sort=True")</f>
        <v>#N/A Invalid Parameter: Interpolation value</v>
      </c>
    </row>
    <row r="132" spans="14:36" ht="15.75" thickBot="1" x14ac:dyDescent="0.3">
      <c r="P132" s="45" t="s">
        <v>413</v>
      </c>
      <c r="Q132" s="49" t="str">
        <f t="shared" ref="Q132:AB132" si="57">Q97</f>
        <v>FIRF GERAES</v>
      </c>
      <c r="R132" s="49" t="str">
        <f t="shared" si="57"/>
        <v>FIRF GERAES 30</v>
      </c>
      <c r="S132" s="49" t="str">
        <f t="shared" si="57"/>
        <v>HORIZONTE</v>
      </c>
      <c r="T132" s="49" t="str">
        <f t="shared" si="57"/>
        <v>MANACA INFRA FIRF</v>
      </c>
      <c r="U132" s="49" t="str">
        <f t="shared" si="57"/>
        <v>BH FIRF INFRA</v>
      </c>
      <c r="V132" s="49" t="str">
        <f t="shared" si="57"/>
        <v>REAL FIM</v>
      </c>
      <c r="W132" s="49" t="str">
        <f t="shared" si="57"/>
        <v>RIO INFRA</v>
      </c>
      <c r="X132" s="49" t="str">
        <f t="shared" si="57"/>
        <v>JERA2026</v>
      </c>
      <c r="Y132" s="49" t="str">
        <f t="shared" si="57"/>
        <v>SANTANA</v>
      </c>
      <c r="Z132" s="49" t="str">
        <f t="shared" si="57"/>
        <v>BORDEAUX INFRA</v>
      </c>
      <c r="AA132" s="49" t="str">
        <f t="shared" si="57"/>
        <v>AF INVEST GERAES PREV</v>
      </c>
      <c r="AB132" s="49" t="str">
        <f t="shared" si="57"/>
        <v>TOPAZIO INFRA</v>
      </c>
      <c r="AC132" s="45" t="s">
        <v>159</v>
      </c>
      <c r="AE132" s="2"/>
      <c r="AG132"/>
      <c r="AH132" s="42" t="e">
        <f t="shared" si="29"/>
        <v>#REF!</v>
      </c>
      <c r="AI132" s="43" t="str">
        <f ca="1">_xll.BInterpol('Base IPCA'!$C$3:$C$14,'Base IPCA'!$E$3:$E$14,AH132,"Cubic","Extrapolate=Linear","MultiX=Average","Skip=True","Sort=True")</f>
        <v>#N/A Invalid Parameter: Interpolation value</v>
      </c>
      <c r="AJ132" s="43" t="str">
        <f ca="1"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tr">
        <f>P107</f>
        <v>DAPMAI25</v>
      </c>
      <c r="Q133" s="160">
        <f ca="1">Q107+Q120</f>
        <v>72.28657509944037</v>
      </c>
      <c r="R133" s="160">
        <f t="shared" ref="R133:AB133" ca="1" si="58">R107+R120</f>
        <v>63.531703992811117</v>
      </c>
      <c r="S133" s="160">
        <f t="shared" ca="1" si="58"/>
        <v>378.17775497982257</v>
      </c>
      <c r="T133" s="160">
        <f t="shared" ca="1" si="58"/>
        <v>0</v>
      </c>
      <c r="U133" s="160">
        <f t="shared" ca="1" si="58"/>
        <v>0</v>
      </c>
      <c r="V133" s="160">
        <f t="shared" ca="1" si="58"/>
        <v>11.220140213258674</v>
      </c>
      <c r="W133" s="160">
        <f t="shared" ca="1" si="58"/>
        <v>0</v>
      </c>
      <c r="X133" s="160">
        <f t="shared" ca="1" si="58"/>
        <v>205.47874856628937</v>
      </c>
      <c r="Y133" s="160">
        <f t="shared" ca="1" si="58"/>
        <v>0</v>
      </c>
      <c r="Z133" s="160">
        <f t="shared" ca="1" si="58"/>
        <v>-20.049728680111002</v>
      </c>
      <c r="AA133" s="160">
        <f t="shared" ca="1" si="58"/>
        <v>3.5736374999999043</v>
      </c>
      <c r="AB133" s="160">
        <f t="shared" ca="1" si="58"/>
        <v>-0.23417912679678921</v>
      </c>
      <c r="AC133" s="55">
        <f t="shared" ref="AC133:AC141" ca="1" si="59">SUM(Q133:AB133)</f>
        <v>713.98465254471421</v>
      </c>
      <c r="AE133" s="2"/>
      <c r="AG133"/>
      <c r="AH133" s="42" t="e">
        <f t="shared" si="29"/>
        <v>#REF!</v>
      </c>
      <c r="AI133" s="43" t="str">
        <f ca="1">_xll.BInterpol('Base IPCA'!$C$3:$C$14,'Base IPCA'!$E$3:$E$14,AH133,"Cubic","Extrapolate=Linear","MultiX=Average","Skip=True","Sort=True")</f>
        <v>#N/A Invalid Parameter: Interpolation value</v>
      </c>
      <c r="AJ133" s="43" t="str">
        <f ca="1"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tr">
        <f t="shared" ref="P134:P141" si="60">P108</f>
        <v>DAPAGO26</v>
      </c>
      <c r="Q134" s="160">
        <f t="shared" ref="Q134:AB134" ca="1" si="61">Q108+Q121</f>
        <v>0</v>
      </c>
      <c r="R134" s="160">
        <f t="shared" ca="1" si="61"/>
        <v>0</v>
      </c>
      <c r="S134" s="160">
        <f t="shared" ca="1" si="61"/>
        <v>713.47981667054546</v>
      </c>
      <c r="T134" s="160">
        <f t="shared" ca="1" si="61"/>
        <v>0</v>
      </c>
      <c r="U134" s="160">
        <f t="shared" ca="1" si="61"/>
        <v>9.3870840686940937</v>
      </c>
      <c r="V134" s="160">
        <f t="shared" ca="1" si="61"/>
        <v>207.33255540043041</v>
      </c>
      <c r="W134" s="160">
        <f t="shared" ca="1" si="61"/>
        <v>0</v>
      </c>
      <c r="X134" s="160">
        <f t="shared" ca="1" si="61"/>
        <v>414.45452720125786</v>
      </c>
      <c r="Y134" s="160">
        <f t="shared" ca="1" si="61"/>
        <v>0</v>
      </c>
      <c r="Z134" s="160">
        <f t="shared" ca="1" si="61"/>
        <v>4.59042351992683</v>
      </c>
      <c r="AA134" s="160">
        <f t="shared" ca="1" si="61"/>
        <v>7.889302000003223</v>
      </c>
      <c r="AB134" s="160">
        <f t="shared" ca="1" si="61"/>
        <v>110.52773901324196</v>
      </c>
      <c r="AC134" s="55">
        <f t="shared" ca="1" si="59"/>
        <v>1467.6614478740998</v>
      </c>
      <c r="AE134" s="2"/>
      <c r="AG134"/>
      <c r="AH134" s="42" t="e">
        <f t="shared" ref="AH134:AH197" si="62">AH133+1</f>
        <v>#REF!</v>
      </c>
      <c r="AI134" s="43" t="str">
        <f ca="1">_xll.BInterpol('Base IPCA'!$C$3:$C$14,'Base IPCA'!$E$3:$E$14,AH134,"Cubic","Extrapolate=Linear","MultiX=Average","Skip=True","Sort=True")</f>
        <v>#N/A Invalid Parameter: Interpolation value</v>
      </c>
      <c r="AJ134" s="43" t="str">
        <f ca="1"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tr">
        <f t="shared" si="60"/>
        <v>DAPMAI27</v>
      </c>
      <c r="Q135" s="160">
        <f t="shared" ref="Q135:AB135" ca="1" si="63">Q109+Q122</f>
        <v>0</v>
      </c>
      <c r="R135" s="160">
        <f t="shared" ca="1" si="63"/>
        <v>0</v>
      </c>
      <c r="S135" s="160">
        <f t="shared" ca="1" si="63"/>
        <v>0</v>
      </c>
      <c r="T135" s="160">
        <f t="shared" ca="1" si="63"/>
        <v>0</v>
      </c>
      <c r="U135" s="160">
        <f t="shared" ca="1" si="63"/>
        <v>9.3406333354716935</v>
      </c>
      <c r="V135" s="160">
        <f t="shared" ca="1" si="63"/>
        <v>155.23522180796135</v>
      </c>
      <c r="W135" s="160">
        <f t="shared" ca="1" si="63"/>
        <v>0</v>
      </c>
      <c r="X135" s="160">
        <f t="shared" ca="1" si="63"/>
        <v>620.94088723184541</v>
      </c>
      <c r="Y135" s="160">
        <f t="shared" ca="1" si="63"/>
        <v>0</v>
      </c>
      <c r="Z135" s="160">
        <f t="shared" ca="1" si="63"/>
        <v>-5.3525735623271657</v>
      </c>
      <c r="AA135" s="160">
        <f t="shared" ca="1" si="63"/>
        <v>0</v>
      </c>
      <c r="AB135" s="160">
        <f t="shared" ca="1" si="63"/>
        <v>0</v>
      </c>
      <c r="AC135" s="55">
        <f t="shared" ca="1" si="59"/>
        <v>780.16416881295129</v>
      </c>
      <c r="AE135" s="2"/>
      <c r="AG135"/>
      <c r="AH135" s="42" t="e">
        <f t="shared" si="62"/>
        <v>#REF!</v>
      </c>
      <c r="AI135" s="43" t="str">
        <f ca="1">_xll.BInterpol('Base IPCA'!$C$3:$C$14,'Base IPCA'!$E$3:$E$14,AH135,"Cubic","Extrapolate=Linear","MultiX=Average","Skip=True","Sort=True")</f>
        <v>#N/A Invalid Parameter: Interpolation value</v>
      </c>
      <c r="AJ135" s="43" t="str">
        <f ca="1"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tr">
        <f t="shared" si="60"/>
        <v>DAPAGO28</v>
      </c>
      <c r="Q136" s="160">
        <f t="shared" ref="Q136:AB136" ca="1" si="64">Q110+Q123</f>
        <v>5.4791541804036115</v>
      </c>
      <c r="R136" s="160">
        <f t="shared" ca="1" si="64"/>
        <v>22.177025938136467</v>
      </c>
      <c r="S136" s="160">
        <f t="shared" ca="1" si="64"/>
        <v>188.69532517009293</v>
      </c>
      <c r="T136" s="160">
        <f t="shared" ca="1" si="64"/>
        <v>0</v>
      </c>
      <c r="U136" s="160">
        <f t="shared" ca="1" si="64"/>
        <v>-104.72991668340183</v>
      </c>
      <c r="V136" s="160">
        <f t="shared" ca="1" si="64"/>
        <v>-51.457871757732931</v>
      </c>
      <c r="W136" s="160">
        <f t="shared" ca="1" si="64"/>
        <v>131.82837850000601</v>
      </c>
      <c r="X136" s="160">
        <f t="shared" ca="1" si="64"/>
        <v>113.52</v>
      </c>
      <c r="Y136" s="160">
        <f t="shared" ca="1" si="64"/>
        <v>0</v>
      </c>
      <c r="Z136" s="160">
        <f t="shared" ca="1" si="64"/>
        <v>147.12009294331642</v>
      </c>
      <c r="AA136" s="160">
        <f t="shared" ca="1" si="64"/>
        <v>6.7540427474223534</v>
      </c>
      <c r="AB136" s="160">
        <f t="shared" ca="1" si="64"/>
        <v>-16.928999010323366</v>
      </c>
      <c r="AC136" s="55">
        <f t="shared" ca="1" si="59"/>
        <v>442.4572320279197</v>
      </c>
      <c r="AE136" s="2"/>
      <c r="AG136"/>
      <c r="AH136" s="42" t="e">
        <f t="shared" si="62"/>
        <v>#REF!</v>
      </c>
      <c r="AI136" s="43" t="str">
        <f ca="1">_xll.BInterpol('Base IPCA'!$C$3:$C$14,'Base IPCA'!$E$3:$E$14,AH136,"Cubic","Extrapolate=Linear","MultiX=Average","Skip=True","Sort=True")</f>
        <v>#N/A Invalid Parameter: Interpolation value</v>
      </c>
      <c r="AJ136" s="43" t="str">
        <f ca="1"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tr">
        <f t="shared" si="60"/>
        <v>DAPMAI29</v>
      </c>
      <c r="Q137" s="160">
        <f t="shared" ref="Q137:AB137" ca="1" si="65">Q111+Q124</f>
        <v>0</v>
      </c>
      <c r="R137" s="160">
        <f t="shared" ca="1" si="65"/>
        <v>0</v>
      </c>
      <c r="S137" s="160">
        <f t="shared" ca="1" si="65"/>
        <v>0</v>
      </c>
      <c r="T137" s="160">
        <f t="shared" ca="1" si="65"/>
        <v>0</v>
      </c>
      <c r="U137" s="160">
        <f t="shared" ca="1" si="65"/>
        <v>-330.00566606298435</v>
      </c>
      <c r="V137" s="160">
        <f t="shared" ca="1" si="65"/>
        <v>0</v>
      </c>
      <c r="W137" s="160">
        <f t="shared" ca="1" si="65"/>
        <v>0</v>
      </c>
      <c r="X137" s="160">
        <f t="shared" ca="1" si="65"/>
        <v>0</v>
      </c>
      <c r="Y137" s="160">
        <f t="shared" ca="1" si="65"/>
        <v>0</v>
      </c>
      <c r="Z137" s="160">
        <f t="shared" ca="1" si="65"/>
        <v>323.32098049999729</v>
      </c>
      <c r="AA137" s="160">
        <f t="shared" ca="1" si="65"/>
        <v>0</v>
      </c>
      <c r="AB137" s="160">
        <f t="shared" ca="1" si="65"/>
        <v>0</v>
      </c>
      <c r="AC137" s="55">
        <f ca="1">SUM(Q137:AB137)</f>
        <v>-6.6846855629870561</v>
      </c>
      <c r="AG137"/>
      <c r="AH137" s="42" t="e">
        <f t="shared" si="62"/>
        <v>#REF!</v>
      </c>
      <c r="AI137" s="43" t="str">
        <f ca="1">_xll.BInterpol('Base IPCA'!$C$3:$C$14,'Base IPCA'!$E$3:$E$14,AH137,"Cubic","Extrapolate=Linear","MultiX=Average","Skip=True","Sort=True")</f>
        <v>#N/A Invalid Parameter: Interpolation value</v>
      </c>
      <c r="AJ137" s="43" t="str">
        <f ca="1"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tr">
        <f t="shared" si="60"/>
        <v>DAPAGO30</v>
      </c>
      <c r="Q138" s="160">
        <f t="shared" ref="Q138:AB138" ca="1" si="66">Q112+Q125</f>
        <v>-60.146095821532072</v>
      </c>
      <c r="R138" s="160">
        <f t="shared" ca="1" si="66"/>
        <v>0</v>
      </c>
      <c r="S138" s="160">
        <f t="shared" ca="1" si="66"/>
        <v>0</v>
      </c>
      <c r="T138" s="160">
        <f t="shared" ca="1" si="66"/>
        <v>0</v>
      </c>
      <c r="U138" s="160">
        <f t="shared" ca="1" si="66"/>
        <v>-270.20910466914756</v>
      </c>
      <c r="V138" s="160">
        <f t="shared" ca="1" si="66"/>
        <v>0</v>
      </c>
      <c r="W138" s="160">
        <f t="shared" ca="1" si="66"/>
        <v>714.49500000002774</v>
      </c>
      <c r="X138" s="160">
        <f t="shared" ca="1" si="66"/>
        <v>0</v>
      </c>
      <c r="Y138" s="160">
        <f t="shared" ca="1" si="66"/>
        <v>0</v>
      </c>
      <c r="Z138" s="160">
        <f t="shared" ca="1" si="66"/>
        <v>335.10331406356545</v>
      </c>
      <c r="AA138" s="160">
        <f t="shared" ca="1" si="66"/>
        <v>0</v>
      </c>
      <c r="AB138" s="160">
        <f t="shared" ca="1" si="66"/>
        <v>0</v>
      </c>
      <c r="AC138" s="55">
        <f t="shared" ref="AC138" ca="1" si="67">SUM(Q138:AB138)</f>
        <v>719.24311357291356</v>
      </c>
      <c r="AH138" s="42" t="e">
        <f t="shared" si="62"/>
        <v>#REF!</v>
      </c>
      <c r="AI138" s="43" t="str">
        <f ca="1">_xll.BInterpol('Base IPCA'!$C$3:$C$14,'Base IPCA'!$E$3:$E$14,AH138,"Cubic","Extrapolate=Linear","MultiX=Average","Skip=True","Sort=True")</f>
        <v>#N/A Invalid Parameter: Interpolation value</v>
      </c>
      <c r="AJ138" s="43" t="str">
        <f ca="1">_xll.BInterpol('Base IPCA'!$C$3:$C$14,'Base IPCA'!$D$3:$D$14,AH138,"Cubic","Extrapolate=Linear","MultiX=Average","Skip=True","Sort=True")</f>
        <v>#N/A Invalid Parameter: Interpolation value</v>
      </c>
    </row>
    <row r="139" spans="14:36" x14ac:dyDescent="0.25">
      <c r="P139" s="52" t="str">
        <f t="shared" si="60"/>
        <v>DAPAGO32</v>
      </c>
      <c r="Q139" s="160">
        <f t="shared" ref="Q139:AB139" ca="1" si="68">Q113+Q126</f>
        <v>0</v>
      </c>
      <c r="R139" s="160">
        <f t="shared" ca="1" si="68"/>
        <v>0</v>
      </c>
      <c r="S139" s="160">
        <f t="shared" ca="1" si="68"/>
        <v>0</v>
      </c>
      <c r="T139" s="160">
        <f t="shared" ca="1" si="68"/>
        <v>0</v>
      </c>
      <c r="U139" s="160">
        <f t="shared" ca="1" si="68"/>
        <v>-647.80186309740202</v>
      </c>
      <c r="V139" s="160">
        <f t="shared" ca="1" si="68"/>
        <v>0</v>
      </c>
      <c r="W139" s="160">
        <f t="shared" ca="1" si="68"/>
        <v>0</v>
      </c>
      <c r="X139" s="160">
        <f t="shared" ca="1" si="68"/>
        <v>0</v>
      </c>
      <c r="Y139" s="160">
        <f t="shared" ca="1" si="68"/>
        <v>0</v>
      </c>
      <c r="Z139" s="160">
        <f t="shared" ca="1" si="68"/>
        <v>799.67471889510966</v>
      </c>
      <c r="AA139" s="160">
        <f t="shared" ca="1" si="68"/>
        <v>0</v>
      </c>
      <c r="AB139" s="160">
        <f t="shared" ca="1" si="68"/>
        <v>0</v>
      </c>
      <c r="AC139" s="55">
        <f t="shared" ca="1" si="59"/>
        <v>151.87285579770764</v>
      </c>
      <c r="AH139" s="42" t="e">
        <f t="shared" si="62"/>
        <v>#REF!</v>
      </c>
      <c r="AI139" s="43" t="str">
        <f ca="1">_xll.BInterpol('Base IPCA'!$C$3:$C$14,'Base IPCA'!$E$3:$E$14,AH139,"Cubic","Extrapolate=Linear","MultiX=Average","Skip=True","Sort=True")</f>
        <v>#N/A Invalid Parameter: Interpolation value</v>
      </c>
      <c r="AJ139" s="43" t="str">
        <f ca="1">_xll.BInterpol('Base IPCA'!$C$3:$C$14,'Base IPCA'!$D$3:$D$14,AH139,"Cubic","Extrapolate=Linear","MultiX=Average","Skip=True","Sort=True")</f>
        <v>#N/A Invalid Parameter: Interpolation value</v>
      </c>
    </row>
    <row r="140" spans="14:36" x14ac:dyDescent="0.25">
      <c r="P140" s="52" t="str">
        <f t="shared" si="60"/>
        <v>DAPMAI35</v>
      </c>
      <c r="Q140" s="160">
        <f t="shared" ref="Q140:AB140" ca="1" si="69">Q114+Q127</f>
        <v>0</v>
      </c>
      <c r="R140" s="160">
        <f t="shared" ca="1" si="69"/>
        <v>0</v>
      </c>
      <c r="S140" s="160">
        <f t="shared" ca="1" si="69"/>
        <v>0</v>
      </c>
      <c r="T140" s="160">
        <f t="shared" ca="1" si="69"/>
        <v>0</v>
      </c>
      <c r="U140" s="160">
        <f t="shared" ca="1" si="69"/>
        <v>-619.71298792249081</v>
      </c>
      <c r="V140" s="160">
        <f t="shared" ca="1" si="69"/>
        <v>0</v>
      </c>
      <c r="W140" s="160">
        <f t="shared" ca="1" si="69"/>
        <v>0</v>
      </c>
      <c r="X140" s="160">
        <f t="shared" ca="1" si="69"/>
        <v>0</v>
      </c>
      <c r="Y140" s="160">
        <f t="shared" ca="1" si="69"/>
        <v>0</v>
      </c>
      <c r="Z140" s="160">
        <f t="shared" ca="1" si="69"/>
        <v>718.85241481553658</v>
      </c>
      <c r="AA140" s="160">
        <f t="shared" ca="1" si="69"/>
        <v>0</v>
      </c>
      <c r="AB140" s="160">
        <f t="shared" ca="1" si="69"/>
        <v>0</v>
      </c>
      <c r="AC140" s="55">
        <f t="shared" ca="1" si="59"/>
        <v>99.139426893045766</v>
      </c>
      <c r="AH140" s="42" t="e">
        <f t="shared" si="62"/>
        <v>#REF!</v>
      </c>
      <c r="AI140" s="43" t="str">
        <f ca="1">_xll.BInterpol('Base IPCA'!$C$3:$C$14,'Base IPCA'!$E$3:$E$14,AH140,"Cubic","Extrapolate=Linear","MultiX=Average","Skip=True","Sort=True")</f>
        <v>#N/A Invalid Parameter: Interpolation value</v>
      </c>
      <c r="AJ140" s="43" t="str">
        <f ca="1">_xll.BInterpol('Base IPCA'!$C$3:$C$14,'Base IPCA'!$D$3:$D$14,AH140,"Cubic","Extrapolate=Linear","MultiX=Average","Skip=True","Sort=True")</f>
        <v>#N/A Invalid Parameter: Interpolation value</v>
      </c>
    </row>
    <row r="141" spans="14:36" ht="15.75" thickBot="1" x14ac:dyDescent="0.3">
      <c r="P141" s="52" t="str">
        <f t="shared" si="60"/>
        <v>DAPAGO40</v>
      </c>
      <c r="Q141" s="160">
        <f t="shared" ref="Q141:AB141" ca="1" si="70">Q115+Q128</f>
        <v>0</v>
      </c>
      <c r="R141" s="160">
        <f t="shared" ca="1" si="70"/>
        <v>0</v>
      </c>
      <c r="S141" s="160">
        <f t="shared" ca="1" si="70"/>
        <v>0</v>
      </c>
      <c r="T141" s="160">
        <f t="shared" ca="1" si="70"/>
        <v>0</v>
      </c>
      <c r="U141" s="160">
        <f t="shared" ca="1" si="70"/>
        <v>-487.36543293497562</v>
      </c>
      <c r="V141" s="160">
        <f t="shared" ca="1" si="70"/>
        <v>0</v>
      </c>
      <c r="W141" s="160">
        <f t="shared" ca="1" si="70"/>
        <v>2013.312359999891</v>
      </c>
      <c r="X141" s="160">
        <f t="shared" ca="1" si="70"/>
        <v>0</v>
      </c>
      <c r="Y141" s="160">
        <f t="shared" ca="1" si="70"/>
        <v>0</v>
      </c>
      <c r="Z141" s="160">
        <f t="shared" ca="1" si="70"/>
        <v>658.25291748028712</v>
      </c>
      <c r="AA141" s="160">
        <f t="shared" ca="1" si="70"/>
        <v>0</v>
      </c>
      <c r="AB141" s="160">
        <f t="shared" ca="1" si="70"/>
        <v>0</v>
      </c>
      <c r="AC141" s="55">
        <f t="shared" ca="1" si="59"/>
        <v>2184.1998445452027</v>
      </c>
      <c r="AH141" s="42" t="e">
        <f t="shared" si="62"/>
        <v>#REF!</v>
      </c>
      <c r="AI141" s="43" t="str">
        <f ca="1">_xll.BInterpol('Base IPCA'!$C$3:$C$14,'Base IPCA'!$E$3:$E$14,AH141,"Cubic","Extrapolate=Linear","MultiX=Average","Skip=True","Sort=True")</f>
        <v>#N/A Invalid Parameter: Interpolation value</v>
      </c>
      <c r="AJ141" s="43" t="str">
        <f ca="1"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74" t="s">
        <v>159</v>
      </c>
      <c r="Q142" s="67">
        <f t="shared" ref="Q142:AC142" ca="1" si="71">SUM(Q133:Q141)</f>
        <v>17.61963345831191</v>
      </c>
      <c r="R142" s="67">
        <f t="shared" ca="1" si="71"/>
        <v>85.708729930947584</v>
      </c>
      <c r="S142" s="212">
        <f t="shared" ca="1" si="71"/>
        <v>1280.352896820461</v>
      </c>
      <c r="T142" s="212">
        <f t="shared" ca="1" si="71"/>
        <v>0</v>
      </c>
      <c r="U142" s="212">
        <f t="shared" ca="1" si="71"/>
        <v>-2441.0972539662362</v>
      </c>
      <c r="V142" s="212">
        <f t="shared" ca="1" si="71"/>
        <v>322.33004566391753</v>
      </c>
      <c r="W142" s="212">
        <f t="shared" ca="1" si="71"/>
        <v>2859.6357384999246</v>
      </c>
      <c r="X142" s="212">
        <f t="shared" ca="1" si="71"/>
        <v>1354.3941629993926</v>
      </c>
      <c r="Y142" s="212">
        <f t="shared" ca="1" si="71"/>
        <v>0</v>
      </c>
      <c r="Z142" s="212">
        <f t="shared" ca="1" si="71"/>
        <v>2961.5125599753014</v>
      </c>
      <c r="AA142" s="212">
        <f t="shared" ca="1" si="71"/>
        <v>18.216982247425481</v>
      </c>
      <c r="AB142" s="68">
        <f t="shared" ca="1" si="71"/>
        <v>93.3645608761218</v>
      </c>
      <c r="AC142" s="65">
        <f t="shared" ca="1" si="71"/>
        <v>6552.0380565055675</v>
      </c>
      <c r="AH142" s="42" t="e">
        <f t="shared" si="62"/>
        <v>#REF!</v>
      </c>
      <c r="AI142" s="43" t="str">
        <f ca="1">_xll.BInterpol('Base IPCA'!$C$3:$C$14,'Base IPCA'!$E$3:$E$14,AH142,"Cubic","Extrapolate=Linear","MultiX=Average","Skip=True","Sort=True")</f>
        <v>#N/A Invalid Parameter: Interpolation value</v>
      </c>
      <c r="AJ142" s="43" t="str">
        <f ca="1">_xll.BInterpol('Base IPCA'!$C$3:$C$14,'Base IPCA'!$D$3:$D$14,AH142,"Cubic","Extrapolate=Linear","MultiX=Average","Skip=True","Sort=True")</f>
        <v>#N/A Invalid Parameter: Interpolation value</v>
      </c>
    </row>
    <row r="143" spans="14:36" x14ac:dyDescent="0.25">
      <c r="P143" s="2" t="s">
        <v>78</v>
      </c>
      <c r="Q143" s="3">
        <f ca="1">Q142/VLOOKUP(Q132,'Base CDI'!$A:$D,4,0)</f>
        <v>6.9134573161246348E-5</v>
      </c>
      <c r="R143" s="3">
        <f ca="1">R142/VLOOKUP(R132,'Base CDI'!$A:$D,4,0)</f>
        <v>6.2782711957663057E-4</v>
      </c>
      <c r="S143" s="3">
        <f ca="1">S142/VLOOKUP(S132,'Base CDI'!$A:$D,4,0)</f>
        <v>1.065333954861874E-2</v>
      </c>
      <c r="T143" s="3">
        <f ca="1">T142/VLOOKUP(T132,'Base CDI'!$A:$D,4,0)</f>
        <v>0</v>
      </c>
      <c r="U143" s="3">
        <f ca="1">U142/VLOOKUP(U132,'Base CDI'!$A:$D,4,0)</f>
        <v>-5.0624272816560789E-2</v>
      </c>
      <c r="V143" s="3">
        <f ca="1">V142/VLOOKUP(V132,'Base CDI'!$A:$D,4,0)</f>
        <v>1.7660635955537275E-2</v>
      </c>
      <c r="W143" s="3" t="e">
        <f ca="1">W142/VLOOKUP(W132,'Base CDI'!$A:$D,4,0)</f>
        <v>#N/A</v>
      </c>
      <c r="X143" s="3">
        <f ca="1">X142/VLOOKUP(X132,'Base CDI'!$A:$D,4,0)</f>
        <v>1.4140449441392776E-2</v>
      </c>
      <c r="Y143" s="3">
        <f ca="1">Y142/VLOOKUP(Y132,'Base CDI'!$A:$D,4,0)</f>
        <v>0</v>
      </c>
      <c r="Z143" s="3">
        <f ca="1">Z142/VLOOKUP(Z132,'Base CDI'!$A:$D,4,0)</f>
        <v>0.13066381568120872</v>
      </c>
      <c r="AA143" s="3">
        <f ca="1">AA142/VLOOKUP(AA132,'Base CDI'!$A:$D,4,0)</f>
        <v>8.5974076657798909E-3</v>
      </c>
      <c r="AB143" s="3">
        <f ca="1">AB142/VLOOKUP(AB132,'Base CDI'!$A:$D,4,0)</f>
        <v>6.1030406654923545E-3</v>
      </c>
      <c r="AH143" s="42" t="e">
        <f t="shared" si="62"/>
        <v>#REF!</v>
      </c>
      <c r="AI143" s="43" t="str">
        <f ca="1">_xll.BInterpol('Base IPCA'!$C$3:$C$14,'Base IPCA'!$E$3:$E$14,AH143,"Cubic","Extrapolate=Linear","MultiX=Average","Skip=True","Sort=True")</f>
        <v>#N/A Invalid Parameter: Interpolation value</v>
      </c>
      <c r="AJ143" s="43" t="str">
        <f ca="1"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34" t="s">
        <v>218</v>
      </c>
      <c r="Q144" s="70">
        <f ca="1">+(Q142/VLOOKUP(Q132,'Base CDI'!$A:$D,3,0))</f>
        <v>3.3901859482895203E-8</v>
      </c>
      <c r="R144" s="70">
        <f ca="1">+(R142/VLOOKUP(R132,'Base CDI'!$A:$D,3,0))</f>
        <v>3.078706617280293E-7</v>
      </c>
      <c r="S144" s="70">
        <f ca="1">+(S142/VLOOKUP(S132,'Base CDI'!$A:$D,3,0))</f>
        <v>5.224130328518421E-6</v>
      </c>
      <c r="T144" s="70">
        <f ca="1">+(T142/VLOOKUP(T132,'Base CDI'!$A:$D,3,0))</f>
        <v>0</v>
      </c>
      <c r="U144" s="70">
        <f ca="1">+(U142/VLOOKUP(U132,'Base CDI'!$A:$D,3,0))</f>
        <v>-2.482487278033633E-5</v>
      </c>
      <c r="V144" s="70">
        <f ca="1">+(V142/VLOOKUP(V132,'Base CDI'!$A:$D,3,0))</f>
        <v>8.6603326116839433E-6</v>
      </c>
      <c r="W144" s="70" t="e">
        <f ca="1">+(W142/VLOOKUP(W132,'Base CDI'!$A:$D,3,0))</f>
        <v>#N/A</v>
      </c>
      <c r="X144" s="70">
        <f ca="1">+(X142/VLOOKUP(X132,'Base CDI'!$A:$D,3,0))</f>
        <v>6.9341214976330298E-6</v>
      </c>
      <c r="Y144" s="70">
        <f ca="1">+(Y142/VLOOKUP(Y132,'Base CDI'!$A:$D,3,0))</f>
        <v>0</v>
      </c>
      <c r="Z144" s="70">
        <f ca="1">+(Z142/VLOOKUP(Z132,'Base CDI'!$A:$D,3,0))</f>
        <v>6.407425570403852E-5</v>
      </c>
      <c r="AA144" s="70">
        <f ca="1">+(AA142/VLOOKUP(AA132,'Base CDI'!$A:$D,3,0))</f>
        <v>4.2159529346138995E-6</v>
      </c>
      <c r="AB144" s="70">
        <f ca="1">+(AB142/VLOOKUP(AB132,'Base CDI'!$A:$D,3,0))</f>
        <v>2.9927779633113885E-6</v>
      </c>
      <c r="AH144" s="42" t="e">
        <f t="shared" si="62"/>
        <v>#REF!</v>
      </c>
      <c r="AI144" s="43" t="str">
        <f ca="1">_xll.BInterpol('Base IPCA'!$C$3:$C$14,'Base IPCA'!$E$3:$E$14,AH144,"Cubic","Extrapolate=Linear","MultiX=Average","Skip=True","Sort=True")</f>
        <v>#N/A Invalid Parameter: Interpolation value</v>
      </c>
      <c r="AJ144" s="43" t="str">
        <f ca="1"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34"/>
      <c r="Q145" s="70"/>
      <c r="R145" s="70"/>
      <c r="S145" s="70"/>
      <c r="T145" s="70"/>
      <c r="U145" s="146"/>
      <c r="V145" s="70"/>
      <c r="W145" s="70"/>
      <c r="X145" s="70"/>
      <c r="Y145" s="70"/>
      <c r="Z145" s="70"/>
      <c r="AA145" s="70"/>
      <c r="AB145" s="70"/>
      <c r="AH145" s="42" t="e">
        <f t="shared" si="62"/>
        <v>#REF!</v>
      </c>
      <c r="AI145" s="43" t="str">
        <f ca="1">_xll.BInterpol('Base IPCA'!$C$3:$C$14,'Base IPCA'!$E$3:$E$14,AH145,"Cubic","Extrapolate=Linear","MultiX=Average","Skip=True","Sort=True")</f>
        <v>#N/A Invalid Parameter: Interpolation value</v>
      </c>
      <c r="AJ145" s="43" t="str">
        <f ca="1">_xll.BInterpol('Base IPCA'!$C$3:$C$14,'Base IPCA'!$D$3:$D$14,AH145,"Cubic","Extrapolate=Linear","MultiX=Average","Skip=True","Sort=True")</f>
        <v>#N/A Invalid Parameter: Interpolation value</v>
      </c>
    </row>
    <row r="146" spans="16:36" ht="15.75" thickBot="1" x14ac:dyDescent="0.3">
      <c r="P146" s="344" t="s">
        <v>1224</v>
      </c>
      <c r="Q146" s="344"/>
      <c r="R146" s="344"/>
      <c r="S146" s="344"/>
      <c r="T146" s="344"/>
      <c r="U146" s="344"/>
      <c r="V146" s="344"/>
      <c r="W146" s="344"/>
      <c r="X146" s="344"/>
      <c r="Y146" s="344"/>
      <c r="Z146" s="344"/>
      <c r="AA146" s="344"/>
      <c r="AB146" s="344"/>
      <c r="AC146" s="344"/>
      <c r="AH146" s="42" t="e">
        <f t="shared" si="62"/>
        <v>#REF!</v>
      </c>
      <c r="AI146" s="43" t="str">
        <f ca="1">_xll.BInterpol('Base IPCA'!$C$3:$C$14,'Base IPCA'!$E$3:$E$14,AH146,"Cubic","Extrapolate=Linear","MultiX=Average","Skip=True","Sort=True")</f>
        <v>#N/A Invalid Parameter: Interpolation value</v>
      </c>
      <c r="AJ146" s="43" t="str">
        <f ca="1">_xll.BInterpol('Base IPCA'!$C$3:$C$14,'Base IPCA'!$D$3:$D$14,AH146,"Cubic","Extrapolate=Linear","MultiX=Average","Skip=True","Sort=True")</f>
        <v>#N/A Invalid Parameter: Interpolation value</v>
      </c>
    </row>
    <row r="147" spans="16:36" ht="15.75" thickBot="1" x14ac:dyDescent="0.3">
      <c r="P147" s="45" t="s">
        <v>413</v>
      </c>
      <c r="Q147" s="49" t="str">
        <f t="shared" ref="Q147:AB147" si="72">Q132</f>
        <v>FIRF GERAES</v>
      </c>
      <c r="R147" s="49" t="str">
        <f t="shared" si="72"/>
        <v>FIRF GERAES 30</v>
      </c>
      <c r="S147" s="49" t="str">
        <f t="shared" si="72"/>
        <v>HORIZONTE</v>
      </c>
      <c r="T147" s="49" t="str">
        <f t="shared" si="72"/>
        <v>MANACA INFRA FIRF</v>
      </c>
      <c r="U147" s="49" t="str">
        <f t="shared" si="72"/>
        <v>BH FIRF INFRA</v>
      </c>
      <c r="V147" s="49" t="str">
        <f t="shared" si="72"/>
        <v>REAL FIM</v>
      </c>
      <c r="W147" s="49" t="str">
        <f t="shared" si="72"/>
        <v>RIO INFRA</v>
      </c>
      <c r="X147" s="49" t="str">
        <f t="shared" si="72"/>
        <v>JERA2026</v>
      </c>
      <c r="Y147" s="49" t="str">
        <f t="shared" si="72"/>
        <v>SANTANA</v>
      </c>
      <c r="Z147" s="49" t="str">
        <f t="shared" si="72"/>
        <v>BORDEAUX INFRA</v>
      </c>
      <c r="AA147" s="49" t="str">
        <f t="shared" si="72"/>
        <v>AF INVEST GERAES PREV</v>
      </c>
      <c r="AB147" s="49" t="str">
        <f t="shared" si="72"/>
        <v>TOPAZIO INFRA</v>
      </c>
      <c r="AC147" s="45" t="s">
        <v>159</v>
      </c>
      <c r="AH147" s="42" t="e">
        <f t="shared" si="62"/>
        <v>#REF!</v>
      </c>
      <c r="AI147" s="43" t="str">
        <f ca="1">_xll.BInterpol('Base IPCA'!$C$3:$C$14,'Base IPCA'!$E$3:$E$14,AH147,"Cubic","Extrapolate=Linear","MultiX=Average","Skip=True","Sort=True")</f>
        <v>#N/A Invalid Parameter: Interpolation value</v>
      </c>
      <c r="AJ147" s="43" t="str">
        <f ca="1"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ref="P148:P156" si="73">P120</f>
        <v>DAPMAI25</v>
      </c>
      <c r="Q148" s="16">
        <f ca="1">Q133/-VLOOKUP($P148,$B$18:$M$26,12,0)</f>
        <v>-21.632185528120623</v>
      </c>
      <c r="R148" s="16">
        <f t="shared" ref="R148:AB148" ca="1" si="74">R133/-VLOOKUP($P148,$B$18:$M$26,12,0)</f>
        <v>-19.012238521461942</v>
      </c>
      <c r="S148" s="16">
        <f t="shared" ca="1" si="74"/>
        <v>-113.17193195386288</v>
      </c>
      <c r="T148" s="16">
        <f t="shared" ca="1" si="74"/>
        <v>0</v>
      </c>
      <c r="U148" s="16">
        <f t="shared" ca="1" si="74"/>
        <v>0</v>
      </c>
      <c r="V148" s="16">
        <f t="shared" ca="1" si="74"/>
        <v>-3.3576933809749354</v>
      </c>
      <c r="W148" s="16">
        <f t="shared" ca="1" si="74"/>
        <v>0</v>
      </c>
      <c r="X148" s="16">
        <f t="shared" ca="1" si="74"/>
        <v>-61.490731923007282</v>
      </c>
      <c r="Y148" s="16">
        <f t="shared" ca="1" si="74"/>
        <v>0</v>
      </c>
      <c r="Z148" s="16">
        <f t="shared" ca="1" si="74"/>
        <v>6</v>
      </c>
      <c r="AA148" s="16">
        <f t="shared" ca="1" si="74"/>
        <v>-1.069432177467287</v>
      </c>
      <c r="AB148" s="16">
        <f t="shared" ca="1" si="74"/>
        <v>7.007949001197937E-2</v>
      </c>
      <c r="AC148" s="55">
        <f t="shared" ref="AC148" ca="1" si="75">SUM(Q148:AB148)</f>
        <v>-213.66413399488295</v>
      </c>
      <c r="AH148" s="42" t="e">
        <f t="shared" si="62"/>
        <v>#REF!</v>
      </c>
      <c r="AI148" s="43" t="str">
        <f ca="1">_xll.BInterpol('Base IPCA'!$C$3:$C$14,'Base IPCA'!$E$3:$E$14,AH148,"Cubic","Extrapolate=Linear","MultiX=Average","Skip=True","Sort=True")</f>
        <v>#N/A Invalid Parameter: Interpolation value</v>
      </c>
      <c r="AJ148" s="43" t="str">
        <f ca="1"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73"/>
        <v>DAPAGO26</v>
      </c>
      <c r="Q149" s="16">
        <f t="shared" ref="Q149:AB149" ca="1" si="76">Q134/-VLOOKUP($P149,$B$18:$M$26,12,0)</f>
        <v>0</v>
      </c>
      <c r="R149" s="16">
        <f t="shared" ca="1" si="76"/>
        <v>0</v>
      </c>
      <c r="S149" s="16">
        <f t="shared" ca="1" si="76"/>
        <v>-33.063666473633624</v>
      </c>
      <c r="T149" s="16">
        <f t="shared" ca="1" si="76"/>
        <v>0</v>
      </c>
      <c r="U149" s="16">
        <f t="shared" ca="1" si="76"/>
        <v>-0.43501078734870158</v>
      </c>
      <c r="V149" s="16">
        <f t="shared" ca="1" si="76"/>
        <v>-9.6080846307267365</v>
      </c>
      <c r="W149" s="16">
        <f t="shared" ca="1" si="76"/>
        <v>0</v>
      </c>
      <c r="X149" s="16">
        <f t="shared" ca="1" si="76"/>
        <v>-19.206410518824171</v>
      </c>
      <c r="Y149" s="16">
        <f t="shared" ca="1" si="76"/>
        <v>0</v>
      </c>
      <c r="Z149" s="16">
        <f t="shared" ca="1" si="76"/>
        <v>-0.2127267354861529</v>
      </c>
      <c r="AA149" s="16">
        <f t="shared" ca="1" si="76"/>
        <v>-0.36560144231567848</v>
      </c>
      <c r="AB149" s="16">
        <f t="shared" ca="1" si="76"/>
        <v>-5.1220121626876036</v>
      </c>
      <c r="AC149" s="55">
        <f t="shared" ref="AC149:AC153" ca="1" si="77">SUM(Q149:AB149)</f>
        <v>-68.01351275102266</v>
      </c>
      <c r="AH149" s="42" t="e">
        <f t="shared" si="62"/>
        <v>#REF!</v>
      </c>
      <c r="AI149" s="43" t="str">
        <f ca="1">_xll.BInterpol('Base IPCA'!$C$3:$C$14,'Base IPCA'!$E$3:$E$14,AH149,"Cubic","Extrapolate=Linear","MultiX=Average","Skip=True","Sort=True")</f>
        <v>#N/A Invalid Parameter: Interpolation value</v>
      </c>
      <c r="AJ149" s="43" t="str">
        <f ca="1"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73"/>
        <v>DAPMAI27</v>
      </c>
      <c r="Q150" s="16">
        <f t="shared" ref="Q150:AB150" ca="1" si="78">Q135/-VLOOKUP($P150,$B$18:$M$26,12,0)</f>
        <v>0</v>
      </c>
      <c r="R150" s="16">
        <f t="shared" ca="1" si="78"/>
        <v>0</v>
      </c>
      <c r="S150" s="16">
        <f t="shared" ca="1" si="78"/>
        <v>0</v>
      </c>
      <c r="T150" s="16">
        <f t="shared" ca="1" si="78"/>
        <v>0</v>
      </c>
      <c r="U150" s="16">
        <f t="shared" ca="1" si="78"/>
        <v>-0.30085418845945994</v>
      </c>
      <c r="V150" s="16">
        <f t="shared" ca="1" si="78"/>
        <v>-5</v>
      </c>
      <c r="W150" s="16">
        <f t="shared" ca="1" si="78"/>
        <v>0</v>
      </c>
      <c r="X150" s="16">
        <f t="shared" ca="1" si="78"/>
        <v>-20</v>
      </c>
      <c r="Y150" s="16">
        <f t="shared" ca="1" si="78"/>
        <v>0</v>
      </c>
      <c r="Z150" s="16">
        <f t="shared" ca="1" si="78"/>
        <v>0.17240203286302952</v>
      </c>
      <c r="AA150" s="16">
        <f t="shared" ca="1" si="78"/>
        <v>0</v>
      </c>
      <c r="AB150" s="16">
        <f t="shared" ca="1" si="78"/>
        <v>0</v>
      </c>
      <c r="AC150" s="55">
        <f t="shared" ca="1" si="77"/>
        <v>-25.128452155596431</v>
      </c>
      <c r="AH150" s="42" t="e">
        <f t="shared" si="62"/>
        <v>#REF!</v>
      </c>
      <c r="AI150" s="43" t="str">
        <f ca="1">_xll.BInterpol('Base IPCA'!$C$3:$C$14,'Base IPCA'!$E$3:$E$14,AH150,"Cubic","Extrapolate=Linear","MultiX=Average","Skip=True","Sort=True")</f>
        <v>#N/A Invalid Parameter: Interpolation value</v>
      </c>
      <c r="AJ150" s="43" t="str">
        <f ca="1"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73"/>
        <v>DAPAGO28</v>
      </c>
      <c r="Q151" s="16">
        <f t="shared" ref="Q151:AB151" ca="1" si="79">Q136/-VLOOKUP($P151,$B$18:$M$26,12,0)</f>
        <v>-0.12372215754881757</v>
      </c>
      <c r="R151" s="16">
        <f t="shared" ca="1" si="79"/>
        <v>-0.50076880604958951</v>
      </c>
      <c r="S151" s="16">
        <f t="shared" ca="1" si="79"/>
        <v>-4.26083880481346</v>
      </c>
      <c r="T151" s="16">
        <f t="shared" ca="1" si="79"/>
        <v>0</v>
      </c>
      <c r="U151" s="16">
        <f t="shared" ca="1" si="79"/>
        <v>2.3648561119745484</v>
      </c>
      <c r="V151" s="16">
        <f t="shared" ca="1" si="79"/>
        <v>1.1619455680781936</v>
      </c>
      <c r="W151" s="16">
        <f t="shared" ca="1" si="79"/>
        <v>-2.9767535055896976</v>
      </c>
      <c r="X151" s="16">
        <f t="shared" ca="1" si="79"/>
        <v>-2.5633407753287893</v>
      </c>
      <c r="Y151" s="16">
        <f t="shared" ca="1" si="79"/>
        <v>0</v>
      </c>
      <c r="Z151" s="16">
        <f t="shared" ca="1" si="79"/>
        <v>-3.3220483889337937</v>
      </c>
      <c r="AA151" s="16">
        <f t="shared" ca="1" si="79"/>
        <v>-0.15250980596178121</v>
      </c>
      <c r="AB151" s="16">
        <f t="shared" ca="1" si="79"/>
        <v>0.3822656223455127</v>
      </c>
      <c r="AC151" s="55">
        <f t="shared" ca="1" si="77"/>
        <v>-9.9909149418276755</v>
      </c>
      <c r="AH151" s="42" t="e">
        <f t="shared" si="62"/>
        <v>#REF!</v>
      </c>
      <c r="AI151" s="43" t="str">
        <f ca="1">_xll.BInterpol('Base IPCA'!$C$3:$C$14,'Base IPCA'!$E$3:$E$14,AH151,"Cubic","Extrapolate=Linear","MultiX=Average","Skip=True","Sort=True")</f>
        <v>#N/A Invalid Parameter: Interpolation value</v>
      </c>
      <c r="AJ151" s="43" t="str">
        <f ca="1">_xll.BInterpol('Base IPCA'!$C$3:$C$14,'Base IPCA'!$D$3:$D$14,AH151,"Cubic","Extrapolate=Linear","MultiX=Average","Skip=True","Sort=True")</f>
        <v>#N/A Invalid Parameter: Interpolation value</v>
      </c>
    </row>
    <row r="152" spans="16:36" x14ac:dyDescent="0.25">
      <c r="P152" s="52" t="str">
        <f t="shared" si="73"/>
        <v>DAPMAI29</v>
      </c>
      <c r="Q152" s="16">
        <f t="shared" ref="Q152:AB152" ca="1" si="80">Q137/-VLOOKUP($P152,$B$18:$M$26,12,0)</f>
        <v>0</v>
      </c>
      <c r="R152" s="16">
        <f t="shared" ca="1" si="80"/>
        <v>0</v>
      </c>
      <c r="S152" s="16">
        <f t="shared" ca="1" si="80"/>
        <v>0</v>
      </c>
      <c r="T152" s="16">
        <f t="shared" ca="1" si="80"/>
        <v>0</v>
      </c>
      <c r="U152" s="16">
        <f t="shared" ca="1" si="80"/>
        <v>6.4863519923769948</v>
      </c>
      <c r="V152" s="16">
        <f t="shared" ca="1" si="80"/>
        <v>0</v>
      </c>
      <c r="W152" s="16">
        <f t="shared" ca="1" si="80"/>
        <v>0</v>
      </c>
      <c r="X152" s="16">
        <f t="shared" ca="1" si="80"/>
        <v>0</v>
      </c>
      <c r="Y152" s="16">
        <f t="shared" ca="1" si="80"/>
        <v>0</v>
      </c>
      <c r="Z152" s="16">
        <f t="shared" ca="1" si="80"/>
        <v>-6.3549626618931381</v>
      </c>
      <c r="AA152" s="16">
        <f t="shared" ca="1" si="80"/>
        <v>0</v>
      </c>
      <c r="AB152" s="16">
        <f t="shared" ca="1" si="80"/>
        <v>0</v>
      </c>
      <c r="AC152" s="55">
        <f t="shared" ref="AC152" ca="1" si="81">SUM(Q152:AB152)</f>
        <v>0.1313893304838567</v>
      </c>
      <c r="AH152" s="42" t="e">
        <f t="shared" si="62"/>
        <v>#REF!</v>
      </c>
      <c r="AI152" s="43" t="str">
        <f ca="1">_xll.BInterpol('Base IPCA'!$C$3:$C$14,'Base IPCA'!$E$3:$E$14,AH152,"Cubic","Extrapolate=Linear","MultiX=Average","Skip=True","Sort=True")</f>
        <v>#N/A Invalid Parameter: Interpolation value</v>
      </c>
      <c r="AJ152" s="43" t="str">
        <f ca="1">_xll.BInterpol('Base IPCA'!$C$3:$C$14,'Base IPCA'!$D$3:$D$14,AH152,"Cubic","Extrapolate=Linear","MultiX=Average","Skip=True","Sort=True")</f>
        <v>#N/A Invalid Parameter: Interpolation value</v>
      </c>
    </row>
    <row r="153" spans="16:36" x14ac:dyDescent="0.25">
      <c r="P153" s="52" t="str">
        <f t="shared" si="73"/>
        <v>DAPAGO30</v>
      </c>
      <c r="Q153" s="16">
        <f t="shared" ref="Q153:AB153" ca="1" si="82">Q138/-VLOOKUP($P153,$B$18:$M$26,12,0)</f>
        <v>1</v>
      </c>
      <c r="R153" s="16">
        <f t="shared" ca="1" si="82"/>
        <v>0</v>
      </c>
      <c r="S153" s="16">
        <f t="shared" ca="1" si="82"/>
        <v>0</v>
      </c>
      <c r="T153" s="16">
        <f t="shared" ca="1" si="82"/>
        <v>0</v>
      </c>
      <c r="U153" s="16">
        <f t="shared" ca="1" si="82"/>
        <v>4.4925460410751006</v>
      </c>
      <c r="V153" s="16">
        <f t="shared" ca="1" si="82"/>
        <v>0</v>
      </c>
      <c r="W153" s="16">
        <f t="shared" ca="1" si="82"/>
        <v>-11.879324671714457</v>
      </c>
      <c r="X153" s="16">
        <f t="shared" ca="1" si="82"/>
        <v>0</v>
      </c>
      <c r="Y153" s="16">
        <f t="shared" ca="1" si="82"/>
        <v>0</v>
      </c>
      <c r="Z153" s="16">
        <f t="shared" ca="1" si="82"/>
        <v>-5.5714890465691669</v>
      </c>
      <c r="AA153" s="16">
        <f t="shared" ca="1" si="82"/>
        <v>0</v>
      </c>
      <c r="AB153" s="16">
        <f t="shared" ca="1" si="82"/>
        <v>0</v>
      </c>
      <c r="AC153" s="55">
        <f t="shared" ca="1" si="77"/>
        <v>-11.958267677208523</v>
      </c>
      <c r="AH153" s="42" t="e">
        <f t="shared" si="62"/>
        <v>#REF!</v>
      </c>
      <c r="AI153" s="43" t="str">
        <f ca="1">_xll.BInterpol('Base IPCA'!$C$3:$C$14,'Base IPCA'!$E$3:$E$14,AH153,"Cubic","Extrapolate=Linear","MultiX=Average","Skip=True","Sort=True")</f>
        <v>#N/A Invalid Parameter: Interpolation value</v>
      </c>
      <c r="AJ153" s="43" t="str">
        <f ca="1"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52" t="str">
        <f t="shared" si="73"/>
        <v>DAPAGO32</v>
      </c>
      <c r="Q154" s="16">
        <f t="shared" ref="Q154:AB154" ca="1" si="83">Q139/-VLOOKUP($P154,$B$18:$M$26,12,0)</f>
        <v>0</v>
      </c>
      <c r="R154" s="16">
        <f t="shared" ca="1" si="83"/>
        <v>0</v>
      </c>
      <c r="S154" s="16">
        <f t="shared" ca="1" si="83"/>
        <v>0</v>
      </c>
      <c r="T154" s="16">
        <f t="shared" ca="1" si="83"/>
        <v>0</v>
      </c>
      <c r="U154" s="16">
        <f t="shared" ca="1" si="83"/>
        <v>9.1541961178763724</v>
      </c>
      <c r="V154" s="16">
        <f t="shared" ca="1" si="83"/>
        <v>0</v>
      </c>
      <c r="W154" s="16">
        <f t="shared" ca="1" si="83"/>
        <v>0</v>
      </c>
      <c r="X154" s="16">
        <f t="shared" ca="1" si="83"/>
        <v>0</v>
      </c>
      <c r="Y154" s="16">
        <f t="shared" ca="1" si="83"/>
        <v>0</v>
      </c>
      <c r="Z154" s="16">
        <f t="shared" ca="1" si="83"/>
        <v>-11.300336760798752</v>
      </c>
      <c r="AA154" s="16">
        <f t="shared" ca="1" si="83"/>
        <v>0</v>
      </c>
      <c r="AB154" s="16">
        <f t="shared" ca="1" si="83"/>
        <v>0</v>
      </c>
      <c r="AC154" s="55">
        <f ca="1">SUM(Q154:AB154)</f>
        <v>-2.1461406429223793</v>
      </c>
      <c r="AH154" s="42" t="e">
        <f t="shared" si="62"/>
        <v>#REF!</v>
      </c>
      <c r="AI154" s="43" t="str">
        <f ca="1">_xll.BInterpol('Base IPCA'!$C$3:$C$14,'Base IPCA'!$E$3:$E$14,AH154,"Cubic","Extrapolate=Linear","MultiX=Average","Skip=True","Sort=True")</f>
        <v>#N/A Invalid Parameter: Interpolation value</v>
      </c>
      <c r="AJ154" s="43" t="str">
        <f ca="1">_xll.BInterpol('Base IPCA'!$C$3:$C$14,'Base IPCA'!$D$3:$D$14,AH154,"Cubic","Extrapolate=Linear","MultiX=Average","Skip=True","Sort=True")</f>
        <v>#N/A Invalid Parameter: Interpolation value</v>
      </c>
    </row>
    <row r="155" spans="16:36" x14ac:dyDescent="0.25">
      <c r="P155" s="52" t="str">
        <f t="shared" si="73"/>
        <v>DAPMAI35</v>
      </c>
      <c r="Q155" s="16">
        <f t="shared" ref="Q155:AB155" ca="1" si="84">Q140/-VLOOKUP($P155,$B$18:$M$26,12,0)</f>
        <v>0</v>
      </c>
      <c r="R155" s="16">
        <f t="shared" ca="1" si="84"/>
        <v>0</v>
      </c>
      <c r="S155" s="16">
        <f t="shared" ca="1" si="84"/>
        <v>0</v>
      </c>
      <c r="T155" s="16">
        <f t="shared" ca="1" si="84"/>
        <v>0</v>
      </c>
      <c r="U155" s="16">
        <f t="shared" ca="1" si="84"/>
        <v>7.8252702911202592</v>
      </c>
      <c r="V155" s="16">
        <f t="shared" ca="1" si="84"/>
        <v>0</v>
      </c>
      <c r="W155" s="16">
        <f t="shared" ca="1" si="84"/>
        <v>0</v>
      </c>
      <c r="X155" s="16">
        <f t="shared" ca="1" si="84"/>
        <v>0</v>
      </c>
      <c r="Y155" s="16">
        <f t="shared" ca="1" si="84"/>
        <v>0</v>
      </c>
      <c r="Z155" s="16">
        <f t="shared" ca="1" si="84"/>
        <v>-9.0771285336682919</v>
      </c>
      <c r="AA155" s="16">
        <f t="shared" ca="1" si="84"/>
        <v>0</v>
      </c>
      <c r="AB155" s="16">
        <f t="shared" ca="1" si="84"/>
        <v>0</v>
      </c>
      <c r="AC155" s="55">
        <f t="shared" ref="AC155:AC156" ca="1" si="85">SUM(Q155:AB155)</f>
        <v>-1.2518582425480327</v>
      </c>
      <c r="AH155" s="42" t="e">
        <f t="shared" si="62"/>
        <v>#REF!</v>
      </c>
      <c r="AI155" s="43" t="str">
        <f ca="1">_xll.BInterpol('Base IPCA'!$C$3:$C$14,'Base IPCA'!$E$3:$E$14,AH155,"Cubic","Extrapolate=Linear","MultiX=Average","Skip=True","Sort=True")</f>
        <v>#N/A Invalid Parameter: Interpolation value</v>
      </c>
      <c r="AJ155" s="43" t="str">
        <f ca="1"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52" t="str">
        <f t="shared" si="73"/>
        <v>DAPAGO40</v>
      </c>
      <c r="Q156" s="16">
        <f t="shared" ref="Q156:AB156" ca="1" si="86">Q141/-VLOOKUP($P156,$B$18:$M$26,12,0)</f>
        <v>0</v>
      </c>
      <c r="R156" s="16">
        <f t="shared" ca="1" si="86"/>
        <v>0</v>
      </c>
      <c r="S156" s="16">
        <f t="shared" ca="1" si="86"/>
        <v>0</v>
      </c>
      <c r="T156" s="16">
        <f t="shared" ca="1" si="86"/>
        <v>0</v>
      </c>
      <c r="U156" s="16">
        <f t="shared" ca="1" si="86"/>
        <v>5.909313855060506</v>
      </c>
      <c r="V156" s="16">
        <f t="shared" ca="1" si="86"/>
        <v>0</v>
      </c>
      <c r="W156" s="16">
        <f t="shared" ca="1" si="86"/>
        <v>-24.411445333463483</v>
      </c>
      <c r="X156" s="16">
        <f t="shared" ca="1" si="86"/>
        <v>0</v>
      </c>
      <c r="Y156" s="16">
        <f t="shared" ca="1" si="86"/>
        <v>0</v>
      </c>
      <c r="Z156" s="16">
        <f t="shared" ca="1" si="86"/>
        <v>-7.9813274034952775</v>
      </c>
      <c r="AA156" s="16">
        <f t="shared" ca="1" si="86"/>
        <v>0</v>
      </c>
      <c r="AB156" s="16">
        <f t="shared" ca="1" si="86"/>
        <v>0</v>
      </c>
      <c r="AC156" s="55">
        <f t="shared" ca="1" si="85"/>
        <v>-26.483458881898255</v>
      </c>
      <c r="AH156" s="42" t="e">
        <f t="shared" si="62"/>
        <v>#REF!</v>
      </c>
      <c r="AI156" s="43" t="str">
        <f ca="1">_xll.BInterpol('Base IPCA'!$C$3:$C$14,'Base IPCA'!$E$3:$E$14,AH156,"Cubic","Extrapolate=Linear","MultiX=Average","Skip=True","Sort=True")</f>
        <v>#N/A Invalid Parameter: Interpolation value</v>
      </c>
      <c r="AJ156" s="43" t="str">
        <f ca="1">_xll.BInterpol('Base IPCA'!$C$3:$C$14,'Base IPCA'!$D$3:$D$14,AH156,"Cubic","Extrapolate=Linear","MultiX=Average","Skip=True","Sort=True")</f>
        <v>#N/A Invalid Parameter: Interpolation value</v>
      </c>
    </row>
    <row r="157" spans="16:36" ht="15.75" thickBot="1" x14ac:dyDescent="0.3">
      <c r="P157" s="74" t="s">
        <v>159</v>
      </c>
      <c r="Q157" s="67">
        <f t="shared" ref="Q157:AC157" ca="1" si="87">SUM(Q149:Q156)</f>
        <v>0.87627784245118245</v>
      </c>
      <c r="R157" s="67">
        <f t="shared" ca="1" si="87"/>
        <v>-0.50076880604958951</v>
      </c>
      <c r="S157" s="212">
        <f t="shared" ca="1" si="87"/>
        <v>-37.324505278447084</v>
      </c>
      <c r="T157" s="212">
        <f t="shared" ca="1" si="87"/>
        <v>0</v>
      </c>
      <c r="U157" s="212">
        <f t="shared" ca="1" si="87"/>
        <v>35.496669433675621</v>
      </c>
      <c r="V157" s="212">
        <f t="shared" ca="1" si="87"/>
        <v>-13.446139062648543</v>
      </c>
      <c r="W157" s="212">
        <f t="shared" ca="1" si="87"/>
        <v>-39.267523510767639</v>
      </c>
      <c r="X157" s="212">
        <f t="shared" ca="1" si="87"/>
        <v>-41.769751294152961</v>
      </c>
      <c r="Y157" s="212">
        <f t="shared" ca="1" si="87"/>
        <v>0</v>
      </c>
      <c r="Z157" s="212">
        <f t="shared" ca="1" si="87"/>
        <v>-43.647617497981543</v>
      </c>
      <c r="AA157" s="212">
        <f t="shared" ca="1" si="87"/>
        <v>-0.51811124827745969</v>
      </c>
      <c r="AB157" s="68">
        <f t="shared" ca="1" si="87"/>
        <v>-4.7397465403420913</v>
      </c>
      <c r="AC157" s="65">
        <f t="shared" ca="1" si="87"/>
        <v>-144.8412159625401</v>
      </c>
      <c r="AH157" s="42" t="e">
        <f t="shared" si="62"/>
        <v>#REF!</v>
      </c>
      <c r="AI157" s="43" t="str">
        <f ca="1">_xll.BInterpol('Base IPCA'!$C$3:$C$14,'Base IPCA'!$E$3:$E$14,AH157,"Cubic","Extrapolate=Linear","MultiX=Average","Skip=True","Sort=True")</f>
        <v>#N/A Invalid Parameter: Interpolation value</v>
      </c>
      <c r="AJ157" s="43" t="str">
        <f ca="1"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AH158" s="42" t="e">
        <f t="shared" si="62"/>
        <v>#REF!</v>
      </c>
      <c r="AI158" s="43" t="str">
        <f ca="1">_xll.BInterpol('Base IPCA'!$C$3:$C$14,'Base IPCA'!$E$3:$E$14,AH158,"Cubic","Extrapolate=Linear","MultiX=Average","Skip=True","Sort=True")</f>
        <v>#N/A Invalid Parameter: Interpolation value</v>
      </c>
      <c r="AJ158" s="43" t="str">
        <f ca="1"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AH159" s="42" t="e">
        <f t="shared" si="62"/>
        <v>#REF!</v>
      </c>
      <c r="AI159" s="43" t="str">
        <f ca="1">_xll.BInterpol('Base IPCA'!$C$3:$C$14,'Base IPCA'!$E$3:$E$14,AH159,"Cubic","Extrapolate=Linear","MultiX=Average","Skip=True","Sort=True")</f>
        <v>#N/A Invalid Parameter: Interpolation value</v>
      </c>
      <c r="AJ159" s="43" t="str">
        <f ca="1"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AH160" s="42" t="e">
        <f t="shared" si="62"/>
        <v>#REF!</v>
      </c>
      <c r="AI160" s="43" t="str">
        <f ca="1">_xll.BInterpol('Base IPCA'!$C$3:$C$14,'Base IPCA'!$E$3:$E$14,AH160,"Cubic","Extrapolate=Linear","MultiX=Average","Skip=True","Sort=True")</f>
        <v>#N/A Invalid Parameter: Interpolation value</v>
      </c>
      <c r="AJ160" s="43" t="str">
        <f ca="1">_xll.BInterpol('Base IPCA'!$C$3:$C$14,'Base IPCA'!$D$3:$D$14,AH160,"Cubic","Extrapolate=Linear","MultiX=Average","Skip=True","Sort=True")</f>
        <v>#N/A Invalid Parameter: Interpolation value</v>
      </c>
    </row>
    <row r="161" spans="34:36" x14ac:dyDescent="0.25">
      <c r="AH161" s="42" t="e">
        <f t="shared" si="62"/>
        <v>#REF!</v>
      </c>
      <c r="AI161" s="43" t="str">
        <f ca="1">_xll.BInterpol('Base IPCA'!$C$3:$C$14,'Base IPCA'!$E$3:$E$14,AH161,"Cubic","Extrapolate=Linear","MultiX=Average","Skip=True","Sort=True")</f>
        <v>#N/A Invalid Parameter: Interpolation value</v>
      </c>
      <c r="AJ161" s="43" t="str">
        <f ca="1">_xll.BInterpol('Base IPCA'!$C$3:$C$14,'Base IPCA'!$D$3:$D$14,AH161,"Cubic","Extrapolate=Linear","MultiX=Average","Skip=True","Sort=True")</f>
        <v>#N/A Invalid Parameter: Interpolation value</v>
      </c>
    </row>
    <row r="162" spans="34:36" x14ac:dyDescent="0.25">
      <c r="AH162" s="42" t="e">
        <f t="shared" si="62"/>
        <v>#REF!</v>
      </c>
      <c r="AI162" s="43" t="str">
        <f ca="1">_xll.BInterpol('Base IPCA'!$C$3:$C$14,'Base IPCA'!$E$3:$E$14,AH162,"Cubic","Extrapolate=Linear","MultiX=Average","Skip=True","Sort=True")</f>
        <v>#N/A Invalid Parameter: Interpolation value</v>
      </c>
      <c r="AJ162" s="43" t="str">
        <f ca="1">_xll.BInterpol('Base IPCA'!$C$3:$C$14,'Base IPCA'!$D$3:$D$14,AH162,"Cubic","Extrapolate=Linear","MultiX=Average","Skip=True","Sort=True")</f>
        <v>#N/A Invalid Parameter: Interpolation value</v>
      </c>
    </row>
    <row r="163" spans="34:36" x14ac:dyDescent="0.25">
      <c r="AH163" s="42" t="e">
        <f t="shared" si="62"/>
        <v>#REF!</v>
      </c>
      <c r="AI163" s="43" t="str">
        <f ca="1">_xll.BInterpol('Base IPCA'!$C$3:$C$14,'Base IPCA'!$E$3:$E$14,AH163,"Cubic","Extrapolate=Linear","MultiX=Average","Skip=True","Sort=True")</f>
        <v>#N/A Invalid Parameter: Interpolation value</v>
      </c>
      <c r="AJ163" s="43" t="str">
        <f ca="1">_xll.BInterpol('Base IPCA'!$C$3:$C$14,'Base IPCA'!$D$3:$D$14,AH163,"Cubic","Extrapolate=Linear","MultiX=Average","Skip=True","Sort=True")</f>
        <v>#N/A Invalid Parameter: Interpolation value</v>
      </c>
    </row>
    <row r="164" spans="34:36" x14ac:dyDescent="0.25">
      <c r="AH164" s="42" t="e">
        <f t="shared" si="62"/>
        <v>#REF!</v>
      </c>
      <c r="AI164" s="43" t="str">
        <f ca="1">_xll.BInterpol('Base IPCA'!$C$3:$C$14,'Base IPCA'!$E$3:$E$14,AH164,"Cubic","Extrapolate=Linear","MultiX=Average","Skip=True","Sort=True")</f>
        <v>#N/A Invalid Parameter: Interpolation value</v>
      </c>
      <c r="AJ164" s="43" t="str">
        <f ca="1">_xll.BInterpol('Base IPCA'!$C$3:$C$14,'Base IPCA'!$D$3:$D$14,AH164,"Cubic","Extrapolate=Linear","MultiX=Average","Skip=True","Sort=True")</f>
        <v>#N/A Invalid Parameter: Interpolation value</v>
      </c>
    </row>
    <row r="165" spans="34:36" x14ac:dyDescent="0.25">
      <c r="AH165" s="42" t="e">
        <f t="shared" si="62"/>
        <v>#REF!</v>
      </c>
      <c r="AI165" s="43" t="str">
        <f ca="1">_xll.BInterpol('Base IPCA'!$C$3:$C$14,'Base IPCA'!$E$3:$E$14,AH165,"Cubic","Extrapolate=Linear","MultiX=Average","Skip=True","Sort=True")</f>
        <v>#N/A Invalid Parameter: Interpolation value</v>
      </c>
      <c r="AJ165" s="43" t="str">
        <f ca="1">_xll.BInterpol('Base IPCA'!$C$3:$C$14,'Base IPCA'!$D$3:$D$14,AH165,"Cubic","Extrapolate=Linear","MultiX=Average","Skip=True","Sort=True")</f>
        <v>#N/A Invalid Parameter: Interpolation value</v>
      </c>
    </row>
    <row r="166" spans="34:36" x14ac:dyDescent="0.25">
      <c r="AH166" s="42" t="e">
        <f t="shared" si="62"/>
        <v>#REF!</v>
      </c>
      <c r="AI166" s="43" t="str">
        <f ca="1">_xll.BInterpol('Base IPCA'!$C$3:$C$14,'Base IPCA'!$E$3:$E$14,AH166,"Cubic","Extrapolate=Linear","MultiX=Average","Skip=True","Sort=True")</f>
        <v>#N/A Invalid Parameter: Interpolation value</v>
      </c>
      <c r="AJ166" s="43" t="str">
        <f ca="1">_xll.BInterpol('Base IPCA'!$C$3:$C$14,'Base IPCA'!$D$3:$D$14,AH166,"Cubic","Extrapolate=Linear","MultiX=Average","Skip=True","Sort=True")</f>
        <v>#N/A Invalid Parameter: Interpolation value</v>
      </c>
    </row>
    <row r="167" spans="34:36" x14ac:dyDescent="0.25">
      <c r="AH167" s="42" t="e">
        <f t="shared" si="62"/>
        <v>#REF!</v>
      </c>
      <c r="AI167" s="43" t="str">
        <f ca="1">_xll.BInterpol('Base IPCA'!$C$3:$C$14,'Base IPCA'!$E$3:$E$14,AH167,"Cubic","Extrapolate=Linear","MultiX=Average","Skip=True","Sort=True")</f>
        <v>#N/A Invalid Parameter: Interpolation value</v>
      </c>
      <c r="AJ167" s="43" t="str">
        <f ca="1">_xll.BInterpol('Base IPCA'!$C$3:$C$14,'Base IPCA'!$D$3:$D$14,AH167,"Cubic","Extrapolate=Linear","MultiX=Average","Skip=True","Sort=True")</f>
        <v>#N/A Invalid Parameter: Interpolation value</v>
      </c>
    </row>
    <row r="168" spans="34:36" x14ac:dyDescent="0.25">
      <c r="AH168" s="42" t="e">
        <f t="shared" si="62"/>
        <v>#REF!</v>
      </c>
      <c r="AI168" s="43" t="str">
        <f ca="1">_xll.BInterpol('Base IPCA'!$C$3:$C$14,'Base IPCA'!$E$3:$E$14,AH168,"Cubic","Extrapolate=Linear","MultiX=Average","Skip=True","Sort=True")</f>
        <v>#N/A Invalid Parameter: Interpolation value</v>
      </c>
      <c r="AJ168" s="43" t="str">
        <f ca="1">_xll.BInterpol('Base IPCA'!$C$3:$C$14,'Base IPCA'!$D$3:$D$14,AH168,"Cubic","Extrapolate=Linear","MultiX=Average","Skip=True","Sort=True")</f>
        <v>#N/A Invalid Parameter: Interpolation value</v>
      </c>
    </row>
    <row r="169" spans="34:36" x14ac:dyDescent="0.25">
      <c r="AH169" s="42" t="e">
        <f t="shared" si="62"/>
        <v>#REF!</v>
      </c>
      <c r="AI169" s="43" t="str">
        <f ca="1">_xll.BInterpol('Base IPCA'!$C$3:$C$14,'Base IPCA'!$E$3:$E$14,AH169,"Cubic","Extrapolate=Linear","MultiX=Average","Skip=True","Sort=True")</f>
        <v>#N/A Invalid Parameter: Interpolation value</v>
      </c>
      <c r="AJ169" s="43" t="str">
        <f ca="1">_xll.BInterpol('Base IPCA'!$C$3:$C$14,'Base IPCA'!$D$3:$D$14,AH169,"Cubic","Extrapolate=Linear","MultiX=Average","Skip=True","Sort=True")</f>
        <v>#N/A Invalid Parameter: Interpolation value</v>
      </c>
    </row>
    <row r="170" spans="34:36" x14ac:dyDescent="0.25">
      <c r="AH170" s="42" t="e">
        <f t="shared" si="62"/>
        <v>#REF!</v>
      </c>
      <c r="AI170" s="43" t="str">
        <f ca="1">_xll.BInterpol('Base IPCA'!$C$3:$C$14,'Base IPCA'!$E$3:$E$14,AH170,"Cubic","Extrapolate=Linear","MultiX=Average","Skip=True","Sort=True")</f>
        <v>#N/A Invalid Parameter: Interpolation value</v>
      </c>
      <c r="AJ170" s="43" t="str">
        <f ca="1">_xll.BInterpol('Base IPCA'!$C$3:$C$14,'Base IPCA'!$D$3:$D$14,AH170,"Cubic","Extrapolate=Linear","MultiX=Average","Skip=True","Sort=True")</f>
        <v>#N/A Invalid Parameter: Interpolation value</v>
      </c>
    </row>
    <row r="171" spans="34:36" x14ac:dyDescent="0.25">
      <c r="AH171" s="42" t="e">
        <f t="shared" si="62"/>
        <v>#REF!</v>
      </c>
      <c r="AI171" s="43" t="str">
        <f ca="1">_xll.BInterpol('Base IPCA'!$C$3:$C$14,'Base IPCA'!$E$3:$E$14,AH171,"Cubic","Extrapolate=Linear","MultiX=Average","Skip=True","Sort=True")</f>
        <v>#N/A Invalid Parameter: Interpolation value</v>
      </c>
      <c r="AJ171" s="43" t="str">
        <f ca="1">_xll.BInterpol('Base IPCA'!$C$3:$C$14,'Base IPCA'!$D$3:$D$14,AH171,"Cubic","Extrapolate=Linear","MultiX=Average","Skip=True","Sort=True")</f>
        <v>#N/A Invalid Parameter: Interpolation value</v>
      </c>
    </row>
    <row r="172" spans="34:36" x14ac:dyDescent="0.25">
      <c r="AH172" s="42" t="e">
        <f t="shared" si="62"/>
        <v>#REF!</v>
      </c>
      <c r="AI172" s="43" t="str">
        <f ca="1">_xll.BInterpol('Base IPCA'!$C$3:$C$14,'Base IPCA'!$E$3:$E$14,AH172,"Cubic","Extrapolate=Linear","MultiX=Average","Skip=True","Sort=True")</f>
        <v>#N/A Invalid Parameter: Interpolation value</v>
      </c>
      <c r="AJ172" s="43" t="str">
        <f ca="1">_xll.BInterpol('Base IPCA'!$C$3:$C$14,'Base IPCA'!$D$3:$D$14,AH172,"Cubic","Extrapolate=Linear","MultiX=Average","Skip=True","Sort=True")</f>
        <v>#N/A Invalid Parameter: Interpolation value</v>
      </c>
    </row>
    <row r="173" spans="34:36" x14ac:dyDescent="0.25">
      <c r="AH173" s="42" t="e">
        <f t="shared" si="62"/>
        <v>#REF!</v>
      </c>
      <c r="AI173" s="43" t="str">
        <f ca="1">_xll.BInterpol('Base IPCA'!$C$3:$C$14,'Base IPCA'!$E$3:$E$14,AH173,"Cubic","Extrapolate=Linear","MultiX=Average","Skip=True","Sort=True")</f>
        <v>#N/A Invalid Parameter: Interpolation value</v>
      </c>
      <c r="AJ173" s="43" t="str">
        <f ca="1">_xll.BInterpol('Base IPCA'!$C$3:$C$14,'Base IPCA'!$D$3:$D$14,AH173,"Cubic","Extrapolate=Linear","MultiX=Average","Skip=True","Sort=True")</f>
        <v>#N/A Invalid Parameter: Interpolation value</v>
      </c>
    </row>
    <row r="174" spans="34:36" x14ac:dyDescent="0.25">
      <c r="AH174" s="42" t="e">
        <f t="shared" si="62"/>
        <v>#REF!</v>
      </c>
      <c r="AI174" s="43" t="str">
        <f ca="1">_xll.BInterpol('Base IPCA'!$C$3:$C$14,'Base IPCA'!$E$3:$E$14,AH174,"Cubic","Extrapolate=Linear","MultiX=Average","Skip=True","Sort=True")</f>
        <v>#N/A Invalid Parameter: Interpolation value</v>
      </c>
      <c r="AJ174" s="43" t="str">
        <f ca="1">_xll.BInterpol('Base IPCA'!$C$3:$C$14,'Base IPCA'!$D$3:$D$14,AH174,"Cubic","Extrapolate=Linear","MultiX=Average","Skip=True","Sort=True")</f>
        <v>#N/A Invalid Parameter: Interpolation value</v>
      </c>
    </row>
    <row r="175" spans="34:36" x14ac:dyDescent="0.25">
      <c r="AH175" s="42" t="e">
        <f t="shared" si="62"/>
        <v>#REF!</v>
      </c>
      <c r="AI175" s="43" t="str">
        <f ca="1">_xll.BInterpol('Base IPCA'!$C$3:$C$14,'Base IPCA'!$E$3:$E$14,AH175,"Cubic","Extrapolate=Linear","MultiX=Average","Skip=True","Sort=True")</f>
        <v>#N/A Invalid Parameter: Interpolation value</v>
      </c>
      <c r="AJ175" s="43" t="str">
        <f ca="1">_xll.BInterpol('Base IPCA'!$C$3:$C$14,'Base IPCA'!$D$3:$D$14,AH175,"Cubic","Extrapolate=Linear","MultiX=Average","Skip=True","Sort=True")</f>
        <v>#N/A Invalid Parameter: Interpolation value</v>
      </c>
    </row>
    <row r="176" spans="34:36" x14ac:dyDescent="0.25">
      <c r="AH176" s="42" t="e">
        <f t="shared" si="62"/>
        <v>#REF!</v>
      </c>
      <c r="AI176" s="43" t="str">
        <f ca="1">_xll.BInterpol('Base IPCA'!$C$3:$C$14,'Base IPCA'!$E$3:$E$14,AH176,"Cubic","Extrapolate=Linear","MultiX=Average","Skip=True","Sort=True")</f>
        <v>#N/A Invalid Parameter: Interpolation value</v>
      </c>
      <c r="AJ176" s="43" t="str">
        <f ca="1">_xll.BInterpol('Base IPCA'!$C$3:$C$14,'Base IPCA'!$D$3:$D$14,AH176,"Cubic","Extrapolate=Linear","MultiX=Average","Skip=True","Sort=True")</f>
        <v>#N/A Invalid Parameter: Interpolation value</v>
      </c>
    </row>
    <row r="177" spans="34:36" x14ac:dyDescent="0.25">
      <c r="AH177" s="42" t="e">
        <f t="shared" si="62"/>
        <v>#REF!</v>
      </c>
      <c r="AI177" s="43" t="str">
        <f ca="1">_xll.BInterpol('Base IPCA'!$C$3:$C$14,'Base IPCA'!$E$3:$E$14,AH177,"Cubic","Extrapolate=Linear","MultiX=Average","Skip=True","Sort=True")</f>
        <v>#N/A Invalid Parameter: Interpolation value</v>
      </c>
      <c r="AJ177" s="43" t="str">
        <f ca="1">_xll.BInterpol('Base IPCA'!$C$3:$C$14,'Base IPCA'!$D$3:$D$14,AH177,"Cubic","Extrapolate=Linear","MultiX=Average","Skip=True","Sort=True")</f>
        <v>#N/A Invalid Parameter: Interpolation value</v>
      </c>
    </row>
    <row r="178" spans="34:36" x14ac:dyDescent="0.25">
      <c r="AH178" s="42" t="e">
        <f t="shared" si="62"/>
        <v>#REF!</v>
      </c>
      <c r="AI178" s="43" t="str">
        <f ca="1">_xll.BInterpol('Base IPCA'!$C$3:$C$14,'Base IPCA'!$E$3:$E$14,AH178,"Cubic","Extrapolate=Linear","MultiX=Average","Skip=True","Sort=True")</f>
        <v>#N/A Invalid Parameter: Interpolation value</v>
      </c>
      <c r="AJ178" s="43" t="str">
        <f ca="1">_xll.BInterpol('Base IPCA'!$C$3:$C$14,'Base IPCA'!$D$3:$D$14,AH178,"Cubic","Extrapolate=Linear","MultiX=Average","Skip=True","Sort=True")</f>
        <v>#N/A Invalid Parameter: Interpolation value</v>
      </c>
    </row>
    <row r="179" spans="34:36" x14ac:dyDescent="0.25">
      <c r="AH179" s="42" t="e">
        <f t="shared" si="62"/>
        <v>#REF!</v>
      </c>
      <c r="AI179" s="43" t="str">
        <f ca="1">_xll.BInterpol('Base IPCA'!$C$3:$C$14,'Base IPCA'!$E$3:$E$14,AH179,"Cubic","Extrapolate=Linear","MultiX=Average","Skip=True","Sort=True")</f>
        <v>#N/A Invalid Parameter: Interpolation value</v>
      </c>
      <c r="AJ179" s="43" t="str">
        <f ca="1">_xll.BInterpol('Base IPCA'!$C$3:$C$14,'Base IPCA'!$D$3:$D$14,AH179,"Cubic","Extrapolate=Linear","MultiX=Average","Skip=True","Sort=True")</f>
        <v>#N/A Invalid Parameter: Interpolation value</v>
      </c>
    </row>
    <row r="180" spans="34:36" x14ac:dyDescent="0.25">
      <c r="AH180" s="42" t="e">
        <f t="shared" si="62"/>
        <v>#REF!</v>
      </c>
      <c r="AI180" s="43" t="str">
        <f ca="1">_xll.BInterpol('Base IPCA'!$C$3:$C$14,'Base IPCA'!$E$3:$E$14,AH180,"Cubic","Extrapolate=Linear","MultiX=Average","Skip=True","Sort=True")</f>
        <v>#N/A Invalid Parameter: Interpolation value</v>
      </c>
      <c r="AJ180" s="43" t="str">
        <f ca="1">_xll.BInterpol('Base IPCA'!$C$3:$C$14,'Base IPCA'!$D$3:$D$14,AH180,"Cubic","Extrapolate=Linear","MultiX=Average","Skip=True","Sort=True")</f>
        <v>#N/A Invalid Parameter: Interpolation value</v>
      </c>
    </row>
    <row r="181" spans="34:36" x14ac:dyDescent="0.25">
      <c r="AH181" s="42" t="e">
        <f t="shared" si="62"/>
        <v>#REF!</v>
      </c>
      <c r="AI181" s="43" t="str">
        <f ca="1">_xll.BInterpol('Base IPCA'!$C$3:$C$14,'Base IPCA'!$E$3:$E$14,AH181,"Cubic","Extrapolate=Linear","MultiX=Average","Skip=True","Sort=True")</f>
        <v>#N/A Invalid Parameter: Interpolation value</v>
      </c>
      <c r="AJ181" s="43" t="str">
        <f ca="1">_xll.BInterpol('Base IPCA'!$C$3:$C$14,'Base IPCA'!$D$3:$D$14,AH181,"Cubic","Extrapolate=Linear","MultiX=Average","Skip=True","Sort=True")</f>
        <v>#N/A Invalid Parameter: Interpolation value</v>
      </c>
    </row>
    <row r="182" spans="34:36" x14ac:dyDescent="0.25">
      <c r="AH182" s="42" t="e">
        <f t="shared" si="62"/>
        <v>#REF!</v>
      </c>
      <c r="AI182" s="43" t="str">
        <f ca="1">_xll.BInterpol('Base IPCA'!$C$3:$C$14,'Base IPCA'!$E$3:$E$14,AH182,"Cubic","Extrapolate=Linear","MultiX=Average","Skip=True","Sort=True")</f>
        <v>#N/A Invalid Parameter: Interpolation value</v>
      </c>
      <c r="AJ182" s="43" t="str">
        <f ca="1">_xll.BInterpol('Base IPCA'!$C$3:$C$14,'Base IPCA'!$D$3:$D$14,AH182,"Cubic","Extrapolate=Linear","MultiX=Average","Skip=True","Sort=True")</f>
        <v>#N/A Invalid Parameter: Interpolation value</v>
      </c>
    </row>
    <row r="183" spans="34:36" x14ac:dyDescent="0.25">
      <c r="AH183" s="42" t="e">
        <f t="shared" si="62"/>
        <v>#REF!</v>
      </c>
      <c r="AI183" s="43" t="str">
        <f ca="1">_xll.BInterpol('Base IPCA'!$C$3:$C$14,'Base IPCA'!$E$3:$E$14,AH183,"Cubic","Extrapolate=Linear","MultiX=Average","Skip=True","Sort=True")</f>
        <v>#N/A Invalid Parameter: Interpolation value</v>
      </c>
      <c r="AJ183" s="43" t="str">
        <f ca="1">_xll.BInterpol('Base IPCA'!$C$3:$C$14,'Base IPCA'!$D$3:$D$14,AH183,"Cubic","Extrapolate=Linear","MultiX=Average","Skip=True","Sort=True")</f>
        <v>#N/A Invalid Parameter: Interpolation value</v>
      </c>
    </row>
    <row r="184" spans="34:36" x14ac:dyDescent="0.25">
      <c r="AH184" s="42" t="e">
        <f t="shared" si="62"/>
        <v>#REF!</v>
      </c>
      <c r="AI184" s="43" t="str">
        <f ca="1">_xll.BInterpol('Base IPCA'!$C$3:$C$14,'Base IPCA'!$E$3:$E$14,AH184,"Cubic","Extrapolate=Linear","MultiX=Average","Skip=True","Sort=True")</f>
        <v>#N/A Invalid Parameter: Interpolation value</v>
      </c>
      <c r="AJ184" s="43" t="str">
        <f ca="1">_xll.BInterpol('Base IPCA'!$C$3:$C$14,'Base IPCA'!$D$3:$D$14,AH184,"Cubic","Extrapolate=Linear","MultiX=Average","Skip=True","Sort=True")</f>
        <v>#N/A Invalid Parameter: Interpolation value</v>
      </c>
    </row>
    <row r="185" spans="34:36" x14ac:dyDescent="0.25">
      <c r="AH185" s="42" t="e">
        <f t="shared" si="62"/>
        <v>#REF!</v>
      </c>
      <c r="AI185" s="43" t="str">
        <f ca="1">_xll.BInterpol('Base IPCA'!$C$3:$C$14,'Base IPCA'!$E$3:$E$14,AH185,"Cubic","Extrapolate=Linear","MultiX=Average","Skip=True","Sort=True")</f>
        <v>#N/A Invalid Parameter: Interpolation value</v>
      </c>
      <c r="AJ185" s="43" t="str">
        <f ca="1">_xll.BInterpol('Base IPCA'!$C$3:$C$14,'Base IPCA'!$D$3:$D$14,AH185,"Cubic","Extrapolate=Linear","MultiX=Average","Skip=True","Sort=True")</f>
        <v>#N/A Invalid Parameter: Interpolation value</v>
      </c>
    </row>
    <row r="186" spans="34:36" x14ac:dyDescent="0.25">
      <c r="AH186" s="42" t="e">
        <f t="shared" si="62"/>
        <v>#REF!</v>
      </c>
      <c r="AI186" s="43" t="str">
        <f ca="1">_xll.BInterpol('Base IPCA'!$C$3:$C$14,'Base IPCA'!$E$3:$E$14,AH186,"Cubic","Extrapolate=Linear","MultiX=Average","Skip=True","Sort=True")</f>
        <v>#N/A Invalid Parameter: Interpolation value</v>
      </c>
      <c r="AJ186" s="43" t="str">
        <f ca="1">_xll.BInterpol('Base IPCA'!$C$3:$C$14,'Base IPCA'!$D$3:$D$14,AH186,"Cubic","Extrapolate=Linear","MultiX=Average","Skip=True","Sort=True")</f>
        <v>#N/A Invalid Parameter: Interpolation value</v>
      </c>
    </row>
    <row r="187" spans="34:36" x14ac:dyDescent="0.25">
      <c r="AH187" s="42" t="e">
        <f t="shared" si="62"/>
        <v>#REF!</v>
      </c>
      <c r="AI187" s="43" t="str">
        <f ca="1">_xll.BInterpol('Base IPCA'!$C$3:$C$14,'Base IPCA'!$E$3:$E$14,AH187,"Cubic","Extrapolate=Linear","MultiX=Average","Skip=True","Sort=True")</f>
        <v>#N/A Invalid Parameter: Interpolation value</v>
      </c>
      <c r="AJ187" s="43" t="str">
        <f ca="1">_xll.BInterpol('Base IPCA'!$C$3:$C$14,'Base IPCA'!$D$3:$D$14,AH187,"Cubic","Extrapolate=Linear","MultiX=Average","Skip=True","Sort=True")</f>
        <v>#N/A Invalid Parameter: Interpolation value</v>
      </c>
    </row>
    <row r="188" spans="34:36" x14ac:dyDescent="0.25">
      <c r="AH188" s="42" t="e">
        <f t="shared" si="62"/>
        <v>#REF!</v>
      </c>
      <c r="AI188" s="43" t="str">
        <f ca="1">_xll.BInterpol('Base IPCA'!$C$3:$C$14,'Base IPCA'!$E$3:$E$14,AH188,"Cubic","Extrapolate=Linear","MultiX=Average","Skip=True","Sort=True")</f>
        <v>#N/A Invalid Parameter: Interpolation value</v>
      </c>
      <c r="AJ188" s="43" t="str">
        <f ca="1">_xll.BInterpol('Base IPCA'!$C$3:$C$14,'Base IPCA'!$D$3:$D$14,AH188,"Cubic","Extrapolate=Linear","MultiX=Average","Skip=True","Sort=True")</f>
        <v>#N/A Invalid Parameter: Interpolation value</v>
      </c>
    </row>
    <row r="189" spans="34:36" x14ac:dyDescent="0.25">
      <c r="AH189" s="42" t="e">
        <f t="shared" si="62"/>
        <v>#REF!</v>
      </c>
      <c r="AI189" s="43" t="str">
        <f ca="1">_xll.BInterpol('Base IPCA'!$C$3:$C$14,'Base IPCA'!$E$3:$E$14,AH189,"Cubic","Extrapolate=Linear","MultiX=Average","Skip=True","Sort=True")</f>
        <v>#N/A Invalid Parameter: Interpolation value</v>
      </c>
      <c r="AJ189" s="43" t="str">
        <f ca="1">_xll.BInterpol('Base IPCA'!$C$3:$C$14,'Base IPCA'!$D$3:$D$14,AH189,"Cubic","Extrapolate=Linear","MultiX=Average","Skip=True","Sort=True")</f>
        <v>#N/A Invalid Parameter: Interpolation value</v>
      </c>
    </row>
    <row r="190" spans="34:36" x14ac:dyDescent="0.25">
      <c r="AH190" s="42" t="e">
        <f t="shared" si="62"/>
        <v>#REF!</v>
      </c>
      <c r="AI190" s="43" t="str">
        <f ca="1">_xll.BInterpol('Base IPCA'!$C$3:$C$14,'Base IPCA'!$E$3:$E$14,AH190,"Cubic","Extrapolate=Linear","MultiX=Average","Skip=True","Sort=True")</f>
        <v>#N/A Invalid Parameter: Interpolation value</v>
      </c>
      <c r="AJ190" s="43" t="str">
        <f ca="1">_xll.BInterpol('Base IPCA'!$C$3:$C$14,'Base IPCA'!$D$3:$D$14,AH190,"Cubic","Extrapolate=Linear","MultiX=Average","Skip=True","Sort=True")</f>
        <v>#N/A Invalid Parameter: Interpolation value</v>
      </c>
    </row>
    <row r="191" spans="34:36" x14ac:dyDescent="0.25">
      <c r="AH191" s="42" t="e">
        <f t="shared" si="62"/>
        <v>#REF!</v>
      </c>
      <c r="AI191" s="43" t="str">
        <f ca="1">_xll.BInterpol('Base IPCA'!$C$3:$C$14,'Base IPCA'!$E$3:$E$14,AH191,"Cubic","Extrapolate=Linear","MultiX=Average","Skip=True","Sort=True")</f>
        <v>#N/A Invalid Parameter: Interpolation value</v>
      </c>
      <c r="AJ191" s="43" t="str">
        <f ca="1">_xll.BInterpol('Base IPCA'!$C$3:$C$14,'Base IPCA'!$D$3:$D$14,AH191,"Cubic","Extrapolate=Linear","MultiX=Average","Skip=True","Sort=True")</f>
        <v>#N/A Invalid Parameter: Interpolation value</v>
      </c>
    </row>
    <row r="192" spans="34:36" x14ac:dyDescent="0.25">
      <c r="AH192" s="42" t="e">
        <f t="shared" si="62"/>
        <v>#REF!</v>
      </c>
      <c r="AI192" s="43" t="str">
        <f ca="1">_xll.BInterpol('Base IPCA'!$C$3:$C$14,'Base IPCA'!$E$3:$E$14,AH192,"Cubic","Extrapolate=Linear","MultiX=Average","Skip=True","Sort=True")</f>
        <v>#N/A Invalid Parameter: Interpolation value</v>
      </c>
      <c r="AJ192" s="43" t="str">
        <f ca="1"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62"/>
        <v>#REF!</v>
      </c>
      <c r="AI193" s="43" t="str">
        <f ca="1">_xll.BInterpol('Base IPCA'!$C$3:$C$14,'Base IPCA'!$E$3:$E$14,AH193,"Cubic","Extrapolate=Linear","MultiX=Average","Skip=True","Sort=True")</f>
        <v>#N/A Invalid Parameter: Interpolation value</v>
      </c>
      <c r="AJ193" s="43" t="str">
        <f ca="1"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62"/>
        <v>#REF!</v>
      </c>
      <c r="AI194" s="43" t="str">
        <f ca="1">_xll.BInterpol('Base IPCA'!$C$3:$C$14,'Base IPCA'!$E$3:$E$14,AH194,"Cubic","Extrapolate=Linear","MultiX=Average","Skip=True","Sort=True")</f>
        <v>#N/A Invalid Parameter: Interpolation value</v>
      </c>
      <c r="AJ194" s="43" t="str">
        <f ca="1"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62"/>
        <v>#REF!</v>
      </c>
      <c r="AI195" s="43" t="str">
        <f ca="1">_xll.BInterpol('Base IPCA'!$C$3:$C$14,'Base IPCA'!$E$3:$E$14,AH195,"Cubic","Extrapolate=Linear","MultiX=Average","Skip=True","Sort=True")</f>
        <v>#N/A Invalid Parameter: Interpolation value</v>
      </c>
      <c r="AJ195" s="43" t="str">
        <f ca="1"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62"/>
        <v>#REF!</v>
      </c>
      <c r="AI196" s="43" t="str">
        <f ca="1">_xll.BInterpol('Base IPCA'!$C$3:$C$14,'Base IPCA'!$E$3:$E$14,AH196,"Cubic","Extrapolate=Linear","MultiX=Average","Skip=True","Sort=True")</f>
        <v>#N/A Invalid Parameter: Interpolation value</v>
      </c>
      <c r="AJ196" s="43" t="str">
        <f ca="1"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62"/>
        <v>#REF!</v>
      </c>
      <c r="AI197" s="43" t="str">
        <f ca="1">_xll.BInterpol('Base IPCA'!$C$3:$C$14,'Base IPCA'!$E$3:$E$14,AH197,"Cubic","Extrapolate=Linear","MultiX=Average","Skip=True","Sort=True")</f>
        <v>#N/A Invalid Parameter: Interpolation value</v>
      </c>
      <c r="AJ197" s="43" t="str">
        <f ca="1"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88">AH197+1</f>
        <v>#REF!</v>
      </c>
      <c r="AI198" s="43" t="str">
        <f ca="1">_xll.BInterpol('Base IPCA'!$C$3:$C$14,'Base IPCA'!$E$3:$E$14,AH198,"Cubic","Extrapolate=Linear","MultiX=Average","Skip=True","Sort=True")</f>
        <v>#N/A Invalid Parameter: Interpolation value</v>
      </c>
      <c r="AJ198" s="43" t="str">
        <f ca="1"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88"/>
        <v>#REF!</v>
      </c>
      <c r="AI199" s="43" t="str">
        <f ca="1">_xll.BInterpol('Base IPCA'!$C$3:$C$14,'Base IPCA'!$E$3:$E$14,AH199,"Cubic","Extrapolate=Linear","MultiX=Average","Skip=True","Sort=True")</f>
        <v>#N/A Invalid Parameter: Interpolation value</v>
      </c>
      <c r="AJ199" s="43" t="str">
        <f ca="1"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88"/>
        <v>#REF!</v>
      </c>
      <c r="AI200" s="43" t="str">
        <f ca="1">_xll.BInterpol('Base IPCA'!$C$3:$C$14,'Base IPCA'!$E$3:$E$14,AH200,"Cubic","Extrapolate=Linear","MultiX=Average","Skip=True","Sort=True")</f>
        <v>#N/A Invalid Parameter: Interpolation value</v>
      </c>
      <c r="AJ200" s="43" t="str">
        <f ca="1"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88"/>
        <v>#REF!</v>
      </c>
      <c r="AI201" s="43" t="str">
        <f ca="1">_xll.BInterpol('Base IPCA'!$C$3:$C$14,'Base IPCA'!$E$3:$E$14,AH201,"Cubic","Extrapolate=Linear","MultiX=Average","Skip=True","Sort=True")</f>
        <v>#N/A Invalid Parameter: Interpolation value</v>
      </c>
      <c r="AJ201" s="43" t="str">
        <f ca="1"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88"/>
        <v>#REF!</v>
      </c>
      <c r="AI202" s="43" t="str">
        <f ca="1">_xll.BInterpol('Base IPCA'!$C$3:$C$14,'Base IPCA'!$E$3:$E$14,AH202,"Cubic","Extrapolate=Linear","MultiX=Average","Skip=True","Sort=True")</f>
        <v>#N/A Invalid Parameter: Interpolation value</v>
      </c>
      <c r="AJ202" s="43" t="str">
        <f ca="1"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88"/>
        <v>#REF!</v>
      </c>
      <c r="AI203" s="43" t="str">
        <f ca="1">_xll.BInterpol('Base IPCA'!$C$3:$C$14,'Base IPCA'!$E$3:$E$14,AH203,"Cubic","Extrapolate=Linear","MultiX=Average","Skip=True","Sort=True")</f>
        <v>#N/A Invalid Parameter: Interpolation value</v>
      </c>
      <c r="AJ203" s="43" t="str">
        <f ca="1"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88"/>
        <v>#REF!</v>
      </c>
      <c r="AI204" s="43" t="str">
        <f ca="1">_xll.BInterpol('Base IPCA'!$C$3:$C$14,'Base IPCA'!$E$3:$E$14,AH204,"Cubic","Extrapolate=Linear","MultiX=Average","Skip=True","Sort=True")</f>
        <v>#N/A Invalid Parameter: Interpolation value</v>
      </c>
      <c r="AJ204" s="43" t="str">
        <f ca="1"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88"/>
        <v>#REF!</v>
      </c>
      <c r="AI205" s="43" t="str">
        <f ca="1">_xll.BInterpol('Base IPCA'!$C$3:$C$14,'Base IPCA'!$E$3:$E$14,AH205,"Cubic","Extrapolate=Linear","MultiX=Average","Skip=True","Sort=True")</f>
        <v>#N/A Invalid Parameter: Interpolation value</v>
      </c>
      <c r="AJ205" s="43" t="str">
        <f ca="1"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88"/>
        <v>#REF!</v>
      </c>
      <c r="AI206" s="43" t="str">
        <f ca="1">_xll.BInterpol('Base IPCA'!$C$3:$C$14,'Base IPCA'!$E$3:$E$14,AH206,"Cubic","Extrapolate=Linear","MultiX=Average","Skip=True","Sort=True")</f>
        <v>#N/A Invalid Parameter: Interpolation value</v>
      </c>
      <c r="AJ206" s="43" t="str">
        <f ca="1"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88"/>
        <v>#REF!</v>
      </c>
      <c r="AI207" s="43" t="str">
        <f ca="1">_xll.BInterpol('Base IPCA'!$C$3:$C$14,'Base IPCA'!$E$3:$E$14,AH207,"Cubic","Extrapolate=Linear","MultiX=Average","Skip=True","Sort=True")</f>
        <v>#N/A Invalid Parameter: Interpolation value</v>
      </c>
      <c r="AJ207" s="43" t="str">
        <f ca="1"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88"/>
        <v>#REF!</v>
      </c>
      <c r="AI208" s="43" t="str">
        <f ca="1">_xll.BInterpol('Base IPCA'!$C$3:$C$14,'Base IPCA'!$E$3:$E$14,AH208,"Cubic","Extrapolate=Linear","MultiX=Average","Skip=True","Sort=True")</f>
        <v>#N/A Invalid Parameter: Interpolation value</v>
      </c>
      <c r="AJ208" s="43" t="str">
        <f ca="1"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88"/>
        <v>#REF!</v>
      </c>
      <c r="AI209" s="43" t="str">
        <f ca="1">_xll.BInterpol('Base IPCA'!$C$3:$C$14,'Base IPCA'!$E$3:$E$14,AH209,"Cubic","Extrapolate=Linear","MultiX=Average","Skip=True","Sort=True")</f>
        <v>#N/A Invalid Parameter: Interpolation value</v>
      </c>
      <c r="AJ209" s="43" t="str">
        <f ca="1"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88"/>
        <v>#REF!</v>
      </c>
      <c r="AI210" s="43" t="str">
        <f ca="1">_xll.BInterpol('Base IPCA'!$C$3:$C$14,'Base IPCA'!$E$3:$E$14,AH210,"Cubic","Extrapolate=Linear","MultiX=Average","Skip=True","Sort=True")</f>
        <v>#N/A Invalid Parameter: Interpolation value</v>
      </c>
      <c r="AJ210" s="43" t="str">
        <f ca="1"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88"/>
        <v>#REF!</v>
      </c>
      <c r="AI211" s="43" t="str">
        <f ca="1">_xll.BInterpol('Base IPCA'!$C$3:$C$14,'Base IPCA'!$E$3:$E$14,AH211,"Cubic","Extrapolate=Linear","MultiX=Average","Skip=True","Sort=True")</f>
        <v>#N/A Invalid Parameter: Interpolation value</v>
      </c>
      <c r="AJ211" s="43" t="str">
        <f ca="1"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88"/>
        <v>#REF!</v>
      </c>
      <c r="AI212" s="43" t="str">
        <f ca="1">_xll.BInterpol('Base IPCA'!$C$3:$C$14,'Base IPCA'!$E$3:$E$14,AH212,"Cubic","Extrapolate=Linear","MultiX=Average","Skip=True","Sort=True")</f>
        <v>#N/A Invalid Parameter: Interpolation value</v>
      </c>
      <c r="AJ212" s="43" t="str">
        <f ca="1"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88"/>
        <v>#REF!</v>
      </c>
      <c r="AI213" s="43" t="str">
        <f ca="1">_xll.BInterpol('Base IPCA'!$C$3:$C$14,'Base IPCA'!$E$3:$E$14,AH213,"Cubic","Extrapolate=Linear","MultiX=Average","Skip=True","Sort=True")</f>
        <v>#N/A Invalid Parameter: Interpolation value</v>
      </c>
      <c r="AJ213" s="43" t="str">
        <f ca="1"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88"/>
        <v>#REF!</v>
      </c>
      <c r="AI214" s="43" t="str">
        <f ca="1">_xll.BInterpol('Base IPCA'!$C$3:$C$14,'Base IPCA'!$E$3:$E$14,AH214,"Cubic","Extrapolate=Linear","MultiX=Average","Skip=True","Sort=True")</f>
        <v>#N/A Invalid Parameter: Interpolation value</v>
      </c>
      <c r="AJ214" s="43" t="str">
        <f ca="1"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88"/>
        <v>#REF!</v>
      </c>
      <c r="AI215" s="43" t="str">
        <f ca="1">_xll.BInterpol('Base IPCA'!$C$3:$C$14,'Base IPCA'!$E$3:$E$14,AH215,"Cubic","Extrapolate=Linear","MultiX=Average","Skip=True","Sort=True")</f>
        <v>#N/A Invalid Parameter: Interpolation value</v>
      </c>
      <c r="AJ215" s="43" t="str">
        <f ca="1"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88"/>
        <v>#REF!</v>
      </c>
      <c r="AI216" s="43" t="str">
        <f ca="1">_xll.BInterpol('Base IPCA'!$C$3:$C$14,'Base IPCA'!$E$3:$E$14,AH216,"Cubic","Extrapolate=Linear","MultiX=Average","Skip=True","Sort=True")</f>
        <v>#N/A Invalid Parameter: Interpolation value</v>
      </c>
      <c r="AJ216" s="43" t="str">
        <f ca="1"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88"/>
        <v>#REF!</v>
      </c>
      <c r="AI217" s="43" t="str">
        <f ca="1">_xll.BInterpol('Base IPCA'!$C$3:$C$14,'Base IPCA'!$E$3:$E$14,AH217,"Cubic","Extrapolate=Linear","MultiX=Average","Skip=True","Sort=True")</f>
        <v>#N/A Invalid Parameter: Interpolation value</v>
      </c>
      <c r="AJ217" s="43" t="str">
        <f ca="1"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88"/>
        <v>#REF!</v>
      </c>
      <c r="AI218" s="43" t="str">
        <f ca="1">_xll.BInterpol('Base IPCA'!$C$3:$C$14,'Base IPCA'!$E$3:$E$14,AH218,"Cubic","Extrapolate=Linear","MultiX=Average","Skip=True","Sort=True")</f>
        <v>#N/A Invalid Parameter: Interpolation value</v>
      </c>
      <c r="AJ218" s="43" t="str">
        <f ca="1"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88"/>
        <v>#REF!</v>
      </c>
      <c r="AI219" s="43" t="str">
        <f ca="1">_xll.BInterpol('Base IPCA'!$C$3:$C$14,'Base IPCA'!$E$3:$E$14,AH219,"Cubic","Extrapolate=Linear","MultiX=Average","Skip=True","Sort=True")</f>
        <v>#N/A Invalid Parameter: Interpolation value</v>
      </c>
      <c r="AJ219" s="43" t="str">
        <f ca="1"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88"/>
        <v>#REF!</v>
      </c>
      <c r="AI220" s="43" t="str">
        <f ca="1">_xll.BInterpol('Base IPCA'!$C$3:$C$14,'Base IPCA'!$E$3:$E$14,AH220,"Cubic","Extrapolate=Linear","MultiX=Average","Skip=True","Sort=True")</f>
        <v>#N/A Invalid Parameter: Interpolation value</v>
      </c>
      <c r="AJ220" s="43" t="str">
        <f ca="1"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88"/>
        <v>#REF!</v>
      </c>
      <c r="AI221" s="43" t="str">
        <f ca="1">_xll.BInterpol('Base IPCA'!$C$3:$C$14,'Base IPCA'!$E$3:$E$14,AH221,"Cubic","Extrapolate=Linear","MultiX=Average","Skip=True","Sort=True")</f>
        <v>#N/A Invalid Parameter: Interpolation value</v>
      </c>
      <c r="AJ221" s="43" t="str">
        <f ca="1"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88"/>
        <v>#REF!</v>
      </c>
      <c r="AI222" s="43" t="str">
        <f ca="1">_xll.BInterpol('Base IPCA'!$C$3:$C$14,'Base IPCA'!$E$3:$E$14,AH222,"Cubic","Extrapolate=Linear","MultiX=Average","Skip=True","Sort=True")</f>
        <v>#N/A Invalid Parameter: Interpolation value</v>
      </c>
      <c r="AJ222" s="43" t="str">
        <f ca="1"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88"/>
        <v>#REF!</v>
      </c>
      <c r="AI223" s="43" t="str">
        <f ca="1">_xll.BInterpol('Base IPCA'!$C$3:$C$14,'Base IPCA'!$E$3:$E$14,AH223,"Cubic","Extrapolate=Linear","MultiX=Average","Skip=True","Sort=True")</f>
        <v>#N/A Invalid Parameter: Interpolation value</v>
      </c>
      <c r="AJ223" s="43" t="str">
        <f ca="1"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88"/>
        <v>#REF!</v>
      </c>
      <c r="AI224" s="43" t="str">
        <f ca="1">_xll.BInterpol('Base IPCA'!$C$3:$C$14,'Base IPCA'!$E$3:$E$14,AH224,"Cubic","Extrapolate=Linear","MultiX=Average","Skip=True","Sort=True")</f>
        <v>#N/A Invalid Parameter: Interpolation value</v>
      </c>
      <c r="AJ224" s="43" t="str">
        <f ca="1"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88"/>
        <v>#REF!</v>
      </c>
      <c r="AI225" s="43" t="str">
        <f ca="1">_xll.BInterpol('Base IPCA'!$C$3:$C$14,'Base IPCA'!$E$3:$E$14,AH225,"Cubic","Extrapolate=Linear","MultiX=Average","Skip=True","Sort=True")</f>
        <v>#N/A Invalid Parameter: Interpolation value</v>
      </c>
      <c r="AJ225" s="43" t="str">
        <f ca="1"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88"/>
        <v>#REF!</v>
      </c>
      <c r="AI226" s="43" t="str">
        <f ca="1">_xll.BInterpol('Base IPCA'!$C$3:$C$14,'Base IPCA'!$E$3:$E$14,AH226,"Cubic","Extrapolate=Linear","MultiX=Average","Skip=True","Sort=True")</f>
        <v>#N/A Invalid Parameter: Interpolation value</v>
      </c>
      <c r="AJ226" s="43" t="str">
        <f ca="1"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88"/>
        <v>#REF!</v>
      </c>
      <c r="AI227" s="43" t="str">
        <f ca="1">_xll.BInterpol('Base IPCA'!$C$3:$C$14,'Base IPCA'!$E$3:$E$14,AH227,"Cubic","Extrapolate=Linear","MultiX=Average","Skip=True","Sort=True")</f>
        <v>#N/A Invalid Parameter: Interpolation value</v>
      </c>
      <c r="AJ227" s="43" t="str">
        <f ca="1"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88"/>
        <v>#REF!</v>
      </c>
      <c r="AI228" s="43" t="str">
        <f ca="1">_xll.BInterpol('Base IPCA'!$C$3:$C$14,'Base IPCA'!$E$3:$E$14,AH228,"Cubic","Extrapolate=Linear","MultiX=Average","Skip=True","Sort=True")</f>
        <v>#N/A Invalid Parameter: Interpolation value</v>
      </c>
      <c r="AJ228" s="43" t="str">
        <f ca="1"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88"/>
        <v>#REF!</v>
      </c>
      <c r="AI229" s="43" t="str">
        <f ca="1">_xll.BInterpol('Base IPCA'!$C$3:$C$14,'Base IPCA'!$E$3:$E$14,AH229,"Cubic","Extrapolate=Linear","MultiX=Average","Skip=True","Sort=True")</f>
        <v>#N/A Invalid Parameter: Interpolation value</v>
      </c>
      <c r="AJ229" s="43" t="str">
        <f ca="1"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88"/>
        <v>#REF!</v>
      </c>
      <c r="AI230" s="43" t="str">
        <f ca="1">_xll.BInterpol('Base IPCA'!$C$3:$C$14,'Base IPCA'!$E$3:$E$14,AH230,"Cubic","Extrapolate=Linear","MultiX=Average","Skip=True","Sort=True")</f>
        <v>#N/A Invalid Parameter: Interpolation value</v>
      </c>
      <c r="AJ230" s="43" t="str">
        <f ca="1"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88"/>
        <v>#REF!</v>
      </c>
      <c r="AI231" s="43" t="str">
        <f ca="1">_xll.BInterpol('Base IPCA'!$C$3:$C$14,'Base IPCA'!$E$3:$E$14,AH231,"Cubic","Extrapolate=Linear","MultiX=Average","Skip=True","Sort=True")</f>
        <v>#N/A Invalid Parameter: Interpolation value</v>
      </c>
      <c r="AJ231" s="43" t="str">
        <f ca="1"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88"/>
        <v>#REF!</v>
      </c>
      <c r="AI232" s="43" t="str">
        <f ca="1">_xll.BInterpol('Base IPCA'!$C$3:$C$14,'Base IPCA'!$E$3:$E$14,AH232,"Cubic","Extrapolate=Linear","MultiX=Average","Skip=True","Sort=True")</f>
        <v>#N/A Invalid Parameter: Interpolation value</v>
      </c>
      <c r="AJ232" s="43" t="str">
        <f ca="1"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88"/>
        <v>#REF!</v>
      </c>
      <c r="AI233" s="43" t="str">
        <f ca="1">_xll.BInterpol('Base IPCA'!$C$3:$C$14,'Base IPCA'!$E$3:$E$14,AH233,"Cubic","Extrapolate=Linear","MultiX=Average","Skip=True","Sort=True")</f>
        <v>#N/A Invalid Parameter: Interpolation value</v>
      </c>
      <c r="AJ233" s="43" t="str">
        <f ca="1"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88"/>
        <v>#REF!</v>
      </c>
      <c r="AI234" s="43" t="str">
        <f ca="1">_xll.BInterpol('Base IPCA'!$C$3:$C$14,'Base IPCA'!$E$3:$E$14,AH234,"Cubic","Extrapolate=Linear","MultiX=Average","Skip=True","Sort=True")</f>
        <v>#N/A Invalid Parameter: Interpolation value</v>
      </c>
      <c r="AJ234" s="43" t="str">
        <f ca="1"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88"/>
        <v>#REF!</v>
      </c>
      <c r="AI235" s="43" t="str">
        <f ca="1">_xll.BInterpol('Base IPCA'!$C$3:$C$14,'Base IPCA'!$E$3:$E$14,AH235,"Cubic","Extrapolate=Linear","MultiX=Average","Skip=True","Sort=True")</f>
        <v>#N/A Invalid Parameter: Interpolation value</v>
      </c>
      <c r="AJ235" s="43" t="str">
        <f ca="1"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88"/>
        <v>#REF!</v>
      </c>
      <c r="AI236" s="43" t="str">
        <f ca="1">_xll.BInterpol('Base IPCA'!$C$3:$C$14,'Base IPCA'!$E$3:$E$14,AH236,"Cubic","Extrapolate=Linear","MultiX=Average","Skip=True","Sort=True")</f>
        <v>#N/A Invalid Parameter: Interpolation value</v>
      </c>
      <c r="AJ236" s="43" t="str">
        <f ca="1"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88"/>
        <v>#REF!</v>
      </c>
      <c r="AI237" s="43" t="str">
        <f ca="1">_xll.BInterpol('Base IPCA'!$C$3:$C$14,'Base IPCA'!$E$3:$E$14,AH237,"Cubic","Extrapolate=Linear","MultiX=Average","Skip=True","Sort=True")</f>
        <v>#N/A Invalid Parameter: Interpolation value</v>
      </c>
      <c r="AJ237" s="43" t="str">
        <f ca="1"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88"/>
        <v>#REF!</v>
      </c>
      <c r="AI238" s="43" t="str">
        <f ca="1">_xll.BInterpol('Base IPCA'!$C$3:$C$14,'Base IPCA'!$E$3:$E$14,AH238,"Cubic","Extrapolate=Linear","MultiX=Average","Skip=True","Sort=True")</f>
        <v>#N/A Invalid Parameter: Interpolation value</v>
      </c>
      <c r="AJ238" s="43" t="str">
        <f ca="1"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88"/>
        <v>#REF!</v>
      </c>
      <c r="AI239" s="43" t="str">
        <f ca="1">_xll.BInterpol('Base IPCA'!$C$3:$C$14,'Base IPCA'!$E$3:$E$14,AH239,"Cubic","Extrapolate=Linear","MultiX=Average","Skip=True","Sort=True")</f>
        <v>#N/A Invalid Parameter: Interpolation value</v>
      </c>
      <c r="AJ239" s="43" t="str">
        <f ca="1"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88"/>
        <v>#REF!</v>
      </c>
      <c r="AI240" s="43" t="str">
        <f ca="1">_xll.BInterpol('Base IPCA'!$C$3:$C$14,'Base IPCA'!$E$3:$E$14,AH240,"Cubic","Extrapolate=Linear","MultiX=Average","Skip=True","Sort=True")</f>
        <v>#N/A Invalid Parameter: Interpolation value</v>
      </c>
      <c r="AJ240" s="43" t="str">
        <f ca="1"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88"/>
        <v>#REF!</v>
      </c>
      <c r="AI241" s="43" t="str">
        <f ca="1">_xll.BInterpol('Base IPCA'!$C$3:$C$14,'Base IPCA'!$E$3:$E$14,AH241,"Cubic","Extrapolate=Linear","MultiX=Average","Skip=True","Sort=True")</f>
        <v>#N/A Invalid Parameter: Interpolation value</v>
      </c>
      <c r="AJ241" s="43" t="str">
        <f ca="1"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88"/>
        <v>#REF!</v>
      </c>
      <c r="AI242" s="43" t="str">
        <f ca="1">_xll.BInterpol('Base IPCA'!$C$3:$C$14,'Base IPCA'!$E$3:$E$14,AH242,"Cubic","Extrapolate=Linear","MultiX=Average","Skip=True","Sort=True")</f>
        <v>#N/A Invalid Parameter: Interpolation value</v>
      </c>
      <c r="AJ242" s="43" t="str">
        <f ca="1"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88"/>
        <v>#REF!</v>
      </c>
      <c r="AI243" s="43" t="str">
        <f ca="1">_xll.BInterpol('Base IPCA'!$C$3:$C$14,'Base IPCA'!$E$3:$E$14,AH243,"Cubic","Extrapolate=Linear","MultiX=Average","Skip=True","Sort=True")</f>
        <v>#N/A Invalid Parameter: Interpolation value</v>
      </c>
      <c r="AJ243" s="43" t="str">
        <f ca="1"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88"/>
        <v>#REF!</v>
      </c>
      <c r="AI244" s="43" t="str">
        <f ca="1">_xll.BInterpol('Base IPCA'!$C$3:$C$14,'Base IPCA'!$E$3:$E$14,AH244,"Cubic","Extrapolate=Linear","MultiX=Average","Skip=True","Sort=True")</f>
        <v>#N/A Invalid Parameter: Interpolation value</v>
      </c>
      <c r="AJ244" s="43" t="str">
        <f ca="1"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88"/>
        <v>#REF!</v>
      </c>
      <c r="AI245" s="43" t="str">
        <f ca="1">_xll.BInterpol('Base IPCA'!$C$3:$C$14,'Base IPCA'!$E$3:$E$14,AH245,"Cubic","Extrapolate=Linear","MultiX=Average","Skip=True","Sort=True")</f>
        <v>#N/A Invalid Parameter: Interpolation value</v>
      </c>
      <c r="AJ245" s="43" t="str">
        <f ca="1"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88"/>
        <v>#REF!</v>
      </c>
      <c r="AI246" s="43" t="str">
        <f ca="1">_xll.BInterpol('Base IPCA'!$C$3:$C$14,'Base IPCA'!$E$3:$E$14,AH246,"Cubic","Extrapolate=Linear","MultiX=Average","Skip=True","Sort=True")</f>
        <v>#N/A Invalid Parameter: Interpolation value</v>
      </c>
      <c r="AJ246" s="43" t="str">
        <f ca="1"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88"/>
        <v>#REF!</v>
      </c>
      <c r="AI247" s="43" t="str">
        <f ca="1">_xll.BInterpol('Base IPCA'!$C$3:$C$14,'Base IPCA'!$E$3:$E$14,AH247,"Cubic","Extrapolate=Linear","MultiX=Average","Skip=True","Sort=True")</f>
        <v>#N/A Invalid Parameter: Interpolation value</v>
      </c>
      <c r="AJ247" s="43" t="str">
        <f ca="1"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88"/>
        <v>#REF!</v>
      </c>
      <c r="AI248" s="43" t="str">
        <f ca="1">_xll.BInterpol('Base IPCA'!$C$3:$C$14,'Base IPCA'!$E$3:$E$14,AH248,"Cubic","Extrapolate=Linear","MultiX=Average","Skip=True","Sort=True")</f>
        <v>#N/A Invalid Parameter: Interpolation value</v>
      </c>
      <c r="AJ248" s="43" t="str">
        <f ca="1"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88"/>
        <v>#REF!</v>
      </c>
      <c r="AI249" s="43" t="str">
        <f ca="1">_xll.BInterpol('Base IPCA'!$C$3:$C$14,'Base IPCA'!$E$3:$E$14,AH249,"Cubic","Extrapolate=Linear","MultiX=Average","Skip=True","Sort=True")</f>
        <v>#N/A Invalid Parameter: Interpolation value</v>
      </c>
      <c r="AJ249" s="43" t="str">
        <f ca="1"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88"/>
        <v>#REF!</v>
      </c>
      <c r="AI250" s="43" t="str">
        <f ca="1">_xll.BInterpol('Base IPCA'!$C$3:$C$14,'Base IPCA'!$E$3:$E$14,AH250,"Cubic","Extrapolate=Linear","MultiX=Average","Skip=True","Sort=True")</f>
        <v>#N/A Invalid Parameter: Interpolation value</v>
      </c>
      <c r="AJ250" s="43" t="str">
        <f ca="1"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88"/>
        <v>#REF!</v>
      </c>
      <c r="AI251" s="43" t="str">
        <f ca="1">_xll.BInterpol('Base IPCA'!$C$3:$C$14,'Base IPCA'!$E$3:$E$14,AH251,"Cubic","Extrapolate=Linear","MultiX=Average","Skip=True","Sort=True")</f>
        <v>#N/A Invalid Parameter: Interpolation value</v>
      </c>
      <c r="AJ251" s="43" t="str">
        <f ca="1"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88"/>
        <v>#REF!</v>
      </c>
      <c r="AI252" s="43" t="str">
        <f ca="1">_xll.BInterpol('Base IPCA'!$C$3:$C$14,'Base IPCA'!$E$3:$E$14,AH252,"Cubic","Extrapolate=Linear","MultiX=Average","Skip=True","Sort=True")</f>
        <v>#N/A Invalid Parameter: Interpolation value</v>
      </c>
      <c r="AJ252" s="43" t="str">
        <f ca="1"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88"/>
        <v>#REF!</v>
      </c>
      <c r="AI253" s="43" t="str">
        <f ca="1">_xll.BInterpol('Base IPCA'!$C$3:$C$14,'Base IPCA'!$E$3:$E$14,AH253,"Cubic","Extrapolate=Linear","MultiX=Average","Skip=True","Sort=True")</f>
        <v>#N/A Invalid Parameter: Interpolation value</v>
      </c>
      <c r="AJ253" s="43" t="str">
        <f ca="1"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88"/>
        <v>#REF!</v>
      </c>
      <c r="AI254" s="43" t="str">
        <f ca="1">_xll.BInterpol('Base IPCA'!$C$3:$C$14,'Base IPCA'!$E$3:$E$14,AH254,"Cubic","Extrapolate=Linear","MultiX=Average","Skip=True","Sort=True")</f>
        <v>#N/A Invalid Parameter: Interpolation value</v>
      </c>
      <c r="AJ254" s="43" t="str">
        <f ca="1"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88"/>
        <v>#REF!</v>
      </c>
      <c r="AI255" s="43" t="str">
        <f ca="1">_xll.BInterpol('Base IPCA'!$C$3:$C$14,'Base IPCA'!$E$3:$E$14,AH255,"Cubic","Extrapolate=Linear","MultiX=Average","Skip=True","Sort=True")</f>
        <v>#N/A Invalid Parameter: Interpolation value</v>
      </c>
      <c r="AJ255" s="43" t="str">
        <f ca="1"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88"/>
        <v>#REF!</v>
      </c>
      <c r="AI256" s="43" t="str">
        <f ca="1">_xll.BInterpol('Base IPCA'!$C$3:$C$14,'Base IPCA'!$E$3:$E$14,AH256,"Cubic","Extrapolate=Linear","MultiX=Average","Skip=True","Sort=True")</f>
        <v>#N/A Invalid Parameter: Interpolation value</v>
      </c>
      <c r="AJ256" s="43" t="str">
        <f ca="1"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88"/>
        <v>#REF!</v>
      </c>
      <c r="AI257" s="43" t="str">
        <f ca="1">_xll.BInterpol('Base IPCA'!$C$3:$C$14,'Base IPCA'!$E$3:$E$14,AH257,"Cubic","Extrapolate=Linear","MultiX=Average","Skip=True","Sort=True")</f>
        <v>#N/A Invalid Parameter: Interpolation value</v>
      </c>
      <c r="AJ257" s="43" t="str">
        <f ca="1"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88"/>
        <v>#REF!</v>
      </c>
      <c r="AI258" s="43" t="str">
        <f ca="1">_xll.BInterpol('Base IPCA'!$C$3:$C$14,'Base IPCA'!$E$3:$E$14,AH258,"Cubic","Extrapolate=Linear","MultiX=Average","Skip=True","Sort=True")</f>
        <v>#N/A Invalid Parameter: Interpolation value</v>
      </c>
      <c r="AJ258" s="43" t="str">
        <f ca="1"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88"/>
        <v>#REF!</v>
      </c>
      <c r="AI259" s="43" t="str">
        <f ca="1">_xll.BInterpol('Base IPCA'!$C$3:$C$14,'Base IPCA'!$E$3:$E$14,AH259,"Cubic","Extrapolate=Linear","MultiX=Average","Skip=True","Sort=True")</f>
        <v>#N/A Invalid Parameter: Interpolation value</v>
      </c>
      <c r="AJ259" s="43" t="str">
        <f ca="1"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88"/>
        <v>#REF!</v>
      </c>
      <c r="AI260" s="43" t="str">
        <f ca="1">_xll.BInterpol('Base IPCA'!$C$3:$C$14,'Base IPCA'!$E$3:$E$14,AH260,"Cubic","Extrapolate=Linear","MultiX=Average","Skip=True","Sort=True")</f>
        <v>#N/A Invalid Parameter: Interpolation value</v>
      </c>
      <c r="AJ260" s="43" t="str">
        <f ca="1"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88"/>
        <v>#REF!</v>
      </c>
      <c r="AI261" s="43" t="str">
        <f ca="1">_xll.BInterpol('Base IPCA'!$C$3:$C$14,'Base IPCA'!$E$3:$E$14,AH261,"Cubic","Extrapolate=Linear","MultiX=Average","Skip=True","Sort=True")</f>
        <v>#N/A Invalid Parameter: Interpolation value</v>
      </c>
      <c r="AJ261" s="43" t="str">
        <f ca="1"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89">AH261+1</f>
        <v>#REF!</v>
      </c>
      <c r="AI262" s="43" t="str">
        <f ca="1">_xll.BInterpol('Base IPCA'!$C$3:$C$14,'Base IPCA'!$E$3:$E$14,AH262,"Cubic","Extrapolate=Linear","MultiX=Average","Skip=True","Sort=True")</f>
        <v>#N/A Invalid Parameter: Interpolation value</v>
      </c>
      <c r="AJ262" s="43" t="str">
        <f ca="1"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89"/>
        <v>#REF!</v>
      </c>
      <c r="AI263" s="43" t="str">
        <f ca="1">_xll.BInterpol('Base IPCA'!$C$3:$C$14,'Base IPCA'!$E$3:$E$14,AH263,"Cubic","Extrapolate=Linear","MultiX=Average","Skip=True","Sort=True")</f>
        <v>#N/A Invalid Parameter: Interpolation value</v>
      </c>
      <c r="AJ263" s="43" t="str">
        <f ca="1"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89"/>
        <v>#REF!</v>
      </c>
      <c r="AI264" s="43" t="str">
        <f ca="1">_xll.BInterpol('Base IPCA'!$C$3:$C$14,'Base IPCA'!$E$3:$E$14,AH264,"Cubic","Extrapolate=Linear","MultiX=Average","Skip=True","Sort=True")</f>
        <v>#N/A Invalid Parameter: Interpolation value</v>
      </c>
      <c r="AJ264" s="43" t="str">
        <f ca="1"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89"/>
        <v>#REF!</v>
      </c>
      <c r="AI265" s="43" t="str">
        <f ca="1">_xll.BInterpol('Base IPCA'!$C$3:$C$14,'Base IPCA'!$E$3:$E$14,AH265,"Cubic","Extrapolate=Linear","MultiX=Average","Skip=True","Sort=True")</f>
        <v>#N/A Invalid Parameter: Interpolation value</v>
      </c>
      <c r="AJ265" s="43" t="str">
        <f ca="1"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89"/>
        <v>#REF!</v>
      </c>
      <c r="AI266" s="43" t="str">
        <f ca="1">_xll.BInterpol('Base IPCA'!$C$3:$C$14,'Base IPCA'!$E$3:$E$14,AH266,"Cubic","Extrapolate=Linear","MultiX=Average","Skip=True","Sort=True")</f>
        <v>#N/A Invalid Parameter: Interpolation value</v>
      </c>
      <c r="AJ266" s="43" t="str">
        <f ca="1"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89"/>
        <v>#REF!</v>
      </c>
      <c r="AI267" s="43" t="str">
        <f ca="1">_xll.BInterpol('Base IPCA'!$C$3:$C$14,'Base IPCA'!$E$3:$E$14,AH267,"Cubic","Extrapolate=Linear","MultiX=Average","Skip=True","Sort=True")</f>
        <v>#N/A Invalid Parameter: Interpolation value</v>
      </c>
      <c r="AJ267" s="43" t="str">
        <f ca="1"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89"/>
        <v>#REF!</v>
      </c>
      <c r="AI268" s="43" t="str">
        <f ca="1">_xll.BInterpol('Base IPCA'!$C$3:$C$14,'Base IPCA'!$E$3:$E$14,AH268,"Cubic","Extrapolate=Linear","MultiX=Average","Skip=True","Sort=True")</f>
        <v>#N/A Invalid Parameter: Interpolation value</v>
      </c>
      <c r="AJ268" s="43" t="str">
        <f ca="1"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89"/>
        <v>#REF!</v>
      </c>
      <c r="AI269" s="43" t="str">
        <f ca="1">_xll.BInterpol('Base IPCA'!$C$3:$C$14,'Base IPCA'!$E$3:$E$14,AH269,"Cubic","Extrapolate=Linear","MultiX=Average","Skip=True","Sort=True")</f>
        <v>#N/A Invalid Parameter: Interpolation value</v>
      </c>
      <c r="AJ269" s="43" t="str">
        <f ca="1"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89"/>
        <v>#REF!</v>
      </c>
      <c r="AI270" s="43" t="str">
        <f ca="1">_xll.BInterpol('Base IPCA'!$C$3:$C$14,'Base IPCA'!$E$3:$E$14,AH270,"Cubic","Extrapolate=Linear","MultiX=Average","Skip=True","Sort=True")</f>
        <v>#N/A Invalid Parameter: Interpolation value</v>
      </c>
      <c r="AJ270" s="43" t="str">
        <f ca="1"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89"/>
        <v>#REF!</v>
      </c>
      <c r="AI271" s="43" t="str">
        <f ca="1">_xll.BInterpol('Base IPCA'!$C$3:$C$14,'Base IPCA'!$E$3:$E$14,AH271,"Cubic","Extrapolate=Linear","MultiX=Average","Skip=True","Sort=True")</f>
        <v>#N/A Invalid Parameter: Interpolation value</v>
      </c>
      <c r="AJ271" s="43" t="str">
        <f ca="1"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89"/>
        <v>#REF!</v>
      </c>
      <c r="AI272" s="43" t="str">
        <f ca="1">_xll.BInterpol('Base IPCA'!$C$3:$C$14,'Base IPCA'!$E$3:$E$14,AH272,"Cubic","Extrapolate=Linear","MultiX=Average","Skip=True","Sort=True")</f>
        <v>#N/A Invalid Parameter: Interpolation value</v>
      </c>
      <c r="AJ272" s="43" t="str">
        <f ca="1"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89"/>
        <v>#REF!</v>
      </c>
      <c r="AI273" s="43" t="str">
        <f ca="1">_xll.BInterpol('Base IPCA'!$C$3:$C$14,'Base IPCA'!$E$3:$E$14,AH273,"Cubic","Extrapolate=Linear","MultiX=Average","Skip=True","Sort=True")</f>
        <v>#N/A Invalid Parameter: Interpolation value</v>
      </c>
      <c r="AJ273" s="43" t="str">
        <f ca="1"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89"/>
        <v>#REF!</v>
      </c>
      <c r="AI274" s="43" t="str">
        <f ca="1">_xll.BInterpol('Base IPCA'!$C$3:$C$14,'Base IPCA'!$E$3:$E$14,AH274,"Cubic","Extrapolate=Linear","MultiX=Average","Skip=True","Sort=True")</f>
        <v>#N/A Invalid Parameter: Interpolation value</v>
      </c>
      <c r="AJ274" s="43" t="str">
        <f ca="1"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89"/>
        <v>#REF!</v>
      </c>
      <c r="AI275" s="43" t="str">
        <f ca="1">_xll.BInterpol('Base IPCA'!$C$3:$C$14,'Base IPCA'!$E$3:$E$14,AH275,"Cubic","Extrapolate=Linear","MultiX=Average","Skip=True","Sort=True")</f>
        <v>#N/A Invalid Parameter: Interpolation value</v>
      </c>
      <c r="AJ275" s="43" t="str">
        <f ca="1"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89"/>
        <v>#REF!</v>
      </c>
      <c r="AI276" s="43" t="str">
        <f ca="1">_xll.BInterpol('Base IPCA'!$C$3:$C$14,'Base IPCA'!$E$3:$E$14,AH276,"Cubic","Extrapolate=Linear","MultiX=Average","Skip=True","Sort=True")</f>
        <v>#N/A Invalid Parameter: Interpolation value</v>
      </c>
      <c r="AJ276" s="43" t="str">
        <f ca="1"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89"/>
        <v>#REF!</v>
      </c>
      <c r="AI277" s="43" t="str">
        <f ca="1">_xll.BInterpol('Base IPCA'!$C$3:$C$14,'Base IPCA'!$E$3:$E$14,AH277,"Cubic","Extrapolate=Linear","MultiX=Average","Skip=True","Sort=True")</f>
        <v>#N/A Invalid Parameter: Interpolation value</v>
      </c>
      <c r="AJ277" s="43" t="str">
        <f ca="1"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89"/>
        <v>#REF!</v>
      </c>
      <c r="AI278" s="43" t="str">
        <f ca="1">_xll.BInterpol('Base IPCA'!$C$3:$C$14,'Base IPCA'!$E$3:$E$14,AH278,"Cubic","Extrapolate=Linear","MultiX=Average","Skip=True","Sort=True")</f>
        <v>#N/A Invalid Parameter: Interpolation value</v>
      </c>
      <c r="AJ278" s="43" t="str">
        <f ca="1"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89"/>
        <v>#REF!</v>
      </c>
      <c r="AI279" s="43" t="str">
        <f ca="1">_xll.BInterpol('Base IPCA'!$C$3:$C$14,'Base IPCA'!$E$3:$E$14,AH279,"Cubic","Extrapolate=Linear","MultiX=Average","Skip=True","Sort=True")</f>
        <v>#N/A Invalid Parameter: Interpolation value</v>
      </c>
      <c r="AJ279" s="43" t="str">
        <f ca="1"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89"/>
        <v>#REF!</v>
      </c>
      <c r="AI280" s="43" t="str">
        <f ca="1">_xll.BInterpol('Base IPCA'!$C$3:$C$14,'Base IPCA'!$E$3:$E$14,AH280,"Cubic","Extrapolate=Linear","MultiX=Average","Skip=True","Sort=True")</f>
        <v>#N/A Invalid Parameter: Interpolation value</v>
      </c>
      <c r="AJ280" s="43" t="str">
        <f ca="1"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89"/>
        <v>#REF!</v>
      </c>
      <c r="AI281" s="43" t="str">
        <f ca="1">_xll.BInterpol('Base IPCA'!$C$3:$C$14,'Base IPCA'!$E$3:$E$14,AH281,"Cubic","Extrapolate=Linear","MultiX=Average","Skip=True","Sort=True")</f>
        <v>#N/A Invalid Parameter: Interpolation value</v>
      </c>
      <c r="AJ281" s="43" t="str">
        <f ca="1"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89"/>
        <v>#REF!</v>
      </c>
      <c r="AI282" s="43" t="str">
        <f ca="1">_xll.BInterpol('Base IPCA'!$C$3:$C$14,'Base IPCA'!$E$3:$E$14,AH282,"Cubic","Extrapolate=Linear","MultiX=Average","Skip=True","Sort=True")</f>
        <v>#N/A Invalid Parameter: Interpolation value</v>
      </c>
      <c r="AJ282" s="43" t="str">
        <f ca="1"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89"/>
        <v>#REF!</v>
      </c>
      <c r="AI283" s="43" t="str">
        <f ca="1">_xll.BInterpol('Base IPCA'!$C$3:$C$14,'Base IPCA'!$E$3:$E$14,AH283,"Cubic","Extrapolate=Linear","MultiX=Average","Skip=True","Sort=True")</f>
        <v>#N/A Invalid Parameter: Interpolation value</v>
      </c>
      <c r="AJ283" s="43" t="str">
        <f ca="1"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89"/>
        <v>#REF!</v>
      </c>
      <c r="AI284" s="43" t="str">
        <f ca="1">_xll.BInterpol('Base IPCA'!$C$3:$C$14,'Base IPCA'!$E$3:$E$14,AH284,"Cubic","Extrapolate=Linear","MultiX=Average","Skip=True","Sort=True")</f>
        <v>#N/A Invalid Parameter: Interpolation value</v>
      </c>
      <c r="AJ284" s="43" t="str">
        <f ca="1"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89"/>
        <v>#REF!</v>
      </c>
      <c r="AI285" s="43" t="str">
        <f ca="1">_xll.BInterpol('Base IPCA'!$C$3:$C$14,'Base IPCA'!$E$3:$E$14,AH285,"Cubic","Extrapolate=Linear","MultiX=Average","Skip=True","Sort=True")</f>
        <v>#N/A Invalid Parameter: Interpolation value</v>
      </c>
      <c r="AJ285" s="43" t="str">
        <f ca="1"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89"/>
        <v>#REF!</v>
      </c>
      <c r="AI286" s="43" t="str">
        <f ca="1">_xll.BInterpol('Base IPCA'!$C$3:$C$14,'Base IPCA'!$E$3:$E$14,AH286,"Cubic","Extrapolate=Linear","MultiX=Average","Skip=True","Sort=True")</f>
        <v>#N/A Invalid Parameter: Interpolation value</v>
      </c>
      <c r="AJ286" s="43" t="str">
        <f ca="1"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89"/>
        <v>#REF!</v>
      </c>
      <c r="AI287" s="43" t="str">
        <f ca="1">_xll.BInterpol('Base IPCA'!$C$3:$C$14,'Base IPCA'!$E$3:$E$14,AH287,"Cubic","Extrapolate=Linear","MultiX=Average","Skip=True","Sort=True")</f>
        <v>#N/A Invalid Parameter: Interpolation value</v>
      </c>
      <c r="AJ287" s="43" t="str">
        <f ca="1"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89"/>
        <v>#REF!</v>
      </c>
      <c r="AI288" s="43" t="str">
        <f ca="1">_xll.BInterpol('Base IPCA'!$C$3:$C$14,'Base IPCA'!$E$3:$E$14,AH288,"Cubic","Extrapolate=Linear","MultiX=Average","Skip=True","Sort=True")</f>
        <v>#N/A Invalid Parameter: Interpolation value</v>
      </c>
      <c r="AJ288" s="43" t="str">
        <f ca="1"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89"/>
        <v>#REF!</v>
      </c>
      <c r="AI289" s="43" t="str">
        <f ca="1">_xll.BInterpol('Base IPCA'!$C$3:$C$14,'Base IPCA'!$E$3:$E$14,AH289,"Cubic","Extrapolate=Linear","MultiX=Average","Skip=True","Sort=True")</f>
        <v>#N/A Invalid Parameter: Interpolation value</v>
      </c>
      <c r="AJ289" s="43" t="str">
        <f ca="1"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89"/>
        <v>#REF!</v>
      </c>
      <c r="AI290" s="43" t="str">
        <f ca="1">_xll.BInterpol('Base IPCA'!$C$3:$C$14,'Base IPCA'!$E$3:$E$14,AH290,"Cubic","Extrapolate=Linear","MultiX=Average","Skip=True","Sort=True")</f>
        <v>#N/A Invalid Parameter: Interpolation value</v>
      </c>
      <c r="AJ290" s="43" t="str">
        <f ca="1"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89"/>
        <v>#REF!</v>
      </c>
      <c r="AI291" s="43" t="str">
        <f ca="1">_xll.BInterpol('Base IPCA'!$C$3:$C$14,'Base IPCA'!$E$3:$E$14,AH291,"Cubic","Extrapolate=Linear","MultiX=Average","Skip=True","Sort=True")</f>
        <v>#N/A Invalid Parameter: Interpolation value</v>
      </c>
      <c r="AJ291" s="43" t="str">
        <f ca="1"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89"/>
        <v>#REF!</v>
      </c>
      <c r="AI292" s="43" t="str">
        <f ca="1">_xll.BInterpol('Base IPCA'!$C$3:$C$14,'Base IPCA'!$E$3:$E$14,AH292,"Cubic","Extrapolate=Linear","MultiX=Average","Skip=True","Sort=True")</f>
        <v>#N/A Invalid Parameter: Interpolation value</v>
      </c>
      <c r="AJ292" s="43" t="str">
        <f ca="1"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89"/>
        <v>#REF!</v>
      </c>
      <c r="AI293" s="43" t="str">
        <f ca="1">_xll.BInterpol('Base IPCA'!$C$3:$C$14,'Base IPCA'!$E$3:$E$14,AH293,"Cubic","Extrapolate=Linear","MultiX=Average","Skip=True","Sort=True")</f>
        <v>#N/A Invalid Parameter: Interpolation value</v>
      </c>
      <c r="AJ293" s="43" t="str">
        <f ca="1"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89"/>
        <v>#REF!</v>
      </c>
      <c r="AI294" s="43" t="str">
        <f ca="1">_xll.BInterpol('Base IPCA'!$C$3:$C$14,'Base IPCA'!$E$3:$E$14,AH294,"Cubic","Extrapolate=Linear","MultiX=Average","Skip=True","Sort=True")</f>
        <v>#N/A Invalid Parameter: Interpolation value</v>
      </c>
      <c r="AJ294" s="43" t="str">
        <f ca="1"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89"/>
        <v>#REF!</v>
      </c>
      <c r="AI295" s="43" t="str">
        <f ca="1">_xll.BInterpol('Base IPCA'!$C$3:$C$14,'Base IPCA'!$E$3:$E$14,AH295,"Cubic","Extrapolate=Linear","MultiX=Average","Skip=True","Sort=True")</f>
        <v>#N/A Invalid Parameter: Interpolation value</v>
      </c>
      <c r="AJ295" s="43" t="str">
        <f ca="1"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89"/>
        <v>#REF!</v>
      </c>
      <c r="AI296" s="43" t="str">
        <f ca="1">_xll.BInterpol('Base IPCA'!$C$3:$C$14,'Base IPCA'!$E$3:$E$14,AH296,"Cubic","Extrapolate=Linear","MultiX=Average","Skip=True","Sort=True")</f>
        <v>#N/A Invalid Parameter: Interpolation value</v>
      </c>
      <c r="AJ296" s="43" t="str">
        <f ca="1"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89"/>
        <v>#REF!</v>
      </c>
      <c r="AI297" s="43" t="str">
        <f ca="1">_xll.BInterpol('Base IPCA'!$C$3:$C$14,'Base IPCA'!$E$3:$E$14,AH297,"Cubic","Extrapolate=Linear","MultiX=Average","Skip=True","Sort=True")</f>
        <v>#N/A Invalid Parameter: Interpolation value</v>
      </c>
      <c r="AJ297" s="43" t="str">
        <f ca="1"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89"/>
        <v>#REF!</v>
      </c>
      <c r="AI298" s="43" t="str">
        <f ca="1">_xll.BInterpol('Base IPCA'!$C$3:$C$14,'Base IPCA'!$E$3:$E$14,AH298,"Cubic","Extrapolate=Linear","MultiX=Average","Skip=True","Sort=True")</f>
        <v>#N/A Invalid Parameter: Interpolation value</v>
      </c>
      <c r="AJ298" s="43" t="str">
        <f ca="1"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89"/>
        <v>#REF!</v>
      </c>
      <c r="AI299" s="43" t="str">
        <f ca="1">_xll.BInterpol('Base IPCA'!$C$3:$C$14,'Base IPCA'!$E$3:$E$14,AH299,"Cubic","Extrapolate=Linear","MultiX=Average","Skip=True","Sort=True")</f>
        <v>#N/A Invalid Parameter: Interpolation value</v>
      </c>
      <c r="AJ299" s="43" t="str">
        <f ca="1"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89"/>
        <v>#REF!</v>
      </c>
      <c r="AI300" s="43" t="str">
        <f ca="1">_xll.BInterpol('Base IPCA'!$C$3:$C$14,'Base IPCA'!$E$3:$E$14,AH300,"Cubic","Extrapolate=Linear","MultiX=Average","Skip=True","Sort=True")</f>
        <v>#N/A Invalid Parameter: Interpolation value</v>
      </c>
      <c r="AJ300" s="43" t="str">
        <f ca="1"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89"/>
        <v>#REF!</v>
      </c>
      <c r="AI301" s="43" t="str">
        <f ca="1">_xll.BInterpol('Base IPCA'!$C$3:$C$14,'Base IPCA'!$E$3:$E$14,AH301,"Cubic","Extrapolate=Linear","MultiX=Average","Skip=True","Sort=True")</f>
        <v>#N/A Invalid Parameter: Interpolation value</v>
      </c>
      <c r="AJ301" s="43" t="str">
        <f ca="1"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89"/>
        <v>#REF!</v>
      </c>
      <c r="AI302" s="43" t="str">
        <f ca="1">_xll.BInterpol('Base IPCA'!$C$3:$C$14,'Base IPCA'!$E$3:$E$14,AH302,"Cubic","Extrapolate=Linear","MultiX=Average","Skip=True","Sort=True")</f>
        <v>#N/A Invalid Parameter: Interpolation value</v>
      </c>
      <c r="AJ302" s="43" t="str">
        <f ca="1"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89"/>
        <v>#REF!</v>
      </c>
      <c r="AI303" s="43" t="str">
        <f ca="1">_xll.BInterpol('Base IPCA'!$C$3:$C$14,'Base IPCA'!$E$3:$E$14,AH303,"Cubic","Extrapolate=Linear","MultiX=Average","Skip=True","Sort=True")</f>
        <v>#N/A Invalid Parameter: Interpolation value</v>
      </c>
      <c r="AJ303" s="43" t="str">
        <f ca="1"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89"/>
        <v>#REF!</v>
      </c>
      <c r="AI304" s="43" t="str">
        <f ca="1">_xll.BInterpol('Base IPCA'!$C$3:$C$14,'Base IPCA'!$E$3:$E$14,AH304,"Cubic","Extrapolate=Linear","MultiX=Average","Skip=True","Sort=True")</f>
        <v>#N/A Invalid Parameter: Interpolation value</v>
      </c>
      <c r="AJ304" s="43" t="str">
        <f ca="1"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89"/>
        <v>#REF!</v>
      </c>
      <c r="AI305" s="43" t="str">
        <f ca="1">_xll.BInterpol('Base IPCA'!$C$3:$C$14,'Base IPCA'!$E$3:$E$14,AH305,"Cubic","Extrapolate=Linear","MultiX=Average","Skip=True","Sort=True")</f>
        <v>#N/A Invalid Parameter: Interpolation value</v>
      </c>
      <c r="AJ305" s="43" t="str">
        <f ca="1"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89"/>
        <v>#REF!</v>
      </c>
      <c r="AI306" s="43" t="str">
        <f ca="1">_xll.BInterpol('Base IPCA'!$C$3:$C$14,'Base IPCA'!$E$3:$E$14,AH306,"Cubic","Extrapolate=Linear","MultiX=Average","Skip=True","Sort=True")</f>
        <v>#N/A Invalid Parameter: Interpolation value</v>
      </c>
      <c r="AJ306" s="43" t="str">
        <f ca="1"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89"/>
        <v>#REF!</v>
      </c>
      <c r="AI307" s="43" t="str">
        <f ca="1">_xll.BInterpol('Base IPCA'!$C$3:$C$14,'Base IPCA'!$E$3:$E$14,AH307,"Cubic","Extrapolate=Linear","MultiX=Average","Skip=True","Sort=True")</f>
        <v>#N/A Invalid Parameter: Interpolation value</v>
      </c>
      <c r="AJ307" s="43" t="str">
        <f ca="1"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89"/>
        <v>#REF!</v>
      </c>
      <c r="AI308" s="43" t="str">
        <f ca="1">_xll.BInterpol('Base IPCA'!$C$3:$C$14,'Base IPCA'!$E$3:$E$14,AH308,"Cubic","Extrapolate=Linear","MultiX=Average","Skip=True","Sort=True")</f>
        <v>#N/A Invalid Parameter: Interpolation value</v>
      </c>
      <c r="AJ308" s="43" t="str">
        <f ca="1"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89"/>
        <v>#REF!</v>
      </c>
      <c r="AI309" s="43" t="str">
        <f ca="1">_xll.BInterpol('Base IPCA'!$C$3:$C$14,'Base IPCA'!$E$3:$E$14,AH309,"Cubic","Extrapolate=Linear","MultiX=Average","Skip=True","Sort=True")</f>
        <v>#N/A Invalid Parameter: Interpolation value</v>
      </c>
      <c r="AJ309" s="43" t="str">
        <f ca="1"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89"/>
        <v>#REF!</v>
      </c>
      <c r="AI310" s="43" t="str">
        <f ca="1">_xll.BInterpol('Base IPCA'!$C$3:$C$14,'Base IPCA'!$E$3:$E$14,AH310,"Cubic","Extrapolate=Linear","MultiX=Average","Skip=True","Sort=True")</f>
        <v>#N/A Invalid Parameter: Interpolation value</v>
      </c>
      <c r="AJ310" s="43" t="str">
        <f ca="1"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89"/>
        <v>#REF!</v>
      </c>
      <c r="AI311" s="43" t="str">
        <f ca="1">_xll.BInterpol('Base IPCA'!$C$3:$C$14,'Base IPCA'!$E$3:$E$14,AH311,"Cubic","Extrapolate=Linear","MultiX=Average","Skip=True","Sort=True")</f>
        <v>#N/A Invalid Parameter: Interpolation value</v>
      </c>
      <c r="AJ311" s="43" t="str">
        <f ca="1"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89"/>
        <v>#REF!</v>
      </c>
      <c r="AI312" s="43" t="str">
        <f ca="1">_xll.BInterpol('Base IPCA'!$C$3:$C$14,'Base IPCA'!$E$3:$E$14,AH312,"Cubic","Extrapolate=Linear","MultiX=Average","Skip=True","Sort=True")</f>
        <v>#N/A Invalid Parameter: Interpolation value</v>
      </c>
      <c r="AJ312" s="43" t="str">
        <f ca="1"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89"/>
        <v>#REF!</v>
      </c>
      <c r="AI313" s="43" t="str">
        <f ca="1">_xll.BInterpol('Base IPCA'!$C$3:$C$14,'Base IPCA'!$E$3:$E$14,AH313,"Cubic","Extrapolate=Linear","MultiX=Average","Skip=True","Sort=True")</f>
        <v>#N/A Invalid Parameter: Interpolation value</v>
      </c>
      <c r="AJ313" s="43" t="str">
        <f ca="1"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89"/>
        <v>#REF!</v>
      </c>
      <c r="AI314" s="43" t="str">
        <f ca="1">_xll.BInterpol('Base IPCA'!$C$3:$C$14,'Base IPCA'!$E$3:$E$14,AH314,"Cubic","Extrapolate=Linear","MultiX=Average","Skip=True","Sort=True")</f>
        <v>#N/A Invalid Parameter: Interpolation value</v>
      </c>
      <c r="AJ314" s="43" t="str">
        <f ca="1"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89"/>
        <v>#REF!</v>
      </c>
      <c r="AI315" s="43" t="str">
        <f ca="1">_xll.BInterpol('Base IPCA'!$C$3:$C$14,'Base IPCA'!$E$3:$E$14,AH315,"Cubic","Extrapolate=Linear","MultiX=Average","Skip=True","Sort=True")</f>
        <v>#N/A Invalid Parameter: Interpolation value</v>
      </c>
      <c r="AJ315" s="43" t="str">
        <f ca="1"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89"/>
        <v>#REF!</v>
      </c>
      <c r="AI316" s="43" t="str">
        <f ca="1">_xll.BInterpol('Base IPCA'!$C$3:$C$14,'Base IPCA'!$E$3:$E$14,AH316,"Cubic","Extrapolate=Linear","MultiX=Average","Skip=True","Sort=True")</f>
        <v>#N/A Invalid Parameter: Interpolation value</v>
      </c>
      <c r="AJ316" s="43" t="str">
        <f ca="1"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89"/>
        <v>#REF!</v>
      </c>
      <c r="AI317" s="43" t="str">
        <f ca="1">_xll.BInterpol('Base IPCA'!$C$3:$C$14,'Base IPCA'!$E$3:$E$14,AH317,"Cubic","Extrapolate=Linear","MultiX=Average","Skip=True","Sort=True")</f>
        <v>#N/A Invalid Parameter: Interpolation value</v>
      </c>
      <c r="AJ317" s="43" t="str">
        <f ca="1"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89"/>
        <v>#REF!</v>
      </c>
      <c r="AI318" s="43" t="str">
        <f ca="1">_xll.BInterpol('Base IPCA'!$C$3:$C$14,'Base IPCA'!$E$3:$E$14,AH318,"Cubic","Extrapolate=Linear","MultiX=Average","Skip=True","Sort=True")</f>
        <v>#N/A Invalid Parameter: Interpolation value</v>
      </c>
      <c r="AJ318" s="43" t="str">
        <f ca="1"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89"/>
        <v>#REF!</v>
      </c>
      <c r="AI319" s="43" t="str">
        <f ca="1">_xll.BInterpol('Base IPCA'!$C$3:$C$14,'Base IPCA'!$E$3:$E$14,AH319,"Cubic","Extrapolate=Linear","MultiX=Average","Skip=True","Sort=True")</f>
        <v>#N/A Invalid Parameter: Interpolation value</v>
      </c>
      <c r="AJ319" s="43" t="str">
        <f ca="1"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89"/>
        <v>#REF!</v>
      </c>
      <c r="AI320" s="43" t="str">
        <f ca="1">_xll.BInterpol('Base IPCA'!$C$3:$C$14,'Base IPCA'!$E$3:$E$14,AH320,"Cubic","Extrapolate=Linear","MultiX=Average","Skip=True","Sort=True")</f>
        <v>#N/A Invalid Parameter: Interpolation value</v>
      </c>
      <c r="AJ320" s="43" t="str">
        <f ca="1"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89"/>
        <v>#REF!</v>
      </c>
      <c r="AI321" s="43" t="str">
        <f ca="1">_xll.BInterpol('Base IPCA'!$C$3:$C$14,'Base IPCA'!$E$3:$E$14,AH321,"Cubic","Extrapolate=Linear","MultiX=Average","Skip=True","Sort=True")</f>
        <v>#N/A Invalid Parameter: Interpolation value</v>
      </c>
      <c r="AJ321" s="43" t="str">
        <f ca="1"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89"/>
        <v>#REF!</v>
      </c>
      <c r="AI322" s="43" t="str">
        <f ca="1">_xll.BInterpol('Base IPCA'!$C$3:$C$14,'Base IPCA'!$E$3:$E$14,AH322,"Cubic","Extrapolate=Linear","MultiX=Average","Skip=True","Sort=True")</f>
        <v>#N/A Invalid Parameter: Interpolation value</v>
      </c>
      <c r="AJ322" s="43" t="str">
        <f ca="1"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89"/>
        <v>#REF!</v>
      </c>
      <c r="AI323" s="43" t="str">
        <f ca="1">_xll.BInterpol('Base IPCA'!$C$3:$C$14,'Base IPCA'!$E$3:$E$14,AH323,"Cubic","Extrapolate=Linear","MultiX=Average","Skip=True","Sort=True")</f>
        <v>#N/A Invalid Parameter: Interpolation value</v>
      </c>
      <c r="AJ323" s="43" t="str">
        <f ca="1"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89"/>
        <v>#REF!</v>
      </c>
      <c r="AI324" s="43" t="str">
        <f ca="1">_xll.BInterpol('Base IPCA'!$C$3:$C$14,'Base IPCA'!$E$3:$E$14,AH324,"Cubic","Extrapolate=Linear","MultiX=Average","Skip=True","Sort=True")</f>
        <v>#N/A Invalid Parameter: Interpolation value</v>
      </c>
      <c r="AJ324" s="43" t="str">
        <f ca="1"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89"/>
        <v>#REF!</v>
      </c>
      <c r="AI325" s="43" t="str">
        <f ca="1">_xll.BInterpol('Base IPCA'!$C$3:$C$14,'Base IPCA'!$E$3:$E$14,AH325,"Cubic","Extrapolate=Linear","MultiX=Average","Skip=True","Sort=True")</f>
        <v>#N/A Invalid Parameter: Interpolation value</v>
      </c>
      <c r="AJ325" s="43" t="str">
        <f ca="1"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0">AH325+1</f>
        <v>#REF!</v>
      </c>
      <c r="AI326" s="43" t="str">
        <f ca="1">_xll.BInterpol('Base IPCA'!$C$3:$C$14,'Base IPCA'!$E$3:$E$14,AH326,"Cubic","Extrapolate=Linear","MultiX=Average","Skip=True","Sort=True")</f>
        <v>#N/A Invalid Parameter: Interpolation value</v>
      </c>
      <c r="AJ326" s="43" t="str">
        <f ca="1"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0"/>
        <v>#REF!</v>
      </c>
      <c r="AI327" s="43" t="str">
        <f ca="1">_xll.BInterpol('Base IPCA'!$C$3:$C$14,'Base IPCA'!$E$3:$E$14,AH327,"Cubic","Extrapolate=Linear","MultiX=Average","Skip=True","Sort=True")</f>
        <v>#N/A Invalid Parameter: Interpolation value</v>
      </c>
      <c r="AJ327" s="43" t="str">
        <f ca="1"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0"/>
        <v>#REF!</v>
      </c>
      <c r="AI328" s="43" t="str">
        <f ca="1">_xll.BInterpol('Base IPCA'!$C$3:$C$14,'Base IPCA'!$E$3:$E$14,AH328,"Cubic","Extrapolate=Linear","MultiX=Average","Skip=True","Sort=True")</f>
        <v>#N/A Invalid Parameter: Interpolation value</v>
      </c>
      <c r="AJ328" s="43" t="str">
        <f ca="1"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0"/>
        <v>#REF!</v>
      </c>
      <c r="AI329" s="43" t="str">
        <f ca="1">_xll.BInterpol('Base IPCA'!$C$3:$C$14,'Base IPCA'!$E$3:$E$14,AH329,"Cubic","Extrapolate=Linear","MultiX=Average","Skip=True","Sort=True")</f>
        <v>#N/A Invalid Parameter: Interpolation value</v>
      </c>
      <c r="AJ329" s="43" t="str">
        <f ca="1"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0"/>
        <v>#REF!</v>
      </c>
      <c r="AI330" s="43" t="str">
        <f ca="1">_xll.BInterpol('Base IPCA'!$C$3:$C$14,'Base IPCA'!$E$3:$E$14,AH330,"Cubic","Extrapolate=Linear","MultiX=Average","Skip=True","Sort=True")</f>
        <v>#N/A Invalid Parameter: Interpolation value</v>
      </c>
      <c r="AJ330" s="43" t="str">
        <f ca="1"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0"/>
        <v>#REF!</v>
      </c>
      <c r="AI331" s="43" t="str">
        <f ca="1">_xll.BInterpol('Base IPCA'!$C$3:$C$14,'Base IPCA'!$E$3:$E$14,AH331,"Cubic","Extrapolate=Linear","MultiX=Average","Skip=True","Sort=True")</f>
        <v>#N/A Invalid Parameter: Interpolation value</v>
      </c>
      <c r="AJ331" s="43" t="str">
        <f ca="1"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0"/>
        <v>#REF!</v>
      </c>
      <c r="AI332" s="43" t="str">
        <f ca="1">_xll.BInterpol('Base IPCA'!$C$3:$C$14,'Base IPCA'!$E$3:$E$14,AH332,"Cubic","Extrapolate=Linear","MultiX=Average","Skip=True","Sort=True")</f>
        <v>#N/A Invalid Parameter: Interpolation value</v>
      </c>
      <c r="AJ332" s="43" t="str">
        <f ca="1"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0"/>
        <v>#REF!</v>
      </c>
      <c r="AI333" s="43" t="str">
        <f ca="1">_xll.BInterpol('Base IPCA'!$C$3:$C$14,'Base IPCA'!$E$3:$E$14,AH333,"Cubic","Extrapolate=Linear","MultiX=Average","Skip=True","Sort=True")</f>
        <v>#N/A Invalid Parameter: Interpolation value</v>
      </c>
      <c r="AJ333" s="43" t="str">
        <f ca="1"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0"/>
        <v>#REF!</v>
      </c>
      <c r="AI334" s="43" t="str">
        <f ca="1">_xll.BInterpol('Base IPCA'!$C$3:$C$14,'Base IPCA'!$E$3:$E$14,AH334,"Cubic","Extrapolate=Linear","MultiX=Average","Skip=True","Sort=True")</f>
        <v>#N/A Invalid Parameter: Interpolation value</v>
      </c>
      <c r="AJ334" s="43" t="str">
        <f ca="1"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0"/>
        <v>#REF!</v>
      </c>
      <c r="AI335" s="43" t="str">
        <f ca="1">_xll.BInterpol('Base IPCA'!$C$3:$C$14,'Base IPCA'!$E$3:$E$14,AH335,"Cubic","Extrapolate=Linear","MultiX=Average","Skip=True","Sort=True")</f>
        <v>#N/A Invalid Parameter: Interpolation value</v>
      </c>
      <c r="AJ335" s="43" t="str">
        <f ca="1"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0"/>
        <v>#REF!</v>
      </c>
      <c r="AI336" s="43" t="str">
        <f ca="1">_xll.BInterpol('Base IPCA'!$C$3:$C$14,'Base IPCA'!$E$3:$E$14,AH336,"Cubic","Extrapolate=Linear","MultiX=Average","Skip=True","Sort=True")</f>
        <v>#N/A Invalid Parameter: Interpolation value</v>
      </c>
      <c r="AJ336" s="43" t="str">
        <f ca="1"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0"/>
        <v>#REF!</v>
      </c>
      <c r="AI337" s="43" t="str">
        <f ca="1">_xll.BInterpol('Base IPCA'!$C$3:$C$14,'Base IPCA'!$E$3:$E$14,AH337,"Cubic","Extrapolate=Linear","MultiX=Average","Skip=True","Sort=True")</f>
        <v>#N/A Invalid Parameter: Interpolation value</v>
      </c>
      <c r="AJ337" s="43" t="str">
        <f ca="1"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0"/>
        <v>#REF!</v>
      </c>
      <c r="AI338" s="43" t="str">
        <f ca="1">_xll.BInterpol('Base IPCA'!$C$3:$C$14,'Base IPCA'!$E$3:$E$14,AH338,"Cubic","Extrapolate=Linear","MultiX=Average","Skip=True","Sort=True")</f>
        <v>#N/A Invalid Parameter: Interpolation value</v>
      </c>
      <c r="AJ338" s="43" t="str">
        <f ca="1"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0"/>
        <v>#REF!</v>
      </c>
      <c r="AI339" s="43" t="str">
        <f ca="1">_xll.BInterpol('Base IPCA'!$C$3:$C$14,'Base IPCA'!$E$3:$E$14,AH339,"Cubic","Extrapolate=Linear","MultiX=Average","Skip=True","Sort=True")</f>
        <v>#N/A Invalid Parameter: Interpolation value</v>
      </c>
      <c r="AJ339" s="43" t="str">
        <f ca="1"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0"/>
        <v>#REF!</v>
      </c>
      <c r="AI340" s="43" t="str">
        <f ca="1">_xll.BInterpol('Base IPCA'!$C$3:$C$14,'Base IPCA'!$E$3:$E$14,AH340,"Cubic","Extrapolate=Linear","MultiX=Average","Skip=True","Sort=True")</f>
        <v>#N/A Invalid Parameter: Interpolation value</v>
      </c>
      <c r="AJ340" s="43" t="str">
        <f ca="1"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0"/>
        <v>#REF!</v>
      </c>
      <c r="AI341" s="43" t="str">
        <f ca="1">_xll.BInterpol('Base IPCA'!$C$3:$C$14,'Base IPCA'!$E$3:$E$14,AH341,"Cubic","Extrapolate=Linear","MultiX=Average","Skip=True","Sort=True")</f>
        <v>#N/A Invalid Parameter: Interpolation value</v>
      </c>
      <c r="AJ341" s="43" t="str">
        <f ca="1"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0"/>
        <v>#REF!</v>
      </c>
      <c r="AI342" s="43" t="str">
        <f ca="1">_xll.BInterpol('Base IPCA'!$C$3:$C$14,'Base IPCA'!$E$3:$E$14,AH342,"Cubic","Extrapolate=Linear","MultiX=Average","Skip=True","Sort=True")</f>
        <v>#N/A Invalid Parameter: Interpolation value</v>
      </c>
      <c r="AJ342" s="43" t="str">
        <f ca="1"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0"/>
        <v>#REF!</v>
      </c>
      <c r="AI343" s="43" t="str">
        <f ca="1">_xll.BInterpol('Base IPCA'!$C$3:$C$14,'Base IPCA'!$E$3:$E$14,AH343,"Cubic","Extrapolate=Linear","MultiX=Average","Skip=True","Sort=True")</f>
        <v>#N/A Invalid Parameter: Interpolation value</v>
      </c>
      <c r="AJ343" s="43" t="str">
        <f ca="1"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0"/>
        <v>#REF!</v>
      </c>
      <c r="AI344" s="43" t="str">
        <f ca="1">_xll.BInterpol('Base IPCA'!$C$3:$C$14,'Base IPCA'!$E$3:$E$14,AH344,"Cubic","Extrapolate=Linear","MultiX=Average","Skip=True","Sort=True")</f>
        <v>#N/A Invalid Parameter: Interpolation value</v>
      </c>
      <c r="AJ344" s="43" t="str">
        <f ca="1"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0"/>
        <v>#REF!</v>
      </c>
      <c r="AI345" s="43" t="str">
        <f ca="1">_xll.BInterpol('Base IPCA'!$C$3:$C$14,'Base IPCA'!$E$3:$E$14,AH345,"Cubic","Extrapolate=Linear","MultiX=Average","Skip=True","Sort=True")</f>
        <v>#N/A Invalid Parameter: Interpolation value</v>
      </c>
      <c r="AJ345" s="43" t="str">
        <f ca="1"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0"/>
        <v>#REF!</v>
      </c>
      <c r="AI346" s="43" t="str">
        <f ca="1">_xll.BInterpol('Base IPCA'!$C$3:$C$14,'Base IPCA'!$E$3:$E$14,AH346,"Cubic","Extrapolate=Linear","MultiX=Average","Skip=True","Sort=True")</f>
        <v>#N/A Invalid Parameter: Interpolation value</v>
      </c>
      <c r="AJ346" s="43" t="str">
        <f ca="1"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0"/>
        <v>#REF!</v>
      </c>
      <c r="AI347" s="43" t="str">
        <f ca="1">_xll.BInterpol('Base IPCA'!$C$3:$C$14,'Base IPCA'!$E$3:$E$14,AH347,"Cubic","Extrapolate=Linear","MultiX=Average","Skip=True","Sort=True")</f>
        <v>#N/A Invalid Parameter: Interpolation value</v>
      </c>
      <c r="AJ347" s="43" t="str">
        <f ca="1"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0"/>
        <v>#REF!</v>
      </c>
      <c r="AI348" s="43" t="str">
        <f ca="1">_xll.BInterpol('Base IPCA'!$C$3:$C$14,'Base IPCA'!$E$3:$E$14,AH348,"Cubic","Extrapolate=Linear","MultiX=Average","Skip=True","Sort=True")</f>
        <v>#N/A Invalid Parameter: Interpolation value</v>
      </c>
      <c r="AJ348" s="43" t="str">
        <f ca="1"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0"/>
        <v>#REF!</v>
      </c>
      <c r="AI349" s="43" t="str">
        <f ca="1">_xll.BInterpol('Base IPCA'!$C$3:$C$14,'Base IPCA'!$E$3:$E$14,AH349,"Cubic","Extrapolate=Linear","MultiX=Average","Skip=True","Sort=True")</f>
        <v>#N/A Invalid Parameter: Interpolation value</v>
      </c>
      <c r="AJ349" s="43" t="str">
        <f ca="1"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0"/>
        <v>#REF!</v>
      </c>
      <c r="AI350" s="43" t="str">
        <f ca="1">_xll.BInterpol('Base IPCA'!$C$3:$C$14,'Base IPCA'!$E$3:$E$14,AH350,"Cubic","Extrapolate=Linear","MultiX=Average","Skip=True","Sort=True")</f>
        <v>#N/A Invalid Parameter: Interpolation value</v>
      </c>
      <c r="AJ350" s="43" t="str">
        <f ca="1"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0"/>
        <v>#REF!</v>
      </c>
      <c r="AI351" s="43" t="str">
        <f ca="1">_xll.BInterpol('Base IPCA'!$C$3:$C$14,'Base IPCA'!$E$3:$E$14,AH351,"Cubic","Extrapolate=Linear","MultiX=Average","Skip=True","Sort=True")</f>
        <v>#N/A Invalid Parameter: Interpolation value</v>
      </c>
      <c r="AJ351" s="43" t="str">
        <f ca="1"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0"/>
        <v>#REF!</v>
      </c>
      <c r="AI352" s="43" t="str">
        <f ca="1">_xll.BInterpol('Base IPCA'!$C$3:$C$14,'Base IPCA'!$E$3:$E$14,AH352,"Cubic","Extrapolate=Linear","MultiX=Average","Skip=True","Sort=True")</f>
        <v>#N/A Invalid Parameter: Interpolation value</v>
      </c>
      <c r="AJ352" s="43" t="str">
        <f ca="1"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0"/>
        <v>#REF!</v>
      </c>
      <c r="AI353" s="43" t="str">
        <f ca="1">_xll.BInterpol('Base IPCA'!$C$3:$C$14,'Base IPCA'!$E$3:$E$14,AH353,"Cubic","Extrapolate=Linear","MultiX=Average","Skip=True","Sort=True")</f>
        <v>#N/A Invalid Parameter: Interpolation value</v>
      </c>
      <c r="AJ353" s="43" t="str">
        <f ca="1"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0"/>
        <v>#REF!</v>
      </c>
      <c r="AI354" s="43" t="str">
        <f ca="1">_xll.BInterpol('Base IPCA'!$C$3:$C$14,'Base IPCA'!$E$3:$E$14,AH354,"Cubic","Extrapolate=Linear","MultiX=Average","Skip=True","Sort=True")</f>
        <v>#N/A Invalid Parameter: Interpolation value</v>
      </c>
      <c r="AJ354" s="43" t="str">
        <f ca="1"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0"/>
        <v>#REF!</v>
      </c>
      <c r="AI355" s="43" t="str">
        <f ca="1">_xll.BInterpol('Base IPCA'!$C$3:$C$14,'Base IPCA'!$E$3:$E$14,AH355,"Cubic","Extrapolate=Linear","MultiX=Average","Skip=True","Sort=True")</f>
        <v>#N/A Invalid Parameter: Interpolation value</v>
      </c>
      <c r="AJ355" s="43" t="str">
        <f ca="1"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0"/>
        <v>#REF!</v>
      </c>
      <c r="AI356" s="43" t="str">
        <f ca="1">_xll.BInterpol('Base IPCA'!$C$3:$C$14,'Base IPCA'!$E$3:$E$14,AH356,"Cubic","Extrapolate=Linear","MultiX=Average","Skip=True","Sort=True")</f>
        <v>#N/A Invalid Parameter: Interpolation value</v>
      </c>
      <c r="AJ356" s="43" t="str">
        <f ca="1"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0"/>
        <v>#REF!</v>
      </c>
      <c r="AI357" s="43" t="str">
        <f ca="1">_xll.BInterpol('Base IPCA'!$C$3:$C$14,'Base IPCA'!$E$3:$E$14,AH357,"Cubic","Extrapolate=Linear","MultiX=Average","Skip=True","Sort=True")</f>
        <v>#N/A Invalid Parameter: Interpolation value</v>
      </c>
      <c r="AJ357" s="43" t="str">
        <f ca="1"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0"/>
        <v>#REF!</v>
      </c>
      <c r="AI358" s="43" t="str">
        <f ca="1">_xll.BInterpol('Base IPCA'!$C$3:$C$14,'Base IPCA'!$E$3:$E$14,AH358,"Cubic","Extrapolate=Linear","MultiX=Average","Skip=True","Sort=True")</f>
        <v>#N/A Invalid Parameter: Interpolation value</v>
      </c>
      <c r="AJ358" s="43" t="str">
        <f ca="1"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0"/>
        <v>#REF!</v>
      </c>
      <c r="AI359" s="43" t="str">
        <f ca="1">_xll.BInterpol('Base IPCA'!$C$3:$C$14,'Base IPCA'!$E$3:$E$14,AH359,"Cubic","Extrapolate=Linear","MultiX=Average","Skip=True","Sort=True")</f>
        <v>#N/A Invalid Parameter: Interpolation value</v>
      </c>
      <c r="AJ359" s="43" t="str">
        <f ca="1"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0"/>
        <v>#REF!</v>
      </c>
      <c r="AI360" s="43" t="str">
        <f ca="1">_xll.BInterpol('Base IPCA'!$C$3:$C$14,'Base IPCA'!$E$3:$E$14,AH360,"Cubic","Extrapolate=Linear","MultiX=Average","Skip=True","Sort=True")</f>
        <v>#N/A Invalid Parameter: Interpolation value</v>
      </c>
      <c r="AJ360" s="43" t="str">
        <f ca="1"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0"/>
        <v>#REF!</v>
      </c>
      <c r="AI361" s="43" t="str">
        <f ca="1">_xll.BInterpol('Base IPCA'!$C$3:$C$14,'Base IPCA'!$E$3:$E$14,AH361,"Cubic","Extrapolate=Linear","MultiX=Average","Skip=True","Sort=True")</f>
        <v>#N/A Invalid Parameter: Interpolation value</v>
      </c>
      <c r="AJ361" s="43" t="str">
        <f ca="1"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0"/>
        <v>#REF!</v>
      </c>
      <c r="AI362" s="43" t="str">
        <f ca="1">_xll.BInterpol('Base IPCA'!$C$3:$C$14,'Base IPCA'!$E$3:$E$14,AH362,"Cubic","Extrapolate=Linear","MultiX=Average","Skip=True","Sort=True")</f>
        <v>#N/A Invalid Parameter: Interpolation value</v>
      </c>
      <c r="AJ362" s="43" t="str">
        <f ca="1"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0"/>
        <v>#REF!</v>
      </c>
      <c r="AI363" s="43" t="str">
        <f ca="1">_xll.BInterpol('Base IPCA'!$C$3:$C$14,'Base IPCA'!$E$3:$E$14,AH363,"Cubic","Extrapolate=Linear","MultiX=Average","Skip=True","Sort=True")</f>
        <v>#N/A Invalid Parameter: Interpolation value</v>
      </c>
      <c r="AJ363" s="43" t="str">
        <f ca="1"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0"/>
        <v>#REF!</v>
      </c>
      <c r="AI364" s="43" t="str">
        <f ca="1">_xll.BInterpol('Base IPCA'!$C$3:$C$14,'Base IPCA'!$E$3:$E$14,AH364,"Cubic","Extrapolate=Linear","MultiX=Average","Skip=True","Sort=True")</f>
        <v>#N/A Invalid Parameter: Interpolation value</v>
      </c>
      <c r="AJ364" s="43" t="str">
        <f ca="1"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0"/>
        <v>#REF!</v>
      </c>
      <c r="AI365" s="43" t="str">
        <f ca="1">_xll.BInterpol('Base IPCA'!$C$3:$C$14,'Base IPCA'!$E$3:$E$14,AH365,"Cubic","Extrapolate=Linear","MultiX=Average","Skip=True","Sort=True")</f>
        <v>#N/A Invalid Parameter: Interpolation value</v>
      </c>
      <c r="AJ365" s="43" t="str">
        <f ca="1"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0"/>
        <v>#REF!</v>
      </c>
      <c r="AI366" s="43" t="str">
        <f ca="1">_xll.BInterpol('Base IPCA'!$C$3:$C$14,'Base IPCA'!$E$3:$E$14,AH366,"Cubic","Extrapolate=Linear","MultiX=Average","Skip=True","Sort=True")</f>
        <v>#N/A Invalid Parameter: Interpolation value</v>
      </c>
      <c r="AJ366" s="43" t="str">
        <f ca="1"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0"/>
        <v>#REF!</v>
      </c>
      <c r="AI367" s="43" t="str">
        <f ca="1">_xll.BInterpol('Base IPCA'!$C$3:$C$14,'Base IPCA'!$E$3:$E$14,AH367,"Cubic","Extrapolate=Linear","MultiX=Average","Skip=True","Sort=True")</f>
        <v>#N/A Invalid Parameter: Interpolation value</v>
      </c>
      <c r="AJ367" s="43" t="str">
        <f ca="1"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0"/>
        <v>#REF!</v>
      </c>
      <c r="AI368" s="43" t="str">
        <f ca="1">_xll.BInterpol('Base IPCA'!$C$3:$C$14,'Base IPCA'!$E$3:$E$14,AH368,"Cubic","Extrapolate=Linear","MultiX=Average","Skip=True","Sort=True")</f>
        <v>#N/A Invalid Parameter: Interpolation value</v>
      </c>
      <c r="AJ368" s="43" t="str">
        <f ca="1"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0"/>
        <v>#REF!</v>
      </c>
      <c r="AI369" s="43" t="str">
        <f ca="1">_xll.BInterpol('Base IPCA'!$C$3:$C$14,'Base IPCA'!$E$3:$E$14,AH369,"Cubic","Extrapolate=Linear","MultiX=Average","Skip=True","Sort=True")</f>
        <v>#N/A Invalid Parameter: Interpolation value</v>
      </c>
      <c r="AJ369" s="43" t="str">
        <f ca="1"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0"/>
        <v>#REF!</v>
      </c>
      <c r="AI370" s="43" t="str">
        <f ca="1">_xll.BInterpol('Base IPCA'!$C$3:$C$14,'Base IPCA'!$E$3:$E$14,AH370,"Cubic","Extrapolate=Linear","MultiX=Average","Skip=True","Sort=True")</f>
        <v>#N/A Invalid Parameter: Interpolation value</v>
      </c>
      <c r="AJ370" s="43" t="str">
        <f ca="1"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0"/>
        <v>#REF!</v>
      </c>
      <c r="AI371" s="43" t="str">
        <f ca="1">_xll.BInterpol('Base IPCA'!$C$3:$C$14,'Base IPCA'!$E$3:$E$14,AH371,"Cubic","Extrapolate=Linear","MultiX=Average","Skip=True","Sort=True")</f>
        <v>#N/A Invalid Parameter: Interpolation value</v>
      </c>
      <c r="AJ371" s="43" t="str">
        <f ca="1"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0"/>
        <v>#REF!</v>
      </c>
      <c r="AI372" s="43" t="str">
        <f ca="1">_xll.BInterpol('Base IPCA'!$C$3:$C$14,'Base IPCA'!$E$3:$E$14,AH372,"Cubic","Extrapolate=Linear","MultiX=Average","Skip=True","Sort=True")</f>
        <v>#N/A Invalid Parameter: Interpolation value</v>
      </c>
      <c r="AJ372" s="43" t="str">
        <f ca="1"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0"/>
        <v>#REF!</v>
      </c>
      <c r="AI373" s="43" t="str">
        <f ca="1">_xll.BInterpol('Base IPCA'!$C$3:$C$14,'Base IPCA'!$E$3:$E$14,AH373,"Cubic","Extrapolate=Linear","MultiX=Average","Skip=True","Sort=True")</f>
        <v>#N/A Invalid Parameter: Interpolation value</v>
      </c>
      <c r="AJ373" s="43" t="str">
        <f ca="1"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0"/>
        <v>#REF!</v>
      </c>
      <c r="AI374" s="43" t="str">
        <f ca="1">_xll.BInterpol('Base IPCA'!$C$3:$C$14,'Base IPCA'!$E$3:$E$14,AH374,"Cubic","Extrapolate=Linear","MultiX=Average","Skip=True","Sort=True")</f>
        <v>#N/A Invalid Parameter: Interpolation value</v>
      </c>
      <c r="AJ374" s="43" t="str">
        <f ca="1"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0"/>
        <v>#REF!</v>
      </c>
      <c r="AI375" s="43" t="str">
        <f ca="1">_xll.BInterpol('Base IPCA'!$C$3:$C$14,'Base IPCA'!$E$3:$E$14,AH375,"Cubic","Extrapolate=Linear","MultiX=Average","Skip=True","Sort=True")</f>
        <v>#N/A Invalid Parameter: Interpolation value</v>
      </c>
      <c r="AJ375" s="43" t="str">
        <f ca="1"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0"/>
        <v>#REF!</v>
      </c>
      <c r="AI376" s="43" t="str">
        <f ca="1">_xll.BInterpol('Base IPCA'!$C$3:$C$14,'Base IPCA'!$E$3:$E$14,AH376,"Cubic","Extrapolate=Linear","MultiX=Average","Skip=True","Sort=True")</f>
        <v>#N/A Invalid Parameter: Interpolation value</v>
      </c>
      <c r="AJ376" s="43" t="str">
        <f ca="1"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0"/>
        <v>#REF!</v>
      </c>
      <c r="AI377" s="43" t="str">
        <f ca="1">_xll.BInterpol('Base IPCA'!$C$3:$C$14,'Base IPCA'!$E$3:$E$14,AH377,"Cubic","Extrapolate=Linear","MultiX=Average","Skip=True","Sort=True")</f>
        <v>#N/A Invalid Parameter: Interpolation value</v>
      </c>
      <c r="AJ377" s="43" t="str">
        <f ca="1"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0"/>
        <v>#REF!</v>
      </c>
      <c r="AI378" s="43" t="str">
        <f ca="1">_xll.BInterpol('Base IPCA'!$C$3:$C$14,'Base IPCA'!$E$3:$E$14,AH378,"Cubic","Extrapolate=Linear","MultiX=Average","Skip=True","Sort=True")</f>
        <v>#N/A Invalid Parameter: Interpolation value</v>
      </c>
      <c r="AJ378" s="43" t="str">
        <f ca="1"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0"/>
        <v>#REF!</v>
      </c>
      <c r="AI379" s="43" t="str">
        <f ca="1">_xll.BInterpol('Base IPCA'!$C$3:$C$14,'Base IPCA'!$E$3:$E$14,AH379,"Cubic","Extrapolate=Linear","MultiX=Average","Skip=True","Sort=True")</f>
        <v>#N/A Invalid Parameter: Interpolation value</v>
      </c>
      <c r="AJ379" s="43" t="str">
        <f ca="1"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0"/>
        <v>#REF!</v>
      </c>
      <c r="AI380" s="43" t="str">
        <f ca="1">_xll.BInterpol('Base IPCA'!$C$3:$C$14,'Base IPCA'!$E$3:$E$14,AH380,"Cubic","Extrapolate=Linear","MultiX=Average","Skip=True","Sort=True")</f>
        <v>#N/A Invalid Parameter: Interpolation value</v>
      </c>
      <c r="AJ380" s="43" t="str">
        <f ca="1"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0"/>
        <v>#REF!</v>
      </c>
      <c r="AI381" s="43" t="str">
        <f ca="1">_xll.BInterpol('Base IPCA'!$C$3:$C$14,'Base IPCA'!$E$3:$E$14,AH381,"Cubic","Extrapolate=Linear","MultiX=Average","Skip=True","Sort=True")</f>
        <v>#N/A Invalid Parameter: Interpolation value</v>
      </c>
      <c r="AJ381" s="43" t="str">
        <f ca="1"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0"/>
        <v>#REF!</v>
      </c>
      <c r="AI382" s="43" t="str">
        <f ca="1">_xll.BInterpol('Base IPCA'!$C$3:$C$14,'Base IPCA'!$E$3:$E$14,AH382,"Cubic","Extrapolate=Linear","MultiX=Average","Skip=True","Sort=True")</f>
        <v>#N/A Invalid Parameter: Interpolation value</v>
      </c>
      <c r="AJ382" s="43" t="str">
        <f ca="1"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0"/>
        <v>#REF!</v>
      </c>
      <c r="AI383" s="43" t="str">
        <f ca="1">_xll.BInterpol('Base IPCA'!$C$3:$C$14,'Base IPCA'!$E$3:$E$14,AH383,"Cubic","Extrapolate=Linear","MultiX=Average","Skip=True","Sort=True")</f>
        <v>#N/A Invalid Parameter: Interpolation value</v>
      </c>
      <c r="AJ383" s="43" t="str">
        <f ca="1"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0"/>
        <v>#REF!</v>
      </c>
      <c r="AI384" s="43" t="str">
        <f ca="1">_xll.BInterpol('Base IPCA'!$C$3:$C$14,'Base IPCA'!$E$3:$E$14,AH384,"Cubic","Extrapolate=Linear","MultiX=Average","Skip=True","Sort=True")</f>
        <v>#N/A Invalid Parameter: Interpolation value</v>
      </c>
      <c r="AJ384" s="43" t="str">
        <f ca="1"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0"/>
        <v>#REF!</v>
      </c>
      <c r="AI385" s="43" t="str">
        <f ca="1">_xll.BInterpol('Base IPCA'!$C$3:$C$14,'Base IPCA'!$E$3:$E$14,AH385,"Cubic","Extrapolate=Linear","MultiX=Average","Skip=True","Sort=True")</f>
        <v>#N/A Invalid Parameter: Interpolation value</v>
      </c>
      <c r="AJ385" s="43" t="str">
        <f ca="1"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0"/>
        <v>#REF!</v>
      </c>
      <c r="AI386" s="43" t="str">
        <f ca="1">_xll.BInterpol('Base IPCA'!$C$3:$C$14,'Base IPCA'!$E$3:$E$14,AH386,"Cubic","Extrapolate=Linear","MultiX=Average","Skip=True","Sort=True")</f>
        <v>#N/A Invalid Parameter: Interpolation value</v>
      </c>
      <c r="AJ386" s="43" t="str">
        <f ca="1"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0"/>
        <v>#REF!</v>
      </c>
      <c r="AI387" s="43" t="str">
        <f ca="1">_xll.BInterpol('Base IPCA'!$C$3:$C$14,'Base IPCA'!$E$3:$E$14,AH387,"Cubic","Extrapolate=Linear","MultiX=Average","Skip=True","Sort=True")</f>
        <v>#N/A Invalid Parameter: Interpolation value</v>
      </c>
      <c r="AJ387" s="43" t="str">
        <f ca="1"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0"/>
        <v>#REF!</v>
      </c>
      <c r="AI388" s="43" t="str">
        <f ca="1">_xll.BInterpol('Base IPCA'!$C$3:$C$14,'Base IPCA'!$E$3:$E$14,AH388,"Cubic","Extrapolate=Linear","MultiX=Average","Skip=True","Sort=True")</f>
        <v>#N/A Invalid Parameter: Interpolation value</v>
      </c>
      <c r="AJ388" s="43" t="str">
        <f ca="1"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0"/>
        <v>#REF!</v>
      </c>
      <c r="AI389" s="43" t="str">
        <f ca="1">_xll.BInterpol('Base IPCA'!$C$3:$C$14,'Base IPCA'!$E$3:$E$14,AH389,"Cubic","Extrapolate=Linear","MultiX=Average","Skip=True","Sort=True")</f>
        <v>#N/A Invalid Parameter: Interpolation value</v>
      </c>
      <c r="AJ389" s="43" t="str">
        <f ca="1"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1">AH389+1</f>
        <v>#REF!</v>
      </c>
      <c r="AI390" s="43" t="str">
        <f ca="1">_xll.BInterpol('Base IPCA'!$C$3:$C$14,'Base IPCA'!$E$3:$E$14,AH390,"Cubic","Extrapolate=Linear","MultiX=Average","Skip=True","Sort=True")</f>
        <v>#N/A Invalid Parameter: Interpolation value</v>
      </c>
      <c r="AJ390" s="43" t="str">
        <f ca="1"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1"/>
        <v>#REF!</v>
      </c>
      <c r="AI391" s="43" t="str">
        <f ca="1">_xll.BInterpol('Base IPCA'!$C$3:$C$14,'Base IPCA'!$E$3:$E$14,AH391,"Cubic","Extrapolate=Linear","MultiX=Average","Skip=True","Sort=True")</f>
        <v>#N/A Invalid Parameter: Interpolation value</v>
      </c>
      <c r="AJ391" s="43" t="str">
        <f ca="1"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1"/>
        <v>#REF!</v>
      </c>
      <c r="AI392" s="43" t="str">
        <f ca="1">_xll.BInterpol('Base IPCA'!$C$3:$C$14,'Base IPCA'!$E$3:$E$14,AH392,"Cubic","Extrapolate=Linear","MultiX=Average","Skip=True","Sort=True")</f>
        <v>#N/A Invalid Parameter: Interpolation value</v>
      </c>
      <c r="AJ392" s="43" t="str">
        <f ca="1"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1"/>
        <v>#REF!</v>
      </c>
      <c r="AI393" s="43" t="str">
        <f ca="1">_xll.BInterpol('Base IPCA'!$C$3:$C$14,'Base IPCA'!$E$3:$E$14,AH393,"Cubic","Extrapolate=Linear","MultiX=Average","Skip=True","Sort=True")</f>
        <v>#N/A Invalid Parameter: Interpolation value</v>
      </c>
      <c r="AJ393" s="43" t="str">
        <f ca="1"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1"/>
        <v>#REF!</v>
      </c>
      <c r="AI394" s="43" t="str">
        <f ca="1">_xll.BInterpol('Base IPCA'!$C$3:$C$14,'Base IPCA'!$E$3:$E$14,AH394,"Cubic","Extrapolate=Linear","MultiX=Average","Skip=True","Sort=True")</f>
        <v>#N/A Invalid Parameter: Interpolation value</v>
      </c>
      <c r="AJ394" s="43" t="str">
        <f ca="1"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1"/>
        <v>#REF!</v>
      </c>
      <c r="AI395" s="43" t="str">
        <f ca="1">_xll.BInterpol('Base IPCA'!$C$3:$C$14,'Base IPCA'!$E$3:$E$14,AH395,"Cubic","Extrapolate=Linear","MultiX=Average","Skip=True","Sort=True")</f>
        <v>#N/A Invalid Parameter: Interpolation value</v>
      </c>
      <c r="AJ395" s="43" t="str">
        <f ca="1"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1"/>
        <v>#REF!</v>
      </c>
      <c r="AI396" s="43" t="str">
        <f ca="1">_xll.BInterpol('Base IPCA'!$C$3:$C$14,'Base IPCA'!$E$3:$E$14,AH396,"Cubic","Extrapolate=Linear","MultiX=Average","Skip=True","Sort=True")</f>
        <v>#N/A Invalid Parameter: Interpolation value</v>
      </c>
      <c r="AJ396" s="43" t="str">
        <f ca="1"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1"/>
        <v>#REF!</v>
      </c>
      <c r="AI397" s="43" t="str">
        <f ca="1">_xll.BInterpol('Base IPCA'!$C$3:$C$14,'Base IPCA'!$E$3:$E$14,AH397,"Cubic","Extrapolate=Linear","MultiX=Average","Skip=True","Sort=True")</f>
        <v>#N/A Invalid Parameter: Interpolation value</v>
      </c>
      <c r="AJ397" s="43" t="str">
        <f ca="1"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1"/>
        <v>#REF!</v>
      </c>
      <c r="AI398" s="43" t="str">
        <f ca="1">_xll.BInterpol('Base IPCA'!$C$3:$C$14,'Base IPCA'!$E$3:$E$14,AH398,"Cubic","Extrapolate=Linear","MultiX=Average","Skip=True","Sort=True")</f>
        <v>#N/A Invalid Parameter: Interpolation value</v>
      </c>
      <c r="AJ398" s="43" t="str">
        <f ca="1"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1"/>
        <v>#REF!</v>
      </c>
      <c r="AI399" s="43" t="str">
        <f ca="1">_xll.BInterpol('Base IPCA'!$C$3:$C$14,'Base IPCA'!$E$3:$E$14,AH399,"Cubic","Extrapolate=Linear","MultiX=Average","Skip=True","Sort=True")</f>
        <v>#N/A Invalid Parameter: Interpolation value</v>
      </c>
      <c r="AJ399" s="43" t="str">
        <f ca="1"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1"/>
        <v>#REF!</v>
      </c>
      <c r="AI400" s="43" t="str">
        <f ca="1">_xll.BInterpol('Base IPCA'!$C$3:$C$14,'Base IPCA'!$E$3:$E$14,AH400,"Cubic","Extrapolate=Linear","MultiX=Average","Skip=True","Sort=True")</f>
        <v>#N/A Invalid Parameter: Interpolation value</v>
      </c>
      <c r="AJ400" s="43" t="str">
        <f ca="1"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1"/>
        <v>#REF!</v>
      </c>
      <c r="AI401" s="43" t="str">
        <f ca="1">_xll.BInterpol('Base IPCA'!$C$3:$C$14,'Base IPCA'!$E$3:$E$14,AH401,"Cubic","Extrapolate=Linear","MultiX=Average","Skip=True","Sort=True")</f>
        <v>#N/A Invalid Parameter: Interpolation value</v>
      </c>
      <c r="AJ401" s="43" t="str">
        <f ca="1"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1"/>
        <v>#REF!</v>
      </c>
      <c r="AI402" s="43" t="str">
        <f ca="1">_xll.BInterpol('Base IPCA'!$C$3:$C$14,'Base IPCA'!$E$3:$E$14,AH402,"Cubic","Extrapolate=Linear","MultiX=Average","Skip=True","Sort=True")</f>
        <v>#N/A Invalid Parameter: Interpolation value</v>
      </c>
      <c r="AJ402" s="43" t="str">
        <f ca="1"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1"/>
        <v>#REF!</v>
      </c>
      <c r="AI403" s="43" t="str">
        <f ca="1">_xll.BInterpol('Base IPCA'!$C$3:$C$14,'Base IPCA'!$E$3:$E$14,AH403,"Cubic","Extrapolate=Linear","MultiX=Average","Skip=True","Sort=True")</f>
        <v>#N/A Invalid Parameter: Interpolation value</v>
      </c>
      <c r="AJ403" s="43" t="str">
        <f ca="1"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1"/>
        <v>#REF!</v>
      </c>
      <c r="AI404" s="43" t="str">
        <f ca="1">_xll.BInterpol('Base IPCA'!$C$3:$C$14,'Base IPCA'!$E$3:$E$14,AH404,"Cubic","Extrapolate=Linear","MultiX=Average","Skip=True","Sort=True")</f>
        <v>#N/A Invalid Parameter: Interpolation value</v>
      </c>
      <c r="AJ404" s="43" t="str">
        <f ca="1"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1"/>
        <v>#REF!</v>
      </c>
      <c r="AI405" s="43" t="str">
        <f ca="1">_xll.BInterpol('Base IPCA'!$C$3:$C$14,'Base IPCA'!$E$3:$E$14,AH405,"Cubic","Extrapolate=Linear","MultiX=Average","Skip=True","Sort=True")</f>
        <v>#N/A Invalid Parameter: Interpolation value</v>
      </c>
      <c r="AJ405" s="43" t="str">
        <f ca="1"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1"/>
        <v>#REF!</v>
      </c>
      <c r="AI406" s="43" t="str">
        <f ca="1">_xll.BInterpol('Base IPCA'!$C$3:$C$14,'Base IPCA'!$E$3:$E$14,AH406,"Cubic","Extrapolate=Linear","MultiX=Average","Skip=True","Sort=True")</f>
        <v>#N/A Invalid Parameter: Interpolation value</v>
      </c>
      <c r="AJ406" s="43" t="str">
        <f ca="1"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1"/>
        <v>#REF!</v>
      </c>
      <c r="AI407" s="43" t="str">
        <f ca="1">_xll.BInterpol('Base IPCA'!$C$3:$C$14,'Base IPCA'!$E$3:$E$14,AH407,"Cubic","Extrapolate=Linear","MultiX=Average","Skip=True","Sort=True")</f>
        <v>#N/A Invalid Parameter: Interpolation value</v>
      </c>
      <c r="AJ407" s="43" t="str">
        <f ca="1"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1"/>
        <v>#REF!</v>
      </c>
      <c r="AI408" s="43" t="str">
        <f ca="1">_xll.BInterpol('Base IPCA'!$C$3:$C$14,'Base IPCA'!$E$3:$E$14,AH408,"Cubic","Extrapolate=Linear","MultiX=Average","Skip=True","Sort=True")</f>
        <v>#N/A Invalid Parameter: Interpolation value</v>
      </c>
      <c r="AJ408" s="43" t="str">
        <f ca="1"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1"/>
        <v>#REF!</v>
      </c>
      <c r="AI409" s="43" t="str">
        <f ca="1">_xll.BInterpol('Base IPCA'!$C$3:$C$14,'Base IPCA'!$E$3:$E$14,AH409,"Cubic","Extrapolate=Linear","MultiX=Average","Skip=True","Sort=True")</f>
        <v>#N/A Invalid Parameter: Interpolation value</v>
      </c>
      <c r="AJ409" s="43" t="str">
        <f ca="1"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1"/>
        <v>#REF!</v>
      </c>
      <c r="AI410" s="43" t="str">
        <f ca="1">_xll.BInterpol('Base IPCA'!$C$3:$C$14,'Base IPCA'!$E$3:$E$14,AH410,"Cubic","Extrapolate=Linear","MultiX=Average","Skip=True","Sort=True")</f>
        <v>#N/A Invalid Parameter: Interpolation value</v>
      </c>
      <c r="AJ410" s="43" t="str">
        <f ca="1"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1"/>
        <v>#REF!</v>
      </c>
      <c r="AI411" s="43" t="str">
        <f ca="1">_xll.BInterpol('Base IPCA'!$C$3:$C$14,'Base IPCA'!$E$3:$E$14,AH411,"Cubic","Extrapolate=Linear","MultiX=Average","Skip=True","Sort=True")</f>
        <v>#N/A Invalid Parameter: Interpolation value</v>
      </c>
      <c r="AJ411" s="43" t="str">
        <f ca="1"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1"/>
        <v>#REF!</v>
      </c>
      <c r="AI412" s="43" t="str">
        <f ca="1">_xll.BInterpol('Base IPCA'!$C$3:$C$14,'Base IPCA'!$E$3:$E$14,AH412,"Cubic","Extrapolate=Linear","MultiX=Average","Skip=True","Sort=True")</f>
        <v>#N/A Invalid Parameter: Interpolation value</v>
      </c>
      <c r="AJ412" s="43" t="str">
        <f ca="1"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1"/>
        <v>#REF!</v>
      </c>
      <c r="AI413" s="43" t="str">
        <f ca="1">_xll.BInterpol('Base IPCA'!$C$3:$C$14,'Base IPCA'!$E$3:$E$14,AH413,"Cubic","Extrapolate=Linear","MultiX=Average","Skip=True","Sort=True")</f>
        <v>#N/A Invalid Parameter: Interpolation value</v>
      </c>
      <c r="AJ413" s="43" t="str">
        <f ca="1"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1"/>
        <v>#REF!</v>
      </c>
      <c r="AI414" s="43" t="str">
        <f ca="1">_xll.BInterpol('Base IPCA'!$C$3:$C$14,'Base IPCA'!$E$3:$E$14,AH414,"Cubic","Extrapolate=Linear","MultiX=Average","Skip=True","Sort=True")</f>
        <v>#N/A Invalid Parameter: Interpolation value</v>
      </c>
      <c r="AJ414" s="43" t="str">
        <f ca="1"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1"/>
        <v>#REF!</v>
      </c>
      <c r="AI415" s="43" t="str">
        <f ca="1">_xll.BInterpol('Base IPCA'!$C$3:$C$14,'Base IPCA'!$E$3:$E$14,AH415,"Cubic","Extrapolate=Linear","MultiX=Average","Skip=True","Sort=True")</f>
        <v>#N/A Invalid Parameter: Interpolation value</v>
      </c>
      <c r="AJ415" s="43" t="str">
        <f ca="1"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1"/>
        <v>#REF!</v>
      </c>
      <c r="AI416" s="43" t="str">
        <f ca="1">_xll.BInterpol('Base IPCA'!$C$3:$C$14,'Base IPCA'!$E$3:$E$14,AH416,"Cubic","Extrapolate=Linear","MultiX=Average","Skip=True","Sort=True")</f>
        <v>#N/A Invalid Parameter: Interpolation value</v>
      </c>
      <c r="AJ416" s="43" t="str">
        <f ca="1"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1"/>
        <v>#REF!</v>
      </c>
      <c r="AI417" s="43" t="str">
        <f ca="1">_xll.BInterpol('Base IPCA'!$C$3:$C$14,'Base IPCA'!$E$3:$E$14,AH417,"Cubic","Extrapolate=Linear","MultiX=Average","Skip=True","Sort=True")</f>
        <v>#N/A Invalid Parameter: Interpolation value</v>
      </c>
      <c r="AJ417" s="43" t="str">
        <f ca="1"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1"/>
        <v>#REF!</v>
      </c>
      <c r="AI418" s="43" t="str">
        <f ca="1">_xll.BInterpol('Base IPCA'!$C$3:$C$14,'Base IPCA'!$E$3:$E$14,AH418,"Cubic","Extrapolate=Linear","MultiX=Average","Skip=True","Sort=True")</f>
        <v>#N/A Invalid Parameter: Interpolation value</v>
      </c>
      <c r="AJ418" s="43" t="str">
        <f ca="1"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1"/>
        <v>#REF!</v>
      </c>
      <c r="AI419" s="43" t="str">
        <f ca="1">_xll.BInterpol('Base IPCA'!$C$3:$C$14,'Base IPCA'!$E$3:$E$14,AH419,"Cubic","Extrapolate=Linear","MultiX=Average","Skip=True","Sort=True")</f>
        <v>#N/A Invalid Parameter: Interpolation value</v>
      </c>
      <c r="AJ419" s="43" t="str">
        <f ca="1"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1"/>
        <v>#REF!</v>
      </c>
      <c r="AI420" s="43" t="str">
        <f ca="1">_xll.BInterpol('Base IPCA'!$C$3:$C$14,'Base IPCA'!$E$3:$E$14,AH420,"Cubic","Extrapolate=Linear","MultiX=Average","Skip=True","Sort=True")</f>
        <v>#N/A Invalid Parameter: Interpolation value</v>
      </c>
      <c r="AJ420" s="43" t="str">
        <f ca="1"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1"/>
        <v>#REF!</v>
      </c>
      <c r="AI421" s="43" t="str">
        <f ca="1">_xll.BInterpol('Base IPCA'!$C$3:$C$14,'Base IPCA'!$E$3:$E$14,AH421,"Cubic","Extrapolate=Linear","MultiX=Average","Skip=True","Sort=True")</f>
        <v>#N/A Invalid Parameter: Interpolation value</v>
      </c>
      <c r="AJ421" s="43" t="str">
        <f ca="1"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1"/>
        <v>#REF!</v>
      </c>
      <c r="AI422" s="43" t="str">
        <f ca="1">_xll.BInterpol('Base IPCA'!$C$3:$C$14,'Base IPCA'!$E$3:$E$14,AH422,"Cubic","Extrapolate=Linear","MultiX=Average","Skip=True","Sort=True")</f>
        <v>#N/A Invalid Parameter: Interpolation value</v>
      </c>
      <c r="AJ422" s="43" t="str">
        <f ca="1"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1"/>
        <v>#REF!</v>
      </c>
      <c r="AI423" s="43" t="str">
        <f ca="1">_xll.BInterpol('Base IPCA'!$C$3:$C$14,'Base IPCA'!$E$3:$E$14,AH423,"Cubic","Extrapolate=Linear","MultiX=Average","Skip=True","Sort=True")</f>
        <v>#N/A Invalid Parameter: Interpolation value</v>
      </c>
      <c r="AJ423" s="43" t="str">
        <f ca="1"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1"/>
        <v>#REF!</v>
      </c>
      <c r="AI424" s="43" t="str">
        <f ca="1">_xll.BInterpol('Base IPCA'!$C$3:$C$14,'Base IPCA'!$E$3:$E$14,AH424,"Cubic","Extrapolate=Linear","MultiX=Average","Skip=True","Sort=True")</f>
        <v>#N/A Invalid Parameter: Interpolation value</v>
      </c>
      <c r="AJ424" s="43" t="str">
        <f ca="1"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1"/>
        <v>#REF!</v>
      </c>
      <c r="AI425" s="43" t="str">
        <f ca="1">_xll.BInterpol('Base IPCA'!$C$3:$C$14,'Base IPCA'!$E$3:$E$14,AH425,"Cubic","Extrapolate=Linear","MultiX=Average","Skip=True","Sort=True")</f>
        <v>#N/A Invalid Parameter: Interpolation value</v>
      </c>
      <c r="AJ425" s="43" t="str">
        <f ca="1"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1"/>
        <v>#REF!</v>
      </c>
      <c r="AI426" s="43" t="str">
        <f ca="1">_xll.BInterpol('Base IPCA'!$C$3:$C$14,'Base IPCA'!$E$3:$E$14,AH426,"Cubic","Extrapolate=Linear","MultiX=Average","Skip=True","Sort=True")</f>
        <v>#N/A Invalid Parameter: Interpolation value</v>
      </c>
      <c r="AJ426" s="43" t="str">
        <f ca="1"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1"/>
        <v>#REF!</v>
      </c>
      <c r="AI427" s="43" t="str">
        <f ca="1">_xll.BInterpol('Base IPCA'!$C$3:$C$14,'Base IPCA'!$E$3:$E$14,AH427,"Cubic","Extrapolate=Linear","MultiX=Average","Skip=True","Sort=True")</f>
        <v>#N/A Invalid Parameter: Interpolation value</v>
      </c>
      <c r="AJ427" s="43" t="str">
        <f ca="1"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1"/>
        <v>#REF!</v>
      </c>
      <c r="AI428" s="43" t="str">
        <f ca="1">_xll.BInterpol('Base IPCA'!$C$3:$C$14,'Base IPCA'!$E$3:$E$14,AH428,"Cubic","Extrapolate=Linear","MultiX=Average","Skip=True","Sort=True")</f>
        <v>#N/A Invalid Parameter: Interpolation value</v>
      </c>
      <c r="AJ428" s="43" t="str">
        <f ca="1"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1"/>
        <v>#REF!</v>
      </c>
      <c r="AI429" s="43" t="str">
        <f ca="1">_xll.BInterpol('Base IPCA'!$C$3:$C$14,'Base IPCA'!$E$3:$E$14,AH429,"Cubic","Extrapolate=Linear","MultiX=Average","Skip=True","Sort=True")</f>
        <v>#N/A Invalid Parameter: Interpolation value</v>
      </c>
      <c r="AJ429" s="43" t="str">
        <f ca="1"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1"/>
        <v>#REF!</v>
      </c>
      <c r="AI430" s="43" t="str">
        <f ca="1">_xll.BInterpol('Base IPCA'!$C$3:$C$14,'Base IPCA'!$E$3:$E$14,AH430,"Cubic","Extrapolate=Linear","MultiX=Average","Skip=True","Sort=True")</f>
        <v>#N/A Invalid Parameter: Interpolation value</v>
      </c>
      <c r="AJ430" s="43" t="str">
        <f ca="1"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1"/>
        <v>#REF!</v>
      </c>
      <c r="AI431" s="43" t="str">
        <f ca="1">_xll.BInterpol('Base IPCA'!$C$3:$C$14,'Base IPCA'!$E$3:$E$14,AH431,"Cubic","Extrapolate=Linear","MultiX=Average","Skip=True","Sort=True")</f>
        <v>#N/A Invalid Parameter: Interpolation value</v>
      </c>
      <c r="AJ431" s="43" t="str">
        <f ca="1"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1"/>
        <v>#REF!</v>
      </c>
      <c r="AI432" s="43" t="str">
        <f ca="1">_xll.BInterpol('Base IPCA'!$C$3:$C$14,'Base IPCA'!$E$3:$E$14,AH432,"Cubic","Extrapolate=Linear","MultiX=Average","Skip=True","Sort=True")</f>
        <v>#N/A Invalid Parameter: Interpolation value</v>
      </c>
      <c r="AJ432" s="43" t="str">
        <f ca="1"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1"/>
        <v>#REF!</v>
      </c>
      <c r="AI433" s="43" t="str">
        <f ca="1">_xll.BInterpol('Base IPCA'!$C$3:$C$14,'Base IPCA'!$E$3:$E$14,AH433,"Cubic","Extrapolate=Linear","MultiX=Average","Skip=True","Sort=True")</f>
        <v>#N/A Invalid Parameter: Interpolation value</v>
      </c>
      <c r="AJ433" s="43" t="str">
        <f ca="1"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1"/>
        <v>#REF!</v>
      </c>
      <c r="AI434" s="43" t="str">
        <f ca="1">_xll.BInterpol('Base IPCA'!$C$3:$C$14,'Base IPCA'!$E$3:$E$14,AH434,"Cubic","Extrapolate=Linear","MultiX=Average","Skip=True","Sort=True")</f>
        <v>#N/A Invalid Parameter: Interpolation value</v>
      </c>
      <c r="AJ434" s="43" t="str">
        <f ca="1"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1"/>
        <v>#REF!</v>
      </c>
      <c r="AI435" s="43" t="str">
        <f ca="1">_xll.BInterpol('Base IPCA'!$C$3:$C$14,'Base IPCA'!$E$3:$E$14,AH435,"Cubic","Extrapolate=Linear","MultiX=Average","Skip=True","Sort=True")</f>
        <v>#N/A Invalid Parameter: Interpolation value</v>
      </c>
      <c r="AJ435" s="43" t="str">
        <f ca="1"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1"/>
        <v>#REF!</v>
      </c>
      <c r="AI436" s="43" t="str">
        <f ca="1">_xll.BInterpol('Base IPCA'!$C$3:$C$14,'Base IPCA'!$E$3:$E$14,AH436,"Cubic","Extrapolate=Linear","MultiX=Average","Skip=True","Sort=True")</f>
        <v>#N/A Invalid Parameter: Interpolation value</v>
      </c>
      <c r="AJ436" s="43" t="str">
        <f ca="1"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1"/>
        <v>#REF!</v>
      </c>
      <c r="AI437" s="43" t="str">
        <f ca="1">_xll.BInterpol('Base IPCA'!$C$3:$C$14,'Base IPCA'!$E$3:$E$14,AH437,"Cubic","Extrapolate=Linear","MultiX=Average","Skip=True","Sort=True")</f>
        <v>#N/A Invalid Parameter: Interpolation value</v>
      </c>
      <c r="AJ437" s="43" t="str">
        <f ca="1"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1"/>
        <v>#REF!</v>
      </c>
      <c r="AI438" s="43" t="str">
        <f ca="1">_xll.BInterpol('Base IPCA'!$C$3:$C$14,'Base IPCA'!$E$3:$E$14,AH438,"Cubic","Extrapolate=Linear","MultiX=Average","Skip=True","Sort=True")</f>
        <v>#N/A Invalid Parameter: Interpolation value</v>
      </c>
      <c r="AJ438" s="43" t="str">
        <f ca="1"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1"/>
        <v>#REF!</v>
      </c>
      <c r="AI439" s="43" t="str">
        <f ca="1">_xll.BInterpol('Base IPCA'!$C$3:$C$14,'Base IPCA'!$E$3:$E$14,AH439,"Cubic","Extrapolate=Linear","MultiX=Average","Skip=True","Sort=True")</f>
        <v>#N/A Invalid Parameter: Interpolation value</v>
      </c>
      <c r="AJ439" s="43" t="str">
        <f ca="1"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1"/>
        <v>#REF!</v>
      </c>
      <c r="AI440" s="43" t="str">
        <f ca="1">_xll.BInterpol('Base IPCA'!$C$3:$C$14,'Base IPCA'!$E$3:$E$14,AH440,"Cubic","Extrapolate=Linear","MultiX=Average","Skip=True","Sort=True")</f>
        <v>#N/A Invalid Parameter: Interpolation value</v>
      </c>
      <c r="AJ440" s="43" t="str">
        <f ca="1"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1"/>
        <v>#REF!</v>
      </c>
      <c r="AI441" s="43" t="str">
        <f ca="1">_xll.BInterpol('Base IPCA'!$C$3:$C$14,'Base IPCA'!$E$3:$E$14,AH441,"Cubic","Extrapolate=Linear","MultiX=Average","Skip=True","Sort=True")</f>
        <v>#N/A Invalid Parameter: Interpolation value</v>
      </c>
      <c r="AJ441" s="43" t="str">
        <f ca="1"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1"/>
        <v>#REF!</v>
      </c>
      <c r="AI442" s="43" t="str">
        <f ca="1">_xll.BInterpol('Base IPCA'!$C$3:$C$14,'Base IPCA'!$E$3:$E$14,AH442,"Cubic","Extrapolate=Linear","MultiX=Average","Skip=True","Sort=True")</f>
        <v>#N/A Invalid Parameter: Interpolation value</v>
      </c>
      <c r="AJ442" s="43" t="str">
        <f ca="1"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1"/>
        <v>#REF!</v>
      </c>
      <c r="AI443" s="43" t="str">
        <f ca="1">_xll.BInterpol('Base IPCA'!$C$3:$C$14,'Base IPCA'!$E$3:$E$14,AH443,"Cubic","Extrapolate=Linear","MultiX=Average","Skip=True","Sort=True")</f>
        <v>#N/A Invalid Parameter: Interpolation value</v>
      </c>
      <c r="AJ443" s="43" t="str">
        <f ca="1"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1"/>
        <v>#REF!</v>
      </c>
      <c r="AI444" s="43" t="str">
        <f ca="1">_xll.BInterpol('Base IPCA'!$C$3:$C$14,'Base IPCA'!$E$3:$E$14,AH444,"Cubic","Extrapolate=Linear","MultiX=Average","Skip=True","Sort=True")</f>
        <v>#N/A Invalid Parameter: Interpolation value</v>
      </c>
      <c r="AJ444" s="43" t="str">
        <f ca="1"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1"/>
        <v>#REF!</v>
      </c>
      <c r="AI445" s="43" t="str">
        <f ca="1">_xll.BInterpol('Base IPCA'!$C$3:$C$14,'Base IPCA'!$E$3:$E$14,AH445,"Cubic","Extrapolate=Linear","MultiX=Average","Skip=True","Sort=True")</f>
        <v>#N/A Invalid Parameter: Interpolation value</v>
      </c>
      <c r="AJ445" s="43" t="str">
        <f ca="1"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1"/>
        <v>#REF!</v>
      </c>
      <c r="AI446" s="43" t="str">
        <f ca="1">_xll.BInterpol('Base IPCA'!$C$3:$C$14,'Base IPCA'!$E$3:$E$14,AH446,"Cubic","Extrapolate=Linear","MultiX=Average","Skip=True","Sort=True")</f>
        <v>#N/A Invalid Parameter: Interpolation value</v>
      </c>
      <c r="AJ446" s="43" t="str">
        <f ca="1"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1"/>
        <v>#REF!</v>
      </c>
      <c r="AI447" s="43" t="str">
        <f ca="1">_xll.BInterpol('Base IPCA'!$C$3:$C$14,'Base IPCA'!$E$3:$E$14,AH447,"Cubic","Extrapolate=Linear","MultiX=Average","Skip=True","Sort=True")</f>
        <v>#N/A Invalid Parameter: Interpolation value</v>
      </c>
      <c r="AJ447" s="43" t="str">
        <f ca="1"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1"/>
        <v>#REF!</v>
      </c>
      <c r="AI448" s="43" t="str">
        <f ca="1">_xll.BInterpol('Base IPCA'!$C$3:$C$14,'Base IPCA'!$E$3:$E$14,AH448,"Cubic","Extrapolate=Linear","MultiX=Average","Skip=True","Sort=True")</f>
        <v>#N/A Invalid Parameter: Interpolation value</v>
      </c>
      <c r="AJ448" s="43" t="str">
        <f ca="1"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1"/>
        <v>#REF!</v>
      </c>
      <c r="AI449" s="43" t="str">
        <f ca="1">_xll.BInterpol('Base IPCA'!$C$3:$C$14,'Base IPCA'!$E$3:$E$14,AH449,"Cubic","Extrapolate=Linear","MultiX=Average","Skip=True","Sort=True")</f>
        <v>#N/A Invalid Parameter: Interpolation value</v>
      </c>
      <c r="AJ449" s="43" t="str">
        <f ca="1"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1"/>
        <v>#REF!</v>
      </c>
      <c r="AI450" s="43" t="str">
        <f ca="1">_xll.BInterpol('Base IPCA'!$C$3:$C$14,'Base IPCA'!$E$3:$E$14,AH450,"Cubic","Extrapolate=Linear","MultiX=Average","Skip=True","Sort=True")</f>
        <v>#N/A Invalid Parameter: Interpolation value</v>
      </c>
      <c r="AJ450" s="43" t="str">
        <f ca="1"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1"/>
        <v>#REF!</v>
      </c>
      <c r="AI451" s="43" t="str">
        <f ca="1">_xll.BInterpol('Base IPCA'!$C$3:$C$14,'Base IPCA'!$E$3:$E$14,AH451,"Cubic","Extrapolate=Linear","MultiX=Average","Skip=True","Sort=True")</f>
        <v>#N/A Invalid Parameter: Interpolation value</v>
      </c>
      <c r="AJ451" s="43" t="str">
        <f ca="1"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1"/>
        <v>#REF!</v>
      </c>
      <c r="AI452" s="43" t="str">
        <f ca="1">_xll.BInterpol('Base IPCA'!$C$3:$C$14,'Base IPCA'!$E$3:$E$14,AH452,"Cubic","Extrapolate=Linear","MultiX=Average","Skip=True","Sort=True")</f>
        <v>#N/A Invalid Parameter: Interpolation value</v>
      </c>
      <c r="AJ452" s="43" t="str">
        <f ca="1"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1"/>
        <v>#REF!</v>
      </c>
      <c r="AI453" s="43" t="str">
        <f ca="1">_xll.BInterpol('Base IPCA'!$C$3:$C$14,'Base IPCA'!$E$3:$E$14,AH453,"Cubic","Extrapolate=Linear","MultiX=Average","Skip=True","Sort=True")</f>
        <v>#N/A Invalid Parameter: Interpolation value</v>
      </c>
      <c r="AJ453" s="43" t="str">
        <f ca="1"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92">AH453+1</f>
        <v>#REF!</v>
      </c>
      <c r="AI454" s="43" t="str">
        <f ca="1">_xll.BInterpol('Base IPCA'!$C$3:$C$14,'Base IPCA'!$E$3:$E$14,AH454,"Cubic","Extrapolate=Linear","MultiX=Average","Skip=True","Sort=True")</f>
        <v>#N/A Invalid Parameter: Interpolation value</v>
      </c>
      <c r="AJ454" s="43" t="str">
        <f ca="1"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92"/>
        <v>#REF!</v>
      </c>
      <c r="AI455" s="43" t="str">
        <f ca="1">_xll.BInterpol('Base IPCA'!$C$3:$C$14,'Base IPCA'!$E$3:$E$14,AH455,"Cubic","Extrapolate=Linear","MultiX=Average","Skip=True","Sort=True")</f>
        <v>#N/A Invalid Parameter: Interpolation value</v>
      </c>
      <c r="AJ455" s="43" t="str">
        <f ca="1"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92"/>
        <v>#REF!</v>
      </c>
      <c r="AI456" s="43" t="str">
        <f ca="1">_xll.BInterpol('Base IPCA'!$C$3:$C$14,'Base IPCA'!$E$3:$E$14,AH456,"Cubic","Extrapolate=Linear","MultiX=Average","Skip=True","Sort=True")</f>
        <v>#N/A Invalid Parameter: Interpolation value</v>
      </c>
      <c r="AJ456" s="43" t="str">
        <f ca="1"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92"/>
        <v>#REF!</v>
      </c>
      <c r="AI457" s="43" t="str">
        <f ca="1">_xll.BInterpol('Base IPCA'!$C$3:$C$14,'Base IPCA'!$E$3:$E$14,AH457,"Cubic","Extrapolate=Linear","MultiX=Average","Skip=True","Sort=True")</f>
        <v>#N/A Invalid Parameter: Interpolation value</v>
      </c>
      <c r="AJ457" s="43" t="str">
        <f ca="1"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92"/>
        <v>#REF!</v>
      </c>
      <c r="AI458" s="43" t="str">
        <f ca="1">_xll.BInterpol('Base IPCA'!$C$3:$C$14,'Base IPCA'!$E$3:$E$14,AH458,"Cubic","Extrapolate=Linear","MultiX=Average","Skip=True","Sort=True")</f>
        <v>#N/A Invalid Parameter: Interpolation value</v>
      </c>
      <c r="AJ458" s="43" t="str">
        <f ca="1"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92"/>
        <v>#REF!</v>
      </c>
      <c r="AI459" s="43" t="str">
        <f ca="1">_xll.BInterpol('Base IPCA'!$C$3:$C$14,'Base IPCA'!$E$3:$E$14,AH459,"Cubic","Extrapolate=Linear","MultiX=Average","Skip=True","Sort=True")</f>
        <v>#N/A Invalid Parameter: Interpolation value</v>
      </c>
      <c r="AJ459" s="43" t="str">
        <f ca="1"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92"/>
        <v>#REF!</v>
      </c>
      <c r="AI460" s="43" t="str">
        <f ca="1">_xll.BInterpol('Base IPCA'!$C$3:$C$14,'Base IPCA'!$E$3:$E$14,AH460,"Cubic","Extrapolate=Linear","MultiX=Average","Skip=True","Sort=True")</f>
        <v>#N/A Invalid Parameter: Interpolation value</v>
      </c>
      <c r="AJ460" s="43" t="str">
        <f ca="1"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92"/>
        <v>#REF!</v>
      </c>
      <c r="AI461" s="43" t="str">
        <f ca="1">_xll.BInterpol('Base IPCA'!$C$3:$C$14,'Base IPCA'!$E$3:$E$14,AH461,"Cubic","Extrapolate=Linear","MultiX=Average","Skip=True","Sort=True")</f>
        <v>#N/A Invalid Parameter: Interpolation value</v>
      </c>
      <c r="AJ461" s="43" t="str">
        <f ca="1"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92"/>
        <v>#REF!</v>
      </c>
      <c r="AI462" s="43" t="str">
        <f ca="1">_xll.BInterpol('Base IPCA'!$C$3:$C$14,'Base IPCA'!$E$3:$E$14,AH462,"Cubic","Extrapolate=Linear","MultiX=Average","Skip=True","Sort=True")</f>
        <v>#N/A Invalid Parameter: Interpolation value</v>
      </c>
      <c r="AJ462" s="43" t="str">
        <f ca="1"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92"/>
        <v>#REF!</v>
      </c>
      <c r="AI463" s="43" t="str">
        <f ca="1">_xll.BInterpol('Base IPCA'!$C$3:$C$14,'Base IPCA'!$E$3:$E$14,AH463,"Cubic","Extrapolate=Linear","MultiX=Average","Skip=True","Sort=True")</f>
        <v>#N/A Invalid Parameter: Interpolation value</v>
      </c>
      <c r="AJ463" s="43" t="str">
        <f ca="1"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92"/>
        <v>#REF!</v>
      </c>
      <c r="AI464" s="43" t="str">
        <f ca="1">_xll.BInterpol('Base IPCA'!$C$3:$C$14,'Base IPCA'!$E$3:$E$14,AH464,"Cubic","Extrapolate=Linear","MultiX=Average","Skip=True","Sort=True")</f>
        <v>#N/A Invalid Parameter: Interpolation value</v>
      </c>
      <c r="AJ464" s="43" t="str">
        <f ca="1"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92"/>
        <v>#REF!</v>
      </c>
      <c r="AI465" s="43" t="str">
        <f ca="1">_xll.BInterpol('Base IPCA'!$C$3:$C$14,'Base IPCA'!$E$3:$E$14,AH465,"Cubic","Extrapolate=Linear","MultiX=Average","Skip=True","Sort=True")</f>
        <v>#N/A Invalid Parameter: Interpolation value</v>
      </c>
      <c r="AJ465" s="43" t="str">
        <f ca="1"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92"/>
        <v>#REF!</v>
      </c>
      <c r="AI466" s="43" t="str">
        <f ca="1">_xll.BInterpol('Base IPCA'!$C$3:$C$14,'Base IPCA'!$E$3:$E$14,AH466,"Cubic","Extrapolate=Linear","MultiX=Average","Skip=True","Sort=True")</f>
        <v>#N/A Invalid Parameter: Interpolation value</v>
      </c>
      <c r="AJ466" s="43" t="str">
        <f ca="1"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92"/>
        <v>#REF!</v>
      </c>
      <c r="AI467" s="43" t="str">
        <f ca="1">_xll.BInterpol('Base IPCA'!$C$3:$C$14,'Base IPCA'!$E$3:$E$14,AH467,"Cubic","Extrapolate=Linear","MultiX=Average","Skip=True","Sort=True")</f>
        <v>#N/A Invalid Parameter: Interpolation value</v>
      </c>
      <c r="AJ467" s="43" t="str">
        <f ca="1"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92"/>
        <v>#REF!</v>
      </c>
      <c r="AI468" s="43" t="str">
        <f ca="1">_xll.BInterpol('Base IPCA'!$C$3:$C$14,'Base IPCA'!$E$3:$E$14,AH468,"Cubic","Extrapolate=Linear","MultiX=Average","Skip=True","Sort=True")</f>
        <v>#N/A Invalid Parameter: Interpolation value</v>
      </c>
      <c r="AJ468" s="43" t="str">
        <f ca="1"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92"/>
        <v>#REF!</v>
      </c>
      <c r="AI469" s="43" t="str">
        <f ca="1">_xll.BInterpol('Base IPCA'!$C$3:$C$14,'Base IPCA'!$E$3:$E$14,AH469,"Cubic","Extrapolate=Linear","MultiX=Average","Skip=True","Sort=True")</f>
        <v>#N/A Invalid Parameter: Interpolation value</v>
      </c>
      <c r="AJ469" s="43" t="str">
        <f ca="1"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92"/>
        <v>#REF!</v>
      </c>
      <c r="AI470" s="43" t="str">
        <f ca="1">_xll.BInterpol('Base IPCA'!$C$3:$C$14,'Base IPCA'!$E$3:$E$14,AH470,"Cubic","Extrapolate=Linear","MultiX=Average","Skip=True","Sort=True")</f>
        <v>#N/A Invalid Parameter: Interpolation value</v>
      </c>
      <c r="AJ470" s="43" t="str">
        <f ca="1"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92"/>
        <v>#REF!</v>
      </c>
      <c r="AI471" s="43" t="str">
        <f ca="1">_xll.BInterpol('Base IPCA'!$C$3:$C$14,'Base IPCA'!$E$3:$E$14,AH471,"Cubic","Extrapolate=Linear","MultiX=Average","Skip=True","Sort=True")</f>
        <v>#N/A Invalid Parameter: Interpolation value</v>
      </c>
      <c r="AJ471" s="43" t="str">
        <f ca="1"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92"/>
        <v>#REF!</v>
      </c>
      <c r="AI472" s="43" t="str">
        <f ca="1">_xll.BInterpol('Base IPCA'!$C$3:$C$14,'Base IPCA'!$E$3:$E$14,AH472,"Cubic","Extrapolate=Linear","MultiX=Average","Skip=True","Sort=True")</f>
        <v>#N/A Invalid Parameter: Interpolation value</v>
      </c>
      <c r="AJ472" s="43" t="str">
        <f ca="1"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92"/>
        <v>#REF!</v>
      </c>
      <c r="AI473" s="43" t="str">
        <f ca="1">_xll.BInterpol('Base IPCA'!$C$3:$C$14,'Base IPCA'!$E$3:$E$14,AH473,"Cubic","Extrapolate=Linear","MultiX=Average","Skip=True","Sort=True")</f>
        <v>#N/A Invalid Parameter: Interpolation value</v>
      </c>
      <c r="AJ473" s="43" t="str">
        <f ca="1"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92"/>
        <v>#REF!</v>
      </c>
      <c r="AI474" s="43" t="str">
        <f ca="1">_xll.BInterpol('Base IPCA'!$C$3:$C$14,'Base IPCA'!$E$3:$E$14,AH474,"Cubic","Extrapolate=Linear","MultiX=Average","Skip=True","Sort=True")</f>
        <v>#N/A Invalid Parameter: Interpolation value</v>
      </c>
      <c r="AJ474" s="43" t="str">
        <f ca="1"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92"/>
        <v>#REF!</v>
      </c>
      <c r="AI475" s="43" t="str">
        <f ca="1">_xll.BInterpol('Base IPCA'!$C$3:$C$14,'Base IPCA'!$E$3:$E$14,AH475,"Cubic","Extrapolate=Linear","MultiX=Average","Skip=True","Sort=True")</f>
        <v>#N/A Invalid Parameter: Interpolation value</v>
      </c>
      <c r="AJ475" s="43" t="str">
        <f ca="1"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92"/>
        <v>#REF!</v>
      </c>
      <c r="AI476" s="43" t="str">
        <f ca="1">_xll.BInterpol('Base IPCA'!$C$3:$C$14,'Base IPCA'!$E$3:$E$14,AH476,"Cubic","Extrapolate=Linear","MultiX=Average","Skip=True","Sort=True")</f>
        <v>#N/A Invalid Parameter: Interpolation value</v>
      </c>
      <c r="AJ476" s="43" t="str">
        <f ca="1"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92"/>
        <v>#REF!</v>
      </c>
      <c r="AI477" s="43" t="str">
        <f ca="1">_xll.BInterpol('Base IPCA'!$C$3:$C$14,'Base IPCA'!$E$3:$E$14,AH477,"Cubic","Extrapolate=Linear","MultiX=Average","Skip=True","Sort=True")</f>
        <v>#N/A Invalid Parameter: Interpolation value</v>
      </c>
      <c r="AJ477" s="43" t="str">
        <f ca="1"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92"/>
        <v>#REF!</v>
      </c>
      <c r="AI478" s="43" t="str">
        <f ca="1">_xll.BInterpol('Base IPCA'!$C$3:$C$14,'Base IPCA'!$E$3:$E$14,AH478,"Cubic","Extrapolate=Linear","MultiX=Average","Skip=True","Sort=True")</f>
        <v>#N/A Invalid Parameter: Interpolation value</v>
      </c>
      <c r="AJ478" s="43" t="str">
        <f ca="1"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92"/>
        <v>#REF!</v>
      </c>
      <c r="AI479" s="43" t="str">
        <f ca="1">_xll.BInterpol('Base IPCA'!$C$3:$C$14,'Base IPCA'!$E$3:$E$14,AH479,"Cubic","Extrapolate=Linear","MultiX=Average","Skip=True","Sort=True")</f>
        <v>#N/A Invalid Parameter: Interpolation value</v>
      </c>
      <c r="AJ479" s="43" t="str">
        <f ca="1"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92"/>
        <v>#REF!</v>
      </c>
      <c r="AI480" s="43" t="str">
        <f ca="1">_xll.BInterpol('Base IPCA'!$C$3:$C$14,'Base IPCA'!$E$3:$E$14,AH480,"Cubic","Extrapolate=Linear","MultiX=Average","Skip=True","Sort=True")</f>
        <v>#N/A Invalid Parameter: Interpolation value</v>
      </c>
      <c r="AJ480" s="43" t="str">
        <f ca="1"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92"/>
        <v>#REF!</v>
      </c>
      <c r="AI481" s="43" t="str">
        <f ca="1">_xll.BInterpol('Base IPCA'!$C$3:$C$14,'Base IPCA'!$E$3:$E$14,AH481,"Cubic","Extrapolate=Linear","MultiX=Average","Skip=True","Sort=True")</f>
        <v>#N/A Invalid Parameter: Interpolation value</v>
      </c>
      <c r="AJ481" s="43" t="str">
        <f ca="1"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92"/>
        <v>#REF!</v>
      </c>
      <c r="AI482" s="43" t="str">
        <f ca="1">_xll.BInterpol('Base IPCA'!$C$3:$C$14,'Base IPCA'!$E$3:$E$14,AH482,"Cubic","Extrapolate=Linear","MultiX=Average","Skip=True","Sort=True")</f>
        <v>#N/A Invalid Parameter: Interpolation value</v>
      </c>
      <c r="AJ482" s="43" t="str">
        <f ca="1"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92"/>
        <v>#REF!</v>
      </c>
      <c r="AI483" s="43" t="str">
        <f ca="1">_xll.BInterpol('Base IPCA'!$C$3:$C$14,'Base IPCA'!$E$3:$E$14,AH483,"Cubic","Extrapolate=Linear","MultiX=Average","Skip=True","Sort=True")</f>
        <v>#N/A Invalid Parameter: Interpolation value</v>
      </c>
      <c r="AJ483" s="43" t="str">
        <f ca="1"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92"/>
        <v>#REF!</v>
      </c>
      <c r="AI484" s="43" t="str">
        <f ca="1">_xll.BInterpol('Base IPCA'!$C$3:$C$14,'Base IPCA'!$E$3:$E$14,AH484,"Cubic","Extrapolate=Linear","MultiX=Average","Skip=True","Sort=True")</f>
        <v>#N/A Invalid Parameter: Interpolation value</v>
      </c>
      <c r="AJ484" s="43" t="str">
        <f ca="1"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92"/>
        <v>#REF!</v>
      </c>
      <c r="AI485" s="43" t="str">
        <f ca="1">_xll.BInterpol('Base IPCA'!$C$3:$C$14,'Base IPCA'!$E$3:$E$14,AH485,"Cubic","Extrapolate=Linear","MultiX=Average","Skip=True","Sort=True")</f>
        <v>#N/A Invalid Parameter: Interpolation value</v>
      </c>
      <c r="AJ485" s="43" t="str">
        <f ca="1"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92"/>
        <v>#REF!</v>
      </c>
      <c r="AI486" s="43" t="str">
        <f ca="1">_xll.BInterpol('Base IPCA'!$C$3:$C$14,'Base IPCA'!$E$3:$E$14,AH486,"Cubic","Extrapolate=Linear","MultiX=Average","Skip=True","Sort=True")</f>
        <v>#N/A Invalid Parameter: Interpolation value</v>
      </c>
      <c r="AJ486" s="43" t="str">
        <f ca="1"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92"/>
        <v>#REF!</v>
      </c>
      <c r="AI487" s="43" t="str">
        <f ca="1">_xll.BInterpol('Base IPCA'!$C$3:$C$14,'Base IPCA'!$E$3:$E$14,AH487,"Cubic","Extrapolate=Linear","MultiX=Average","Skip=True","Sort=True")</f>
        <v>#N/A Invalid Parameter: Interpolation value</v>
      </c>
      <c r="AJ487" s="43" t="str">
        <f ca="1"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92"/>
        <v>#REF!</v>
      </c>
      <c r="AI488" s="43" t="str">
        <f ca="1">_xll.BInterpol('Base IPCA'!$C$3:$C$14,'Base IPCA'!$E$3:$E$14,AH488,"Cubic","Extrapolate=Linear","MultiX=Average","Skip=True","Sort=True")</f>
        <v>#N/A Invalid Parameter: Interpolation value</v>
      </c>
      <c r="AJ488" s="43" t="str">
        <f ca="1"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92"/>
        <v>#REF!</v>
      </c>
      <c r="AI489" s="43" t="str">
        <f ca="1">_xll.BInterpol('Base IPCA'!$C$3:$C$14,'Base IPCA'!$E$3:$E$14,AH489,"Cubic","Extrapolate=Linear","MultiX=Average","Skip=True","Sort=True")</f>
        <v>#N/A Invalid Parameter: Interpolation value</v>
      </c>
      <c r="AJ489" s="43" t="str">
        <f ca="1"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92"/>
        <v>#REF!</v>
      </c>
      <c r="AI490" s="43" t="str">
        <f ca="1">_xll.BInterpol('Base IPCA'!$C$3:$C$14,'Base IPCA'!$E$3:$E$14,AH490,"Cubic","Extrapolate=Linear","MultiX=Average","Skip=True","Sort=True")</f>
        <v>#N/A Invalid Parameter: Interpolation value</v>
      </c>
      <c r="AJ490" s="43" t="str">
        <f ca="1"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92"/>
        <v>#REF!</v>
      </c>
      <c r="AI491" s="43" t="str">
        <f ca="1">_xll.BInterpol('Base IPCA'!$C$3:$C$14,'Base IPCA'!$E$3:$E$14,AH491,"Cubic","Extrapolate=Linear","MultiX=Average","Skip=True","Sort=True")</f>
        <v>#N/A Invalid Parameter: Interpolation value</v>
      </c>
      <c r="AJ491" s="43" t="str">
        <f ca="1"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92"/>
        <v>#REF!</v>
      </c>
      <c r="AI492" s="43" t="str">
        <f ca="1">_xll.BInterpol('Base IPCA'!$C$3:$C$14,'Base IPCA'!$E$3:$E$14,AH492,"Cubic","Extrapolate=Linear","MultiX=Average","Skip=True","Sort=True")</f>
        <v>#N/A Invalid Parameter: Interpolation value</v>
      </c>
      <c r="AJ492" s="43" t="str">
        <f ca="1"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92"/>
        <v>#REF!</v>
      </c>
      <c r="AI493" s="43" t="str">
        <f ca="1">_xll.BInterpol('Base IPCA'!$C$3:$C$14,'Base IPCA'!$E$3:$E$14,AH493,"Cubic","Extrapolate=Linear","MultiX=Average","Skip=True","Sort=True")</f>
        <v>#N/A Invalid Parameter: Interpolation value</v>
      </c>
      <c r="AJ493" s="43" t="str">
        <f ca="1"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92"/>
        <v>#REF!</v>
      </c>
      <c r="AI494" s="43" t="str">
        <f ca="1">_xll.BInterpol('Base IPCA'!$C$3:$C$14,'Base IPCA'!$E$3:$E$14,AH494,"Cubic","Extrapolate=Linear","MultiX=Average","Skip=True","Sort=True")</f>
        <v>#N/A Invalid Parameter: Interpolation value</v>
      </c>
      <c r="AJ494" s="43" t="str">
        <f ca="1"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92"/>
        <v>#REF!</v>
      </c>
      <c r="AI495" s="43" t="str">
        <f ca="1">_xll.BInterpol('Base IPCA'!$C$3:$C$14,'Base IPCA'!$E$3:$E$14,AH495,"Cubic","Extrapolate=Linear","MultiX=Average","Skip=True","Sort=True")</f>
        <v>#N/A Invalid Parameter: Interpolation value</v>
      </c>
      <c r="AJ495" s="43" t="str">
        <f ca="1"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92"/>
        <v>#REF!</v>
      </c>
      <c r="AI496" s="43" t="str">
        <f ca="1">_xll.BInterpol('Base IPCA'!$C$3:$C$14,'Base IPCA'!$E$3:$E$14,AH496,"Cubic","Extrapolate=Linear","MultiX=Average","Skip=True","Sort=True")</f>
        <v>#N/A Invalid Parameter: Interpolation value</v>
      </c>
      <c r="AJ496" s="43" t="str">
        <f ca="1"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92"/>
        <v>#REF!</v>
      </c>
      <c r="AI497" s="43" t="str">
        <f ca="1">_xll.BInterpol('Base IPCA'!$C$3:$C$14,'Base IPCA'!$E$3:$E$14,AH497,"Cubic","Extrapolate=Linear","MultiX=Average","Skip=True","Sort=True")</f>
        <v>#N/A Invalid Parameter: Interpolation value</v>
      </c>
      <c r="AJ497" s="43" t="str">
        <f ca="1"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92"/>
        <v>#REF!</v>
      </c>
      <c r="AI498" s="43" t="str">
        <f ca="1">_xll.BInterpol('Base IPCA'!$C$3:$C$14,'Base IPCA'!$E$3:$E$14,AH498,"Cubic","Extrapolate=Linear","MultiX=Average","Skip=True","Sort=True")</f>
        <v>#N/A Invalid Parameter: Interpolation value</v>
      </c>
      <c r="AJ498" s="43" t="str">
        <f ca="1"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92"/>
        <v>#REF!</v>
      </c>
      <c r="AI499" s="43" t="str">
        <f ca="1">_xll.BInterpol('Base IPCA'!$C$3:$C$14,'Base IPCA'!$E$3:$E$14,AH499,"Cubic","Extrapolate=Linear","MultiX=Average","Skip=True","Sort=True")</f>
        <v>#N/A Invalid Parameter: Interpolation value</v>
      </c>
      <c r="AJ499" s="43" t="str">
        <f ca="1"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92"/>
        <v>#REF!</v>
      </c>
      <c r="AI500" s="43" t="str">
        <f ca="1">_xll.BInterpol('Base IPCA'!$C$3:$C$14,'Base IPCA'!$E$3:$E$14,AH500,"Cubic","Extrapolate=Linear","MultiX=Average","Skip=True","Sort=True")</f>
        <v>#N/A Invalid Parameter: Interpolation value</v>
      </c>
      <c r="AJ500" s="43" t="str">
        <f ca="1"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92"/>
        <v>#REF!</v>
      </c>
      <c r="AI501" s="43" t="str">
        <f ca="1">_xll.BInterpol('Base IPCA'!$C$3:$C$14,'Base IPCA'!$E$3:$E$14,AH501,"Cubic","Extrapolate=Linear","MultiX=Average","Skip=True","Sort=True")</f>
        <v>#N/A Invalid Parameter: Interpolation value</v>
      </c>
      <c r="AJ501" s="43" t="str">
        <f ca="1"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92"/>
        <v>#REF!</v>
      </c>
      <c r="AI502" s="43" t="str">
        <f ca="1">_xll.BInterpol('Base IPCA'!$C$3:$C$14,'Base IPCA'!$E$3:$E$14,AH502,"Cubic","Extrapolate=Linear","MultiX=Average","Skip=True","Sort=True")</f>
        <v>#N/A Invalid Parameter: Interpolation value</v>
      </c>
      <c r="AJ502" s="43" t="str">
        <f ca="1"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92"/>
        <v>#REF!</v>
      </c>
      <c r="AI503" s="43" t="str">
        <f ca="1">_xll.BInterpol('Base IPCA'!$C$3:$C$14,'Base IPCA'!$E$3:$E$14,AH503,"Cubic","Extrapolate=Linear","MultiX=Average","Skip=True","Sort=True")</f>
        <v>#N/A Invalid Parameter: Interpolation value</v>
      </c>
      <c r="AJ503" s="43" t="str">
        <f ca="1"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92"/>
        <v>#REF!</v>
      </c>
      <c r="AI504" s="43" t="str">
        <f ca="1">_xll.BInterpol('Base IPCA'!$C$3:$C$14,'Base IPCA'!$E$3:$E$14,AH504,"Cubic","Extrapolate=Linear","MultiX=Average","Skip=True","Sort=True")</f>
        <v>#N/A Invalid Parameter: Interpolation value</v>
      </c>
      <c r="AJ504" s="43" t="str">
        <f ca="1"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92"/>
        <v>#REF!</v>
      </c>
      <c r="AI505" s="43" t="str">
        <f ca="1">_xll.BInterpol('Base IPCA'!$C$3:$C$14,'Base IPCA'!$E$3:$E$14,AH505,"Cubic","Extrapolate=Linear","MultiX=Average","Skip=True","Sort=True")</f>
        <v>#N/A Invalid Parameter: Interpolation value</v>
      </c>
      <c r="AJ505" s="43" t="str">
        <f ca="1"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92"/>
        <v>#REF!</v>
      </c>
      <c r="AI506" s="43" t="str">
        <f ca="1">_xll.BInterpol('Base IPCA'!$C$3:$C$14,'Base IPCA'!$E$3:$E$14,AH506,"Cubic","Extrapolate=Linear","MultiX=Average","Skip=True","Sort=True")</f>
        <v>#N/A Invalid Parameter: Interpolation value</v>
      </c>
      <c r="AJ506" s="43" t="str">
        <f ca="1"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92"/>
        <v>#REF!</v>
      </c>
      <c r="AI507" s="43" t="str">
        <f ca="1">_xll.BInterpol('Base IPCA'!$C$3:$C$14,'Base IPCA'!$E$3:$E$14,AH507,"Cubic","Extrapolate=Linear","MultiX=Average","Skip=True","Sort=True")</f>
        <v>#N/A Invalid Parameter: Interpolation value</v>
      </c>
      <c r="AJ507" s="43" t="str">
        <f ca="1"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92"/>
        <v>#REF!</v>
      </c>
      <c r="AI508" s="43" t="str">
        <f ca="1">_xll.BInterpol('Base IPCA'!$C$3:$C$14,'Base IPCA'!$E$3:$E$14,AH508,"Cubic","Extrapolate=Linear","MultiX=Average","Skip=True","Sort=True")</f>
        <v>#N/A Invalid Parameter: Interpolation value</v>
      </c>
      <c r="AJ508" s="43" t="str">
        <f ca="1"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92"/>
        <v>#REF!</v>
      </c>
      <c r="AI509" s="43" t="str">
        <f ca="1">_xll.BInterpol('Base IPCA'!$C$3:$C$14,'Base IPCA'!$E$3:$E$14,AH509,"Cubic","Extrapolate=Linear","MultiX=Average","Skip=True","Sort=True")</f>
        <v>#N/A Invalid Parameter: Interpolation value</v>
      </c>
      <c r="AJ509" s="43" t="str">
        <f ca="1"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92"/>
        <v>#REF!</v>
      </c>
      <c r="AI510" s="43" t="str">
        <f ca="1">_xll.BInterpol('Base IPCA'!$C$3:$C$14,'Base IPCA'!$E$3:$E$14,AH510,"Cubic","Extrapolate=Linear","MultiX=Average","Skip=True","Sort=True")</f>
        <v>#N/A Invalid Parameter: Interpolation value</v>
      </c>
      <c r="AJ510" s="43" t="str">
        <f ca="1"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92"/>
        <v>#REF!</v>
      </c>
      <c r="AI511" s="43" t="str">
        <f ca="1">_xll.BInterpol('Base IPCA'!$C$3:$C$14,'Base IPCA'!$E$3:$E$14,AH511,"Cubic","Extrapolate=Linear","MultiX=Average","Skip=True","Sort=True")</f>
        <v>#N/A Invalid Parameter: Interpolation value</v>
      </c>
      <c r="AJ511" s="43" t="str">
        <f ca="1"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92"/>
        <v>#REF!</v>
      </c>
      <c r="AI512" s="43" t="str">
        <f ca="1">_xll.BInterpol('Base IPCA'!$C$3:$C$14,'Base IPCA'!$E$3:$E$14,AH512,"Cubic","Extrapolate=Linear","MultiX=Average","Skip=True","Sort=True")</f>
        <v>#N/A Invalid Parameter: Interpolation value</v>
      </c>
      <c r="AJ512" s="43" t="str">
        <f ca="1"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92"/>
        <v>#REF!</v>
      </c>
      <c r="AI513" s="43" t="str">
        <f ca="1">_xll.BInterpol('Base IPCA'!$C$3:$C$14,'Base IPCA'!$E$3:$E$14,AH513,"Cubic","Extrapolate=Linear","MultiX=Average","Skip=True","Sort=True")</f>
        <v>#N/A Invalid Parameter: Interpolation value</v>
      </c>
      <c r="AJ513" s="43" t="str">
        <f ca="1"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92"/>
        <v>#REF!</v>
      </c>
      <c r="AI514" s="43" t="str">
        <f ca="1">_xll.BInterpol('Base IPCA'!$C$3:$C$14,'Base IPCA'!$E$3:$E$14,AH514,"Cubic","Extrapolate=Linear","MultiX=Average","Skip=True","Sort=True")</f>
        <v>#N/A Invalid Parameter: Interpolation value</v>
      </c>
      <c r="AJ514" s="43" t="str">
        <f ca="1"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92"/>
        <v>#REF!</v>
      </c>
      <c r="AI515" s="43" t="str">
        <f ca="1">_xll.BInterpol('Base IPCA'!$C$3:$C$14,'Base IPCA'!$E$3:$E$14,AH515,"Cubic","Extrapolate=Linear","MultiX=Average","Skip=True","Sort=True")</f>
        <v>#N/A Invalid Parameter: Interpolation value</v>
      </c>
      <c r="AJ515" s="43" t="str">
        <f ca="1"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92"/>
        <v>#REF!</v>
      </c>
      <c r="AI516" s="43" t="str">
        <f ca="1">_xll.BInterpol('Base IPCA'!$C$3:$C$14,'Base IPCA'!$E$3:$E$14,AH516,"Cubic","Extrapolate=Linear","MultiX=Average","Skip=True","Sort=True")</f>
        <v>#N/A Invalid Parameter: Interpolation value</v>
      </c>
      <c r="AJ516" s="43" t="str">
        <f ca="1"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92"/>
        <v>#REF!</v>
      </c>
      <c r="AI517" s="43" t="str">
        <f ca="1">_xll.BInterpol('Base IPCA'!$C$3:$C$14,'Base IPCA'!$E$3:$E$14,AH517,"Cubic","Extrapolate=Linear","MultiX=Average","Skip=True","Sort=True")</f>
        <v>#N/A Invalid Parameter: Interpolation value</v>
      </c>
      <c r="AJ517" s="43" t="str">
        <f ca="1"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93">AH517+1</f>
        <v>#REF!</v>
      </c>
      <c r="AI518" s="43" t="str">
        <f ca="1">_xll.BInterpol('Base IPCA'!$C$3:$C$14,'Base IPCA'!$E$3:$E$14,AH518,"Cubic","Extrapolate=Linear","MultiX=Average","Skip=True","Sort=True")</f>
        <v>#N/A Invalid Parameter: Interpolation value</v>
      </c>
      <c r="AJ518" s="43" t="str">
        <f ca="1"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93"/>
        <v>#REF!</v>
      </c>
      <c r="AI519" s="43" t="str">
        <f ca="1">_xll.BInterpol('Base IPCA'!$C$3:$C$14,'Base IPCA'!$E$3:$E$14,AH519,"Cubic","Extrapolate=Linear","MultiX=Average","Skip=True","Sort=True")</f>
        <v>#N/A Invalid Parameter: Interpolation value</v>
      </c>
      <c r="AJ519" s="43" t="str">
        <f ca="1"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93"/>
        <v>#REF!</v>
      </c>
      <c r="AI520" s="43" t="str">
        <f ca="1">_xll.BInterpol('Base IPCA'!$C$3:$C$14,'Base IPCA'!$E$3:$E$14,AH520,"Cubic","Extrapolate=Linear","MultiX=Average","Skip=True","Sort=True")</f>
        <v>#N/A Invalid Parameter: Interpolation value</v>
      </c>
      <c r="AJ520" s="43" t="str">
        <f ca="1"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93"/>
        <v>#REF!</v>
      </c>
      <c r="AI521" s="43" t="str">
        <f ca="1">_xll.BInterpol('Base IPCA'!$C$3:$C$14,'Base IPCA'!$E$3:$E$14,AH521,"Cubic","Extrapolate=Linear","MultiX=Average","Skip=True","Sort=True")</f>
        <v>#N/A Invalid Parameter: Interpolation value</v>
      </c>
      <c r="AJ521" s="43" t="str">
        <f ca="1"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93"/>
        <v>#REF!</v>
      </c>
      <c r="AI522" s="43" t="str">
        <f ca="1">_xll.BInterpol('Base IPCA'!$C$3:$C$14,'Base IPCA'!$E$3:$E$14,AH522,"Cubic","Extrapolate=Linear","MultiX=Average","Skip=True","Sort=True")</f>
        <v>#N/A Invalid Parameter: Interpolation value</v>
      </c>
      <c r="AJ522" s="43" t="str">
        <f ca="1"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93"/>
        <v>#REF!</v>
      </c>
      <c r="AI523" s="43" t="str">
        <f ca="1">_xll.BInterpol('Base IPCA'!$C$3:$C$14,'Base IPCA'!$E$3:$E$14,AH523,"Cubic","Extrapolate=Linear","MultiX=Average","Skip=True","Sort=True")</f>
        <v>#N/A Invalid Parameter: Interpolation value</v>
      </c>
      <c r="AJ523" s="43" t="str">
        <f ca="1"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93"/>
        <v>#REF!</v>
      </c>
      <c r="AI524" s="43" t="str">
        <f ca="1">_xll.BInterpol('Base IPCA'!$C$3:$C$14,'Base IPCA'!$E$3:$E$14,AH524,"Cubic","Extrapolate=Linear","MultiX=Average","Skip=True","Sort=True")</f>
        <v>#N/A Invalid Parameter: Interpolation value</v>
      </c>
      <c r="AJ524" s="43" t="str">
        <f ca="1"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93"/>
        <v>#REF!</v>
      </c>
      <c r="AI525" s="43" t="str">
        <f ca="1">_xll.BInterpol('Base IPCA'!$C$3:$C$14,'Base IPCA'!$E$3:$E$14,AH525,"Cubic","Extrapolate=Linear","MultiX=Average","Skip=True","Sort=True")</f>
        <v>#N/A Invalid Parameter: Interpolation value</v>
      </c>
      <c r="AJ525" s="43" t="str">
        <f ca="1"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93"/>
        <v>#REF!</v>
      </c>
      <c r="AI526" s="43" t="str">
        <f ca="1">_xll.BInterpol('Base IPCA'!$C$3:$C$14,'Base IPCA'!$E$3:$E$14,AH526,"Cubic","Extrapolate=Linear","MultiX=Average","Skip=True","Sort=True")</f>
        <v>#N/A Invalid Parameter: Interpolation value</v>
      </c>
      <c r="AJ526" s="43" t="str">
        <f ca="1"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93"/>
        <v>#REF!</v>
      </c>
      <c r="AI527" s="43" t="str">
        <f ca="1">_xll.BInterpol('Base IPCA'!$C$3:$C$14,'Base IPCA'!$E$3:$E$14,AH527,"Cubic","Extrapolate=Linear","MultiX=Average","Skip=True","Sort=True")</f>
        <v>#N/A Invalid Parameter: Interpolation value</v>
      </c>
      <c r="AJ527" s="43" t="str">
        <f ca="1"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93"/>
        <v>#REF!</v>
      </c>
      <c r="AI528" s="43" t="str">
        <f ca="1">_xll.BInterpol('Base IPCA'!$C$3:$C$14,'Base IPCA'!$E$3:$E$14,AH528,"Cubic","Extrapolate=Linear","MultiX=Average","Skip=True","Sort=True")</f>
        <v>#N/A Invalid Parameter: Interpolation value</v>
      </c>
      <c r="AJ528" s="43" t="str">
        <f ca="1"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93"/>
        <v>#REF!</v>
      </c>
      <c r="AI529" s="43" t="str">
        <f ca="1">_xll.BInterpol('Base IPCA'!$C$3:$C$14,'Base IPCA'!$E$3:$E$14,AH529,"Cubic","Extrapolate=Linear","MultiX=Average","Skip=True","Sort=True")</f>
        <v>#N/A Invalid Parameter: Interpolation value</v>
      </c>
      <c r="AJ529" s="43" t="str">
        <f ca="1"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93"/>
        <v>#REF!</v>
      </c>
      <c r="AI530" s="43" t="str">
        <f ca="1">_xll.BInterpol('Base IPCA'!$C$3:$C$14,'Base IPCA'!$E$3:$E$14,AH530,"Cubic","Extrapolate=Linear","MultiX=Average","Skip=True","Sort=True")</f>
        <v>#N/A Invalid Parameter: Interpolation value</v>
      </c>
      <c r="AJ530" s="43" t="str">
        <f ca="1"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93"/>
        <v>#REF!</v>
      </c>
      <c r="AI531" s="43" t="str">
        <f ca="1">_xll.BInterpol('Base IPCA'!$C$3:$C$14,'Base IPCA'!$E$3:$E$14,AH531,"Cubic","Extrapolate=Linear","MultiX=Average","Skip=True","Sort=True")</f>
        <v>#N/A Invalid Parameter: Interpolation value</v>
      </c>
      <c r="AJ531" s="43" t="str">
        <f ca="1"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93"/>
        <v>#REF!</v>
      </c>
      <c r="AI532" s="43" t="str">
        <f ca="1">_xll.BInterpol('Base IPCA'!$C$3:$C$14,'Base IPCA'!$E$3:$E$14,AH532,"Cubic","Extrapolate=Linear","MultiX=Average","Skip=True","Sort=True")</f>
        <v>#N/A Invalid Parameter: Interpolation value</v>
      </c>
      <c r="AJ532" s="43" t="str">
        <f ca="1"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93"/>
        <v>#REF!</v>
      </c>
      <c r="AI533" s="43" t="str">
        <f ca="1">_xll.BInterpol('Base IPCA'!$C$3:$C$14,'Base IPCA'!$E$3:$E$14,AH533,"Cubic","Extrapolate=Linear","MultiX=Average","Skip=True","Sort=True")</f>
        <v>#N/A Invalid Parameter: Interpolation value</v>
      </c>
      <c r="AJ533" s="43" t="str">
        <f ca="1"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93"/>
        <v>#REF!</v>
      </c>
      <c r="AI534" s="43" t="str">
        <f ca="1">_xll.BInterpol('Base IPCA'!$C$3:$C$14,'Base IPCA'!$E$3:$E$14,AH534,"Cubic","Extrapolate=Linear","MultiX=Average","Skip=True","Sort=True")</f>
        <v>#N/A Invalid Parameter: Interpolation value</v>
      </c>
      <c r="AJ534" s="43" t="str">
        <f ca="1"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93"/>
        <v>#REF!</v>
      </c>
      <c r="AI535" s="43" t="str">
        <f ca="1">_xll.BInterpol('Base IPCA'!$C$3:$C$14,'Base IPCA'!$E$3:$E$14,AH535,"Cubic","Extrapolate=Linear","MultiX=Average","Skip=True","Sort=True")</f>
        <v>#N/A Invalid Parameter: Interpolation value</v>
      </c>
      <c r="AJ535" s="43" t="str">
        <f ca="1"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93"/>
        <v>#REF!</v>
      </c>
      <c r="AI536" s="43" t="str">
        <f ca="1">_xll.BInterpol('Base IPCA'!$C$3:$C$14,'Base IPCA'!$E$3:$E$14,AH536,"Cubic","Extrapolate=Linear","MultiX=Average","Skip=True","Sort=True")</f>
        <v>#N/A Invalid Parameter: Interpolation value</v>
      </c>
      <c r="AJ536" s="43" t="str">
        <f ca="1"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93"/>
        <v>#REF!</v>
      </c>
      <c r="AI537" s="43" t="str">
        <f ca="1">_xll.BInterpol('Base IPCA'!$C$3:$C$14,'Base IPCA'!$E$3:$E$14,AH537,"Cubic","Extrapolate=Linear","MultiX=Average","Skip=True","Sort=True")</f>
        <v>#N/A Invalid Parameter: Interpolation value</v>
      </c>
      <c r="AJ537" s="43" t="str">
        <f ca="1"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93"/>
        <v>#REF!</v>
      </c>
      <c r="AI538" s="43" t="str">
        <f ca="1">_xll.BInterpol('Base IPCA'!$C$3:$C$14,'Base IPCA'!$E$3:$E$14,AH538,"Cubic","Extrapolate=Linear","MultiX=Average","Skip=True","Sort=True")</f>
        <v>#N/A Invalid Parameter: Interpolation value</v>
      </c>
      <c r="AJ538" s="43" t="str">
        <f ca="1"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93"/>
        <v>#REF!</v>
      </c>
      <c r="AI539" s="43" t="str">
        <f ca="1">_xll.BInterpol('Base IPCA'!$C$3:$C$14,'Base IPCA'!$E$3:$E$14,AH539,"Cubic","Extrapolate=Linear","MultiX=Average","Skip=True","Sort=True")</f>
        <v>#N/A Invalid Parameter: Interpolation value</v>
      </c>
      <c r="AJ539" s="43" t="str">
        <f ca="1"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93"/>
        <v>#REF!</v>
      </c>
      <c r="AI540" s="43" t="str">
        <f ca="1">_xll.BInterpol('Base IPCA'!$C$3:$C$14,'Base IPCA'!$E$3:$E$14,AH540,"Cubic","Extrapolate=Linear","MultiX=Average","Skip=True","Sort=True")</f>
        <v>#N/A Invalid Parameter: Interpolation value</v>
      </c>
      <c r="AJ540" s="43" t="str">
        <f ca="1"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93"/>
        <v>#REF!</v>
      </c>
      <c r="AI541" s="43" t="str">
        <f ca="1">_xll.BInterpol('Base IPCA'!$C$3:$C$14,'Base IPCA'!$E$3:$E$14,AH541,"Cubic","Extrapolate=Linear","MultiX=Average","Skip=True","Sort=True")</f>
        <v>#N/A Invalid Parameter: Interpolation value</v>
      </c>
      <c r="AJ541" s="43" t="str">
        <f ca="1"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93"/>
        <v>#REF!</v>
      </c>
      <c r="AI542" s="43" t="str">
        <f ca="1">_xll.BInterpol('Base IPCA'!$C$3:$C$14,'Base IPCA'!$E$3:$E$14,AH542,"Cubic","Extrapolate=Linear","MultiX=Average","Skip=True","Sort=True")</f>
        <v>#N/A Invalid Parameter: Interpolation value</v>
      </c>
      <c r="AJ542" s="43" t="str">
        <f ca="1"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93"/>
        <v>#REF!</v>
      </c>
      <c r="AI543" s="43" t="str">
        <f ca="1">_xll.BInterpol('Base IPCA'!$C$3:$C$14,'Base IPCA'!$E$3:$E$14,AH543,"Cubic","Extrapolate=Linear","MultiX=Average","Skip=True","Sort=True")</f>
        <v>#N/A Invalid Parameter: Interpolation value</v>
      </c>
      <c r="AJ543" s="43" t="str">
        <f ca="1"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93"/>
        <v>#REF!</v>
      </c>
      <c r="AI544" s="43" t="str">
        <f ca="1">_xll.BInterpol('Base IPCA'!$C$3:$C$14,'Base IPCA'!$E$3:$E$14,AH544,"Cubic","Extrapolate=Linear","MultiX=Average","Skip=True","Sort=True")</f>
        <v>#N/A Invalid Parameter: Interpolation value</v>
      </c>
      <c r="AJ544" s="43" t="str">
        <f ca="1"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93"/>
        <v>#REF!</v>
      </c>
      <c r="AI545" s="43" t="str">
        <f ca="1">_xll.BInterpol('Base IPCA'!$C$3:$C$14,'Base IPCA'!$E$3:$E$14,AH545,"Cubic","Extrapolate=Linear","MultiX=Average","Skip=True","Sort=True")</f>
        <v>#N/A Invalid Parameter: Interpolation value</v>
      </c>
      <c r="AJ545" s="43" t="str">
        <f ca="1"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93"/>
        <v>#REF!</v>
      </c>
      <c r="AI546" s="43" t="str">
        <f ca="1">_xll.BInterpol('Base IPCA'!$C$3:$C$14,'Base IPCA'!$E$3:$E$14,AH546,"Cubic","Extrapolate=Linear","MultiX=Average","Skip=True","Sort=True")</f>
        <v>#N/A Invalid Parameter: Interpolation value</v>
      </c>
      <c r="AJ546" s="43" t="str">
        <f ca="1"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93"/>
        <v>#REF!</v>
      </c>
      <c r="AI547" s="43" t="str">
        <f ca="1">_xll.BInterpol('Base IPCA'!$C$3:$C$14,'Base IPCA'!$E$3:$E$14,AH547,"Cubic","Extrapolate=Linear","MultiX=Average","Skip=True","Sort=True")</f>
        <v>#N/A Invalid Parameter: Interpolation value</v>
      </c>
      <c r="AJ547" s="43" t="str">
        <f ca="1"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93"/>
        <v>#REF!</v>
      </c>
      <c r="AI548" s="43" t="str">
        <f ca="1">_xll.BInterpol('Base IPCA'!$C$3:$C$14,'Base IPCA'!$E$3:$E$14,AH548,"Cubic","Extrapolate=Linear","MultiX=Average","Skip=True","Sort=True")</f>
        <v>#N/A Invalid Parameter: Interpolation value</v>
      </c>
      <c r="AJ548" s="43" t="str">
        <f ca="1"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93"/>
        <v>#REF!</v>
      </c>
      <c r="AI549" s="43" t="str">
        <f ca="1">_xll.BInterpol('Base IPCA'!$C$3:$C$14,'Base IPCA'!$E$3:$E$14,AH549,"Cubic","Extrapolate=Linear","MultiX=Average","Skip=True","Sort=True")</f>
        <v>#N/A Invalid Parameter: Interpolation value</v>
      </c>
      <c r="AJ549" s="43" t="str">
        <f ca="1"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93"/>
        <v>#REF!</v>
      </c>
      <c r="AI550" s="43" t="str">
        <f ca="1">_xll.BInterpol('Base IPCA'!$C$3:$C$14,'Base IPCA'!$E$3:$E$14,AH550,"Cubic","Extrapolate=Linear","MultiX=Average","Skip=True","Sort=True")</f>
        <v>#N/A Invalid Parameter: Interpolation value</v>
      </c>
      <c r="AJ550" s="43" t="str">
        <f ca="1"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93"/>
        <v>#REF!</v>
      </c>
      <c r="AI551" s="43" t="str">
        <f ca="1">_xll.BInterpol('Base IPCA'!$C$3:$C$14,'Base IPCA'!$E$3:$E$14,AH551,"Cubic","Extrapolate=Linear","MultiX=Average","Skip=True","Sort=True")</f>
        <v>#N/A Invalid Parameter: Interpolation value</v>
      </c>
      <c r="AJ551" s="43" t="str">
        <f ca="1"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93"/>
        <v>#REF!</v>
      </c>
      <c r="AI552" s="43" t="str">
        <f ca="1">_xll.BInterpol('Base IPCA'!$C$3:$C$14,'Base IPCA'!$E$3:$E$14,AH552,"Cubic","Extrapolate=Linear","MultiX=Average","Skip=True","Sort=True")</f>
        <v>#N/A Invalid Parameter: Interpolation value</v>
      </c>
      <c r="AJ552" s="43" t="str">
        <f ca="1"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93"/>
        <v>#REF!</v>
      </c>
      <c r="AI553" s="43" t="str">
        <f ca="1">_xll.BInterpol('Base IPCA'!$C$3:$C$14,'Base IPCA'!$E$3:$E$14,AH553,"Cubic","Extrapolate=Linear","MultiX=Average","Skip=True","Sort=True")</f>
        <v>#N/A Invalid Parameter: Interpolation value</v>
      </c>
      <c r="AJ553" s="43" t="str">
        <f ca="1"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93"/>
        <v>#REF!</v>
      </c>
      <c r="AI554" s="43" t="str">
        <f ca="1">_xll.BInterpol('Base IPCA'!$C$3:$C$14,'Base IPCA'!$E$3:$E$14,AH554,"Cubic","Extrapolate=Linear","MultiX=Average","Skip=True","Sort=True")</f>
        <v>#N/A Invalid Parameter: Interpolation value</v>
      </c>
      <c r="AJ554" s="43" t="str">
        <f ca="1"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93"/>
        <v>#REF!</v>
      </c>
      <c r="AI555" s="43" t="str">
        <f ca="1">_xll.BInterpol('Base IPCA'!$C$3:$C$14,'Base IPCA'!$E$3:$E$14,AH555,"Cubic","Extrapolate=Linear","MultiX=Average","Skip=True","Sort=True")</f>
        <v>#N/A Invalid Parameter: Interpolation value</v>
      </c>
      <c r="AJ555" s="43" t="str">
        <f ca="1"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93"/>
        <v>#REF!</v>
      </c>
      <c r="AI556" s="43" t="str">
        <f ca="1">_xll.BInterpol('Base IPCA'!$C$3:$C$14,'Base IPCA'!$E$3:$E$14,AH556,"Cubic","Extrapolate=Linear","MultiX=Average","Skip=True","Sort=True")</f>
        <v>#N/A Invalid Parameter: Interpolation value</v>
      </c>
      <c r="AJ556" s="43" t="str">
        <f ca="1"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93"/>
        <v>#REF!</v>
      </c>
      <c r="AI557" s="43" t="str">
        <f ca="1">_xll.BInterpol('Base IPCA'!$C$3:$C$14,'Base IPCA'!$E$3:$E$14,AH557,"Cubic","Extrapolate=Linear","MultiX=Average","Skip=True","Sort=True")</f>
        <v>#N/A Invalid Parameter: Interpolation value</v>
      </c>
      <c r="AJ557" s="43" t="str">
        <f ca="1"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93"/>
        <v>#REF!</v>
      </c>
      <c r="AI558" s="43" t="str">
        <f ca="1">_xll.BInterpol('Base IPCA'!$C$3:$C$14,'Base IPCA'!$E$3:$E$14,AH558,"Cubic","Extrapolate=Linear","MultiX=Average","Skip=True","Sort=True")</f>
        <v>#N/A Invalid Parameter: Interpolation value</v>
      </c>
      <c r="AJ558" s="43" t="str">
        <f ca="1"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93"/>
        <v>#REF!</v>
      </c>
      <c r="AI559" s="43" t="str">
        <f ca="1">_xll.BInterpol('Base IPCA'!$C$3:$C$14,'Base IPCA'!$E$3:$E$14,AH559,"Cubic","Extrapolate=Linear","MultiX=Average","Skip=True","Sort=True")</f>
        <v>#N/A Invalid Parameter: Interpolation value</v>
      </c>
      <c r="AJ559" s="43" t="str">
        <f ca="1"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93"/>
        <v>#REF!</v>
      </c>
      <c r="AI560" s="43" t="str">
        <f ca="1">_xll.BInterpol('Base IPCA'!$C$3:$C$14,'Base IPCA'!$E$3:$E$14,AH560,"Cubic","Extrapolate=Linear","MultiX=Average","Skip=True","Sort=True")</f>
        <v>#N/A Invalid Parameter: Interpolation value</v>
      </c>
      <c r="AJ560" s="43" t="str">
        <f ca="1"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93"/>
        <v>#REF!</v>
      </c>
      <c r="AI561" s="43" t="str">
        <f ca="1">_xll.BInterpol('Base IPCA'!$C$3:$C$14,'Base IPCA'!$E$3:$E$14,AH561,"Cubic","Extrapolate=Linear","MultiX=Average","Skip=True","Sort=True")</f>
        <v>#N/A Invalid Parameter: Interpolation value</v>
      </c>
      <c r="AJ561" s="43" t="str">
        <f ca="1"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93"/>
        <v>#REF!</v>
      </c>
      <c r="AI562" s="43" t="str">
        <f ca="1">_xll.BInterpol('Base IPCA'!$C$3:$C$14,'Base IPCA'!$E$3:$E$14,AH562,"Cubic","Extrapolate=Linear","MultiX=Average","Skip=True","Sort=True")</f>
        <v>#N/A Invalid Parameter: Interpolation value</v>
      </c>
      <c r="AJ562" s="43" t="str">
        <f ca="1"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93"/>
        <v>#REF!</v>
      </c>
      <c r="AI563" s="43" t="str">
        <f ca="1">_xll.BInterpol('Base IPCA'!$C$3:$C$14,'Base IPCA'!$E$3:$E$14,AH563,"Cubic","Extrapolate=Linear","MultiX=Average","Skip=True","Sort=True")</f>
        <v>#N/A Invalid Parameter: Interpolation value</v>
      </c>
      <c r="AJ563" s="43" t="str">
        <f ca="1"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93"/>
        <v>#REF!</v>
      </c>
      <c r="AI564" s="43" t="str">
        <f ca="1">_xll.BInterpol('Base IPCA'!$C$3:$C$14,'Base IPCA'!$E$3:$E$14,AH564,"Cubic","Extrapolate=Linear","MultiX=Average","Skip=True","Sort=True")</f>
        <v>#N/A Invalid Parameter: Interpolation value</v>
      </c>
      <c r="AJ564" s="43" t="str">
        <f ca="1"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93"/>
        <v>#REF!</v>
      </c>
      <c r="AI565" s="43" t="str">
        <f ca="1">_xll.BInterpol('Base IPCA'!$C$3:$C$14,'Base IPCA'!$E$3:$E$14,AH565,"Cubic","Extrapolate=Linear","MultiX=Average","Skip=True","Sort=True")</f>
        <v>#N/A Invalid Parameter: Interpolation value</v>
      </c>
      <c r="AJ565" s="43" t="str">
        <f ca="1"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93"/>
        <v>#REF!</v>
      </c>
      <c r="AI566" s="43" t="str">
        <f ca="1">_xll.BInterpol('Base IPCA'!$C$3:$C$14,'Base IPCA'!$E$3:$E$14,AH566,"Cubic","Extrapolate=Linear","MultiX=Average","Skip=True","Sort=True")</f>
        <v>#N/A Invalid Parameter: Interpolation value</v>
      </c>
      <c r="AJ566" s="43" t="str">
        <f ca="1"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93"/>
        <v>#REF!</v>
      </c>
      <c r="AI567" s="43" t="str">
        <f ca="1">_xll.BInterpol('Base IPCA'!$C$3:$C$14,'Base IPCA'!$E$3:$E$14,AH567,"Cubic","Extrapolate=Linear","MultiX=Average","Skip=True","Sort=True")</f>
        <v>#N/A Invalid Parameter: Interpolation value</v>
      </c>
      <c r="AJ567" s="43" t="str">
        <f ca="1"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93"/>
        <v>#REF!</v>
      </c>
      <c r="AI568" s="43" t="str">
        <f ca="1">_xll.BInterpol('Base IPCA'!$C$3:$C$14,'Base IPCA'!$E$3:$E$14,AH568,"Cubic","Extrapolate=Linear","MultiX=Average","Skip=True","Sort=True")</f>
        <v>#N/A Invalid Parameter: Interpolation value</v>
      </c>
      <c r="AJ568" s="43" t="str">
        <f ca="1"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93"/>
        <v>#REF!</v>
      </c>
      <c r="AI569" s="43" t="str">
        <f ca="1">_xll.BInterpol('Base IPCA'!$C$3:$C$14,'Base IPCA'!$E$3:$E$14,AH569,"Cubic","Extrapolate=Linear","MultiX=Average","Skip=True","Sort=True")</f>
        <v>#N/A Invalid Parameter: Interpolation value</v>
      </c>
      <c r="AJ569" s="43" t="str">
        <f ca="1"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93"/>
        <v>#REF!</v>
      </c>
      <c r="AI570" s="43" t="str">
        <f ca="1">_xll.BInterpol('Base IPCA'!$C$3:$C$14,'Base IPCA'!$E$3:$E$14,AH570,"Cubic","Extrapolate=Linear","MultiX=Average","Skip=True","Sort=True")</f>
        <v>#N/A Invalid Parameter: Interpolation value</v>
      </c>
      <c r="AJ570" s="43" t="str">
        <f ca="1"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93"/>
        <v>#REF!</v>
      </c>
      <c r="AI571" s="43" t="str">
        <f ca="1">_xll.BInterpol('Base IPCA'!$C$3:$C$14,'Base IPCA'!$E$3:$E$14,AH571,"Cubic","Extrapolate=Linear","MultiX=Average","Skip=True","Sort=True")</f>
        <v>#N/A Invalid Parameter: Interpolation value</v>
      </c>
      <c r="AJ571" s="43" t="str">
        <f ca="1"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93"/>
        <v>#REF!</v>
      </c>
      <c r="AI572" s="43" t="str">
        <f ca="1">_xll.BInterpol('Base IPCA'!$C$3:$C$14,'Base IPCA'!$E$3:$E$14,AH572,"Cubic","Extrapolate=Linear","MultiX=Average","Skip=True","Sort=True")</f>
        <v>#N/A Invalid Parameter: Interpolation value</v>
      </c>
      <c r="AJ572" s="43" t="str">
        <f ca="1"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93"/>
        <v>#REF!</v>
      </c>
      <c r="AI573" s="43" t="str">
        <f ca="1">_xll.BInterpol('Base IPCA'!$C$3:$C$14,'Base IPCA'!$E$3:$E$14,AH573,"Cubic","Extrapolate=Linear","MultiX=Average","Skip=True","Sort=True")</f>
        <v>#N/A Invalid Parameter: Interpolation value</v>
      </c>
      <c r="AJ573" s="43" t="str">
        <f ca="1"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93"/>
        <v>#REF!</v>
      </c>
      <c r="AI574" s="43" t="str">
        <f ca="1">_xll.BInterpol('Base IPCA'!$C$3:$C$14,'Base IPCA'!$E$3:$E$14,AH574,"Cubic","Extrapolate=Linear","MultiX=Average","Skip=True","Sort=True")</f>
        <v>#N/A Invalid Parameter: Interpolation value</v>
      </c>
      <c r="AJ574" s="43" t="str">
        <f ca="1"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93"/>
        <v>#REF!</v>
      </c>
      <c r="AI575" s="43" t="str">
        <f ca="1">_xll.BInterpol('Base IPCA'!$C$3:$C$14,'Base IPCA'!$E$3:$E$14,AH575,"Cubic","Extrapolate=Linear","MultiX=Average","Skip=True","Sort=True")</f>
        <v>#N/A Invalid Parameter: Interpolation value</v>
      </c>
      <c r="AJ575" s="43" t="str">
        <f ca="1"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93"/>
        <v>#REF!</v>
      </c>
      <c r="AI576" s="43" t="str">
        <f ca="1">_xll.BInterpol('Base IPCA'!$C$3:$C$14,'Base IPCA'!$E$3:$E$14,AH576,"Cubic","Extrapolate=Linear","MultiX=Average","Skip=True","Sort=True")</f>
        <v>#N/A Invalid Parameter: Interpolation value</v>
      </c>
      <c r="AJ576" s="43" t="str">
        <f ca="1"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93"/>
        <v>#REF!</v>
      </c>
      <c r="AI577" s="43" t="str">
        <f ca="1">_xll.BInterpol('Base IPCA'!$C$3:$C$14,'Base IPCA'!$E$3:$E$14,AH577,"Cubic","Extrapolate=Linear","MultiX=Average","Skip=True","Sort=True")</f>
        <v>#N/A Invalid Parameter: Interpolation value</v>
      </c>
      <c r="AJ577" s="43" t="str">
        <f ca="1"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93"/>
        <v>#REF!</v>
      </c>
      <c r="AI578" s="43" t="str">
        <f ca="1">_xll.BInterpol('Base IPCA'!$C$3:$C$14,'Base IPCA'!$E$3:$E$14,AH578,"Cubic","Extrapolate=Linear","MultiX=Average","Skip=True","Sort=True")</f>
        <v>#N/A Invalid Parameter: Interpolation value</v>
      </c>
      <c r="AJ578" s="43" t="str">
        <f ca="1"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93"/>
        <v>#REF!</v>
      </c>
      <c r="AI579" s="43" t="str">
        <f ca="1">_xll.BInterpol('Base IPCA'!$C$3:$C$14,'Base IPCA'!$E$3:$E$14,AH579,"Cubic","Extrapolate=Linear","MultiX=Average","Skip=True","Sort=True")</f>
        <v>#N/A Invalid Parameter: Interpolation value</v>
      </c>
      <c r="AJ579" s="43" t="str">
        <f ca="1"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93"/>
        <v>#REF!</v>
      </c>
      <c r="AI580" s="43" t="str">
        <f ca="1">_xll.BInterpol('Base IPCA'!$C$3:$C$14,'Base IPCA'!$E$3:$E$14,AH580,"Cubic","Extrapolate=Linear","MultiX=Average","Skip=True","Sort=True")</f>
        <v>#N/A Invalid Parameter: Interpolation value</v>
      </c>
      <c r="AJ580" s="43" t="str">
        <f ca="1"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93"/>
        <v>#REF!</v>
      </c>
      <c r="AI581" s="43" t="str">
        <f ca="1">_xll.BInterpol('Base IPCA'!$C$3:$C$14,'Base IPCA'!$E$3:$E$14,AH581,"Cubic","Extrapolate=Linear","MultiX=Average","Skip=True","Sort=True")</f>
        <v>#N/A Invalid Parameter: Interpolation value</v>
      </c>
      <c r="AJ581" s="43" t="str">
        <f ca="1"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94">AH581+1</f>
        <v>#REF!</v>
      </c>
      <c r="AI582" s="43" t="str">
        <f ca="1">_xll.BInterpol('Base IPCA'!$C$3:$C$14,'Base IPCA'!$E$3:$E$14,AH582,"Cubic","Extrapolate=Linear","MultiX=Average","Skip=True","Sort=True")</f>
        <v>#N/A Invalid Parameter: Interpolation value</v>
      </c>
      <c r="AJ582" s="43" t="str">
        <f ca="1"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94"/>
        <v>#REF!</v>
      </c>
      <c r="AI583" s="43" t="str">
        <f ca="1">_xll.BInterpol('Base IPCA'!$C$3:$C$14,'Base IPCA'!$E$3:$E$14,AH583,"Cubic","Extrapolate=Linear","MultiX=Average","Skip=True","Sort=True")</f>
        <v>#N/A Invalid Parameter: Interpolation value</v>
      </c>
      <c r="AJ583" s="43" t="str">
        <f ca="1"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94"/>
        <v>#REF!</v>
      </c>
      <c r="AI584" s="43" t="str">
        <f ca="1">_xll.BInterpol('Base IPCA'!$C$3:$C$14,'Base IPCA'!$E$3:$E$14,AH584,"Cubic","Extrapolate=Linear","MultiX=Average","Skip=True","Sort=True")</f>
        <v>#N/A Invalid Parameter: Interpolation value</v>
      </c>
      <c r="AJ584" s="43" t="str">
        <f ca="1"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94"/>
        <v>#REF!</v>
      </c>
      <c r="AI585" s="43" t="str">
        <f ca="1">_xll.BInterpol('Base IPCA'!$C$3:$C$14,'Base IPCA'!$E$3:$E$14,AH585,"Cubic","Extrapolate=Linear","MultiX=Average","Skip=True","Sort=True")</f>
        <v>#N/A Invalid Parameter: Interpolation value</v>
      </c>
      <c r="AJ585" s="43" t="str">
        <f ca="1"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94"/>
        <v>#REF!</v>
      </c>
      <c r="AI586" s="43" t="str">
        <f ca="1">_xll.BInterpol('Base IPCA'!$C$3:$C$14,'Base IPCA'!$E$3:$E$14,AH586,"Cubic","Extrapolate=Linear","MultiX=Average","Skip=True","Sort=True")</f>
        <v>#N/A Invalid Parameter: Interpolation value</v>
      </c>
      <c r="AJ586" s="43" t="str">
        <f ca="1"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94"/>
        <v>#REF!</v>
      </c>
      <c r="AI587" s="43" t="str">
        <f ca="1">_xll.BInterpol('Base IPCA'!$C$3:$C$14,'Base IPCA'!$E$3:$E$14,AH587,"Cubic","Extrapolate=Linear","MultiX=Average","Skip=True","Sort=True")</f>
        <v>#N/A Invalid Parameter: Interpolation value</v>
      </c>
      <c r="AJ587" s="43" t="str">
        <f ca="1"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94"/>
        <v>#REF!</v>
      </c>
      <c r="AI588" s="43" t="str">
        <f ca="1">_xll.BInterpol('Base IPCA'!$C$3:$C$14,'Base IPCA'!$E$3:$E$14,AH588,"Cubic","Extrapolate=Linear","MultiX=Average","Skip=True","Sort=True")</f>
        <v>#N/A Invalid Parameter: Interpolation value</v>
      </c>
      <c r="AJ588" s="43" t="str">
        <f ca="1"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94"/>
        <v>#REF!</v>
      </c>
      <c r="AI589" s="43" t="str">
        <f ca="1">_xll.BInterpol('Base IPCA'!$C$3:$C$14,'Base IPCA'!$E$3:$E$14,AH589,"Cubic","Extrapolate=Linear","MultiX=Average","Skip=True","Sort=True")</f>
        <v>#N/A Invalid Parameter: Interpolation value</v>
      </c>
      <c r="AJ589" s="43" t="str">
        <f ca="1"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94"/>
        <v>#REF!</v>
      </c>
      <c r="AI590" s="43" t="str">
        <f ca="1">_xll.BInterpol('Base IPCA'!$C$3:$C$14,'Base IPCA'!$E$3:$E$14,AH590,"Cubic","Extrapolate=Linear","MultiX=Average","Skip=True","Sort=True")</f>
        <v>#N/A Invalid Parameter: Interpolation value</v>
      </c>
      <c r="AJ590" s="43" t="str">
        <f ca="1"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94"/>
        <v>#REF!</v>
      </c>
      <c r="AI591" s="43" t="str">
        <f ca="1">_xll.BInterpol('Base IPCA'!$C$3:$C$14,'Base IPCA'!$E$3:$E$14,AH591,"Cubic","Extrapolate=Linear","MultiX=Average","Skip=True","Sort=True")</f>
        <v>#N/A Invalid Parameter: Interpolation value</v>
      </c>
      <c r="AJ591" s="43" t="str">
        <f ca="1"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94"/>
        <v>#REF!</v>
      </c>
      <c r="AI592" s="43" t="str">
        <f ca="1">_xll.BInterpol('Base IPCA'!$C$3:$C$14,'Base IPCA'!$E$3:$E$14,AH592,"Cubic","Extrapolate=Linear","MultiX=Average","Skip=True","Sort=True")</f>
        <v>#N/A Invalid Parameter: Interpolation value</v>
      </c>
      <c r="AJ592" s="43" t="str">
        <f ca="1"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94"/>
        <v>#REF!</v>
      </c>
      <c r="AI593" s="43" t="str">
        <f ca="1">_xll.BInterpol('Base IPCA'!$C$3:$C$14,'Base IPCA'!$E$3:$E$14,AH593,"Cubic","Extrapolate=Linear","MultiX=Average","Skip=True","Sort=True")</f>
        <v>#N/A Invalid Parameter: Interpolation value</v>
      </c>
      <c r="AJ593" s="43" t="str">
        <f ca="1"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94"/>
        <v>#REF!</v>
      </c>
      <c r="AI594" s="43" t="str">
        <f ca="1">_xll.BInterpol('Base IPCA'!$C$3:$C$14,'Base IPCA'!$E$3:$E$14,AH594,"Cubic","Extrapolate=Linear","MultiX=Average","Skip=True","Sort=True")</f>
        <v>#N/A Invalid Parameter: Interpolation value</v>
      </c>
      <c r="AJ594" s="43" t="str">
        <f ca="1"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94"/>
        <v>#REF!</v>
      </c>
      <c r="AI595" s="43" t="str">
        <f ca="1">_xll.BInterpol('Base IPCA'!$C$3:$C$14,'Base IPCA'!$E$3:$E$14,AH595,"Cubic","Extrapolate=Linear","MultiX=Average","Skip=True","Sort=True")</f>
        <v>#N/A Invalid Parameter: Interpolation value</v>
      </c>
      <c r="AJ595" s="43" t="str">
        <f ca="1"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94"/>
        <v>#REF!</v>
      </c>
      <c r="AI596" s="43" t="str">
        <f ca="1">_xll.BInterpol('Base IPCA'!$C$3:$C$14,'Base IPCA'!$E$3:$E$14,AH596,"Cubic","Extrapolate=Linear","MultiX=Average","Skip=True","Sort=True")</f>
        <v>#N/A Invalid Parameter: Interpolation value</v>
      </c>
      <c r="AJ596" s="43" t="str">
        <f ca="1"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94"/>
        <v>#REF!</v>
      </c>
      <c r="AI597" s="43" t="str">
        <f ca="1">_xll.BInterpol('Base IPCA'!$C$3:$C$14,'Base IPCA'!$E$3:$E$14,AH597,"Cubic","Extrapolate=Linear","MultiX=Average","Skip=True","Sort=True")</f>
        <v>#N/A Invalid Parameter: Interpolation value</v>
      </c>
      <c r="AJ597" s="43" t="str">
        <f ca="1"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94"/>
        <v>#REF!</v>
      </c>
      <c r="AI598" s="43" t="str">
        <f ca="1">_xll.BInterpol('Base IPCA'!$C$3:$C$14,'Base IPCA'!$E$3:$E$14,AH598,"Cubic","Extrapolate=Linear","MultiX=Average","Skip=True","Sort=True")</f>
        <v>#N/A Invalid Parameter: Interpolation value</v>
      </c>
      <c r="AJ598" s="43" t="str">
        <f ca="1"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94"/>
        <v>#REF!</v>
      </c>
      <c r="AI599" s="43" t="str">
        <f ca="1">_xll.BInterpol('Base IPCA'!$C$3:$C$14,'Base IPCA'!$E$3:$E$14,AH599,"Cubic","Extrapolate=Linear","MultiX=Average","Skip=True","Sort=True")</f>
        <v>#N/A Invalid Parameter: Interpolation value</v>
      </c>
      <c r="AJ599" s="43" t="str">
        <f ca="1"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94"/>
        <v>#REF!</v>
      </c>
      <c r="AI600" s="43" t="str">
        <f ca="1">_xll.BInterpol('Base IPCA'!$C$3:$C$14,'Base IPCA'!$E$3:$E$14,AH600,"Cubic","Extrapolate=Linear","MultiX=Average","Skip=True","Sort=True")</f>
        <v>#N/A Invalid Parameter: Interpolation value</v>
      </c>
      <c r="AJ600" s="43" t="str">
        <f ca="1"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94"/>
        <v>#REF!</v>
      </c>
      <c r="AI601" s="43" t="str">
        <f ca="1">_xll.BInterpol('Base IPCA'!$C$3:$C$14,'Base IPCA'!$E$3:$E$14,AH601,"Cubic","Extrapolate=Linear","MultiX=Average","Skip=True","Sort=True")</f>
        <v>#N/A Invalid Parameter: Interpolation value</v>
      </c>
      <c r="AJ601" s="43" t="str">
        <f ca="1"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94"/>
        <v>#REF!</v>
      </c>
      <c r="AI602" s="43" t="str">
        <f ca="1">_xll.BInterpol('Base IPCA'!$C$3:$C$14,'Base IPCA'!$E$3:$E$14,AH602,"Cubic","Extrapolate=Linear","MultiX=Average","Skip=True","Sort=True")</f>
        <v>#N/A Invalid Parameter: Interpolation value</v>
      </c>
      <c r="AJ602" s="43" t="str">
        <f ca="1"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94"/>
        <v>#REF!</v>
      </c>
      <c r="AI603" s="43" t="str">
        <f ca="1">_xll.BInterpol('Base IPCA'!$C$3:$C$14,'Base IPCA'!$E$3:$E$14,AH603,"Cubic","Extrapolate=Linear","MultiX=Average","Skip=True","Sort=True")</f>
        <v>#N/A Invalid Parameter: Interpolation value</v>
      </c>
      <c r="AJ603" s="43" t="str">
        <f ca="1"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94"/>
        <v>#REF!</v>
      </c>
      <c r="AI604" s="43" t="str">
        <f ca="1">_xll.BInterpol('Base IPCA'!$C$3:$C$14,'Base IPCA'!$E$3:$E$14,AH604,"Cubic","Extrapolate=Linear","MultiX=Average","Skip=True","Sort=True")</f>
        <v>#N/A Invalid Parameter: Interpolation value</v>
      </c>
      <c r="AJ604" s="43" t="str">
        <f ca="1"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94"/>
        <v>#REF!</v>
      </c>
      <c r="AI605" s="43" t="str">
        <f ca="1">_xll.BInterpol('Base IPCA'!$C$3:$C$14,'Base IPCA'!$E$3:$E$14,AH605,"Cubic","Extrapolate=Linear","MultiX=Average","Skip=True","Sort=True")</f>
        <v>#N/A Invalid Parameter: Interpolation value</v>
      </c>
      <c r="AJ605" s="43" t="str">
        <f ca="1"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94"/>
        <v>#REF!</v>
      </c>
      <c r="AI606" s="43" t="str">
        <f ca="1">_xll.BInterpol('Base IPCA'!$C$3:$C$14,'Base IPCA'!$E$3:$E$14,AH606,"Cubic","Extrapolate=Linear","MultiX=Average","Skip=True","Sort=True")</f>
        <v>#N/A Invalid Parameter: Interpolation value</v>
      </c>
      <c r="AJ606" s="43" t="str">
        <f ca="1"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94"/>
        <v>#REF!</v>
      </c>
      <c r="AI607" s="43" t="str">
        <f ca="1">_xll.BInterpol('Base IPCA'!$C$3:$C$14,'Base IPCA'!$E$3:$E$14,AH607,"Cubic","Extrapolate=Linear","MultiX=Average","Skip=True","Sort=True")</f>
        <v>#N/A Invalid Parameter: Interpolation value</v>
      </c>
      <c r="AJ607" s="43" t="str">
        <f ca="1"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94"/>
        <v>#REF!</v>
      </c>
      <c r="AI608" s="43" t="str">
        <f ca="1">_xll.BInterpol('Base IPCA'!$C$3:$C$14,'Base IPCA'!$E$3:$E$14,AH608,"Cubic","Extrapolate=Linear","MultiX=Average","Skip=True","Sort=True")</f>
        <v>#N/A Invalid Parameter: Interpolation value</v>
      </c>
      <c r="AJ608" s="43" t="str">
        <f ca="1"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94"/>
        <v>#REF!</v>
      </c>
      <c r="AI609" s="43" t="str">
        <f ca="1">_xll.BInterpol('Base IPCA'!$C$3:$C$14,'Base IPCA'!$E$3:$E$14,AH609,"Cubic","Extrapolate=Linear","MultiX=Average","Skip=True","Sort=True")</f>
        <v>#N/A Invalid Parameter: Interpolation value</v>
      </c>
      <c r="AJ609" s="43" t="str">
        <f ca="1"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94"/>
        <v>#REF!</v>
      </c>
      <c r="AI610" s="43" t="str">
        <f ca="1">_xll.BInterpol('Base IPCA'!$C$3:$C$14,'Base IPCA'!$E$3:$E$14,AH610,"Cubic","Extrapolate=Linear","MultiX=Average","Skip=True","Sort=True")</f>
        <v>#N/A Invalid Parameter: Interpolation value</v>
      </c>
      <c r="AJ610" s="43" t="str">
        <f ca="1"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94"/>
        <v>#REF!</v>
      </c>
      <c r="AI611" s="43" t="str">
        <f ca="1">_xll.BInterpol('Base IPCA'!$C$3:$C$14,'Base IPCA'!$E$3:$E$14,AH611,"Cubic","Extrapolate=Linear","MultiX=Average","Skip=True","Sort=True")</f>
        <v>#N/A Invalid Parameter: Interpolation value</v>
      </c>
      <c r="AJ611" s="43" t="str">
        <f ca="1"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94"/>
        <v>#REF!</v>
      </c>
      <c r="AI612" s="43" t="str">
        <f ca="1">_xll.BInterpol('Base IPCA'!$C$3:$C$14,'Base IPCA'!$E$3:$E$14,AH612,"Cubic","Extrapolate=Linear","MultiX=Average","Skip=True","Sort=True")</f>
        <v>#N/A Invalid Parameter: Interpolation value</v>
      </c>
      <c r="AJ612" s="43" t="str">
        <f ca="1"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94"/>
        <v>#REF!</v>
      </c>
      <c r="AI613" s="43" t="str">
        <f ca="1">_xll.BInterpol('Base IPCA'!$C$3:$C$14,'Base IPCA'!$E$3:$E$14,AH613,"Cubic","Extrapolate=Linear","MultiX=Average","Skip=True","Sort=True")</f>
        <v>#N/A Invalid Parameter: Interpolation value</v>
      </c>
      <c r="AJ613" s="43" t="str">
        <f ca="1"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94"/>
        <v>#REF!</v>
      </c>
      <c r="AI614" s="43" t="str">
        <f ca="1">_xll.BInterpol('Base IPCA'!$C$3:$C$14,'Base IPCA'!$E$3:$E$14,AH614,"Cubic","Extrapolate=Linear","MultiX=Average","Skip=True","Sort=True")</f>
        <v>#N/A Invalid Parameter: Interpolation value</v>
      </c>
      <c r="AJ614" s="43" t="str">
        <f ca="1"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94"/>
        <v>#REF!</v>
      </c>
      <c r="AI615" s="43" t="str">
        <f ca="1">_xll.BInterpol('Base IPCA'!$C$3:$C$14,'Base IPCA'!$E$3:$E$14,AH615,"Cubic","Extrapolate=Linear","MultiX=Average","Skip=True","Sort=True")</f>
        <v>#N/A Invalid Parameter: Interpolation value</v>
      </c>
      <c r="AJ615" s="43" t="str">
        <f ca="1"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94"/>
        <v>#REF!</v>
      </c>
      <c r="AI616" s="43" t="str">
        <f ca="1">_xll.BInterpol('Base IPCA'!$C$3:$C$14,'Base IPCA'!$E$3:$E$14,AH616,"Cubic","Extrapolate=Linear","MultiX=Average","Skip=True","Sort=True")</f>
        <v>#N/A Invalid Parameter: Interpolation value</v>
      </c>
      <c r="AJ616" s="43" t="str">
        <f ca="1"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94"/>
        <v>#REF!</v>
      </c>
      <c r="AI617" s="43" t="str">
        <f ca="1">_xll.BInterpol('Base IPCA'!$C$3:$C$14,'Base IPCA'!$E$3:$E$14,AH617,"Cubic","Extrapolate=Linear","MultiX=Average","Skip=True","Sort=True")</f>
        <v>#N/A Invalid Parameter: Interpolation value</v>
      </c>
      <c r="AJ617" s="43" t="str">
        <f ca="1"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94"/>
        <v>#REF!</v>
      </c>
      <c r="AI618" s="43" t="str">
        <f ca="1">_xll.BInterpol('Base IPCA'!$C$3:$C$14,'Base IPCA'!$E$3:$E$14,AH618,"Cubic","Extrapolate=Linear","MultiX=Average","Skip=True","Sort=True")</f>
        <v>#N/A Invalid Parameter: Interpolation value</v>
      </c>
      <c r="AJ618" s="43" t="str">
        <f ca="1"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94"/>
        <v>#REF!</v>
      </c>
      <c r="AI619" s="43" t="str">
        <f ca="1">_xll.BInterpol('Base IPCA'!$C$3:$C$14,'Base IPCA'!$E$3:$E$14,AH619,"Cubic","Extrapolate=Linear","MultiX=Average","Skip=True","Sort=True")</f>
        <v>#N/A Invalid Parameter: Interpolation value</v>
      </c>
      <c r="AJ619" s="43" t="str">
        <f ca="1"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94"/>
        <v>#REF!</v>
      </c>
      <c r="AI620" s="43" t="str">
        <f ca="1">_xll.BInterpol('Base IPCA'!$C$3:$C$14,'Base IPCA'!$E$3:$E$14,AH620,"Cubic","Extrapolate=Linear","MultiX=Average","Skip=True","Sort=True")</f>
        <v>#N/A Invalid Parameter: Interpolation value</v>
      </c>
      <c r="AJ620" s="43" t="str">
        <f ca="1"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94"/>
        <v>#REF!</v>
      </c>
      <c r="AI621" s="43" t="str">
        <f ca="1">_xll.BInterpol('Base IPCA'!$C$3:$C$14,'Base IPCA'!$E$3:$E$14,AH621,"Cubic","Extrapolate=Linear","MultiX=Average","Skip=True","Sort=True")</f>
        <v>#N/A Invalid Parameter: Interpolation value</v>
      </c>
      <c r="AJ621" s="43" t="str">
        <f ca="1"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94"/>
        <v>#REF!</v>
      </c>
      <c r="AI622" s="43" t="str">
        <f ca="1">_xll.BInterpol('Base IPCA'!$C$3:$C$14,'Base IPCA'!$E$3:$E$14,AH622,"Cubic","Extrapolate=Linear","MultiX=Average","Skip=True","Sort=True")</f>
        <v>#N/A Invalid Parameter: Interpolation value</v>
      </c>
      <c r="AJ622" s="43" t="str">
        <f ca="1"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94"/>
        <v>#REF!</v>
      </c>
      <c r="AI623" s="43" t="str">
        <f ca="1">_xll.BInterpol('Base IPCA'!$C$3:$C$14,'Base IPCA'!$E$3:$E$14,AH623,"Cubic","Extrapolate=Linear","MultiX=Average","Skip=True","Sort=True")</f>
        <v>#N/A Invalid Parameter: Interpolation value</v>
      </c>
      <c r="AJ623" s="43" t="str">
        <f ca="1"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94"/>
        <v>#REF!</v>
      </c>
      <c r="AI624" s="43" t="str">
        <f ca="1">_xll.BInterpol('Base IPCA'!$C$3:$C$14,'Base IPCA'!$E$3:$E$14,AH624,"Cubic","Extrapolate=Linear","MultiX=Average","Skip=True","Sort=True")</f>
        <v>#N/A Invalid Parameter: Interpolation value</v>
      </c>
      <c r="AJ624" s="43" t="str">
        <f ca="1"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94"/>
        <v>#REF!</v>
      </c>
      <c r="AI625" s="43" t="str">
        <f ca="1">_xll.BInterpol('Base IPCA'!$C$3:$C$14,'Base IPCA'!$E$3:$E$14,AH625,"Cubic","Extrapolate=Linear","MultiX=Average","Skip=True","Sort=True")</f>
        <v>#N/A Invalid Parameter: Interpolation value</v>
      </c>
      <c r="AJ625" s="43" t="str">
        <f ca="1"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94"/>
        <v>#REF!</v>
      </c>
      <c r="AI626" s="43" t="str">
        <f ca="1">_xll.BInterpol('Base IPCA'!$C$3:$C$14,'Base IPCA'!$E$3:$E$14,AH626,"Cubic","Extrapolate=Linear","MultiX=Average","Skip=True","Sort=True")</f>
        <v>#N/A Invalid Parameter: Interpolation value</v>
      </c>
      <c r="AJ626" s="43" t="str">
        <f ca="1"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94"/>
        <v>#REF!</v>
      </c>
      <c r="AI627" s="43" t="str">
        <f ca="1">_xll.BInterpol('Base IPCA'!$C$3:$C$14,'Base IPCA'!$E$3:$E$14,AH627,"Cubic","Extrapolate=Linear","MultiX=Average","Skip=True","Sort=True")</f>
        <v>#N/A Invalid Parameter: Interpolation value</v>
      </c>
      <c r="AJ627" s="43" t="str">
        <f ca="1"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94"/>
        <v>#REF!</v>
      </c>
      <c r="AI628" s="43" t="str">
        <f ca="1">_xll.BInterpol('Base IPCA'!$C$3:$C$14,'Base IPCA'!$E$3:$E$14,AH628,"Cubic","Extrapolate=Linear","MultiX=Average","Skip=True","Sort=True")</f>
        <v>#N/A Invalid Parameter: Interpolation value</v>
      </c>
      <c r="AJ628" s="43" t="str">
        <f ca="1"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94"/>
        <v>#REF!</v>
      </c>
      <c r="AI629" s="43" t="str">
        <f ca="1">_xll.BInterpol('Base IPCA'!$C$3:$C$14,'Base IPCA'!$E$3:$E$14,AH629,"Cubic","Extrapolate=Linear","MultiX=Average","Skip=True","Sort=True")</f>
        <v>#N/A Invalid Parameter: Interpolation value</v>
      </c>
      <c r="AJ629" s="43" t="str">
        <f ca="1"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94"/>
        <v>#REF!</v>
      </c>
      <c r="AI630" s="43" t="str">
        <f ca="1">_xll.BInterpol('Base IPCA'!$C$3:$C$14,'Base IPCA'!$E$3:$E$14,AH630,"Cubic","Extrapolate=Linear","MultiX=Average","Skip=True","Sort=True")</f>
        <v>#N/A Invalid Parameter: Interpolation value</v>
      </c>
      <c r="AJ630" s="43" t="str">
        <f ca="1"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94"/>
        <v>#REF!</v>
      </c>
      <c r="AI631" s="43" t="str">
        <f ca="1">_xll.BInterpol('Base IPCA'!$C$3:$C$14,'Base IPCA'!$E$3:$E$14,AH631,"Cubic","Extrapolate=Linear","MultiX=Average","Skip=True","Sort=True")</f>
        <v>#N/A Invalid Parameter: Interpolation value</v>
      </c>
      <c r="AJ631" s="43" t="str">
        <f ca="1"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94"/>
        <v>#REF!</v>
      </c>
      <c r="AI632" s="43" t="str">
        <f ca="1">_xll.BInterpol('Base IPCA'!$C$3:$C$14,'Base IPCA'!$E$3:$E$14,AH632,"Cubic","Extrapolate=Linear","MultiX=Average","Skip=True","Sort=True")</f>
        <v>#N/A Invalid Parameter: Interpolation value</v>
      </c>
      <c r="AJ632" s="43" t="str">
        <f ca="1"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94"/>
        <v>#REF!</v>
      </c>
      <c r="AI633" s="43" t="str">
        <f ca="1">_xll.BInterpol('Base IPCA'!$C$3:$C$14,'Base IPCA'!$E$3:$E$14,AH633,"Cubic","Extrapolate=Linear","MultiX=Average","Skip=True","Sort=True")</f>
        <v>#N/A Invalid Parameter: Interpolation value</v>
      </c>
      <c r="AJ633" s="43" t="str">
        <f ca="1"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94"/>
        <v>#REF!</v>
      </c>
      <c r="AI634" s="43" t="str">
        <f ca="1">_xll.BInterpol('Base IPCA'!$C$3:$C$14,'Base IPCA'!$E$3:$E$14,AH634,"Cubic","Extrapolate=Linear","MultiX=Average","Skip=True","Sort=True")</f>
        <v>#N/A Invalid Parameter: Interpolation value</v>
      </c>
      <c r="AJ634" s="43" t="str">
        <f ca="1"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94"/>
        <v>#REF!</v>
      </c>
      <c r="AI635" s="43" t="str">
        <f ca="1">_xll.BInterpol('Base IPCA'!$C$3:$C$14,'Base IPCA'!$E$3:$E$14,AH635,"Cubic","Extrapolate=Linear","MultiX=Average","Skip=True","Sort=True")</f>
        <v>#N/A Invalid Parameter: Interpolation value</v>
      </c>
      <c r="AJ635" s="43" t="str">
        <f ca="1"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94"/>
        <v>#REF!</v>
      </c>
      <c r="AI636" s="43" t="str">
        <f ca="1">_xll.BInterpol('Base IPCA'!$C$3:$C$14,'Base IPCA'!$E$3:$E$14,AH636,"Cubic","Extrapolate=Linear","MultiX=Average","Skip=True","Sort=True")</f>
        <v>#N/A Invalid Parameter: Interpolation value</v>
      </c>
      <c r="AJ636" s="43" t="str">
        <f ca="1"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94"/>
        <v>#REF!</v>
      </c>
      <c r="AI637" s="43" t="str">
        <f ca="1">_xll.BInterpol('Base IPCA'!$C$3:$C$14,'Base IPCA'!$E$3:$E$14,AH637,"Cubic","Extrapolate=Linear","MultiX=Average","Skip=True","Sort=True")</f>
        <v>#N/A Invalid Parameter: Interpolation value</v>
      </c>
      <c r="AJ637" s="43" t="str">
        <f ca="1"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94"/>
        <v>#REF!</v>
      </c>
      <c r="AI638" s="43" t="str">
        <f ca="1">_xll.BInterpol('Base IPCA'!$C$3:$C$14,'Base IPCA'!$E$3:$E$14,AH638,"Cubic","Extrapolate=Linear","MultiX=Average","Skip=True","Sort=True")</f>
        <v>#N/A Invalid Parameter: Interpolation value</v>
      </c>
      <c r="AJ638" s="43" t="str">
        <f ca="1"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94"/>
        <v>#REF!</v>
      </c>
      <c r="AI639" s="43" t="str">
        <f ca="1">_xll.BInterpol('Base IPCA'!$C$3:$C$14,'Base IPCA'!$E$3:$E$14,AH639,"Cubic","Extrapolate=Linear","MultiX=Average","Skip=True","Sort=True")</f>
        <v>#N/A Invalid Parameter: Interpolation value</v>
      </c>
      <c r="AJ639" s="43" t="str">
        <f ca="1"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94"/>
        <v>#REF!</v>
      </c>
      <c r="AI640" s="43" t="str">
        <f ca="1">_xll.BInterpol('Base IPCA'!$C$3:$C$14,'Base IPCA'!$E$3:$E$14,AH640,"Cubic","Extrapolate=Linear","MultiX=Average","Skip=True","Sort=True")</f>
        <v>#N/A Invalid Parameter: Interpolation value</v>
      </c>
      <c r="AJ640" s="43" t="str">
        <f ca="1"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94"/>
        <v>#REF!</v>
      </c>
      <c r="AI641" s="43" t="str">
        <f ca="1">_xll.BInterpol('Base IPCA'!$C$3:$C$14,'Base IPCA'!$E$3:$E$14,AH641,"Cubic","Extrapolate=Linear","MultiX=Average","Skip=True","Sort=True")</f>
        <v>#N/A Invalid Parameter: Interpolation value</v>
      </c>
      <c r="AJ641" s="43" t="str">
        <f ca="1"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94"/>
        <v>#REF!</v>
      </c>
      <c r="AI642" s="43" t="str">
        <f ca="1">_xll.BInterpol('Base IPCA'!$C$3:$C$14,'Base IPCA'!$E$3:$E$14,AH642,"Cubic","Extrapolate=Linear","MultiX=Average","Skip=True","Sort=True")</f>
        <v>#N/A Invalid Parameter: Interpolation value</v>
      </c>
      <c r="AJ642" s="43" t="str">
        <f ca="1"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94"/>
        <v>#REF!</v>
      </c>
      <c r="AI643" s="43" t="str">
        <f ca="1">_xll.BInterpol('Base IPCA'!$C$3:$C$14,'Base IPCA'!$E$3:$E$14,AH643,"Cubic","Extrapolate=Linear","MultiX=Average","Skip=True","Sort=True")</f>
        <v>#N/A Invalid Parameter: Interpolation value</v>
      </c>
      <c r="AJ643" s="43" t="str">
        <f ca="1"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94"/>
        <v>#REF!</v>
      </c>
      <c r="AI644" s="43" t="str">
        <f ca="1">_xll.BInterpol('Base IPCA'!$C$3:$C$14,'Base IPCA'!$E$3:$E$14,AH644,"Cubic","Extrapolate=Linear","MultiX=Average","Skip=True","Sort=True")</f>
        <v>#N/A Invalid Parameter: Interpolation value</v>
      </c>
      <c r="AJ644" s="43" t="str">
        <f ca="1"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94"/>
        <v>#REF!</v>
      </c>
      <c r="AI645" s="43" t="str">
        <f ca="1">_xll.BInterpol('Base IPCA'!$C$3:$C$14,'Base IPCA'!$E$3:$E$14,AH645,"Cubic","Extrapolate=Linear","MultiX=Average","Skip=True","Sort=True")</f>
        <v>#N/A Invalid Parameter: Interpolation value</v>
      </c>
      <c r="AJ645" s="43" t="str">
        <f ca="1"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95">AH645+1</f>
        <v>#REF!</v>
      </c>
      <c r="AI646" s="43" t="str">
        <f ca="1">_xll.BInterpol('Base IPCA'!$C$3:$C$14,'Base IPCA'!$E$3:$E$14,AH646,"Cubic","Extrapolate=Linear","MultiX=Average","Skip=True","Sort=True")</f>
        <v>#N/A Invalid Parameter: Interpolation value</v>
      </c>
      <c r="AJ646" s="43" t="str">
        <f ca="1"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95"/>
        <v>#REF!</v>
      </c>
      <c r="AI647" s="43" t="str">
        <f ca="1">_xll.BInterpol('Base IPCA'!$C$3:$C$14,'Base IPCA'!$E$3:$E$14,AH647,"Cubic","Extrapolate=Linear","MultiX=Average","Skip=True","Sort=True")</f>
        <v>#N/A Invalid Parameter: Interpolation value</v>
      </c>
      <c r="AJ647" s="43" t="str">
        <f ca="1"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95"/>
        <v>#REF!</v>
      </c>
      <c r="AI648" s="43" t="str">
        <f ca="1">_xll.BInterpol('Base IPCA'!$C$3:$C$14,'Base IPCA'!$E$3:$E$14,AH648,"Cubic","Extrapolate=Linear","MultiX=Average","Skip=True","Sort=True")</f>
        <v>#N/A Invalid Parameter: Interpolation value</v>
      </c>
      <c r="AJ648" s="43" t="str">
        <f ca="1"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95"/>
        <v>#REF!</v>
      </c>
      <c r="AI649" s="43" t="str">
        <f ca="1">_xll.BInterpol('Base IPCA'!$C$3:$C$14,'Base IPCA'!$E$3:$E$14,AH649,"Cubic","Extrapolate=Linear","MultiX=Average","Skip=True","Sort=True")</f>
        <v>#N/A Invalid Parameter: Interpolation value</v>
      </c>
      <c r="AJ649" s="43" t="str">
        <f ca="1"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95"/>
        <v>#REF!</v>
      </c>
      <c r="AI650" s="43" t="str">
        <f ca="1">_xll.BInterpol('Base IPCA'!$C$3:$C$14,'Base IPCA'!$E$3:$E$14,AH650,"Cubic","Extrapolate=Linear","MultiX=Average","Skip=True","Sort=True")</f>
        <v>#N/A Invalid Parameter: Interpolation value</v>
      </c>
      <c r="AJ650" s="43" t="str">
        <f ca="1"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95"/>
        <v>#REF!</v>
      </c>
      <c r="AI651" s="43" t="str">
        <f ca="1">_xll.BInterpol('Base IPCA'!$C$3:$C$14,'Base IPCA'!$E$3:$E$14,AH651,"Cubic","Extrapolate=Linear","MultiX=Average","Skip=True","Sort=True")</f>
        <v>#N/A Invalid Parameter: Interpolation value</v>
      </c>
      <c r="AJ651" s="43" t="str">
        <f ca="1"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95"/>
        <v>#REF!</v>
      </c>
      <c r="AI652" s="43" t="str">
        <f ca="1">_xll.BInterpol('Base IPCA'!$C$3:$C$14,'Base IPCA'!$E$3:$E$14,AH652,"Cubic","Extrapolate=Linear","MultiX=Average","Skip=True","Sort=True")</f>
        <v>#N/A Invalid Parameter: Interpolation value</v>
      </c>
      <c r="AJ652" s="43" t="str">
        <f ca="1"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95"/>
        <v>#REF!</v>
      </c>
      <c r="AI653" s="43" t="str">
        <f ca="1">_xll.BInterpol('Base IPCA'!$C$3:$C$14,'Base IPCA'!$E$3:$E$14,AH653,"Cubic","Extrapolate=Linear","MultiX=Average","Skip=True","Sort=True")</f>
        <v>#N/A Invalid Parameter: Interpolation value</v>
      </c>
      <c r="AJ653" s="43" t="str">
        <f ca="1"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95"/>
        <v>#REF!</v>
      </c>
      <c r="AI654" s="43" t="str">
        <f ca="1">_xll.BInterpol('Base IPCA'!$C$3:$C$14,'Base IPCA'!$E$3:$E$14,AH654,"Cubic","Extrapolate=Linear","MultiX=Average","Skip=True","Sort=True")</f>
        <v>#N/A Invalid Parameter: Interpolation value</v>
      </c>
      <c r="AJ654" s="43" t="str">
        <f ca="1"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95"/>
        <v>#REF!</v>
      </c>
      <c r="AI655" s="43" t="str">
        <f ca="1">_xll.BInterpol('Base IPCA'!$C$3:$C$14,'Base IPCA'!$E$3:$E$14,AH655,"Cubic","Extrapolate=Linear","MultiX=Average","Skip=True","Sort=True")</f>
        <v>#N/A Invalid Parameter: Interpolation value</v>
      </c>
      <c r="AJ655" s="43" t="str">
        <f ca="1"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95"/>
        <v>#REF!</v>
      </c>
      <c r="AI656" s="43" t="str">
        <f ca="1">_xll.BInterpol('Base IPCA'!$C$3:$C$14,'Base IPCA'!$E$3:$E$14,AH656,"Cubic","Extrapolate=Linear","MultiX=Average","Skip=True","Sort=True")</f>
        <v>#N/A Invalid Parameter: Interpolation value</v>
      </c>
      <c r="AJ656" s="43" t="str">
        <f ca="1"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95"/>
        <v>#REF!</v>
      </c>
      <c r="AI657" s="43" t="str">
        <f ca="1">_xll.BInterpol('Base IPCA'!$C$3:$C$14,'Base IPCA'!$E$3:$E$14,AH657,"Cubic","Extrapolate=Linear","MultiX=Average","Skip=True","Sort=True")</f>
        <v>#N/A Invalid Parameter: Interpolation value</v>
      </c>
      <c r="AJ657" s="43" t="str">
        <f ca="1"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95"/>
        <v>#REF!</v>
      </c>
      <c r="AI658" s="43" t="str">
        <f ca="1">_xll.BInterpol('Base IPCA'!$C$3:$C$14,'Base IPCA'!$E$3:$E$14,AH658,"Cubic","Extrapolate=Linear","MultiX=Average","Skip=True","Sort=True")</f>
        <v>#N/A Invalid Parameter: Interpolation value</v>
      </c>
      <c r="AJ658" s="43" t="str">
        <f ca="1"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95"/>
        <v>#REF!</v>
      </c>
      <c r="AI659" s="43" t="str">
        <f ca="1">_xll.BInterpol('Base IPCA'!$C$3:$C$14,'Base IPCA'!$E$3:$E$14,AH659,"Cubic","Extrapolate=Linear","MultiX=Average","Skip=True","Sort=True")</f>
        <v>#N/A Invalid Parameter: Interpolation value</v>
      </c>
      <c r="AJ659" s="43" t="str">
        <f ca="1"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95"/>
        <v>#REF!</v>
      </c>
      <c r="AI660" s="43" t="str">
        <f ca="1">_xll.BInterpol('Base IPCA'!$C$3:$C$14,'Base IPCA'!$E$3:$E$14,AH660,"Cubic","Extrapolate=Linear","MultiX=Average","Skip=True","Sort=True")</f>
        <v>#N/A Invalid Parameter: Interpolation value</v>
      </c>
      <c r="AJ660" s="43" t="str">
        <f ca="1"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95"/>
        <v>#REF!</v>
      </c>
      <c r="AI661" s="43" t="str">
        <f ca="1">_xll.BInterpol('Base IPCA'!$C$3:$C$14,'Base IPCA'!$E$3:$E$14,AH661,"Cubic","Extrapolate=Linear","MultiX=Average","Skip=True","Sort=True")</f>
        <v>#N/A Invalid Parameter: Interpolation value</v>
      </c>
      <c r="AJ661" s="43" t="str">
        <f ca="1"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95"/>
        <v>#REF!</v>
      </c>
      <c r="AI662" s="43" t="str">
        <f ca="1">_xll.BInterpol('Base IPCA'!$C$3:$C$14,'Base IPCA'!$E$3:$E$14,AH662,"Cubic","Extrapolate=Linear","MultiX=Average","Skip=True","Sort=True")</f>
        <v>#N/A Invalid Parameter: Interpolation value</v>
      </c>
      <c r="AJ662" s="43" t="str">
        <f ca="1"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95"/>
        <v>#REF!</v>
      </c>
      <c r="AI663" s="43" t="str">
        <f ca="1">_xll.BInterpol('Base IPCA'!$C$3:$C$14,'Base IPCA'!$E$3:$E$14,AH663,"Cubic","Extrapolate=Linear","MultiX=Average","Skip=True","Sort=True")</f>
        <v>#N/A Invalid Parameter: Interpolation value</v>
      </c>
      <c r="AJ663" s="43" t="str">
        <f ca="1"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95"/>
        <v>#REF!</v>
      </c>
      <c r="AI664" s="43" t="str">
        <f ca="1">_xll.BInterpol('Base IPCA'!$C$3:$C$14,'Base IPCA'!$E$3:$E$14,AH664,"Cubic","Extrapolate=Linear","MultiX=Average","Skip=True","Sort=True")</f>
        <v>#N/A Invalid Parameter: Interpolation value</v>
      </c>
      <c r="AJ664" s="43" t="str">
        <f ca="1"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95"/>
        <v>#REF!</v>
      </c>
      <c r="AI665" s="43" t="str">
        <f ca="1">_xll.BInterpol('Base IPCA'!$C$3:$C$14,'Base IPCA'!$E$3:$E$14,AH665,"Cubic","Extrapolate=Linear","MultiX=Average","Skip=True","Sort=True")</f>
        <v>#N/A Invalid Parameter: Interpolation value</v>
      </c>
      <c r="AJ665" s="43" t="str">
        <f ca="1"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95"/>
        <v>#REF!</v>
      </c>
      <c r="AI666" s="43" t="str">
        <f ca="1">_xll.BInterpol('Base IPCA'!$C$3:$C$14,'Base IPCA'!$E$3:$E$14,AH666,"Cubic","Extrapolate=Linear","MultiX=Average","Skip=True","Sort=True")</f>
        <v>#N/A Invalid Parameter: Interpolation value</v>
      </c>
      <c r="AJ666" s="43" t="str">
        <f ca="1"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95"/>
        <v>#REF!</v>
      </c>
      <c r="AI667" s="43" t="str">
        <f ca="1">_xll.BInterpol('Base IPCA'!$C$3:$C$14,'Base IPCA'!$E$3:$E$14,AH667,"Cubic","Extrapolate=Linear","MultiX=Average","Skip=True","Sort=True")</f>
        <v>#N/A Invalid Parameter: Interpolation value</v>
      </c>
      <c r="AJ667" s="43" t="str">
        <f ca="1"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95"/>
        <v>#REF!</v>
      </c>
      <c r="AI668" s="43" t="str">
        <f ca="1">_xll.BInterpol('Base IPCA'!$C$3:$C$14,'Base IPCA'!$E$3:$E$14,AH668,"Cubic","Extrapolate=Linear","MultiX=Average","Skip=True","Sort=True")</f>
        <v>#N/A Invalid Parameter: Interpolation value</v>
      </c>
      <c r="AJ668" s="43" t="str">
        <f ca="1"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95"/>
        <v>#REF!</v>
      </c>
      <c r="AI669" s="43" t="str">
        <f ca="1">_xll.BInterpol('Base IPCA'!$C$3:$C$14,'Base IPCA'!$E$3:$E$14,AH669,"Cubic","Extrapolate=Linear","MultiX=Average","Skip=True","Sort=True")</f>
        <v>#N/A Invalid Parameter: Interpolation value</v>
      </c>
      <c r="AJ669" s="43" t="str">
        <f ca="1"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95"/>
        <v>#REF!</v>
      </c>
      <c r="AI670" s="43" t="str">
        <f ca="1">_xll.BInterpol('Base IPCA'!$C$3:$C$14,'Base IPCA'!$E$3:$E$14,AH670,"Cubic","Extrapolate=Linear","MultiX=Average","Skip=True","Sort=True")</f>
        <v>#N/A Invalid Parameter: Interpolation value</v>
      </c>
      <c r="AJ670" s="43" t="str">
        <f ca="1"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95"/>
        <v>#REF!</v>
      </c>
      <c r="AI671" s="43" t="str">
        <f ca="1">_xll.BInterpol('Base IPCA'!$C$3:$C$14,'Base IPCA'!$E$3:$E$14,AH671,"Cubic","Extrapolate=Linear","MultiX=Average","Skip=True","Sort=True")</f>
        <v>#N/A Invalid Parameter: Interpolation value</v>
      </c>
      <c r="AJ671" s="43" t="str">
        <f ca="1"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95"/>
        <v>#REF!</v>
      </c>
      <c r="AI672" s="43" t="str">
        <f ca="1">_xll.BInterpol('Base IPCA'!$C$3:$C$14,'Base IPCA'!$E$3:$E$14,AH672,"Cubic","Extrapolate=Linear","MultiX=Average","Skip=True","Sort=True")</f>
        <v>#N/A Invalid Parameter: Interpolation value</v>
      </c>
      <c r="AJ672" s="43" t="str">
        <f ca="1"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95"/>
        <v>#REF!</v>
      </c>
      <c r="AI673" s="43" t="str">
        <f ca="1">_xll.BInterpol('Base IPCA'!$C$3:$C$14,'Base IPCA'!$E$3:$E$14,AH673,"Cubic","Extrapolate=Linear","MultiX=Average","Skip=True","Sort=True")</f>
        <v>#N/A Invalid Parameter: Interpolation value</v>
      </c>
      <c r="AJ673" s="43" t="str">
        <f ca="1"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95"/>
        <v>#REF!</v>
      </c>
      <c r="AI674" s="43" t="str">
        <f ca="1">_xll.BInterpol('Base IPCA'!$C$3:$C$14,'Base IPCA'!$E$3:$E$14,AH674,"Cubic","Extrapolate=Linear","MultiX=Average","Skip=True","Sort=True")</f>
        <v>#N/A Invalid Parameter: Interpolation value</v>
      </c>
      <c r="AJ674" s="43" t="str">
        <f ca="1"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95"/>
        <v>#REF!</v>
      </c>
      <c r="AI675" s="43" t="str">
        <f ca="1">_xll.BInterpol('Base IPCA'!$C$3:$C$14,'Base IPCA'!$E$3:$E$14,AH675,"Cubic","Extrapolate=Linear","MultiX=Average","Skip=True","Sort=True")</f>
        <v>#N/A Invalid Parameter: Interpolation value</v>
      </c>
      <c r="AJ675" s="43" t="str">
        <f ca="1"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95"/>
        <v>#REF!</v>
      </c>
      <c r="AI676" s="43" t="str">
        <f ca="1">_xll.BInterpol('Base IPCA'!$C$3:$C$14,'Base IPCA'!$E$3:$E$14,AH676,"Cubic","Extrapolate=Linear","MultiX=Average","Skip=True","Sort=True")</f>
        <v>#N/A Invalid Parameter: Interpolation value</v>
      </c>
      <c r="AJ676" s="43" t="str">
        <f ca="1"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95"/>
        <v>#REF!</v>
      </c>
      <c r="AI677" s="43" t="str">
        <f ca="1">_xll.BInterpol('Base IPCA'!$C$3:$C$14,'Base IPCA'!$E$3:$E$14,AH677,"Cubic","Extrapolate=Linear","MultiX=Average","Skip=True","Sort=True")</f>
        <v>#N/A Invalid Parameter: Interpolation value</v>
      </c>
      <c r="AJ677" s="43" t="str">
        <f ca="1"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95"/>
        <v>#REF!</v>
      </c>
      <c r="AI678" s="43" t="str">
        <f ca="1">_xll.BInterpol('Base IPCA'!$C$3:$C$14,'Base IPCA'!$E$3:$E$14,AH678,"Cubic","Extrapolate=Linear","MultiX=Average","Skip=True","Sort=True")</f>
        <v>#N/A Invalid Parameter: Interpolation value</v>
      </c>
      <c r="AJ678" s="43" t="str">
        <f ca="1"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95"/>
        <v>#REF!</v>
      </c>
      <c r="AI679" s="43" t="str">
        <f ca="1">_xll.BInterpol('Base IPCA'!$C$3:$C$14,'Base IPCA'!$E$3:$E$14,AH679,"Cubic","Extrapolate=Linear","MultiX=Average","Skip=True","Sort=True")</f>
        <v>#N/A Invalid Parameter: Interpolation value</v>
      </c>
      <c r="AJ679" s="43" t="str">
        <f ca="1"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95"/>
        <v>#REF!</v>
      </c>
      <c r="AI680" s="43" t="str">
        <f ca="1">_xll.BInterpol('Base IPCA'!$C$3:$C$14,'Base IPCA'!$E$3:$E$14,AH680,"Cubic","Extrapolate=Linear","MultiX=Average","Skip=True","Sort=True")</f>
        <v>#N/A Invalid Parameter: Interpolation value</v>
      </c>
      <c r="AJ680" s="43" t="str">
        <f ca="1"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95"/>
        <v>#REF!</v>
      </c>
      <c r="AI681" s="43" t="str">
        <f ca="1">_xll.BInterpol('Base IPCA'!$C$3:$C$14,'Base IPCA'!$E$3:$E$14,AH681,"Cubic","Extrapolate=Linear","MultiX=Average","Skip=True","Sort=True")</f>
        <v>#N/A Invalid Parameter: Interpolation value</v>
      </c>
      <c r="AJ681" s="43" t="str">
        <f ca="1"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95"/>
        <v>#REF!</v>
      </c>
      <c r="AI682" s="43" t="str">
        <f ca="1">_xll.BInterpol('Base IPCA'!$C$3:$C$14,'Base IPCA'!$E$3:$E$14,AH682,"Cubic","Extrapolate=Linear","MultiX=Average","Skip=True","Sort=True")</f>
        <v>#N/A Invalid Parameter: Interpolation value</v>
      </c>
      <c r="AJ682" s="43" t="str">
        <f ca="1"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95"/>
        <v>#REF!</v>
      </c>
      <c r="AI683" s="43" t="str">
        <f ca="1">_xll.BInterpol('Base IPCA'!$C$3:$C$14,'Base IPCA'!$E$3:$E$14,AH683,"Cubic","Extrapolate=Linear","MultiX=Average","Skip=True","Sort=True")</f>
        <v>#N/A Invalid Parameter: Interpolation value</v>
      </c>
      <c r="AJ683" s="43" t="str">
        <f ca="1"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95"/>
        <v>#REF!</v>
      </c>
      <c r="AI684" s="43" t="str">
        <f ca="1">_xll.BInterpol('Base IPCA'!$C$3:$C$14,'Base IPCA'!$E$3:$E$14,AH684,"Cubic","Extrapolate=Linear","MultiX=Average","Skip=True","Sort=True")</f>
        <v>#N/A Invalid Parameter: Interpolation value</v>
      </c>
      <c r="AJ684" s="43" t="str">
        <f ca="1"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95"/>
        <v>#REF!</v>
      </c>
      <c r="AI685" s="43" t="str">
        <f ca="1">_xll.BInterpol('Base IPCA'!$C$3:$C$14,'Base IPCA'!$E$3:$E$14,AH685,"Cubic","Extrapolate=Linear","MultiX=Average","Skip=True","Sort=True")</f>
        <v>#N/A Invalid Parameter: Interpolation value</v>
      </c>
      <c r="AJ685" s="43" t="str">
        <f ca="1"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95"/>
        <v>#REF!</v>
      </c>
      <c r="AI686" s="43" t="str">
        <f ca="1">_xll.BInterpol('Base IPCA'!$C$3:$C$14,'Base IPCA'!$E$3:$E$14,AH686,"Cubic","Extrapolate=Linear","MultiX=Average","Skip=True","Sort=True")</f>
        <v>#N/A Invalid Parameter: Interpolation value</v>
      </c>
      <c r="AJ686" s="43" t="str">
        <f ca="1"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95"/>
        <v>#REF!</v>
      </c>
      <c r="AI687" s="43" t="str">
        <f ca="1">_xll.BInterpol('Base IPCA'!$C$3:$C$14,'Base IPCA'!$E$3:$E$14,AH687,"Cubic","Extrapolate=Linear","MultiX=Average","Skip=True","Sort=True")</f>
        <v>#N/A Invalid Parameter: Interpolation value</v>
      </c>
      <c r="AJ687" s="43" t="str">
        <f ca="1"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95"/>
        <v>#REF!</v>
      </c>
      <c r="AI688" s="43" t="str">
        <f ca="1">_xll.BInterpol('Base IPCA'!$C$3:$C$14,'Base IPCA'!$E$3:$E$14,AH688,"Cubic","Extrapolate=Linear","MultiX=Average","Skip=True","Sort=True")</f>
        <v>#N/A Invalid Parameter: Interpolation value</v>
      </c>
      <c r="AJ688" s="43" t="str">
        <f ca="1"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95"/>
        <v>#REF!</v>
      </c>
      <c r="AI689" s="43" t="str">
        <f ca="1">_xll.BInterpol('Base IPCA'!$C$3:$C$14,'Base IPCA'!$E$3:$E$14,AH689,"Cubic","Extrapolate=Linear","MultiX=Average","Skip=True","Sort=True")</f>
        <v>#N/A Invalid Parameter: Interpolation value</v>
      </c>
      <c r="AJ689" s="43" t="str">
        <f ca="1"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95"/>
        <v>#REF!</v>
      </c>
      <c r="AI690" s="43" t="str">
        <f ca="1">_xll.BInterpol('Base IPCA'!$C$3:$C$14,'Base IPCA'!$E$3:$E$14,AH690,"Cubic","Extrapolate=Linear","MultiX=Average","Skip=True","Sort=True")</f>
        <v>#N/A Invalid Parameter: Interpolation value</v>
      </c>
      <c r="AJ690" s="43" t="str">
        <f ca="1"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95"/>
        <v>#REF!</v>
      </c>
      <c r="AI691" s="43" t="str">
        <f ca="1">_xll.BInterpol('Base IPCA'!$C$3:$C$14,'Base IPCA'!$E$3:$E$14,AH691,"Cubic","Extrapolate=Linear","MultiX=Average","Skip=True","Sort=True")</f>
        <v>#N/A Invalid Parameter: Interpolation value</v>
      </c>
      <c r="AJ691" s="43" t="str">
        <f ca="1"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95"/>
        <v>#REF!</v>
      </c>
      <c r="AI692" s="43" t="str">
        <f ca="1">_xll.BInterpol('Base IPCA'!$C$3:$C$14,'Base IPCA'!$E$3:$E$14,AH692,"Cubic","Extrapolate=Linear","MultiX=Average","Skip=True","Sort=True")</f>
        <v>#N/A Invalid Parameter: Interpolation value</v>
      </c>
      <c r="AJ692" s="43" t="str">
        <f ca="1"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95"/>
        <v>#REF!</v>
      </c>
      <c r="AI693" s="43" t="str">
        <f ca="1">_xll.BInterpol('Base IPCA'!$C$3:$C$14,'Base IPCA'!$E$3:$E$14,AH693,"Cubic","Extrapolate=Linear","MultiX=Average","Skip=True","Sort=True")</f>
        <v>#N/A Invalid Parameter: Interpolation value</v>
      </c>
      <c r="AJ693" s="43" t="str">
        <f ca="1"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95"/>
        <v>#REF!</v>
      </c>
      <c r="AI694" s="43" t="str">
        <f ca="1">_xll.BInterpol('Base IPCA'!$C$3:$C$14,'Base IPCA'!$E$3:$E$14,AH694,"Cubic","Extrapolate=Linear","MultiX=Average","Skip=True","Sort=True")</f>
        <v>#N/A Invalid Parameter: Interpolation value</v>
      </c>
      <c r="AJ694" s="43" t="str">
        <f ca="1"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95"/>
        <v>#REF!</v>
      </c>
      <c r="AI695" s="43" t="str">
        <f ca="1">_xll.BInterpol('Base IPCA'!$C$3:$C$14,'Base IPCA'!$E$3:$E$14,AH695,"Cubic","Extrapolate=Linear","MultiX=Average","Skip=True","Sort=True")</f>
        <v>#N/A Invalid Parameter: Interpolation value</v>
      </c>
      <c r="AJ695" s="43" t="str">
        <f ca="1"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95"/>
        <v>#REF!</v>
      </c>
      <c r="AI696" s="43" t="str">
        <f ca="1">_xll.BInterpol('Base IPCA'!$C$3:$C$14,'Base IPCA'!$E$3:$E$14,AH696,"Cubic","Extrapolate=Linear","MultiX=Average","Skip=True","Sort=True")</f>
        <v>#N/A Invalid Parameter: Interpolation value</v>
      </c>
      <c r="AJ696" s="43" t="str">
        <f ca="1"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95"/>
        <v>#REF!</v>
      </c>
      <c r="AI697" s="43" t="str">
        <f ca="1">_xll.BInterpol('Base IPCA'!$C$3:$C$14,'Base IPCA'!$E$3:$E$14,AH697,"Cubic","Extrapolate=Linear","MultiX=Average","Skip=True","Sort=True")</f>
        <v>#N/A Invalid Parameter: Interpolation value</v>
      </c>
      <c r="AJ697" s="43" t="str">
        <f ca="1"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95"/>
        <v>#REF!</v>
      </c>
      <c r="AI698" s="43" t="str">
        <f ca="1">_xll.BInterpol('Base IPCA'!$C$3:$C$14,'Base IPCA'!$E$3:$E$14,AH698,"Cubic","Extrapolate=Linear","MultiX=Average","Skip=True","Sort=True")</f>
        <v>#N/A Invalid Parameter: Interpolation value</v>
      </c>
      <c r="AJ698" s="43" t="str">
        <f ca="1"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95"/>
        <v>#REF!</v>
      </c>
      <c r="AI699" s="43" t="str">
        <f ca="1">_xll.BInterpol('Base IPCA'!$C$3:$C$14,'Base IPCA'!$E$3:$E$14,AH699,"Cubic","Extrapolate=Linear","MultiX=Average","Skip=True","Sort=True")</f>
        <v>#N/A Invalid Parameter: Interpolation value</v>
      </c>
      <c r="AJ699" s="43" t="str">
        <f ca="1"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95"/>
        <v>#REF!</v>
      </c>
      <c r="AI700" s="43" t="str">
        <f ca="1">_xll.BInterpol('Base IPCA'!$C$3:$C$14,'Base IPCA'!$E$3:$E$14,AH700,"Cubic","Extrapolate=Linear","MultiX=Average","Skip=True","Sort=True")</f>
        <v>#N/A Invalid Parameter: Interpolation value</v>
      </c>
      <c r="AJ700" s="43" t="str">
        <f ca="1"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95"/>
        <v>#REF!</v>
      </c>
      <c r="AI701" s="43" t="str">
        <f ca="1">_xll.BInterpol('Base IPCA'!$C$3:$C$14,'Base IPCA'!$E$3:$E$14,AH701,"Cubic","Extrapolate=Linear","MultiX=Average","Skip=True","Sort=True")</f>
        <v>#N/A Invalid Parameter: Interpolation value</v>
      </c>
      <c r="AJ701" s="43" t="str">
        <f ca="1"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95"/>
        <v>#REF!</v>
      </c>
      <c r="AI702" s="43" t="str">
        <f ca="1">_xll.BInterpol('Base IPCA'!$C$3:$C$14,'Base IPCA'!$E$3:$E$14,AH702,"Cubic","Extrapolate=Linear","MultiX=Average","Skip=True","Sort=True")</f>
        <v>#N/A Invalid Parameter: Interpolation value</v>
      </c>
      <c r="AJ702" s="43" t="str">
        <f ca="1"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95"/>
        <v>#REF!</v>
      </c>
      <c r="AI703" s="43" t="str">
        <f ca="1">_xll.BInterpol('Base IPCA'!$C$3:$C$14,'Base IPCA'!$E$3:$E$14,AH703,"Cubic","Extrapolate=Linear","MultiX=Average","Skip=True","Sort=True")</f>
        <v>#N/A Invalid Parameter: Interpolation value</v>
      </c>
      <c r="AJ703" s="43" t="str">
        <f ca="1"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95"/>
        <v>#REF!</v>
      </c>
      <c r="AI704" s="43" t="str">
        <f ca="1">_xll.BInterpol('Base IPCA'!$C$3:$C$14,'Base IPCA'!$E$3:$E$14,AH704,"Cubic","Extrapolate=Linear","MultiX=Average","Skip=True","Sort=True")</f>
        <v>#N/A Invalid Parameter: Interpolation value</v>
      </c>
      <c r="AJ704" s="43" t="str">
        <f ca="1"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95"/>
        <v>#REF!</v>
      </c>
      <c r="AI705" s="43" t="str">
        <f ca="1">_xll.BInterpol('Base IPCA'!$C$3:$C$14,'Base IPCA'!$E$3:$E$14,AH705,"Cubic","Extrapolate=Linear","MultiX=Average","Skip=True","Sort=True")</f>
        <v>#N/A Invalid Parameter: Interpolation value</v>
      </c>
      <c r="AJ705" s="43" t="str">
        <f ca="1"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95"/>
        <v>#REF!</v>
      </c>
      <c r="AI706" s="43" t="str">
        <f ca="1">_xll.BInterpol('Base IPCA'!$C$3:$C$14,'Base IPCA'!$E$3:$E$14,AH706,"Cubic","Extrapolate=Linear","MultiX=Average","Skip=True","Sort=True")</f>
        <v>#N/A Invalid Parameter: Interpolation value</v>
      </c>
      <c r="AJ706" s="43" t="str">
        <f ca="1"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95"/>
        <v>#REF!</v>
      </c>
      <c r="AI707" s="43" t="str">
        <f ca="1">_xll.BInterpol('Base IPCA'!$C$3:$C$14,'Base IPCA'!$E$3:$E$14,AH707,"Cubic","Extrapolate=Linear","MultiX=Average","Skip=True","Sort=True")</f>
        <v>#N/A Invalid Parameter: Interpolation value</v>
      </c>
      <c r="AJ707" s="43" t="str">
        <f ca="1"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95"/>
        <v>#REF!</v>
      </c>
      <c r="AI708" s="43" t="str">
        <f ca="1">_xll.BInterpol('Base IPCA'!$C$3:$C$14,'Base IPCA'!$E$3:$E$14,AH708,"Cubic","Extrapolate=Linear","MultiX=Average","Skip=True","Sort=True")</f>
        <v>#N/A Invalid Parameter: Interpolation value</v>
      </c>
      <c r="AJ708" s="43" t="str">
        <f ca="1"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95"/>
        <v>#REF!</v>
      </c>
      <c r="AI709" s="43" t="str">
        <f ca="1">_xll.BInterpol('Base IPCA'!$C$3:$C$14,'Base IPCA'!$E$3:$E$14,AH709,"Cubic","Extrapolate=Linear","MultiX=Average","Skip=True","Sort=True")</f>
        <v>#N/A Invalid Parameter: Interpolation value</v>
      </c>
      <c r="AJ709" s="43" t="str">
        <f ca="1"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96">AH709+1</f>
        <v>#REF!</v>
      </c>
      <c r="AI710" s="43" t="str">
        <f ca="1">_xll.BInterpol('Base IPCA'!$C$3:$C$14,'Base IPCA'!$E$3:$E$14,AH710,"Cubic","Extrapolate=Linear","MultiX=Average","Skip=True","Sort=True")</f>
        <v>#N/A Invalid Parameter: Interpolation value</v>
      </c>
      <c r="AJ710" s="43" t="str">
        <f ca="1"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96"/>
        <v>#REF!</v>
      </c>
      <c r="AI711" s="43" t="str">
        <f ca="1">_xll.BInterpol('Base IPCA'!$C$3:$C$14,'Base IPCA'!$E$3:$E$14,AH711,"Cubic","Extrapolate=Linear","MultiX=Average","Skip=True","Sort=True")</f>
        <v>#N/A Invalid Parameter: Interpolation value</v>
      </c>
      <c r="AJ711" s="43" t="str">
        <f ca="1"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96"/>
        <v>#REF!</v>
      </c>
      <c r="AI712" s="43" t="str">
        <f ca="1">_xll.BInterpol('Base IPCA'!$C$3:$C$14,'Base IPCA'!$E$3:$E$14,AH712,"Cubic","Extrapolate=Linear","MultiX=Average","Skip=True","Sort=True")</f>
        <v>#N/A Invalid Parameter: Interpolation value</v>
      </c>
      <c r="AJ712" s="43" t="str">
        <f ca="1"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96"/>
        <v>#REF!</v>
      </c>
      <c r="AI713" s="43" t="str">
        <f ca="1">_xll.BInterpol('Base IPCA'!$C$3:$C$14,'Base IPCA'!$E$3:$E$14,AH713,"Cubic","Extrapolate=Linear","MultiX=Average","Skip=True","Sort=True")</f>
        <v>#N/A Invalid Parameter: Interpolation value</v>
      </c>
      <c r="AJ713" s="43" t="str">
        <f ca="1"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96"/>
        <v>#REF!</v>
      </c>
      <c r="AI714" s="43" t="str">
        <f ca="1">_xll.BInterpol('Base IPCA'!$C$3:$C$14,'Base IPCA'!$E$3:$E$14,AH714,"Cubic","Extrapolate=Linear","MultiX=Average","Skip=True","Sort=True")</f>
        <v>#N/A Invalid Parameter: Interpolation value</v>
      </c>
      <c r="AJ714" s="43" t="str">
        <f ca="1"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96"/>
        <v>#REF!</v>
      </c>
      <c r="AI715" s="43" t="str">
        <f ca="1">_xll.BInterpol('Base IPCA'!$C$3:$C$14,'Base IPCA'!$E$3:$E$14,AH715,"Cubic","Extrapolate=Linear","MultiX=Average","Skip=True","Sort=True")</f>
        <v>#N/A Invalid Parameter: Interpolation value</v>
      </c>
      <c r="AJ715" s="43" t="str">
        <f ca="1"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96"/>
        <v>#REF!</v>
      </c>
      <c r="AI716" s="43" t="str">
        <f ca="1">_xll.BInterpol('Base IPCA'!$C$3:$C$14,'Base IPCA'!$E$3:$E$14,AH716,"Cubic","Extrapolate=Linear","MultiX=Average","Skip=True","Sort=True")</f>
        <v>#N/A Invalid Parameter: Interpolation value</v>
      </c>
      <c r="AJ716" s="43" t="str">
        <f ca="1"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96"/>
        <v>#REF!</v>
      </c>
      <c r="AI717" s="43" t="str">
        <f ca="1">_xll.BInterpol('Base IPCA'!$C$3:$C$14,'Base IPCA'!$E$3:$E$14,AH717,"Cubic","Extrapolate=Linear","MultiX=Average","Skip=True","Sort=True")</f>
        <v>#N/A Invalid Parameter: Interpolation value</v>
      </c>
      <c r="AJ717" s="43" t="str">
        <f ca="1"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96"/>
        <v>#REF!</v>
      </c>
      <c r="AI718" s="43" t="str">
        <f ca="1">_xll.BInterpol('Base IPCA'!$C$3:$C$14,'Base IPCA'!$E$3:$E$14,AH718,"Cubic","Extrapolate=Linear","MultiX=Average","Skip=True","Sort=True")</f>
        <v>#N/A Invalid Parameter: Interpolation value</v>
      </c>
      <c r="AJ718" s="43" t="str">
        <f ca="1"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96"/>
        <v>#REF!</v>
      </c>
      <c r="AI719" s="43" t="str">
        <f ca="1">_xll.BInterpol('Base IPCA'!$C$3:$C$14,'Base IPCA'!$E$3:$E$14,AH719,"Cubic","Extrapolate=Linear","MultiX=Average","Skip=True","Sort=True")</f>
        <v>#N/A Invalid Parameter: Interpolation value</v>
      </c>
      <c r="AJ719" s="43" t="str">
        <f ca="1"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96"/>
        <v>#REF!</v>
      </c>
      <c r="AI720" s="43" t="str">
        <f ca="1">_xll.BInterpol('Base IPCA'!$C$3:$C$14,'Base IPCA'!$E$3:$E$14,AH720,"Cubic","Extrapolate=Linear","MultiX=Average","Skip=True","Sort=True")</f>
        <v>#N/A Invalid Parameter: Interpolation value</v>
      </c>
      <c r="AJ720" s="43" t="str">
        <f ca="1"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96"/>
        <v>#REF!</v>
      </c>
      <c r="AI721" s="43" t="str">
        <f ca="1">_xll.BInterpol('Base IPCA'!$C$3:$C$14,'Base IPCA'!$E$3:$E$14,AH721,"Cubic","Extrapolate=Linear","MultiX=Average","Skip=True","Sort=True")</f>
        <v>#N/A Invalid Parameter: Interpolation value</v>
      </c>
      <c r="AJ721" s="43" t="str">
        <f ca="1"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96"/>
        <v>#REF!</v>
      </c>
      <c r="AI722" s="43" t="str">
        <f ca="1">_xll.BInterpol('Base IPCA'!$C$3:$C$14,'Base IPCA'!$E$3:$E$14,AH722,"Cubic","Extrapolate=Linear","MultiX=Average","Skip=True","Sort=True")</f>
        <v>#N/A Invalid Parameter: Interpolation value</v>
      </c>
      <c r="AJ722" s="43" t="str">
        <f ca="1"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96"/>
        <v>#REF!</v>
      </c>
      <c r="AI723" s="43" t="str">
        <f ca="1">_xll.BInterpol('Base IPCA'!$C$3:$C$14,'Base IPCA'!$E$3:$E$14,AH723,"Cubic","Extrapolate=Linear","MultiX=Average","Skip=True","Sort=True")</f>
        <v>#N/A Invalid Parameter: Interpolation value</v>
      </c>
      <c r="AJ723" s="43" t="str">
        <f ca="1"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96"/>
        <v>#REF!</v>
      </c>
      <c r="AI724" s="43" t="str">
        <f ca="1">_xll.BInterpol('Base IPCA'!$C$3:$C$14,'Base IPCA'!$E$3:$E$14,AH724,"Cubic","Extrapolate=Linear","MultiX=Average","Skip=True","Sort=True")</f>
        <v>#N/A Invalid Parameter: Interpolation value</v>
      </c>
      <c r="AJ724" s="43" t="str">
        <f ca="1"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96"/>
        <v>#REF!</v>
      </c>
      <c r="AI725" s="43" t="str">
        <f ca="1">_xll.BInterpol('Base IPCA'!$C$3:$C$14,'Base IPCA'!$E$3:$E$14,AH725,"Cubic","Extrapolate=Linear","MultiX=Average","Skip=True","Sort=True")</f>
        <v>#N/A Invalid Parameter: Interpolation value</v>
      </c>
      <c r="AJ725" s="43" t="str">
        <f ca="1"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96"/>
        <v>#REF!</v>
      </c>
      <c r="AI726" s="43" t="str">
        <f ca="1">_xll.BInterpol('Base IPCA'!$C$3:$C$14,'Base IPCA'!$E$3:$E$14,AH726,"Cubic","Extrapolate=Linear","MultiX=Average","Skip=True","Sort=True")</f>
        <v>#N/A Invalid Parameter: Interpolation value</v>
      </c>
      <c r="AJ726" s="43" t="str">
        <f ca="1"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96"/>
        <v>#REF!</v>
      </c>
      <c r="AI727" s="43" t="str">
        <f ca="1">_xll.BInterpol('Base IPCA'!$C$3:$C$14,'Base IPCA'!$E$3:$E$14,AH727,"Cubic","Extrapolate=Linear","MultiX=Average","Skip=True","Sort=True")</f>
        <v>#N/A Invalid Parameter: Interpolation value</v>
      </c>
      <c r="AJ727" s="43" t="str">
        <f ca="1"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96"/>
        <v>#REF!</v>
      </c>
      <c r="AI728" s="43" t="str">
        <f ca="1">_xll.BInterpol('Base IPCA'!$C$3:$C$14,'Base IPCA'!$E$3:$E$14,AH728,"Cubic","Extrapolate=Linear","MultiX=Average","Skip=True","Sort=True")</f>
        <v>#N/A Invalid Parameter: Interpolation value</v>
      </c>
      <c r="AJ728" s="43" t="str">
        <f ca="1"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96"/>
        <v>#REF!</v>
      </c>
      <c r="AI729" s="43" t="str">
        <f ca="1">_xll.BInterpol('Base IPCA'!$C$3:$C$14,'Base IPCA'!$E$3:$E$14,AH729,"Cubic","Extrapolate=Linear","MultiX=Average","Skip=True","Sort=True")</f>
        <v>#N/A Invalid Parameter: Interpolation value</v>
      </c>
      <c r="AJ729" s="43" t="str">
        <f ca="1"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96"/>
        <v>#REF!</v>
      </c>
      <c r="AI730" s="43" t="str">
        <f ca="1">_xll.BInterpol('Base IPCA'!$C$3:$C$14,'Base IPCA'!$E$3:$E$14,AH730,"Cubic","Extrapolate=Linear","MultiX=Average","Skip=True","Sort=True")</f>
        <v>#N/A Invalid Parameter: Interpolation value</v>
      </c>
      <c r="AJ730" s="43" t="str">
        <f ca="1"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96"/>
        <v>#REF!</v>
      </c>
      <c r="AI731" s="43" t="str">
        <f ca="1">_xll.BInterpol('Base IPCA'!$C$3:$C$14,'Base IPCA'!$E$3:$E$14,AH731,"Cubic","Extrapolate=Linear","MultiX=Average","Skip=True","Sort=True")</f>
        <v>#N/A Invalid Parameter: Interpolation value</v>
      </c>
      <c r="AJ731" s="43" t="str">
        <f ca="1"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96"/>
        <v>#REF!</v>
      </c>
      <c r="AI732" s="43" t="str">
        <f ca="1">_xll.BInterpol('Base IPCA'!$C$3:$C$14,'Base IPCA'!$E$3:$E$14,AH732,"Cubic","Extrapolate=Linear","MultiX=Average","Skip=True","Sort=True")</f>
        <v>#N/A Invalid Parameter: Interpolation value</v>
      </c>
      <c r="AJ732" s="43" t="str">
        <f ca="1"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96"/>
        <v>#REF!</v>
      </c>
      <c r="AI733" s="43" t="str">
        <f ca="1">_xll.BInterpol('Base IPCA'!$C$3:$C$14,'Base IPCA'!$E$3:$E$14,AH733,"Cubic","Extrapolate=Linear","MultiX=Average","Skip=True","Sort=True")</f>
        <v>#N/A Invalid Parameter: Interpolation value</v>
      </c>
      <c r="AJ733" s="43" t="str">
        <f ca="1"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96"/>
        <v>#REF!</v>
      </c>
      <c r="AI734" s="43" t="str">
        <f ca="1">_xll.BInterpol('Base IPCA'!$C$3:$C$14,'Base IPCA'!$E$3:$E$14,AH734,"Cubic","Extrapolate=Linear","MultiX=Average","Skip=True","Sort=True")</f>
        <v>#N/A Invalid Parameter: Interpolation value</v>
      </c>
      <c r="AJ734" s="43" t="str">
        <f ca="1"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96"/>
        <v>#REF!</v>
      </c>
      <c r="AI735" s="43" t="str">
        <f ca="1">_xll.BInterpol('Base IPCA'!$C$3:$C$14,'Base IPCA'!$E$3:$E$14,AH735,"Cubic","Extrapolate=Linear","MultiX=Average","Skip=True","Sort=True")</f>
        <v>#N/A Invalid Parameter: Interpolation value</v>
      </c>
      <c r="AJ735" s="43" t="str">
        <f ca="1"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96"/>
        <v>#REF!</v>
      </c>
      <c r="AI736" s="43" t="str">
        <f ca="1">_xll.BInterpol('Base IPCA'!$C$3:$C$14,'Base IPCA'!$E$3:$E$14,AH736,"Cubic","Extrapolate=Linear","MultiX=Average","Skip=True","Sort=True")</f>
        <v>#N/A Invalid Parameter: Interpolation value</v>
      </c>
      <c r="AJ736" s="43" t="str">
        <f ca="1"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96"/>
        <v>#REF!</v>
      </c>
      <c r="AI737" s="43" t="str">
        <f ca="1">_xll.BInterpol('Base IPCA'!$C$3:$C$14,'Base IPCA'!$E$3:$E$14,AH737,"Cubic","Extrapolate=Linear","MultiX=Average","Skip=True","Sort=True")</f>
        <v>#N/A Invalid Parameter: Interpolation value</v>
      </c>
      <c r="AJ737" s="43" t="str">
        <f ca="1"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96"/>
        <v>#REF!</v>
      </c>
      <c r="AI738" s="43" t="str">
        <f ca="1">_xll.BInterpol('Base IPCA'!$C$3:$C$14,'Base IPCA'!$E$3:$E$14,AH738,"Cubic","Extrapolate=Linear","MultiX=Average","Skip=True","Sort=True")</f>
        <v>#N/A Invalid Parameter: Interpolation value</v>
      </c>
      <c r="AJ738" s="43" t="str">
        <f ca="1"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96"/>
        <v>#REF!</v>
      </c>
      <c r="AI739" s="43" t="str">
        <f ca="1">_xll.BInterpol('Base IPCA'!$C$3:$C$14,'Base IPCA'!$E$3:$E$14,AH739,"Cubic","Extrapolate=Linear","MultiX=Average","Skip=True","Sort=True")</f>
        <v>#N/A Invalid Parameter: Interpolation value</v>
      </c>
      <c r="AJ739" s="43" t="str">
        <f ca="1"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96"/>
        <v>#REF!</v>
      </c>
      <c r="AI740" s="43" t="str">
        <f ca="1">_xll.BInterpol('Base IPCA'!$C$3:$C$14,'Base IPCA'!$E$3:$E$14,AH740,"Cubic","Extrapolate=Linear","MultiX=Average","Skip=True","Sort=True")</f>
        <v>#N/A Invalid Parameter: Interpolation value</v>
      </c>
      <c r="AJ740" s="43" t="str">
        <f ca="1"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96"/>
        <v>#REF!</v>
      </c>
      <c r="AI741" s="43" t="str">
        <f ca="1">_xll.BInterpol('Base IPCA'!$C$3:$C$14,'Base IPCA'!$E$3:$E$14,AH741,"Cubic","Extrapolate=Linear","MultiX=Average","Skip=True","Sort=True")</f>
        <v>#N/A Invalid Parameter: Interpolation value</v>
      </c>
      <c r="AJ741" s="43" t="str">
        <f ca="1"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96"/>
        <v>#REF!</v>
      </c>
      <c r="AI742" s="43" t="str">
        <f ca="1">_xll.BInterpol('Base IPCA'!$C$3:$C$14,'Base IPCA'!$E$3:$E$14,AH742,"Cubic","Extrapolate=Linear","MultiX=Average","Skip=True","Sort=True")</f>
        <v>#N/A Invalid Parameter: Interpolation value</v>
      </c>
      <c r="AJ742" s="43" t="str">
        <f ca="1"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96"/>
        <v>#REF!</v>
      </c>
      <c r="AI743" s="43" t="str">
        <f ca="1">_xll.BInterpol('Base IPCA'!$C$3:$C$14,'Base IPCA'!$E$3:$E$14,AH743,"Cubic","Extrapolate=Linear","MultiX=Average","Skip=True","Sort=True")</f>
        <v>#N/A Invalid Parameter: Interpolation value</v>
      </c>
      <c r="AJ743" s="43" t="str">
        <f ca="1"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96"/>
        <v>#REF!</v>
      </c>
      <c r="AI744" s="43" t="str">
        <f ca="1">_xll.BInterpol('Base IPCA'!$C$3:$C$14,'Base IPCA'!$E$3:$E$14,AH744,"Cubic","Extrapolate=Linear","MultiX=Average","Skip=True","Sort=True")</f>
        <v>#N/A Invalid Parameter: Interpolation value</v>
      </c>
      <c r="AJ744" s="43" t="str">
        <f ca="1"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96"/>
        <v>#REF!</v>
      </c>
      <c r="AI745" s="43" t="str">
        <f ca="1">_xll.BInterpol('Base IPCA'!$C$3:$C$14,'Base IPCA'!$E$3:$E$14,AH745,"Cubic","Extrapolate=Linear","MultiX=Average","Skip=True","Sort=True")</f>
        <v>#N/A Invalid Parameter: Interpolation value</v>
      </c>
      <c r="AJ745" s="43" t="str">
        <f ca="1"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96"/>
        <v>#REF!</v>
      </c>
      <c r="AI746" s="43" t="str">
        <f ca="1">_xll.BInterpol('Base IPCA'!$C$3:$C$14,'Base IPCA'!$E$3:$E$14,AH746,"Cubic","Extrapolate=Linear","MultiX=Average","Skip=True","Sort=True")</f>
        <v>#N/A Invalid Parameter: Interpolation value</v>
      </c>
      <c r="AJ746" s="43" t="str">
        <f ca="1"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96"/>
        <v>#REF!</v>
      </c>
      <c r="AI747" s="43" t="str">
        <f ca="1">_xll.BInterpol('Base IPCA'!$C$3:$C$14,'Base IPCA'!$E$3:$E$14,AH747,"Cubic","Extrapolate=Linear","MultiX=Average","Skip=True","Sort=True")</f>
        <v>#N/A Invalid Parameter: Interpolation value</v>
      </c>
      <c r="AJ747" s="43" t="str">
        <f ca="1"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96"/>
        <v>#REF!</v>
      </c>
      <c r="AI748" s="43" t="str">
        <f ca="1">_xll.BInterpol('Base IPCA'!$C$3:$C$14,'Base IPCA'!$E$3:$E$14,AH748,"Cubic","Extrapolate=Linear","MultiX=Average","Skip=True","Sort=True")</f>
        <v>#N/A Invalid Parameter: Interpolation value</v>
      </c>
      <c r="AJ748" s="43" t="str">
        <f ca="1"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96"/>
        <v>#REF!</v>
      </c>
      <c r="AI749" s="43" t="str">
        <f ca="1">_xll.BInterpol('Base IPCA'!$C$3:$C$14,'Base IPCA'!$E$3:$E$14,AH749,"Cubic","Extrapolate=Linear","MultiX=Average","Skip=True","Sort=True")</f>
        <v>#N/A Invalid Parameter: Interpolation value</v>
      </c>
      <c r="AJ749" s="43" t="str">
        <f ca="1"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96"/>
        <v>#REF!</v>
      </c>
      <c r="AI750" s="43" t="str">
        <f ca="1">_xll.BInterpol('Base IPCA'!$C$3:$C$14,'Base IPCA'!$E$3:$E$14,AH750,"Cubic","Extrapolate=Linear","MultiX=Average","Skip=True","Sort=True")</f>
        <v>#N/A Invalid Parameter: Interpolation value</v>
      </c>
      <c r="AJ750" s="43" t="str">
        <f ca="1"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96"/>
        <v>#REF!</v>
      </c>
      <c r="AI751" s="43" t="str">
        <f ca="1">_xll.BInterpol('Base IPCA'!$C$3:$C$14,'Base IPCA'!$E$3:$E$14,AH751,"Cubic","Extrapolate=Linear","MultiX=Average","Skip=True","Sort=True")</f>
        <v>#N/A Invalid Parameter: Interpolation value</v>
      </c>
      <c r="AJ751" s="43" t="str">
        <f ca="1"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96"/>
        <v>#REF!</v>
      </c>
      <c r="AI752" s="43" t="str">
        <f ca="1">_xll.BInterpol('Base IPCA'!$C$3:$C$14,'Base IPCA'!$E$3:$E$14,AH752,"Cubic","Extrapolate=Linear","MultiX=Average","Skip=True","Sort=True")</f>
        <v>#N/A Invalid Parameter: Interpolation value</v>
      </c>
      <c r="AJ752" s="43" t="str">
        <f ca="1"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96"/>
        <v>#REF!</v>
      </c>
      <c r="AI753" s="43" t="str">
        <f ca="1">_xll.BInterpol('Base IPCA'!$C$3:$C$14,'Base IPCA'!$E$3:$E$14,AH753,"Cubic","Extrapolate=Linear","MultiX=Average","Skip=True","Sort=True")</f>
        <v>#N/A Invalid Parameter: Interpolation value</v>
      </c>
      <c r="AJ753" s="43" t="str">
        <f ca="1"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96"/>
        <v>#REF!</v>
      </c>
      <c r="AI754" s="43" t="str">
        <f ca="1">_xll.BInterpol('Base IPCA'!$C$3:$C$14,'Base IPCA'!$E$3:$E$14,AH754,"Cubic","Extrapolate=Linear","MultiX=Average","Skip=True","Sort=True")</f>
        <v>#N/A Invalid Parameter: Interpolation value</v>
      </c>
      <c r="AJ754" s="43" t="str">
        <f ca="1"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96"/>
        <v>#REF!</v>
      </c>
      <c r="AI755" s="43" t="str">
        <f ca="1">_xll.BInterpol('Base IPCA'!$C$3:$C$14,'Base IPCA'!$E$3:$E$14,AH755,"Cubic","Extrapolate=Linear","MultiX=Average","Skip=True","Sort=True")</f>
        <v>#N/A Invalid Parameter: Interpolation value</v>
      </c>
      <c r="AJ755" s="43" t="str">
        <f ca="1"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96"/>
        <v>#REF!</v>
      </c>
      <c r="AI756" s="43" t="str">
        <f ca="1">_xll.BInterpol('Base IPCA'!$C$3:$C$14,'Base IPCA'!$E$3:$E$14,AH756,"Cubic","Extrapolate=Linear","MultiX=Average","Skip=True","Sort=True")</f>
        <v>#N/A Invalid Parameter: Interpolation value</v>
      </c>
      <c r="AJ756" s="43" t="str">
        <f ca="1"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96"/>
        <v>#REF!</v>
      </c>
      <c r="AI757" s="43" t="str">
        <f ca="1">_xll.BInterpol('Base IPCA'!$C$3:$C$14,'Base IPCA'!$E$3:$E$14,AH757,"Cubic","Extrapolate=Linear","MultiX=Average","Skip=True","Sort=True")</f>
        <v>#N/A Invalid Parameter: Interpolation value</v>
      </c>
      <c r="AJ757" s="43" t="str">
        <f ca="1"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96"/>
        <v>#REF!</v>
      </c>
      <c r="AI758" s="43" t="str">
        <f ca="1">_xll.BInterpol('Base IPCA'!$C$3:$C$14,'Base IPCA'!$E$3:$E$14,AH758,"Cubic","Extrapolate=Linear","MultiX=Average","Skip=True","Sort=True")</f>
        <v>#N/A Invalid Parameter: Interpolation value</v>
      </c>
      <c r="AJ758" s="43" t="str">
        <f ca="1"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96"/>
        <v>#REF!</v>
      </c>
      <c r="AI759" s="43" t="str">
        <f ca="1">_xll.BInterpol('Base IPCA'!$C$3:$C$14,'Base IPCA'!$E$3:$E$14,AH759,"Cubic","Extrapolate=Linear","MultiX=Average","Skip=True","Sort=True")</f>
        <v>#N/A Invalid Parameter: Interpolation value</v>
      </c>
      <c r="AJ759" s="43" t="str">
        <f ca="1"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96"/>
        <v>#REF!</v>
      </c>
      <c r="AI760" s="43" t="str">
        <f ca="1">_xll.BInterpol('Base IPCA'!$C$3:$C$14,'Base IPCA'!$E$3:$E$14,AH760,"Cubic","Extrapolate=Linear","MultiX=Average","Skip=True","Sort=True")</f>
        <v>#N/A Invalid Parameter: Interpolation value</v>
      </c>
      <c r="AJ760" s="43" t="str">
        <f ca="1"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96"/>
        <v>#REF!</v>
      </c>
      <c r="AI761" s="43" t="str">
        <f ca="1">_xll.BInterpol('Base IPCA'!$C$3:$C$14,'Base IPCA'!$E$3:$E$14,AH761,"Cubic","Extrapolate=Linear","MultiX=Average","Skip=True","Sort=True")</f>
        <v>#N/A Invalid Parameter: Interpolation value</v>
      </c>
      <c r="AJ761" s="43" t="str">
        <f ca="1"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96"/>
        <v>#REF!</v>
      </c>
      <c r="AI762" s="43" t="str">
        <f ca="1">_xll.BInterpol('Base IPCA'!$C$3:$C$14,'Base IPCA'!$E$3:$E$14,AH762,"Cubic","Extrapolate=Linear","MultiX=Average","Skip=True","Sort=True")</f>
        <v>#N/A Invalid Parameter: Interpolation value</v>
      </c>
      <c r="AJ762" s="43" t="str">
        <f ca="1"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96"/>
        <v>#REF!</v>
      </c>
      <c r="AI763" s="43" t="str">
        <f ca="1">_xll.BInterpol('Base IPCA'!$C$3:$C$14,'Base IPCA'!$E$3:$E$14,AH763,"Cubic","Extrapolate=Linear","MultiX=Average","Skip=True","Sort=True")</f>
        <v>#N/A Invalid Parameter: Interpolation value</v>
      </c>
      <c r="AJ763" s="43" t="str">
        <f ca="1"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96"/>
        <v>#REF!</v>
      </c>
      <c r="AI764" s="43" t="str">
        <f ca="1">_xll.BInterpol('Base IPCA'!$C$3:$C$14,'Base IPCA'!$E$3:$E$14,AH764,"Cubic","Extrapolate=Linear","MultiX=Average","Skip=True","Sort=True")</f>
        <v>#N/A Invalid Parameter: Interpolation value</v>
      </c>
      <c r="AJ764" s="43" t="str">
        <f ca="1"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96"/>
        <v>#REF!</v>
      </c>
      <c r="AI765" s="43" t="str">
        <f ca="1">_xll.BInterpol('Base IPCA'!$C$3:$C$14,'Base IPCA'!$E$3:$E$14,AH765,"Cubic","Extrapolate=Linear","MultiX=Average","Skip=True","Sort=True")</f>
        <v>#N/A Invalid Parameter: Interpolation value</v>
      </c>
      <c r="AJ765" s="43" t="str">
        <f ca="1"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96"/>
        <v>#REF!</v>
      </c>
      <c r="AI766" s="43" t="str">
        <f ca="1">_xll.BInterpol('Base IPCA'!$C$3:$C$14,'Base IPCA'!$E$3:$E$14,AH766,"Cubic","Extrapolate=Linear","MultiX=Average","Skip=True","Sort=True")</f>
        <v>#N/A Invalid Parameter: Interpolation value</v>
      </c>
      <c r="AJ766" s="43" t="str">
        <f ca="1"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96"/>
        <v>#REF!</v>
      </c>
      <c r="AI767" s="43" t="str">
        <f ca="1">_xll.BInterpol('Base IPCA'!$C$3:$C$14,'Base IPCA'!$E$3:$E$14,AH767,"Cubic","Extrapolate=Linear","MultiX=Average","Skip=True","Sort=True")</f>
        <v>#N/A Invalid Parameter: Interpolation value</v>
      </c>
      <c r="AJ767" s="43" t="str">
        <f ca="1"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96"/>
        <v>#REF!</v>
      </c>
      <c r="AI768" s="43" t="str">
        <f ca="1">_xll.BInterpol('Base IPCA'!$C$3:$C$14,'Base IPCA'!$E$3:$E$14,AH768,"Cubic","Extrapolate=Linear","MultiX=Average","Skip=True","Sort=True")</f>
        <v>#N/A Invalid Parameter: Interpolation value</v>
      </c>
      <c r="AJ768" s="43" t="str">
        <f ca="1"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96"/>
        <v>#REF!</v>
      </c>
      <c r="AI769" s="43" t="str">
        <f ca="1">_xll.BInterpol('Base IPCA'!$C$3:$C$14,'Base IPCA'!$E$3:$E$14,AH769,"Cubic","Extrapolate=Linear","MultiX=Average","Skip=True","Sort=True")</f>
        <v>#N/A Invalid Parameter: Interpolation value</v>
      </c>
      <c r="AJ769" s="43" t="str">
        <f ca="1"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96"/>
        <v>#REF!</v>
      </c>
      <c r="AI770" s="43" t="str">
        <f ca="1">_xll.BInterpol('Base IPCA'!$C$3:$C$14,'Base IPCA'!$E$3:$E$14,AH770,"Cubic","Extrapolate=Linear","MultiX=Average","Skip=True","Sort=True")</f>
        <v>#N/A Invalid Parameter: Interpolation value</v>
      </c>
      <c r="AJ770" s="43" t="str">
        <f ca="1"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96"/>
        <v>#REF!</v>
      </c>
      <c r="AI771" s="43" t="str">
        <f ca="1">_xll.BInterpol('Base IPCA'!$C$3:$C$14,'Base IPCA'!$E$3:$E$14,AH771,"Cubic","Extrapolate=Linear","MultiX=Average","Skip=True","Sort=True")</f>
        <v>#N/A Invalid Parameter: Interpolation value</v>
      </c>
      <c r="AJ771" s="43" t="str">
        <f ca="1"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96"/>
        <v>#REF!</v>
      </c>
      <c r="AI772" s="43" t="str">
        <f ca="1">_xll.BInterpol('Base IPCA'!$C$3:$C$14,'Base IPCA'!$E$3:$E$14,AH772,"Cubic","Extrapolate=Linear","MultiX=Average","Skip=True","Sort=True")</f>
        <v>#N/A Invalid Parameter: Interpolation value</v>
      </c>
      <c r="AJ772" s="43" t="str">
        <f ca="1"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96"/>
        <v>#REF!</v>
      </c>
      <c r="AI773" s="43" t="str">
        <f ca="1">_xll.BInterpol('Base IPCA'!$C$3:$C$14,'Base IPCA'!$E$3:$E$14,AH773,"Cubic","Extrapolate=Linear","MultiX=Average","Skip=True","Sort=True")</f>
        <v>#N/A Invalid Parameter: Interpolation value</v>
      </c>
      <c r="AJ773" s="43" t="str">
        <f ca="1"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97">AH773+1</f>
        <v>#REF!</v>
      </c>
      <c r="AI774" s="43" t="str">
        <f ca="1">_xll.BInterpol('Base IPCA'!$C$3:$C$14,'Base IPCA'!$E$3:$E$14,AH774,"Cubic","Extrapolate=Linear","MultiX=Average","Skip=True","Sort=True")</f>
        <v>#N/A Invalid Parameter: Interpolation value</v>
      </c>
      <c r="AJ774" s="43" t="str">
        <f ca="1"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97"/>
        <v>#REF!</v>
      </c>
      <c r="AI775" s="43" t="str">
        <f ca="1">_xll.BInterpol('Base IPCA'!$C$3:$C$14,'Base IPCA'!$E$3:$E$14,AH775,"Cubic","Extrapolate=Linear","MultiX=Average","Skip=True","Sort=True")</f>
        <v>#N/A Invalid Parameter: Interpolation value</v>
      </c>
      <c r="AJ775" s="43" t="str">
        <f ca="1"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97"/>
        <v>#REF!</v>
      </c>
      <c r="AI776" s="43" t="str">
        <f ca="1">_xll.BInterpol('Base IPCA'!$C$3:$C$14,'Base IPCA'!$E$3:$E$14,AH776,"Cubic","Extrapolate=Linear","MultiX=Average","Skip=True","Sort=True")</f>
        <v>#N/A Invalid Parameter: Interpolation value</v>
      </c>
      <c r="AJ776" s="43" t="str">
        <f ca="1"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97"/>
        <v>#REF!</v>
      </c>
      <c r="AI777" s="43" t="str">
        <f ca="1">_xll.BInterpol('Base IPCA'!$C$3:$C$14,'Base IPCA'!$E$3:$E$14,AH777,"Cubic","Extrapolate=Linear","MultiX=Average","Skip=True","Sort=True")</f>
        <v>#N/A Invalid Parameter: Interpolation value</v>
      </c>
      <c r="AJ777" s="43" t="str">
        <f ca="1"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97"/>
        <v>#REF!</v>
      </c>
      <c r="AI778" s="43" t="str">
        <f ca="1">_xll.BInterpol('Base IPCA'!$C$3:$C$14,'Base IPCA'!$E$3:$E$14,AH778,"Cubic","Extrapolate=Linear","MultiX=Average","Skip=True","Sort=True")</f>
        <v>#N/A Invalid Parameter: Interpolation value</v>
      </c>
      <c r="AJ778" s="43" t="str">
        <f ca="1"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97"/>
        <v>#REF!</v>
      </c>
      <c r="AI779" s="43" t="str">
        <f ca="1">_xll.BInterpol('Base IPCA'!$C$3:$C$14,'Base IPCA'!$E$3:$E$14,AH779,"Cubic","Extrapolate=Linear","MultiX=Average","Skip=True","Sort=True")</f>
        <v>#N/A Invalid Parameter: Interpolation value</v>
      </c>
      <c r="AJ779" s="43" t="str">
        <f ca="1"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97"/>
        <v>#REF!</v>
      </c>
      <c r="AI780" s="43" t="str">
        <f ca="1">_xll.BInterpol('Base IPCA'!$C$3:$C$14,'Base IPCA'!$E$3:$E$14,AH780,"Cubic","Extrapolate=Linear","MultiX=Average","Skip=True","Sort=True")</f>
        <v>#N/A Invalid Parameter: Interpolation value</v>
      </c>
      <c r="AJ780" s="43" t="str">
        <f ca="1"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97"/>
        <v>#REF!</v>
      </c>
      <c r="AI781" s="43" t="str">
        <f ca="1">_xll.BInterpol('Base IPCA'!$C$3:$C$14,'Base IPCA'!$E$3:$E$14,AH781,"Cubic","Extrapolate=Linear","MultiX=Average","Skip=True","Sort=True")</f>
        <v>#N/A Invalid Parameter: Interpolation value</v>
      </c>
      <c r="AJ781" s="43" t="str">
        <f ca="1"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97"/>
        <v>#REF!</v>
      </c>
      <c r="AI782" s="43" t="str">
        <f ca="1">_xll.BInterpol('Base IPCA'!$C$3:$C$14,'Base IPCA'!$E$3:$E$14,AH782,"Cubic","Extrapolate=Linear","MultiX=Average","Skip=True","Sort=True")</f>
        <v>#N/A Invalid Parameter: Interpolation value</v>
      </c>
      <c r="AJ782" s="43" t="str">
        <f ca="1"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97"/>
        <v>#REF!</v>
      </c>
      <c r="AI783" s="43" t="str">
        <f ca="1">_xll.BInterpol('Base IPCA'!$C$3:$C$14,'Base IPCA'!$E$3:$E$14,AH783,"Cubic","Extrapolate=Linear","MultiX=Average","Skip=True","Sort=True")</f>
        <v>#N/A Invalid Parameter: Interpolation value</v>
      </c>
      <c r="AJ783" s="43" t="str">
        <f ca="1"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97"/>
        <v>#REF!</v>
      </c>
      <c r="AI784" s="43" t="str">
        <f ca="1">_xll.BInterpol('Base IPCA'!$C$3:$C$14,'Base IPCA'!$E$3:$E$14,AH784,"Cubic","Extrapolate=Linear","MultiX=Average","Skip=True","Sort=True")</f>
        <v>#N/A Invalid Parameter: Interpolation value</v>
      </c>
      <c r="AJ784" s="43" t="str">
        <f ca="1"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97"/>
        <v>#REF!</v>
      </c>
      <c r="AI785" s="43" t="str">
        <f ca="1">_xll.BInterpol('Base IPCA'!$C$3:$C$14,'Base IPCA'!$E$3:$E$14,AH785,"Cubic","Extrapolate=Linear","MultiX=Average","Skip=True","Sort=True")</f>
        <v>#N/A Invalid Parameter: Interpolation value</v>
      </c>
      <c r="AJ785" s="43" t="str">
        <f ca="1"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97"/>
        <v>#REF!</v>
      </c>
      <c r="AI786" s="43" t="str">
        <f ca="1">_xll.BInterpol('Base IPCA'!$C$3:$C$14,'Base IPCA'!$E$3:$E$14,AH786,"Cubic","Extrapolate=Linear","MultiX=Average","Skip=True","Sort=True")</f>
        <v>#N/A Invalid Parameter: Interpolation value</v>
      </c>
      <c r="AJ786" s="43" t="str">
        <f ca="1"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97"/>
        <v>#REF!</v>
      </c>
      <c r="AI787" s="43" t="str">
        <f ca="1">_xll.BInterpol('Base IPCA'!$C$3:$C$14,'Base IPCA'!$E$3:$E$14,AH787,"Cubic","Extrapolate=Linear","MultiX=Average","Skip=True","Sort=True")</f>
        <v>#N/A Invalid Parameter: Interpolation value</v>
      </c>
      <c r="AJ787" s="43" t="str">
        <f ca="1"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97"/>
        <v>#REF!</v>
      </c>
      <c r="AI788" s="43" t="str">
        <f ca="1">_xll.BInterpol('Base IPCA'!$C$3:$C$14,'Base IPCA'!$E$3:$E$14,AH788,"Cubic","Extrapolate=Linear","MultiX=Average","Skip=True","Sort=True")</f>
        <v>#N/A Invalid Parameter: Interpolation value</v>
      </c>
      <c r="AJ788" s="43" t="str">
        <f ca="1"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97"/>
        <v>#REF!</v>
      </c>
      <c r="AI789" s="43" t="str">
        <f ca="1">_xll.BInterpol('Base IPCA'!$C$3:$C$14,'Base IPCA'!$E$3:$E$14,AH789,"Cubic","Extrapolate=Linear","MultiX=Average","Skip=True","Sort=True")</f>
        <v>#N/A Invalid Parameter: Interpolation value</v>
      </c>
      <c r="AJ789" s="43" t="str">
        <f ca="1"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97"/>
        <v>#REF!</v>
      </c>
      <c r="AI790" s="43" t="str">
        <f ca="1">_xll.BInterpol('Base IPCA'!$C$3:$C$14,'Base IPCA'!$E$3:$E$14,AH790,"Cubic","Extrapolate=Linear","MultiX=Average","Skip=True","Sort=True")</f>
        <v>#N/A Invalid Parameter: Interpolation value</v>
      </c>
      <c r="AJ790" s="43" t="str">
        <f ca="1"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97"/>
        <v>#REF!</v>
      </c>
      <c r="AI791" s="43" t="str">
        <f ca="1">_xll.BInterpol('Base IPCA'!$C$3:$C$14,'Base IPCA'!$E$3:$E$14,AH791,"Cubic","Extrapolate=Linear","MultiX=Average","Skip=True","Sort=True")</f>
        <v>#N/A Invalid Parameter: Interpolation value</v>
      </c>
      <c r="AJ791" s="43" t="str">
        <f ca="1"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97"/>
        <v>#REF!</v>
      </c>
      <c r="AI792" s="43" t="str">
        <f ca="1">_xll.BInterpol('Base IPCA'!$C$3:$C$14,'Base IPCA'!$E$3:$E$14,AH792,"Cubic","Extrapolate=Linear","MultiX=Average","Skip=True","Sort=True")</f>
        <v>#N/A Invalid Parameter: Interpolation value</v>
      </c>
      <c r="AJ792" s="43" t="str">
        <f ca="1"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97"/>
        <v>#REF!</v>
      </c>
      <c r="AI793" s="43" t="str">
        <f ca="1">_xll.BInterpol('Base IPCA'!$C$3:$C$14,'Base IPCA'!$E$3:$E$14,AH793,"Cubic","Extrapolate=Linear","MultiX=Average","Skip=True","Sort=True")</f>
        <v>#N/A Invalid Parameter: Interpolation value</v>
      </c>
      <c r="AJ793" s="43" t="str">
        <f ca="1"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97"/>
        <v>#REF!</v>
      </c>
      <c r="AI794" s="43" t="str">
        <f ca="1">_xll.BInterpol('Base IPCA'!$C$3:$C$14,'Base IPCA'!$E$3:$E$14,AH794,"Cubic","Extrapolate=Linear","MultiX=Average","Skip=True","Sort=True")</f>
        <v>#N/A Invalid Parameter: Interpolation value</v>
      </c>
      <c r="AJ794" s="43" t="str">
        <f ca="1"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97"/>
        <v>#REF!</v>
      </c>
      <c r="AI795" s="43" t="str">
        <f ca="1">_xll.BInterpol('Base IPCA'!$C$3:$C$14,'Base IPCA'!$E$3:$E$14,AH795,"Cubic","Extrapolate=Linear","MultiX=Average","Skip=True","Sort=True")</f>
        <v>#N/A Invalid Parameter: Interpolation value</v>
      </c>
      <c r="AJ795" s="43" t="str">
        <f ca="1"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97"/>
        <v>#REF!</v>
      </c>
      <c r="AI796" s="43" t="str">
        <f ca="1">_xll.BInterpol('Base IPCA'!$C$3:$C$14,'Base IPCA'!$E$3:$E$14,AH796,"Cubic","Extrapolate=Linear","MultiX=Average","Skip=True","Sort=True")</f>
        <v>#N/A Invalid Parameter: Interpolation value</v>
      </c>
      <c r="AJ796" s="43" t="str">
        <f ca="1"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97"/>
        <v>#REF!</v>
      </c>
      <c r="AI797" s="43" t="str">
        <f ca="1">_xll.BInterpol('Base IPCA'!$C$3:$C$14,'Base IPCA'!$E$3:$E$14,AH797,"Cubic","Extrapolate=Linear","MultiX=Average","Skip=True","Sort=True")</f>
        <v>#N/A Invalid Parameter: Interpolation value</v>
      </c>
      <c r="AJ797" s="43" t="str">
        <f ca="1"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97"/>
        <v>#REF!</v>
      </c>
      <c r="AI798" s="43" t="str">
        <f ca="1">_xll.BInterpol('Base IPCA'!$C$3:$C$14,'Base IPCA'!$E$3:$E$14,AH798,"Cubic","Extrapolate=Linear","MultiX=Average","Skip=True","Sort=True")</f>
        <v>#N/A Invalid Parameter: Interpolation value</v>
      </c>
      <c r="AJ798" s="43" t="str">
        <f ca="1"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97"/>
        <v>#REF!</v>
      </c>
      <c r="AI799" s="43" t="str">
        <f ca="1">_xll.BInterpol('Base IPCA'!$C$3:$C$14,'Base IPCA'!$E$3:$E$14,AH799,"Cubic","Extrapolate=Linear","MultiX=Average","Skip=True","Sort=True")</f>
        <v>#N/A Invalid Parameter: Interpolation value</v>
      </c>
      <c r="AJ799" s="43" t="str">
        <f ca="1"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97"/>
        <v>#REF!</v>
      </c>
      <c r="AI800" s="43" t="str">
        <f ca="1">_xll.BInterpol('Base IPCA'!$C$3:$C$14,'Base IPCA'!$E$3:$E$14,AH800,"Cubic","Extrapolate=Linear","MultiX=Average","Skip=True","Sort=True")</f>
        <v>#N/A Invalid Parameter: Interpolation value</v>
      </c>
      <c r="AJ800" s="43" t="str">
        <f ca="1"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97"/>
        <v>#REF!</v>
      </c>
      <c r="AI801" s="43" t="str">
        <f ca="1">_xll.BInterpol('Base IPCA'!$C$3:$C$14,'Base IPCA'!$E$3:$E$14,AH801,"Cubic","Extrapolate=Linear","MultiX=Average","Skip=True","Sort=True")</f>
        <v>#N/A Invalid Parameter: Interpolation value</v>
      </c>
      <c r="AJ801" s="43" t="str">
        <f ca="1"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97"/>
        <v>#REF!</v>
      </c>
      <c r="AI802" s="43" t="str">
        <f ca="1">_xll.BInterpol('Base IPCA'!$C$3:$C$14,'Base IPCA'!$E$3:$E$14,AH802,"Cubic","Extrapolate=Linear","MultiX=Average","Skip=True","Sort=True")</f>
        <v>#N/A Invalid Parameter: Interpolation value</v>
      </c>
      <c r="AJ802" s="43" t="str">
        <f ca="1"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97"/>
        <v>#REF!</v>
      </c>
      <c r="AI803" s="43" t="str">
        <f ca="1">_xll.BInterpol('Base IPCA'!$C$3:$C$14,'Base IPCA'!$E$3:$E$14,AH803,"Cubic","Extrapolate=Linear","MultiX=Average","Skip=True","Sort=True")</f>
        <v>#N/A Invalid Parameter: Interpolation value</v>
      </c>
      <c r="AJ803" s="43" t="str">
        <f ca="1"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97"/>
        <v>#REF!</v>
      </c>
      <c r="AI804" s="43" t="str">
        <f ca="1">_xll.BInterpol('Base IPCA'!$C$3:$C$14,'Base IPCA'!$E$3:$E$14,AH804,"Cubic","Extrapolate=Linear","MultiX=Average","Skip=True","Sort=True")</f>
        <v>#N/A Invalid Parameter: Interpolation value</v>
      </c>
      <c r="AJ804" s="43" t="str">
        <f ca="1"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97"/>
        <v>#REF!</v>
      </c>
      <c r="AI805" s="43" t="str">
        <f ca="1">_xll.BInterpol('Base IPCA'!$C$3:$C$14,'Base IPCA'!$E$3:$E$14,AH805,"Cubic","Extrapolate=Linear","MultiX=Average","Skip=True","Sort=True")</f>
        <v>#N/A Invalid Parameter: Interpolation value</v>
      </c>
      <c r="AJ805" s="43" t="str">
        <f ca="1"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97"/>
        <v>#REF!</v>
      </c>
      <c r="AI806" s="43" t="str">
        <f ca="1">_xll.BInterpol('Base IPCA'!$C$3:$C$14,'Base IPCA'!$E$3:$E$14,AH806,"Cubic","Extrapolate=Linear","MultiX=Average","Skip=True","Sort=True")</f>
        <v>#N/A Invalid Parameter: Interpolation value</v>
      </c>
      <c r="AJ806" s="43" t="str">
        <f ca="1"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97"/>
        <v>#REF!</v>
      </c>
      <c r="AI807" s="43" t="str">
        <f ca="1">_xll.BInterpol('Base IPCA'!$C$3:$C$14,'Base IPCA'!$E$3:$E$14,AH807,"Cubic","Extrapolate=Linear","MultiX=Average","Skip=True","Sort=True")</f>
        <v>#N/A Invalid Parameter: Interpolation value</v>
      </c>
      <c r="AJ807" s="43" t="str">
        <f ca="1"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97"/>
        <v>#REF!</v>
      </c>
      <c r="AI808" s="43" t="str">
        <f ca="1">_xll.BInterpol('Base IPCA'!$C$3:$C$14,'Base IPCA'!$E$3:$E$14,AH808,"Cubic","Extrapolate=Linear","MultiX=Average","Skip=True","Sort=True")</f>
        <v>#N/A Invalid Parameter: Interpolation value</v>
      </c>
      <c r="AJ808" s="43" t="str">
        <f ca="1"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97"/>
        <v>#REF!</v>
      </c>
      <c r="AI809" s="43" t="str">
        <f ca="1">_xll.BInterpol('Base IPCA'!$C$3:$C$14,'Base IPCA'!$E$3:$E$14,AH809,"Cubic","Extrapolate=Linear","MultiX=Average","Skip=True","Sort=True")</f>
        <v>#N/A Invalid Parameter: Interpolation value</v>
      </c>
      <c r="AJ809" s="43" t="str">
        <f ca="1"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97"/>
        <v>#REF!</v>
      </c>
      <c r="AI810" s="43" t="str">
        <f ca="1">_xll.BInterpol('Base IPCA'!$C$3:$C$14,'Base IPCA'!$E$3:$E$14,AH810,"Cubic","Extrapolate=Linear","MultiX=Average","Skip=True","Sort=True")</f>
        <v>#N/A Invalid Parameter: Interpolation value</v>
      </c>
      <c r="AJ810" s="43" t="str">
        <f ca="1"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97"/>
        <v>#REF!</v>
      </c>
      <c r="AI811" s="43" t="str">
        <f ca="1">_xll.BInterpol('Base IPCA'!$C$3:$C$14,'Base IPCA'!$E$3:$E$14,AH811,"Cubic","Extrapolate=Linear","MultiX=Average","Skip=True","Sort=True")</f>
        <v>#N/A Invalid Parameter: Interpolation value</v>
      </c>
      <c r="AJ811" s="43" t="str">
        <f ca="1"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97"/>
        <v>#REF!</v>
      </c>
      <c r="AI812" s="43" t="str">
        <f ca="1">_xll.BInterpol('Base IPCA'!$C$3:$C$14,'Base IPCA'!$E$3:$E$14,AH812,"Cubic","Extrapolate=Linear","MultiX=Average","Skip=True","Sort=True")</f>
        <v>#N/A Invalid Parameter: Interpolation value</v>
      </c>
      <c r="AJ812" s="43" t="str">
        <f ca="1"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97"/>
        <v>#REF!</v>
      </c>
      <c r="AI813" s="43" t="str">
        <f ca="1">_xll.BInterpol('Base IPCA'!$C$3:$C$14,'Base IPCA'!$E$3:$E$14,AH813,"Cubic","Extrapolate=Linear","MultiX=Average","Skip=True","Sort=True")</f>
        <v>#N/A Invalid Parameter: Interpolation value</v>
      </c>
      <c r="AJ813" s="43" t="str">
        <f ca="1"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97"/>
        <v>#REF!</v>
      </c>
      <c r="AI814" s="43" t="str">
        <f ca="1">_xll.BInterpol('Base IPCA'!$C$3:$C$14,'Base IPCA'!$E$3:$E$14,AH814,"Cubic","Extrapolate=Linear","MultiX=Average","Skip=True","Sort=True")</f>
        <v>#N/A Invalid Parameter: Interpolation value</v>
      </c>
      <c r="AJ814" s="43" t="str">
        <f ca="1"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97"/>
        <v>#REF!</v>
      </c>
      <c r="AI815" s="43" t="str">
        <f ca="1">_xll.BInterpol('Base IPCA'!$C$3:$C$14,'Base IPCA'!$E$3:$E$14,AH815,"Cubic","Extrapolate=Linear","MultiX=Average","Skip=True","Sort=True")</f>
        <v>#N/A Invalid Parameter: Interpolation value</v>
      </c>
      <c r="AJ815" s="43" t="str">
        <f ca="1"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97"/>
        <v>#REF!</v>
      </c>
      <c r="AI816" s="43" t="str">
        <f ca="1">_xll.BInterpol('Base IPCA'!$C$3:$C$14,'Base IPCA'!$E$3:$E$14,AH816,"Cubic","Extrapolate=Linear","MultiX=Average","Skip=True","Sort=True")</f>
        <v>#N/A Invalid Parameter: Interpolation value</v>
      </c>
      <c r="AJ816" s="43" t="str">
        <f ca="1"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97"/>
        <v>#REF!</v>
      </c>
      <c r="AI817" s="43" t="str">
        <f ca="1">_xll.BInterpol('Base IPCA'!$C$3:$C$14,'Base IPCA'!$E$3:$E$14,AH817,"Cubic","Extrapolate=Linear","MultiX=Average","Skip=True","Sort=True")</f>
        <v>#N/A Invalid Parameter: Interpolation value</v>
      </c>
      <c r="AJ817" s="43" t="str">
        <f ca="1"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97"/>
        <v>#REF!</v>
      </c>
      <c r="AI818" s="43" t="str">
        <f ca="1">_xll.BInterpol('Base IPCA'!$C$3:$C$14,'Base IPCA'!$E$3:$E$14,AH818,"Cubic","Extrapolate=Linear","MultiX=Average","Skip=True","Sort=True")</f>
        <v>#N/A Invalid Parameter: Interpolation value</v>
      </c>
      <c r="AJ818" s="43" t="str">
        <f ca="1"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97"/>
        <v>#REF!</v>
      </c>
      <c r="AI819" s="43" t="str">
        <f ca="1">_xll.BInterpol('Base IPCA'!$C$3:$C$14,'Base IPCA'!$E$3:$E$14,AH819,"Cubic","Extrapolate=Linear","MultiX=Average","Skip=True","Sort=True")</f>
        <v>#N/A Invalid Parameter: Interpolation value</v>
      </c>
      <c r="AJ819" s="43" t="str">
        <f ca="1"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97"/>
        <v>#REF!</v>
      </c>
      <c r="AI820" s="43" t="str">
        <f ca="1">_xll.BInterpol('Base IPCA'!$C$3:$C$14,'Base IPCA'!$E$3:$E$14,AH820,"Cubic","Extrapolate=Linear","MultiX=Average","Skip=True","Sort=True")</f>
        <v>#N/A Invalid Parameter: Interpolation value</v>
      </c>
      <c r="AJ820" s="43" t="str">
        <f ca="1"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97"/>
        <v>#REF!</v>
      </c>
      <c r="AI821" s="43" t="str">
        <f ca="1">_xll.BInterpol('Base IPCA'!$C$3:$C$14,'Base IPCA'!$E$3:$E$14,AH821,"Cubic","Extrapolate=Linear","MultiX=Average","Skip=True","Sort=True")</f>
        <v>#N/A Invalid Parameter: Interpolation value</v>
      </c>
      <c r="AJ821" s="43" t="str">
        <f ca="1"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97"/>
        <v>#REF!</v>
      </c>
      <c r="AI822" s="43" t="str">
        <f ca="1">_xll.BInterpol('Base IPCA'!$C$3:$C$14,'Base IPCA'!$E$3:$E$14,AH822,"Cubic","Extrapolate=Linear","MultiX=Average","Skip=True","Sort=True")</f>
        <v>#N/A Invalid Parameter: Interpolation value</v>
      </c>
      <c r="AJ822" s="43" t="str">
        <f ca="1"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97"/>
        <v>#REF!</v>
      </c>
      <c r="AI823" s="43" t="str">
        <f ca="1">_xll.BInterpol('Base IPCA'!$C$3:$C$14,'Base IPCA'!$E$3:$E$14,AH823,"Cubic","Extrapolate=Linear","MultiX=Average","Skip=True","Sort=True")</f>
        <v>#N/A Invalid Parameter: Interpolation value</v>
      </c>
      <c r="AJ823" s="43" t="str">
        <f ca="1"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97"/>
        <v>#REF!</v>
      </c>
      <c r="AI824" s="43" t="str">
        <f ca="1">_xll.BInterpol('Base IPCA'!$C$3:$C$14,'Base IPCA'!$E$3:$E$14,AH824,"Cubic","Extrapolate=Linear","MultiX=Average","Skip=True","Sort=True")</f>
        <v>#N/A Invalid Parameter: Interpolation value</v>
      </c>
      <c r="AJ824" s="43" t="str">
        <f ca="1"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97"/>
        <v>#REF!</v>
      </c>
      <c r="AI825" s="43" t="str">
        <f ca="1">_xll.BInterpol('Base IPCA'!$C$3:$C$14,'Base IPCA'!$E$3:$E$14,AH825,"Cubic","Extrapolate=Linear","MultiX=Average","Skip=True","Sort=True")</f>
        <v>#N/A Invalid Parameter: Interpolation value</v>
      </c>
      <c r="AJ825" s="43" t="str">
        <f ca="1"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97"/>
        <v>#REF!</v>
      </c>
      <c r="AI826" s="43" t="str">
        <f ca="1">_xll.BInterpol('Base IPCA'!$C$3:$C$14,'Base IPCA'!$E$3:$E$14,AH826,"Cubic","Extrapolate=Linear","MultiX=Average","Skip=True","Sort=True")</f>
        <v>#N/A Invalid Parameter: Interpolation value</v>
      </c>
      <c r="AJ826" s="43" t="str">
        <f ca="1"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97"/>
        <v>#REF!</v>
      </c>
      <c r="AI827" s="43" t="str">
        <f ca="1">_xll.BInterpol('Base IPCA'!$C$3:$C$14,'Base IPCA'!$E$3:$E$14,AH827,"Cubic","Extrapolate=Linear","MultiX=Average","Skip=True","Sort=True")</f>
        <v>#N/A Invalid Parameter: Interpolation value</v>
      </c>
      <c r="AJ827" s="43" t="str">
        <f ca="1"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97"/>
        <v>#REF!</v>
      </c>
      <c r="AI828" s="43" t="str">
        <f ca="1">_xll.BInterpol('Base IPCA'!$C$3:$C$14,'Base IPCA'!$E$3:$E$14,AH828,"Cubic","Extrapolate=Linear","MultiX=Average","Skip=True","Sort=True")</f>
        <v>#N/A Invalid Parameter: Interpolation value</v>
      </c>
      <c r="AJ828" s="43" t="str">
        <f ca="1"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97"/>
        <v>#REF!</v>
      </c>
      <c r="AI829" s="43" t="str">
        <f ca="1">_xll.BInterpol('Base IPCA'!$C$3:$C$14,'Base IPCA'!$E$3:$E$14,AH829,"Cubic","Extrapolate=Linear","MultiX=Average","Skip=True","Sort=True")</f>
        <v>#N/A Invalid Parameter: Interpolation value</v>
      </c>
      <c r="AJ829" s="43" t="str">
        <f ca="1"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97"/>
        <v>#REF!</v>
      </c>
      <c r="AI830" s="43" t="str">
        <f ca="1">_xll.BInterpol('Base IPCA'!$C$3:$C$14,'Base IPCA'!$E$3:$E$14,AH830,"Cubic","Extrapolate=Linear","MultiX=Average","Skip=True","Sort=True")</f>
        <v>#N/A Invalid Parameter: Interpolation value</v>
      </c>
      <c r="AJ830" s="43" t="str">
        <f ca="1"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97"/>
        <v>#REF!</v>
      </c>
      <c r="AI831" s="43" t="str">
        <f ca="1">_xll.BInterpol('Base IPCA'!$C$3:$C$14,'Base IPCA'!$E$3:$E$14,AH831,"Cubic","Extrapolate=Linear","MultiX=Average","Skip=True","Sort=True")</f>
        <v>#N/A Invalid Parameter: Interpolation value</v>
      </c>
      <c r="AJ831" s="43" t="str">
        <f ca="1"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97"/>
        <v>#REF!</v>
      </c>
      <c r="AI832" s="43" t="str">
        <f ca="1">_xll.BInterpol('Base IPCA'!$C$3:$C$14,'Base IPCA'!$E$3:$E$14,AH832,"Cubic","Extrapolate=Linear","MultiX=Average","Skip=True","Sort=True")</f>
        <v>#N/A Invalid Parameter: Interpolation value</v>
      </c>
      <c r="AJ832" s="43" t="str">
        <f ca="1"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97"/>
        <v>#REF!</v>
      </c>
      <c r="AI833" s="43" t="str">
        <f ca="1">_xll.BInterpol('Base IPCA'!$C$3:$C$14,'Base IPCA'!$E$3:$E$14,AH833,"Cubic","Extrapolate=Linear","MultiX=Average","Skip=True","Sort=True")</f>
        <v>#N/A Invalid Parameter: Interpolation value</v>
      </c>
      <c r="AJ833" s="43" t="str">
        <f ca="1"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97"/>
        <v>#REF!</v>
      </c>
      <c r="AI834" s="43" t="str">
        <f ca="1">_xll.BInterpol('Base IPCA'!$C$3:$C$14,'Base IPCA'!$E$3:$E$14,AH834,"Cubic","Extrapolate=Linear","MultiX=Average","Skip=True","Sort=True")</f>
        <v>#N/A Invalid Parameter: Interpolation value</v>
      </c>
      <c r="AJ834" s="43" t="str">
        <f ca="1"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97"/>
        <v>#REF!</v>
      </c>
      <c r="AI835" s="43" t="str">
        <f ca="1">_xll.BInterpol('Base IPCA'!$C$3:$C$14,'Base IPCA'!$E$3:$E$14,AH835,"Cubic","Extrapolate=Linear","MultiX=Average","Skip=True","Sort=True")</f>
        <v>#N/A Invalid Parameter: Interpolation value</v>
      </c>
      <c r="AJ835" s="43" t="str">
        <f ca="1"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97"/>
        <v>#REF!</v>
      </c>
      <c r="AI836" s="43" t="str">
        <f ca="1">_xll.BInterpol('Base IPCA'!$C$3:$C$14,'Base IPCA'!$E$3:$E$14,AH836,"Cubic","Extrapolate=Linear","MultiX=Average","Skip=True","Sort=True")</f>
        <v>#N/A Invalid Parameter: Interpolation value</v>
      </c>
      <c r="AJ836" s="43" t="str">
        <f ca="1"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97"/>
        <v>#REF!</v>
      </c>
      <c r="AI837" s="43" t="str">
        <f ca="1">_xll.BInterpol('Base IPCA'!$C$3:$C$14,'Base IPCA'!$E$3:$E$14,AH837,"Cubic","Extrapolate=Linear","MultiX=Average","Skip=True","Sort=True")</f>
        <v>#N/A Invalid Parameter: Interpolation value</v>
      </c>
      <c r="AJ837" s="43" t="str">
        <f ca="1"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98">AH837+1</f>
        <v>#REF!</v>
      </c>
      <c r="AI838" s="43" t="str">
        <f ca="1">_xll.BInterpol('Base IPCA'!$C$3:$C$14,'Base IPCA'!$E$3:$E$14,AH838,"Cubic","Extrapolate=Linear","MultiX=Average","Skip=True","Sort=True")</f>
        <v>#N/A Invalid Parameter: Interpolation value</v>
      </c>
      <c r="AJ838" s="43" t="str">
        <f ca="1"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98"/>
        <v>#REF!</v>
      </c>
      <c r="AI839" s="43" t="str">
        <f ca="1">_xll.BInterpol('Base IPCA'!$C$3:$C$14,'Base IPCA'!$E$3:$E$14,AH839,"Cubic","Extrapolate=Linear","MultiX=Average","Skip=True","Sort=True")</f>
        <v>#N/A Invalid Parameter: Interpolation value</v>
      </c>
      <c r="AJ839" s="43" t="str">
        <f ca="1"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98"/>
        <v>#REF!</v>
      </c>
      <c r="AI840" s="43" t="str">
        <f ca="1">_xll.BInterpol('Base IPCA'!$C$3:$C$14,'Base IPCA'!$E$3:$E$14,AH840,"Cubic","Extrapolate=Linear","MultiX=Average","Skip=True","Sort=True")</f>
        <v>#N/A Invalid Parameter: Interpolation value</v>
      </c>
      <c r="AJ840" s="43" t="str">
        <f ca="1"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98"/>
        <v>#REF!</v>
      </c>
      <c r="AI841" s="43" t="str">
        <f ca="1">_xll.BInterpol('Base IPCA'!$C$3:$C$14,'Base IPCA'!$E$3:$E$14,AH841,"Cubic","Extrapolate=Linear","MultiX=Average","Skip=True","Sort=True")</f>
        <v>#N/A Invalid Parameter: Interpolation value</v>
      </c>
      <c r="AJ841" s="43" t="str">
        <f ca="1"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98"/>
        <v>#REF!</v>
      </c>
      <c r="AI842" s="43" t="str">
        <f ca="1">_xll.BInterpol('Base IPCA'!$C$3:$C$14,'Base IPCA'!$E$3:$E$14,AH842,"Cubic","Extrapolate=Linear","MultiX=Average","Skip=True","Sort=True")</f>
        <v>#N/A Invalid Parameter: Interpolation value</v>
      </c>
      <c r="AJ842" s="43" t="str">
        <f ca="1"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98"/>
        <v>#REF!</v>
      </c>
      <c r="AI843" s="43" t="str">
        <f ca="1">_xll.BInterpol('Base IPCA'!$C$3:$C$14,'Base IPCA'!$E$3:$E$14,AH843,"Cubic","Extrapolate=Linear","MultiX=Average","Skip=True","Sort=True")</f>
        <v>#N/A Invalid Parameter: Interpolation value</v>
      </c>
      <c r="AJ843" s="43" t="str">
        <f ca="1"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98"/>
        <v>#REF!</v>
      </c>
      <c r="AI844" s="43" t="str">
        <f ca="1">_xll.BInterpol('Base IPCA'!$C$3:$C$14,'Base IPCA'!$E$3:$E$14,AH844,"Cubic","Extrapolate=Linear","MultiX=Average","Skip=True","Sort=True")</f>
        <v>#N/A Invalid Parameter: Interpolation value</v>
      </c>
      <c r="AJ844" s="43" t="str">
        <f ca="1"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98"/>
        <v>#REF!</v>
      </c>
      <c r="AI845" s="43" t="str">
        <f ca="1">_xll.BInterpol('Base IPCA'!$C$3:$C$14,'Base IPCA'!$E$3:$E$14,AH845,"Cubic","Extrapolate=Linear","MultiX=Average","Skip=True","Sort=True")</f>
        <v>#N/A Invalid Parameter: Interpolation value</v>
      </c>
      <c r="AJ845" s="43" t="str">
        <f ca="1"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98"/>
        <v>#REF!</v>
      </c>
      <c r="AI846" s="43" t="str">
        <f ca="1">_xll.BInterpol('Base IPCA'!$C$3:$C$14,'Base IPCA'!$E$3:$E$14,AH846,"Cubic","Extrapolate=Linear","MultiX=Average","Skip=True","Sort=True")</f>
        <v>#N/A Invalid Parameter: Interpolation value</v>
      </c>
      <c r="AJ846" s="43" t="str">
        <f ca="1"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98"/>
        <v>#REF!</v>
      </c>
      <c r="AI847" s="43" t="str">
        <f ca="1">_xll.BInterpol('Base IPCA'!$C$3:$C$14,'Base IPCA'!$E$3:$E$14,AH847,"Cubic","Extrapolate=Linear","MultiX=Average","Skip=True","Sort=True")</f>
        <v>#N/A Invalid Parameter: Interpolation value</v>
      </c>
      <c r="AJ847" s="43" t="str">
        <f ca="1"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98"/>
        <v>#REF!</v>
      </c>
      <c r="AI848" s="43" t="str">
        <f ca="1">_xll.BInterpol('Base IPCA'!$C$3:$C$14,'Base IPCA'!$E$3:$E$14,AH848,"Cubic","Extrapolate=Linear","MultiX=Average","Skip=True","Sort=True")</f>
        <v>#N/A Invalid Parameter: Interpolation value</v>
      </c>
      <c r="AJ848" s="43" t="str">
        <f ca="1"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98"/>
        <v>#REF!</v>
      </c>
      <c r="AI849" s="43" t="str">
        <f ca="1">_xll.BInterpol('Base IPCA'!$C$3:$C$14,'Base IPCA'!$E$3:$E$14,AH849,"Cubic","Extrapolate=Linear","MultiX=Average","Skip=True","Sort=True")</f>
        <v>#N/A Invalid Parameter: Interpolation value</v>
      </c>
      <c r="AJ849" s="43" t="str">
        <f ca="1"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98"/>
        <v>#REF!</v>
      </c>
      <c r="AI850" s="43" t="str">
        <f ca="1">_xll.BInterpol('Base IPCA'!$C$3:$C$14,'Base IPCA'!$E$3:$E$14,AH850,"Cubic","Extrapolate=Linear","MultiX=Average","Skip=True","Sort=True")</f>
        <v>#N/A Invalid Parameter: Interpolation value</v>
      </c>
      <c r="AJ850" s="43" t="str">
        <f ca="1"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98"/>
        <v>#REF!</v>
      </c>
      <c r="AI851" s="43" t="str">
        <f ca="1">_xll.BInterpol('Base IPCA'!$C$3:$C$14,'Base IPCA'!$E$3:$E$14,AH851,"Cubic","Extrapolate=Linear","MultiX=Average","Skip=True","Sort=True")</f>
        <v>#N/A Invalid Parameter: Interpolation value</v>
      </c>
      <c r="AJ851" s="43" t="str">
        <f ca="1"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98"/>
        <v>#REF!</v>
      </c>
      <c r="AI852" s="43" t="str">
        <f ca="1">_xll.BInterpol('Base IPCA'!$C$3:$C$14,'Base IPCA'!$E$3:$E$14,AH852,"Cubic","Extrapolate=Linear","MultiX=Average","Skip=True","Sort=True")</f>
        <v>#N/A Invalid Parameter: Interpolation value</v>
      </c>
      <c r="AJ852" s="43" t="str">
        <f ca="1"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98"/>
        <v>#REF!</v>
      </c>
      <c r="AI853" s="43" t="str">
        <f ca="1">_xll.BInterpol('Base IPCA'!$C$3:$C$14,'Base IPCA'!$E$3:$E$14,AH853,"Cubic","Extrapolate=Linear","MultiX=Average","Skip=True","Sort=True")</f>
        <v>#N/A Invalid Parameter: Interpolation value</v>
      </c>
      <c r="AJ853" s="43" t="str">
        <f ca="1"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98"/>
        <v>#REF!</v>
      </c>
      <c r="AI854" s="43" t="str">
        <f ca="1">_xll.BInterpol('Base IPCA'!$C$3:$C$14,'Base IPCA'!$E$3:$E$14,AH854,"Cubic","Extrapolate=Linear","MultiX=Average","Skip=True","Sort=True")</f>
        <v>#N/A Invalid Parameter: Interpolation value</v>
      </c>
      <c r="AJ854" s="43" t="str">
        <f ca="1"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98"/>
        <v>#REF!</v>
      </c>
      <c r="AI855" s="43" t="str">
        <f ca="1">_xll.BInterpol('Base IPCA'!$C$3:$C$14,'Base IPCA'!$E$3:$E$14,AH855,"Cubic","Extrapolate=Linear","MultiX=Average","Skip=True","Sort=True")</f>
        <v>#N/A Invalid Parameter: Interpolation value</v>
      </c>
      <c r="AJ855" s="43" t="str">
        <f ca="1"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98"/>
        <v>#REF!</v>
      </c>
      <c r="AI856" s="43" t="str">
        <f ca="1">_xll.BInterpol('Base IPCA'!$C$3:$C$14,'Base IPCA'!$E$3:$E$14,AH856,"Cubic","Extrapolate=Linear","MultiX=Average","Skip=True","Sort=True")</f>
        <v>#N/A Invalid Parameter: Interpolation value</v>
      </c>
      <c r="AJ856" s="43" t="str">
        <f ca="1"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98"/>
        <v>#REF!</v>
      </c>
      <c r="AI857" s="43" t="str">
        <f ca="1">_xll.BInterpol('Base IPCA'!$C$3:$C$14,'Base IPCA'!$E$3:$E$14,AH857,"Cubic","Extrapolate=Linear","MultiX=Average","Skip=True","Sort=True")</f>
        <v>#N/A Invalid Parameter: Interpolation value</v>
      </c>
      <c r="AJ857" s="43" t="str">
        <f ca="1"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98"/>
        <v>#REF!</v>
      </c>
      <c r="AI858" s="43" t="str">
        <f ca="1">_xll.BInterpol('Base IPCA'!$C$3:$C$14,'Base IPCA'!$E$3:$E$14,AH858,"Cubic","Extrapolate=Linear","MultiX=Average","Skip=True","Sort=True")</f>
        <v>#N/A Invalid Parameter: Interpolation value</v>
      </c>
      <c r="AJ858" s="43" t="str">
        <f ca="1"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98"/>
        <v>#REF!</v>
      </c>
      <c r="AI859" s="43" t="str">
        <f ca="1">_xll.BInterpol('Base IPCA'!$C$3:$C$14,'Base IPCA'!$E$3:$E$14,AH859,"Cubic","Extrapolate=Linear","MultiX=Average","Skip=True","Sort=True")</f>
        <v>#N/A Invalid Parameter: Interpolation value</v>
      </c>
      <c r="AJ859" s="43" t="str">
        <f ca="1"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98"/>
        <v>#REF!</v>
      </c>
      <c r="AI860" s="43" t="str">
        <f ca="1">_xll.BInterpol('Base IPCA'!$C$3:$C$14,'Base IPCA'!$E$3:$E$14,AH860,"Cubic","Extrapolate=Linear","MultiX=Average","Skip=True","Sort=True")</f>
        <v>#N/A Invalid Parameter: Interpolation value</v>
      </c>
      <c r="AJ860" s="43" t="str">
        <f ca="1"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98"/>
        <v>#REF!</v>
      </c>
      <c r="AI861" s="43" t="str">
        <f ca="1">_xll.BInterpol('Base IPCA'!$C$3:$C$14,'Base IPCA'!$E$3:$E$14,AH861,"Cubic","Extrapolate=Linear","MultiX=Average","Skip=True","Sort=True")</f>
        <v>#N/A Invalid Parameter: Interpolation value</v>
      </c>
      <c r="AJ861" s="43" t="str">
        <f ca="1"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98"/>
        <v>#REF!</v>
      </c>
      <c r="AI862" s="43" t="str">
        <f ca="1">_xll.BInterpol('Base IPCA'!$C$3:$C$14,'Base IPCA'!$E$3:$E$14,AH862,"Cubic","Extrapolate=Linear","MultiX=Average","Skip=True","Sort=True")</f>
        <v>#N/A Invalid Parameter: Interpolation value</v>
      </c>
      <c r="AJ862" s="43" t="str">
        <f ca="1"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98"/>
        <v>#REF!</v>
      </c>
      <c r="AI863" s="43" t="str">
        <f ca="1">_xll.BInterpol('Base IPCA'!$C$3:$C$14,'Base IPCA'!$E$3:$E$14,AH863,"Cubic","Extrapolate=Linear","MultiX=Average","Skip=True","Sort=True")</f>
        <v>#N/A Invalid Parameter: Interpolation value</v>
      </c>
      <c r="AJ863" s="43" t="str">
        <f ca="1"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98"/>
        <v>#REF!</v>
      </c>
      <c r="AI864" s="43" t="str">
        <f ca="1">_xll.BInterpol('Base IPCA'!$C$3:$C$14,'Base IPCA'!$E$3:$E$14,AH864,"Cubic","Extrapolate=Linear","MultiX=Average","Skip=True","Sort=True")</f>
        <v>#N/A Invalid Parameter: Interpolation value</v>
      </c>
      <c r="AJ864" s="43" t="str">
        <f ca="1"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98"/>
        <v>#REF!</v>
      </c>
      <c r="AI865" s="43" t="str">
        <f ca="1">_xll.BInterpol('Base IPCA'!$C$3:$C$14,'Base IPCA'!$E$3:$E$14,AH865,"Cubic","Extrapolate=Linear","MultiX=Average","Skip=True","Sort=True")</f>
        <v>#N/A Invalid Parameter: Interpolation value</v>
      </c>
      <c r="AJ865" s="43" t="str">
        <f ca="1"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98"/>
        <v>#REF!</v>
      </c>
      <c r="AI866" s="43" t="str">
        <f ca="1">_xll.BInterpol('Base IPCA'!$C$3:$C$14,'Base IPCA'!$E$3:$E$14,AH866,"Cubic","Extrapolate=Linear","MultiX=Average","Skip=True","Sort=True")</f>
        <v>#N/A Invalid Parameter: Interpolation value</v>
      </c>
      <c r="AJ866" s="43" t="str">
        <f ca="1"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98"/>
        <v>#REF!</v>
      </c>
      <c r="AI867" s="43" t="str">
        <f ca="1">_xll.BInterpol('Base IPCA'!$C$3:$C$14,'Base IPCA'!$E$3:$E$14,AH867,"Cubic","Extrapolate=Linear","MultiX=Average","Skip=True","Sort=True")</f>
        <v>#N/A Invalid Parameter: Interpolation value</v>
      </c>
      <c r="AJ867" s="43" t="str">
        <f ca="1"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98"/>
        <v>#REF!</v>
      </c>
      <c r="AI868" s="43" t="str">
        <f ca="1">_xll.BInterpol('Base IPCA'!$C$3:$C$14,'Base IPCA'!$E$3:$E$14,AH868,"Cubic","Extrapolate=Linear","MultiX=Average","Skip=True","Sort=True")</f>
        <v>#N/A Invalid Parameter: Interpolation value</v>
      </c>
      <c r="AJ868" s="43" t="str">
        <f ca="1"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98"/>
        <v>#REF!</v>
      </c>
      <c r="AI869" s="43" t="str">
        <f ca="1">_xll.BInterpol('Base IPCA'!$C$3:$C$14,'Base IPCA'!$E$3:$E$14,AH869,"Cubic","Extrapolate=Linear","MultiX=Average","Skip=True","Sort=True")</f>
        <v>#N/A Invalid Parameter: Interpolation value</v>
      </c>
      <c r="AJ869" s="43" t="str">
        <f ca="1"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98"/>
        <v>#REF!</v>
      </c>
      <c r="AI870" s="43" t="str">
        <f ca="1">_xll.BInterpol('Base IPCA'!$C$3:$C$14,'Base IPCA'!$E$3:$E$14,AH870,"Cubic","Extrapolate=Linear","MultiX=Average","Skip=True","Sort=True")</f>
        <v>#N/A Invalid Parameter: Interpolation value</v>
      </c>
      <c r="AJ870" s="43" t="str">
        <f ca="1"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98"/>
        <v>#REF!</v>
      </c>
      <c r="AI871" s="43" t="str">
        <f ca="1">_xll.BInterpol('Base IPCA'!$C$3:$C$14,'Base IPCA'!$E$3:$E$14,AH871,"Cubic","Extrapolate=Linear","MultiX=Average","Skip=True","Sort=True")</f>
        <v>#N/A Invalid Parameter: Interpolation value</v>
      </c>
      <c r="AJ871" s="43" t="str">
        <f ca="1"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98"/>
        <v>#REF!</v>
      </c>
      <c r="AI872" s="43" t="str">
        <f ca="1">_xll.BInterpol('Base IPCA'!$C$3:$C$14,'Base IPCA'!$E$3:$E$14,AH872,"Cubic","Extrapolate=Linear","MultiX=Average","Skip=True","Sort=True")</f>
        <v>#N/A Invalid Parameter: Interpolation value</v>
      </c>
      <c r="AJ872" s="43" t="str">
        <f ca="1"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98"/>
        <v>#REF!</v>
      </c>
      <c r="AI873" s="43" t="str">
        <f ca="1">_xll.BInterpol('Base IPCA'!$C$3:$C$14,'Base IPCA'!$E$3:$E$14,AH873,"Cubic","Extrapolate=Linear","MultiX=Average","Skip=True","Sort=True")</f>
        <v>#N/A Invalid Parameter: Interpolation value</v>
      </c>
      <c r="AJ873" s="43" t="str">
        <f ca="1"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98"/>
        <v>#REF!</v>
      </c>
      <c r="AI874" s="43" t="str">
        <f ca="1">_xll.BInterpol('Base IPCA'!$C$3:$C$14,'Base IPCA'!$E$3:$E$14,AH874,"Cubic","Extrapolate=Linear","MultiX=Average","Skip=True","Sort=True")</f>
        <v>#N/A Invalid Parameter: Interpolation value</v>
      </c>
      <c r="AJ874" s="43" t="str">
        <f ca="1"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98"/>
        <v>#REF!</v>
      </c>
      <c r="AI875" s="43" t="str">
        <f ca="1">_xll.BInterpol('Base IPCA'!$C$3:$C$14,'Base IPCA'!$E$3:$E$14,AH875,"Cubic","Extrapolate=Linear","MultiX=Average","Skip=True","Sort=True")</f>
        <v>#N/A Invalid Parameter: Interpolation value</v>
      </c>
      <c r="AJ875" s="43" t="str">
        <f ca="1"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98"/>
        <v>#REF!</v>
      </c>
      <c r="AI876" s="43" t="str">
        <f ca="1">_xll.BInterpol('Base IPCA'!$C$3:$C$14,'Base IPCA'!$E$3:$E$14,AH876,"Cubic","Extrapolate=Linear","MultiX=Average","Skip=True","Sort=True")</f>
        <v>#N/A Invalid Parameter: Interpolation value</v>
      </c>
      <c r="AJ876" s="43" t="str">
        <f ca="1"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98"/>
        <v>#REF!</v>
      </c>
      <c r="AI877" s="43" t="str">
        <f ca="1">_xll.BInterpol('Base IPCA'!$C$3:$C$14,'Base IPCA'!$E$3:$E$14,AH877,"Cubic","Extrapolate=Linear","MultiX=Average","Skip=True","Sort=True")</f>
        <v>#N/A Invalid Parameter: Interpolation value</v>
      </c>
      <c r="AJ877" s="43" t="str">
        <f ca="1"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98"/>
        <v>#REF!</v>
      </c>
      <c r="AI878" s="43" t="str">
        <f ca="1">_xll.BInterpol('Base IPCA'!$C$3:$C$14,'Base IPCA'!$E$3:$E$14,AH878,"Cubic","Extrapolate=Linear","MultiX=Average","Skip=True","Sort=True")</f>
        <v>#N/A Invalid Parameter: Interpolation value</v>
      </c>
      <c r="AJ878" s="43" t="str">
        <f ca="1"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98"/>
        <v>#REF!</v>
      </c>
      <c r="AI879" s="43" t="str">
        <f ca="1">_xll.BInterpol('Base IPCA'!$C$3:$C$14,'Base IPCA'!$E$3:$E$14,AH879,"Cubic","Extrapolate=Linear","MultiX=Average","Skip=True","Sort=True")</f>
        <v>#N/A Invalid Parameter: Interpolation value</v>
      </c>
      <c r="AJ879" s="43" t="str">
        <f ca="1"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98"/>
        <v>#REF!</v>
      </c>
      <c r="AI880" s="43" t="str">
        <f ca="1">_xll.BInterpol('Base IPCA'!$C$3:$C$14,'Base IPCA'!$E$3:$E$14,AH880,"Cubic","Extrapolate=Linear","MultiX=Average","Skip=True","Sort=True")</f>
        <v>#N/A Invalid Parameter: Interpolation value</v>
      </c>
      <c r="AJ880" s="43" t="str">
        <f ca="1"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98"/>
        <v>#REF!</v>
      </c>
      <c r="AI881" s="43" t="str">
        <f ca="1">_xll.BInterpol('Base IPCA'!$C$3:$C$14,'Base IPCA'!$E$3:$E$14,AH881,"Cubic","Extrapolate=Linear","MultiX=Average","Skip=True","Sort=True")</f>
        <v>#N/A Invalid Parameter: Interpolation value</v>
      </c>
      <c r="AJ881" s="43" t="str">
        <f ca="1"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98"/>
        <v>#REF!</v>
      </c>
      <c r="AI882" s="43" t="str">
        <f ca="1">_xll.BInterpol('Base IPCA'!$C$3:$C$14,'Base IPCA'!$E$3:$E$14,AH882,"Cubic","Extrapolate=Linear","MultiX=Average","Skip=True","Sort=True")</f>
        <v>#N/A Invalid Parameter: Interpolation value</v>
      </c>
      <c r="AJ882" s="43" t="str">
        <f ca="1"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98"/>
        <v>#REF!</v>
      </c>
      <c r="AI883" s="43" t="str">
        <f ca="1">_xll.BInterpol('Base IPCA'!$C$3:$C$14,'Base IPCA'!$E$3:$E$14,AH883,"Cubic","Extrapolate=Linear","MultiX=Average","Skip=True","Sort=True")</f>
        <v>#N/A Invalid Parameter: Interpolation value</v>
      </c>
      <c r="AJ883" s="43" t="str">
        <f ca="1"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98"/>
        <v>#REF!</v>
      </c>
      <c r="AI884" s="43" t="str">
        <f ca="1">_xll.BInterpol('Base IPCA'!$C$3:$C$14,'Base IPCA'!$E$3:$E$14,AH884,"Cubic","Extrapolate=Linear","MultiX=Average","Skip=True","Sort=True")</f>
        <v>#N/A Invalid Parameter: Interpolation value</v>
      </c>
      <c r="AJ884" s="43" t="str">
        <f ca="1"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98"/>
        <v>#REF!</v>
      </c>
      <c r="AI885" s="43" t="str">
        <f ca="1">_xll.BInterpol('Base IPCA'!$C$3:$C$14,'Base IPCA'!$E$3:$E$14,AH885,"Cubic","Extrapolate=Linear","MultiX=Average","Skip=True","Sort=True")</f>
        <v>#N/A Invalid Parameter: Interpolation value</v>
      </c>
      <c r="AJ885" s="43" t="str">
        <f ca="1"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98"/>
        <v>#REF!</v>
      </c>
      <c r="AI886" s="43" t="str">
        <f ca="1">_xll.BInterpol('Base IPCA'!$C$3:$C$14,'Base IPCA'!$E$3:$E$14,AH886,"Cubic","Extrapolate=Linear","MultiX=Average","Skip=True","Sort=True")</f>
        <v>#N/A Invalid Parameter: Interpolation value</v>
      </c>
      <c r="AJ886" s="43" t="str">
        <f ca="1"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98"/>
        <v>#REF!</v>
      </c>
      <c r="AI887" s="43" t="str">
        <f ca="1">_xll.BInterpol('Base IPCA'!$C$3:$C$14,'Base IPCA'!$E$3:$E$14,AH887,"Cubic","Extrapolate=Linear","MultiX=Average","Skip=True","Sort=True")</f>
        <v>#N/A Invalid Parameter: Interpolation value</v>
      </c>
      <c r="AJ887" s="43" t="str">
        <f ca="1"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98"/>
        <v>#REF!</v>
      </c>
      <c r="AI888" s="43" t="str">
        <f ca="1">_xll.BInterpol('Base IPCA'!$C$3:$C$14,'Base IPCA'!$E$3:$E$14,AH888,"Cubic","Extrapolate=Linear","MultiX=Average","Skip=True","Sort=True")</f>
        <v>#N/A Invalid Parameter: Interpolation value</v>
      </c>
      <c r="AJ888" s="43" t="str">
        <f ca="1"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98"/>
        <v>#REF!</v>
      </c>
      <c r="AI889" s="43" t="str">
        <f ca="1">_xll.BInterpol('Base IPCA'!$C$3:$C$14,'Base IPCA'!$E$3:$E$14,AH889,"Cubic","Extrapolate=Linear","MultiX=Average","Skip=True","Sort=True")</f>
        <v>#N/A Invalid Parameter: Interpolation value</v>
      </c>
      <c r="AJ889" s="43" t="str">
        <f ca="1"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98"/>
        <v>#REF!</v>
      </c>
      <c r="AI890" s="43" t="str">
        <f ca="1">_xll.BInterpol('Base IPCA'!$C$3:$C$14,'Base IPCA'!$E$3:$E$14,AH890,"Cubic","Extrapolate=Linear","MultiX=Average","Skip=True","Sort=True")</f>
        <v>#N/A Invalid Parameter: Interpolation value</v>
      </c>
      <c r="AJ890" s="43" t="str">
        <f ca="1"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98"/>
        <v>#REF!</v>
      </c>
      <c r="AI891" s="43" t="str">
        <f ca="1">_xll.BInterpol('Base IPCA'!$C$3:$C$14,'Base IPCA'!$E$3:$E$14,AH891,"Cubic","Extrapolate=Linear","MultiX=Average","Skip=True","Sort=True")</f>
        <v>#N/A Invalid Parameter: Interpolation value</v>
      </c>
      <c r="AJ891" s="43" t="str">
        <f ca="1"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98"/>
        <v>#REF!</v>
      </c>
      <c r="AI892" s="43" t="str">
        <f ca="1">_xll.BInterpol('Base IPCA'!$C$3:$C$14,'Base IPCA'!$E$3:$E$14,AH892,"Cubic","Extrapolate=Linear","MultiX=Average","Skip=True","Sort=True")</f>
        <v>#N/A Invalid Parameter: Interpolation value</v>
      </c>
      <c r="AJ892" s="43" t="str">
        <f ca="1"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98"/>
        <v>#REF!</v>
      </c>
      <c r="AI893" s="43" t="str">
        <f ca="1">_xll.BInterpol('Base IPCA'!$C$3:$C$14,'Base IPCA'!$E$3:$E$14,AH893,"Cubic","Extrapolate=Linear","MultiX=Average","Skip=True","Sort=True")</f>
        <v>#N/A Invalid Parameter: Interpolation value</v>
      </c>
      <c r="AJ893" s="43" t="str">
        <f ca="1"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98"/>
        <v>#REF!</v>
      </c>
      <c r="AI894" s="43" t="str">
        <f ca="1">_xll.BInterpol('Base IPCA'!$C$3:$C$14,'Base IPCA'!$E$3:$E$14,AH894,"Cubic","Extrapolate=Linear","MultiX=Average","Skip=True","Sort=True")</f>
        <v>#N/A Invalid Parameter: Interpolation value</v>
      </c>
      <c r="AJ894" s="43" t="str">
        <f ca="1"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98"/>
        <v>#REF!</v>
      </c>
      <c r="AI895" s="43" t="str">
        <f ca="1">_xll.BInterpol('Base IPCA'!$C$3:$C$14,'Base IPCA'!$E$3:$E$14,AH895,"Cubic","Extrapolate=Linear","MultiX=Average","Skip=True","Sort=True")</f>
        <v>#N/A Invalid Parameter: Interpolation value</v>
      </c>
      <c r="AJ895" s="43" t="str">
        <f ca="1"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98"/>
        <v>#REF!</v>
      </c>
      <c r="AI896" s="43" t="str">
        <f ca="1">_xll.BInterpol('Base IPCA'!$C$3:$C$14,'Base IPCA'!$E$3:$E$14,AH896,"Cubic","Extrapolate=Linear","MultiX=Average","Skip=True","Sort=True")</f>
        <v>#N/A Invalid Parameter: Interpolation value</v>
      </c>
      <c r="AJ896" s="43" t="str">
        <f ca="1"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98"/>
        <v>#REF!</v>
      </c>
      <c r="AI897" s="43" t="str">
        <f ca="1">_xll.BInterpol('Base IPCA'!$C$3:$C$14,'Base IPCA'!$E$3:$E$14,AH897,"Cubic","Extrapolate=Linear","MultiX=Average","Skip=True","Sort=True")</f>
        <v>#N/A Invalid Parameter: Interpolation value</v>
      </c>
      <c r="AJ897" s="43" t="str">
        <f ca="1"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98"/>
        <v>#REF!</v>
      </c>
      <c r="AI898" s="43" t="str">
        <f ca="1">_xll.BInterpol('Base IPCA'!$C$3:$C$14,'Base IPCA'!$E$3:$E$14,AH898,"Cubic","Extrapolate=Linear","MultiX=Average","Skip=True","Sort=True")</f>
        <v>#N/A Invalid Parameter: Interpolation value</v>
      </c>
      <c r="AJ898" s="43" t="str">
        <f ca="1"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98"/>
        <v>#REF!</v>
      </c>
      <c r="AI899" s="43" t="str">
        <f ca="1">_xll.BInterpol('Base IPCA'!$C$3:$C$14,'Base IPCA'!$E$3:$E$14,AH899,"Cubic","Extrapolate=Linear","MultiX=Average","Skip=True","Sort=True")</f>
        <v>#N/A Invalid Parameter: Interpolation value</v>
      </c>
      <c r="AJ899" s="43" t="str">
        <f ca="1"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98"/>
        <v>#REF!</v>
      </c>
      <c r="AI900" s="43" t="str">
        <f ca="1">_xll.BInterpol('Base IPCA'!$C$3:$C$14,'Base IPCA'!$E$3:$E$14,AH900,"Cubic","Extrapolate=Linear","MultiX=Average","Skip=True","Sort=True")</f>
        <v>#N/A Invalid Parameter: Interpolation value</v>
      </c>
      <c r="AJ900" s="43" t="str">
        <f ca="1"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98"/>
        <v>#REF!</v>
      </c>
      <c r="AI901" s="43" t="str">
        <f ca="1">_xll.BInterpol('Base IPCA'!$C$3:$C$14,'Base IPCA'!$E$3:$E$14,AH901,"Cubic","Extrapolate=Linear","MultiX=Average","Skip=True","Sort=True")</f>
        <v>#N/A Invalid Parameter: Interpolation value</v>
      </c>
      <c r="AJ901" s="43" t="str">
        <f ca="1"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99">AH901+1</f>
        <v>#REF!</v>
      </c>
      <c r="AI902" s="43" t="str">
        <f ca="1">_xll.BInterpol('Base IPCA'!$C$3:$C$14,'Base IPCA'!$E$3:$E$14,AH902,"Cubic","Extrapolate=Linear","MultiX=Average","Skip=True","Sort=True")</f>
        <v>#N/A Invalid Parameter: Interpolation value</v>
      </c>
      <c r="AJ902" s="43" t="str">
        <f ca="1"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99"/>
        <v>#REF!</v>
      </c>
      <c r="AI903" s="43" t="str">
        <f ca="1">_xll.BInterpol('Base IPCA'!$C$3:$C$14,'Base IPCA'!$E$3:$E$14,AH903,"Cubic","Extrapolate=Linear","MultiX=Average","Skip=True","Sort=True")</f>
        <v>#N/A Invalid Parameter: Interpolation value</v>
      </c>
      <c r="AJ903" s="43" t="str">
        <f ca="1"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99"/>
        <v>#REF!</v>
      </c>
      <c r="AI904" s="43" t="str">
        <f ca="1">_xll.BInterpol('Base IPCA'!$C$3:$C$14,'Base IPCA'!$E$3:$E$14,AH904,"Cubic","Extrapolate=Linear","MultiX=Average","Skip=True","Sort=True")</f>
        <v>#N/A Invalid Parameter: Interpolation value</v>
      </c>
      <c r="AJ904" s="43" t="str">
        <f ca="1"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99"/>
        <v>#REF!</v>
      </c>
      <c r="AI905" s="43" t="str">
        <f ca="1">_xll.BInterpol('Base IPCA'!$C$3:$C$14,'Base IPCA'!$E$3:$E$14,AH905,"Cubic","Extrapolate=Linear","MultiX=Average","Skip=True","Sort=True")</f>
        <v>#N/A Invalid Parameter: Interpolation value</v>
      </c>
      <c r="AJ905" s="43" t="str">
        <f ca="1"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99"/>
        <v>#REF!</v>
      </c>
      <c r="AI906" s="43" t="str">
        <f ca="1">_xll.BInterpol('Base IPCA'!$C$3:$C$14,'Base IPCA'!$E$3:$E$14,AH906,"Cubic","Extrapolate=Linear","MultiX=Average","Skip=True","Sort=True")</f>
        <v>#N/A Invalid Parameter: Interpolation value</v>
      </c>
      <c r="AJ906" s="43" t="str">
        <f ca="1"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99"/>
        <v>#REF!</v>
      </c>
      <c r="AI907" s="43" t="str">
        <f ca="1">_xll.BInterpol('Base IPCA'!$C$3:$C$14,'Base IPCA'!$E$3:$E$14,AH907,"Cubic","Extrapolate=Linear","MultiX=Average","Skip=True","Sort=True")</f>
        <v>#N/A Invalid Parameter: Interpolation value</v>
      </c>
      <c r="AJ907" s="43" t="str">
        <f ca="1"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99"/>
        <v>#REF!</v>
      </c>
      <c r="AI908" s="43" t="str">
        <f ca="1">_xll.BInterpol('Base IPCA'!$C$3:$C$14,'Base IPCA'!$E$3:$E$14,AH908,"Cubic","Extrapolate=Linear","MultiX=Average","Skip=True","Sort=True")</f>
        <v>#N/A Invalid Parameter: Interpolation value</v>
      </c>
      <c r="AJ908" s="43" t="str">
        <f ca="1"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99"/>
        <v>#REF!</v>
      </c>
      <c r="AI909" s="43" t="str">
        <f ca="1">_xll.BInterpol('Base IPCA'!$C$3:$C$14,'Base IPCA'!$E$3:$E$14,AH909,"Cubic","Extrapolate=Linear","MultiX=Average","Skip=True","Sort=True")</f>
        <v>#N/A Invalid Parameter: Interpolation value</v>
      </c>
      <c r="AJ909" s="43" t="str">
        <f ca="1"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99"/>
        <v>#REF!</v>
      </c>
      <c r="AI910" s="43" t="str">
        <f ca="1">_xll.BInterpol('Base IPCA'!$C$3:$C$14,'Base IPCA'!$E$3:$E$14,AH910,"Cubic","Extrapolate=Linear","MultiX=Average","Skip=True","Sort=True")</f>
        <v>#N/A Invalid Parameter: Interpolation value</v>
      </c>
      <c r="AJ910" s="43" t="str">
        <f ca="1"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99"/>
        <v>#REF!</v>
      </c>
      <c r="AI911" s="43" t="str">
        <f ca="1">_xll.BInterpol('Base IPCA'!$C$3:$C$14,'Base IPCA'!$E$3:$E$14,AH911,"Cubic","Extrapolate=Linear","MultiX=Average","Skip=True","Sort=True")</f>
        <v>#N/A Invalid Parameter: Interpolation value</v>
      </c>
      <c r="AJ911" s="43" t="str">
        <f ca="1"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99"/>
        <v>#REF!</v>
      </c>
      <c r="AI912" s="43" t="str">
        <f ca="1">_xll.BInterpol('Base IPCA'!$C$3:$C$14,'Base IPCA'!$E$3:$E$14,AH912,"Cubic","Extrapolate=Linear","MultiX=Average","Skip=True","Sort=True")</f>
        <v>#N/A Invalid Parameter: Interpolation value</v>
      </c>
      <c r="AJ912" s="43" t="str">
        <f ca="1"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99"/>
        <v>#REF!</v>
      </c>
      <c r="AI913" s="43" t="str">
        <f ca="1">_xll.BInterpol('Base IPCA'!$C$3:$C$14,'Base IPCA'!$E$3:$E$14,AH913,"Cubic","Extrapolate=Linear","MultiX=Average","Skip=True","Sort=True")</f>
        <v>#N/A Invalid Parameter: Interpolation value</v>
      </c>
      <c r="AJ913" s="43" t="str">
        <f ca="1"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99"/>
        <v>#REF!</v>
      </c>
      <c r="AI914" s="43" t="str">
        <f ca="1">_xll.BInterpol('Base IPCA'!$C$3:$C$14,'Base IPCA'!$E$3:$E$14,AH914,"Cubic","Extrapolate=Linear","MultiX=Average","Skip=True","Sort=True")</f>
        <v>#N/A Invalid Parameter: Interpolation value</v>
      </c>
      <c r="AJ914" s="43" t="str">
        <f ca="1"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99"/>
        <v>#REF!</v>
      </c>
      <c r="AI915" s="43" t="str">
        <f ca="1">_xll.BInterpol('Base IPCA'!$C$3:$C$14,'Base IPCA'!$E$3:$E$14,AH915,"Cubic","Extrapolate=Linear","MultiX=Average","Skip=True","Sort=True")</f>
        <v>#N/A Invalid Parameter: Interpolation value</v>
      </c>
      <c r="AJ915" s="43" t="str">
        <f ca="1"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99"/>
        <v>#REF!</v>
      </c>
      <c r="AI916" s="43" t="str">
        <f ca="1">_xll.BInterpol('Base IPCA'!$C$3:$C$14,'Base IPCA'!$E$3:$E$14,AH916,"Cubic","Extrapolate=Linear","MultiX=Average","Skip=True","Sort=True")</f>
        <v>#N/A Invalid Parameter: Interpolation value</v>
      </c>
      <c r="AJ916" s="43" t="str">
        <f ca="1"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99"/>
        <v>#REF!</v>
      </c>
      <c r="AI917" s="43" t="str">
        <f ca="1">_xll.BInterpol('Base IPCA'!$C$3:$C$14,'Base IPCA'!$E$3:$E$14,AH917,"Cubic","Extrapolate=Linear","MultiX=Average","Skip=True","Sort=True")</f>
        <v>#N/A Invalid Parameter: Interpolation value</v>
      </c>
      <c r="AJ917" s="43" t="str">
        <f ca="1"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99"/>
        <v>#REF!</v>
      </c>
      <c r="AI918" s="43" t="str">
        <f ca="1">_xll.BInterpol('Base IPCA'!$C$3:$C$14,'Base IPCA'!$E$3:$E$14,AH918,"Cubic","Extrapolate=Linear","MultiX=Average","Skip=True","Sort=True")</f>
        <v>#N/A Invalid Parameter: Interpolation value</v>
      </c>
      <c r="AJ918" s="43" t="str">
        <f ca="1"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99"/>
        <v>#REF!</v>
      </c>
      <c r="AI919" s="43" t="str">
        <f ca="1">_xll.BInterpol('Base IPCA'!$C$3:$C$14,'Base IPCA'!$E$3:$E$14,AH919,"Cubic","Extrapolate=Linear","MultiX=Average","Skip=True","Sort=True")</f>
        <v>#N/A Invalid Parameter: Interpolation value</v>
      </c>
      <c r="AJ919" s="43" t="str">
        <f ca="1"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99"/>
        <v>#REF!</v>
      </c>
      <c r="AI920" s="43" t="str">
        <f ca="1">_xll.BInterpol('Base IPCA'!$C$3:$C$14,'Base IPCA'!$E$3:$E$14,AH920,"Cubic","Extrapolate=Linear","MultiX=Average","Skip=True","Sort=True")</f>
        <v>#N/A Invalid Parameter: Interpolation value</v>
      </c>
      <c r="AJ920" s="43" t="str">
        <f ca="1"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99"/>
        <v>#REF!</v>
      </c>
      <c r="AI921" s="43" t="str">
        <f ca="1">_xll.BInterpol('Base IPCA'!$C$3:$C$14,'Base IPCA'!$E$3:$E$14,AH921,"Cubic","Extrapolate=Linear","MultiX=Average","Skip=True","Sort=True")</f>
        <v>#N/A Invalid Parameter: Interpolation value</v>
      </c>
      <c r="AJ921" s="43" t="str">
        <f ca="1"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99"/>
        <v>#REF!</v>
      </c>
      <c r="AI922" s="43" t="str">
        <f ca="1">_xll.BInterpol('Base IPCA'!$C$3:$C$14,'Base IPCA'!$E$3:$E$14,AH922,"Cubic","Extrapolate=Linear","MultiX=Average","Skip=True","Sort=True")</f>
        <v>#N/A Invalid Parameter: Interpolation value</v>
      </c>
      <c r="AJ922" s="43" t="str">
        <f ca="1"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99"/>
        <v>#REF!</v>
      </c>
      <c r="AI923" s="43" t="str">
        <f ca="1">_xll.BInterpol('Base IPCA'!$C$3:$C$14,'Base IPCA'!$E$3:$E$14,AH923,"Cubic","Extrapolate=Linear","MultiX=Average","Skip=True","Sort=True")</f>
        <v>#N/A Invalid Parameter: Interpolation value</v>
      </c>
      <c r="AJ923" s="43" t="str">
        <f ca="1"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99"/>
        <v>#REF!</v>
      </c>
      <c r="AI924" s="43" t="str">
        <f ca="1">_xll.BInterpol('Base IPCA'!$C$3:$C$14,'Base IPCA'!$E$3:$E$14,AH924,"Cubic","Extrapolate=Linear","MultiX=Average","Skip=True","Sort=True")</f>
        <v>#N/A Invalid Parameter: Interpolation value</v>
      </c>
      <c r="AJ924" s="43" t="str">
        <f ca="1"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99"/>
        <v>#REF!</v>
      </c>
      <c r="AI925" s="43" t="str">
        <f ca="1">_xll.BInterpol('Base IPCA'!$C$3:$C$14,'Base IPCA'!$E$3:$E$14,AH925,"Cubic","Extrapolate=Linear","MultiX=Average","Skip=True","Sort=True")</f>
        <v>#N/A Invalid Parameter: Interpolation value</v>
      </c>
      <c r="AJ925" s="43" t="str">
        <f ca="1"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99"/>
        <v>#REF!</v>
      </c>
      <c r="AI926" s="43" t="str">
        <f ca="1">_xll.BInterpol('Base IPCA'!$C$3:$C$14,'Base IPCA'!$E$3:$E$14,AH926,"Cubic","Extrapolate=Linear","MultiX=Average","Skip=True","Sort=True")</f>
        <v>#N/A Invalid Parameter: Interpolation value</v>
      </c>
      <c r="AJ926" s="43" t="str">
        <f ca="1"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99"/>
        <v>#REF!</v>
      </c>
      <c r="AI927" s="43" t="str">
        <f ca="1">_xll.BInterpol('Base IPCA'!$C$3:$C$14,'Base IPCA'!$E$3:$E$14,AH927,"Cubic","Extrapolate=Linear","MultiX=Average","Skip=True","Sort=True")</f>
        <v>#N/A Invalid Parameter: Interpolation value</v>
      </c>
      <c r="AJ927" s="43" t="str">
        <f ca="1"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99"/>
        <v>#REF!</v>
      </c>
      <c r="AI928" s="43" t="str">
        <f ca="1">_xll.BInterpol('Base IPCA'!$C$3:$C$14,'Base IPCA'!$E$3:$E$14,AH928,"Cubic","Extrapolate=Linear","MultiX=Average","Skip=True","Sort=True")</f>
        <v>#N/A Invalid Parameter: Interpolation value</v>
      </c>
      <c r="AJ928" s="43" t="str">
        <f ca="1"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99"/>
        <v>#REF!</v>
      </c>
      <c r="AI929" s="43" t="str">
        <f ca="1">_xll.BInterpol('Base IPCA'!$C$3:$C$14,'Base IPCA'!$E$3:$E$14,AH929,"Cubic","Extrapolate=Linear","MultiX=Average","Skip=True","Sort=True")</f>
        <v>#N/A Invalid Parameter: Interpolation value</v>
      </c>
      <c r="AJ929" s="43" t="str">
        <f ca="1"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99"/>
        <v>#REF!</v>
      </c>
      <c r="AI930" s="43" t="str">
        <f ca="1">_xll.BInterpol('Base IPCA'!$C$3:$C$14,'Base IPCA'!$E$3:$E$14,AH930,"Cubic","Extrapolate=Linear","MultiX=Average","Skip=True","Sort=True")</f>
        <v>#N/A Invalid Parameter: Interpolation value</v>
      </c>
      <c r="AJ930" s="43" t="str">
        <f ca="1"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99"/>
        <v>#REF!</v>
      </c>
      <c r="AI931" s="43" t="str">
        <f ca="1">_xll.BInterpol('Base IPCA'!$C$3:$C$14,'Base IPCA'!$E$3:$E$14,AH931,"Cubic","Extrapolate=Linear","MultiX=Average","Skip=True","Sort=True")</f>
        <v>#N/A Invalid Parameter: Interpolation value</v>
      </c>
      <c r="AJ931" s="43" t="str">
        <f ca="1"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99"/>
        <v>#REF!</v>
      </c>
      <c r="AI932" s="43" t="str">
        <f ca="1">_xll.BInterpol('Base IPCA'!$C$3:$C$14,'Base IPCA'!$E$3:$E$14,AH932,"Cubic","Extrapolate=Linear","MultiX=Average","Skip=True","Sort=True")</f>
        <v>#N/A Invalid Parameter: Interpolation value</v>
      </c>
      <c r="AJ932" s="43" t="str">
        <f ca="1"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99"/>
        <v>#REF!</v>
      </c>
      <c r="AI933" s="43" t="str">
        <f ca="1">_xll.BInterpol('Base IPCA'!$C$3:$C$14,'Base IPCA'!$E$3:$E$14,AH933,"Cubic","Extrapolate=Linear","MultiX=Average","Skip=True","Sort=True")</f>
        <v>#N/A Invalid Parameter: Interpolation value</v>
      </c>
      <c r="AJ933" s="43" t="str">
        <f ca="1"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99"/>
        <v>#REF!</v>
      </c>
      <c r="AI934" s="43" t="str">
        <f ca="1">_xll.BInterpol('Base IPCA'!$C$3:$C$14,'Base IPCA'!$E$3:$E$14,AH934,"Cubic","Extrapolate=Linear","MultiX=Average","Skip=True","Sort=True")</f>
        <v>#N/A Invalid Parameter: Interpolation value</v>
      </c>
      <c r="AJ934" s="43" t="str">
        <f ca="1"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99"/>
        <v>#REF!</v>
      </c>
      <c r="AI935" s="43" t="str">
        <f ca="1">_xll.BInterpol('Base IPCA'!$C$3:$C$14,'Base IPCA'!$E$3:$E$14,AH935,"Cubic","Extrapolate=Linear","MultiX=Average","Skip=True","Sort=True")</f>
        <v>#N/A Invalid Parameter: Interpolation value</v>
      </c>
      <c r="AJ935" s="43" t="str">
        <f ca="1"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99"/>
        <v>#REF!</v>
      </c>
      <c r="AI936" s="43" t="str">
        <f ca="1">_xll.BInterpol('Base IPCA'!$C$3:$C$14,'Base IPCA'!$E$3:$E$14,AH936,"Cubic","Extrapolate=Linear","MultiX=Average","Skip=True","Sort=True")</f>
        <v>#N/A Invalid Parameter: Interpolation value</v>
      </c>
      <c r="AJ936" s="43" t="str">
        <f ca="1"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99"/>
        <v>#REF!</v>
      </c>
      <c r="AI937" s="43" t="str">
        <f ca="1">_xll.BInterpol('Base IPCA'!$C$3:$C$14,'Base IPCA'!$E$3:$E$14,AH937,"Cubic","Extrapolate=Linear","MultiX=Average","Skip=True","Sort=True")</f>
        <v>#N/A Invalid Parameter: Interpolation value</v>
      </c>
      <c r="AJ937" s="43" t="str">
        <f ca="1"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99"/>
        <v>#REF!</v>
      </c>
      <c r="AI938" s="43" t="str">
        <f ca="1">_xll.BInterpol('Base IPCA'!$C$3:$C$14,'Base IPCA'!$E$3:$E$14,AH938,"Cubic","Extrapolate=Linear","MultiX=Average","Skip=True","Sort=True")</f>
        <v>#N/A Invalid Parameter: Interpolation value</v>
      </c>
      <c r="AJ938" s="43" t="str">
        <f ca="1"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99"/>
        <v>#REF!</v>
      </c>
      <c r="AI939" s="43" t="str">
        <f ca="1">_xll.BInterpol('Base IPCA'!$C$3:$C$14,'Base IPCA'!$E$3:$E$14,AH939,"Cubic","Extrapolate=Linear","MultiX=Average","Skip=True","Sort=True")</f>
        <v>#N/A Invalid Parameter: Interpolation value</v>
      </c>
      <c r="AJ939" s="43" t="str">
        <f ca="1"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99"/>
        <v>#REF!</v>
      </c>
      <c r="AI940" s="43" t="str">
        <f ca="1">_xll.BInterpol('Base IPCA'!$C$3:$C$14,'Base IPCA'!$E$3:$E$14,AH940,"Cubic","Extrapolate=Linear","MultiX=Average","Skip=True","Sort=True")</f>
        <v>#N/A Invalid Parameter: Interpolation value</v>
      </c>
      <c r="AJ940" s="43" t="str">
        <f ca="1"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99"/>
        <v>#REF!</v>
      </c>
      <c r="AI941" s="43" t="str">
        <f ca="1">_xll.BInterpol('Base IPCA'!$C$3:$C$14,'Base IPCA'!$E$3:$E$14,AH941,"Cubic","Extrapolate=Linear","MultiX=Average","Skip=True","Sort=True")</f>
        <v>#N/A Invalid Parameter: Interpolation value</v>
      </c>
      <c r="AJ941" s="43" t="str">
        <f ca="1"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99"/>
        <v>#REF!</v>
      </c>
      <c r="AI942" s="43" t="str">
        <f ca="1">_xll.BInterpol('Base IPCA'!$C$3:$C$14,'Base IPCA'!$E$3:$E$14,AH942,"Cubic","Extrapolate=Linear","MultiX=Average","Skip=True","Sort=True")</f>
        <v>#N/A Invalid Parameter: Interpolation value</v>
      </c>
      <c r="AJ942" s="43" t="str">
        <f ca="1"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99"/>
        <v>#REF!</v>
      </c>
      <c r="AI943" s="43" t="str">
        <f ca="1">_xll.BInterpol('Base IPCA'!$C$3:$C$14,'Base IPCA'!$E$3:$E$14,AH943,"Cubic","Extrapolate=Linear","MultiX=Average","Skip=True","Sort=True")</f>
        <v>#N/A Invalid Parameter: Interpolation value</v>
      </c>
      <c r="AJ943" s="43" t="str">
        <f ca="1"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99"/>
        <v>#REF!</v>
      </c>
      <c r="AI944" s="43" t="str">
        <f ca="1">_xll.BInterpol('Base IPCA'!$C$3:$C$14,'Base IPCA'!$E$3:$E$14,AH944,"Cubic","Extrapolate=Linear","MultiX=Average","Skip=True","Sort=True")</f>
        <v>#N/A Invalid Parameter: Interpolation value</v>
      </c>
      <c r="AJ944" s="43" t="str">
        <f ca="1"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99"/>
        <v>#REF!</v>
      </c>
      <c r="AI945" s="43" t="str">
        <f ca="1">_xll.BInterpol('Base IPCA'!$C$3:$C$14,'Base IPCA'!$E$3:$E$14,AH945,"Cubic","Extrapolate=Linear","MultiX=Average","Skip=True","Sort=True")</f>
        <v>#N/A Invalid Parameter: Interpolation value</v>
      </c>
      <c r="AJ945" s="43" t="str">
        <f ca="1"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99"/>
        <v>#REF!</v>
      </c>
      <c r="AI946" s="43" t="str">
        <f ca="1">_xll.BInterpol('Base IPCA'!$C$3:$C$14,'Base IPCA'!$E$3:$E$14,AH946,"Cubic","Extrapolate=Linear","MultiX=Average","Skip=True","Sort=True")</f>
        <v>#N/A Invalid Parameter: Interpolation value</v>
      </c>
      <c r="AJ946" s="43" t="str">
        <f ca="1"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99"/>
        <v>#REF!</v>
      </c>
      <c r="AI947" s="43" t="str">
        <f ca="1">_xll.BInterpol('Base IPCA'!$C$3:$C$14,'Base IPCA'!$E$3:$E$14,AH947,"Cubic","Extrapolate=Linear","MultiX=Average","Skip=True","Sort=True")</f>
        <v>#N/A Invalid Parameter: Interpolation value</v>
      </c>
      <c r="AJ947" s="43" t="str">
        <f ca="1"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99"/>
        <v>#REF!</v>
      </c>
      <c r="AI948" s="43" t="str">
        <f ca="1">_xll.BInterpol('Base IPCA'!$C$3:$C$14,'Base IPCA'!$E$3:$E$14,AH948,"Cubic","Extrapolate=Linear","MultiX=Average","Skip=True","Sort=True")</f>
        <v>#N/A Invalid Parameter: Interpolation value</v>
      </c>
      <c r="AJ948" s="43" t="str">
        <f ca="1"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99"/>
        <v>#REF!</v>
      </c>
      <c r="AI949" s="43" t="str">
        <f ca="1">_xll.BInterpol('Base IPCA'!$C$3:$C$14,'Base IPCA'!$E$3:$E$14,AH949,"Cubic","Extrapolate=Linear","MultiX=Average","Skip=True","Sort=True")</f>
        <v>#N/A Invalid Parameter: Interpolation value</v>
      </c>
      <c r="AJ949" s="43" t="str">
        <f ca="1"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99"/>
        <v>#REF!</v>
      </c>
      <c r="AI950" s="43" t="str">
        <f ca="1">_xll.BInterpol('Base IPCA'!$C$3:$C$14,'Base IPCA'!$E$3:$E$14,AH950,"Cubic","Extrapolate=Linear","MultiX=Average","Skip=True","Sort=True")</f>
        <v>#N/A Invalid Parameter: Interpolation value</v>
      </c>
      <c r="AJ950" s="43" t="str">
        <f ca="1"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99"/>
        <v>#REF!</v>
      </c>
      <c r="AI951" s="43" t="str">
        <f ca="1">_xll.BInterpol('Base IPCA'!$C$3:$C$14,'Base IPCA'!$E$3:$E$14,AH951,"Cubic","Extrapolate=Linear","MultiX=Average","Skip=True","Sort=True")</f>
        <v>#N/A Invalid Parameter: Interpolation value</v>
      </c>
      <c r="AJ951" s="43" t="str">
        <f ca="1"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99"/>
        <v>#REF!</v>
      </c>
      <c r="AI952" s="43" t="str">
        <f ca="1">_xll.BInterpol('Base IPCA'!$C$3:$C$14,'Base IPCA'!$E$3:$E$14,AH952,"Cubic","Extrapolate=Linear","MultiX=Average","Skip=True","Sort=True")</f>
        <v>#N/A Invalid Parameter: Interpolation value</v>
      </c>
      <c r="AJ952" s="43" t="str">
        <f ca="1"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99"/>
        <v>#REF!</v>
      </c>
      <c r="AI953" s="43" t="str">
        <f ca="1">_xll.BInterpol('Base IPCA'!$C$3:$C$14,'Base IPCA'!$E$3:$E$14,AH953,"Cubic","Extrapolate=Linear","MultiX=Average","Skip=True","Sort=True")</f>
        <v>#N/A Invalid Parameter: Interpolation value</v>
      </c>
      <c r="AJ953" s="43" t="str">
        <f ca="1"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99"/>
        <v>#REF!</v>
      </c>
      <c r="AI954" s="43" t="str">
        <f ca="1">_xll.BInterpol('Base IPCA'!$C$3:$C$14,'Base IPCA'!$E$3:$E$14,AH954,"Cubic","Extrapolate=Linear","MultiX=Average","Skip=True","Sort=True")</f>
        <v>#N/A Invalid Parameter: Interpolation value</v>
      </c>
      <c r="AJ954" s="43" t="str">
        <f ca="1"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99"/>
        <v>#REF!</v>
      </c>
      <c r="AI955" s="43" t="str">
        <f ca="1">_xll.BInterpol('Base IPCA'!$C$3:$C$14,'Base IPCA'!$E$3:$E$14,AH955,"Cubic","Extrapolate=Linear","MultiX=Average","Skip=True","Sort=True")</f>
        <v>#N/A Invalid Parameter: Interpolation value</v>
      </c>
      <c r="AJ955" s="43" t="str">
        <f ca="1"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99"/>
        <v>#REF!</v>
      </c>
      <c r="AI956" s="43" t="str">
        <f ca="1">_xll.BInterpol('Base IPCA'!$C$3:$C$14,'Base IPCA'!$E$3:$E$14,AH956,"Cubic","Extrapolate=Linear","MultiX=Average","Skip=True","Sort=True")</f>
        <v>#N/A Invalid Parameter: Interpolation value</v>
      </c>
      <c r="AJ956" s="43" t="str">
        <f ca="1"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99"/>
        <v>#REF!</v>
      </c>
      <c r="AI957" s="43" t="str">
        <f ca="1">_xll.BInterpol('Base IPCA'!$C$3:$C$14,'Base IPCA'!$E$3:$E$14,AH957,"Cubic","Extrapolate=Linear","MultiX=Average","Skip=True","Sort=True")</f>
        <v>#N/A Invalid Parameter: Interpolation value</v>
      </c>
      <c r="AJ957" s="43" t="str">
        <f ca="1"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99"/>
        <v>#REF!</v>
      </c>
      <c r="AI958" s="43" t="str">
        <f ca="1">_xll.BInterpol('Base IPCA'!$C$3:$C$14,'Base IPCA'!$E$3:$E$14,AH958,"Cubic","Extrapolate=Linear","MultiX=Average","Skip=True","Sort=True")</f>
        <v>#N/A Invalid Parameter: Interpolation value</v>
      </c>
      <c r="AJ958" s="43" t="str">
        <f ca="1"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99"/>
        <v>#REF!</v>
      </c>
      <c r="AI959" s="43" t="str">
        <f ca="1">_xll.BInterpol('Base IPCA'!$C$3:$C$14,'Base IPCA'!$E$3:$E$14,AH959,"Cubic","Extrapolate=Linear","MultiX=Average","Skip=True","Sort=True")</f>
        <v>#N/A Invalid Parameter: Interpolation value</v>
      </c>
      <c r="AJ959" s="43" t="str">
        <f ca="1"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99"/>
        <v>#REF!</v>
      </c>
      <c r="AI960" s="43" t="str">
        <f ca="1">_xll.BInterpol('Base IPCA'!$C$3:$C$14,'Base IPCA'!$E$3:$E$14,AH960,"Cubic","Extrapolate=Linear","MultiX=Average","Skip=True","Sort=True")</f>
        <v>#N/A Invalid Parameter: Interpolation value</v>
      </c>
      <c r="AJ960" s="43" t="str">
        <f ca="1"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99"/>
        <v>#REF!</v>
      </c>
      <c r="AI961" s="43" t="str">
        <f ca="1">_xll.BInterpol('Base IPCA'!$C$3:$C$14,'Base IPCA'!$E$3:$E$14,AH961,"Cubic","Extrapolate=Linear","MultiX=Average","Skip=True","Sort=True")</f>
        <v>#N/A Invalid Parameter: Interpolation value</v>
      </c>
      <c r="AJ961" s="43" t="str">
        <f ca="1"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99"/>
        <v>#REF!</v>
      </c>
      <c r="AI962" s="43" t="str">
        <f ca="1">_xll.BInterpol('Base IPCA'!$C$3:$C$14,'Base IPCA'!$E$3:$E$14,AH962,"Cubic","Extrapolate=Linear","MultiX=Average","Skip=True","Sort=True")</f>
        <v>#N/A Invalid Parameter: Interpolation value</v>
      </c>
      <c r="AJ962" s="43" t="str">
        <f ca="1"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99"/>
        <v>#REF!</v>
      </c>
      <c r="AI963" s="43" t="str">
        <f ca="1">_xll.BInterpol('Base IPCA'!$C$3:$C$14,'Base IPCA'!$E$3:$E$14,AH963,"Cubic","Extrapolate=Linear","MultiX=Average","Skip=True","Sort=True")</f>
        <v>#N/A Invalid Parameter: Interpolation value</v>
      </c>
      <c r="AJ963" s="43" t="str">
        <f ca="1"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99"/>
        <v>#REF!</v>
      </c>
      <c r="AI964" s="43" t="str">
        <f ca="1">_xll.BInterpol('Base IPCA'!$C$3:$C$14,'Base IPCA'!$E$3:$E$14,AH964,"Cubic","Extrapolate=Linear","MultiX=Average","Skip=True","Sort=True")</f>
        <v>#N/A Invalid Parameter: Interpolation value</v>
      </c>
      <c r="AJ964" s="43" t="str">
        <f ca="1"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99"/>
        <v>#REF!</v>
      </c>
      <c r="AI965" s="43" t="str">
        <f ca="1">_xll.BInterpol('Base IPCA'!$C$3:$C$14,'Base IPCA'!$E$3:$E$14,AH965,"Cubic","Extrapolate=Linear","MultiX=Average","Skip=True","Sort=True")</f>
        <v>#N/A Invalid Parameter: Interpolation value</v>
      </c>
      <c r="AJ965" s="43" t="str">
        <f ca="1"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0">AH965+1</f>
        <v>#REF!</v>
      </c>
      <c r="AI966" s="43" t="str">
        <f ca="1">_xll.BInterpol('Base IPCA'!$C$3:$C$14,'Base IPCA'!$E$3:$E$14,AH966,"Cubic","Extrapolate=Linear","MultiX=Average","Skip=True","Sort=True")</f>
        <v>#N/A Invalid Parameter: Interpolation value</v>
      </c>
      <c r="AJ966" s="43" t="str">
        <f ca="1"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0"/>
        <v>#REF!</v>
      </c>
      <c r="AI967" s="43" t="str">
        <f ca="1">_xll.BInterpol('Base IPCA'!$C$3:$C$14,'Base IPCA'!$E$3:$E$14,AH967,"Cubic","Extrapolate=Linear","MultiX=Average","Skip=True","Sort=True")</f>
        <v>#N/A Invalid Parameter: Interpolation value</v>
      </c>
      <c r="AJ967" s="43" t="str">
        <f ca="1"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0"/>
        <v>#REF!</v>
      </c>
      <c r="AI968" s="43" t="str">
        <f ca="1">_xll.BInterpol('Base IPCA'!$C$3:$C$14,'Base IPCA'!$E$3:$E$14,AH968,"Cubic","Extrapolate=Linear","MultiX=Average","Skip=True","Sort=True")</f>
        <v>#N/A Invalid Parameter: Interpolation value</v>
      </c>
      <c r="AJ968" s="43" t="str">
        <f ca="1"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0"/>
        <v>#REF!</v>
      </c>
      <c r="AI969" s="43" t="str">
        <f ca="1">_xll.BInterpol('Base IPCA'!$C$3:$C$14,'Base IPCA'!$E$3:$E$14,AH969,"Cubic","Extrapolate=Linear","MultiX=Average","Skip=True","Sort=True")</f>
        <v>#N/A Invalid Parameter: Interpolation value</v>
      </c>
      <c r="AJ969" s="43" t="str">
        <f ca="1"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0"/>
        <v>#REF!</v>
      </c>
      <c r="AI970" s="43" t="str">
        <f ca="1">_xll.BInterpol('Base IPCA'!$C$3:$C$14,'Base IPCA'!$E$3:$E$14,AH970,"Cubic","Extrapolate=Linear","MultiX=Average","Skip=True","Sort=True")</f>
        <v>#N/A Invalid Parameter: Interpolation value</v>
      </c>
      <c r="AJ970" s="43" t="str">
        <f ca="1"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0"/>
        <v>#REF!</v>
      </c>
      <c r="AI971" s="43" t="str">
        <f ca="1">_xll.BInterpol('Base IPCA'!$C$3:$C$14,'Base IPCA'!$E$3:$E$14,AH971,"Cubic","Extrapolate=Linear","MultiX=Average","Skip=True","Sort=True")</f>
        <v>#N/A Invalid Parameter: Interpolation value</v>
      </c>
      <c r="AJ971" s="43" t="str">
        <f ca="1"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0"/>
        <v>#REF!</v>
      </c>
      <c r="AI972" s="43" t="str">
        <f ca="1">_xll.BInterpol('Base IPCA'!$C$3:$C$14,'Base IPCA'!$E$3:$E$14,AH972,"Cubic","Extrapolate=Linear","MultiX=Average","Skip=True","Sort=True")</f>
        <v>#N/A Invalid Parameter: Interpolation value</v>
      </c>
      <c r="AJ972" s="43" t="str">
        <f ca="1"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0"/>
        <v>#REF!</v>
      </c>
      <c r="AI973" s="43" t="str">
        <f ca="1">_xll.BInterpol('Base IPCA'!$C$3:$C$14,'Base IPCA'!$E$3:$E$14,AH973,"Cubic","Extrapolate=Linear","MultiX=Average","Skip=True","Sort=True")</f>
        <v>#N/A Invalid Parameter: Interpolation value</v>
      </c>
      <c r="AJ973" s="43" t="str">
        <f ca="1"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0"/>
        <v>#REF!</v>
      </c>
      <c r="AI974" s="43" t="str">
        <f ca="1">_xll.BInterpol('Base IPCA'!$C$3:$C$14,'Base IPCA'!$E$3:$E$14,AH974,"Cubic","Extrapolate=Linear","MultiX=Average","Skip=True","Sort=True")</f>
        <v>#N/A Invalid Parameter: Interpolation value</v>
      </c>
      <c r="AJ974" s="43" t="str">
        <f ca="1"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0"/>
        <v>#REF!</v>
      </c>
      <c r="AI975" s="43" t="str">
        <f ca="1">_xll.BInterpol('Base IPCA'!$C$3:$C$14,'Base IPCA'!$E$3:$E$14,AH975,"Cubic","Extrapolate=Linear","MultiX=Average","Skip=True","Sort=True")</f>
        <v>#N/A Invalid Parameter: Interpolation value</v>
      </c>
      <c r="AJ975" s="43" t="str">
        <f ca="1"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0"/>
        <v>#REF!</v>
      </c>
      <c r="AI976" s="43" t="str">
        <f ca="1">_xll.BInterpol('Base IPCA'!$C$3:$C$14,'Base IPCA'!$E$3:$E$14,AH976,"Cubic","Extrapolate=Linear","MultiX=Average","Skip=True","Sort=True")</f>
        <v>#N/A Invalid Parameter: Interpolation value</v>
      </c>
      <c r="AJ976" s="43" t="str">
        <f ca="1"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0"/>
        <v>#REF!</v>
      </c>
      <c r="AI977" s="43" t="str">
        <f ca="1">_xll.BInterpol('Base IPCA'!$C$3:$C$14,'Base IPCA'!$E$3:$E$14,AH977,"Cubic","Extrapolate=Linear","MultiX=Average","Skip=True","Sort=True")</f>
        <v>#N/A Invalid Parameter: Interpolation value</v>
      </c>
      <c r="AJ977" s="43" t="str">
        <f ca="1"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0"/>
        <v>#REF!</v>
      </c>
      <c r="AI978" s="43" t="str">
        <f ca="1">_xll.BInterpol('Base IPCA'!$C$3:$C$14,'Base IPCA'!$E$3:$E$14,AH978,"Cubic","Extrapolate=Linear","MultiX=Average","Skip=True","Sort=True")</f>
        <v>#N/A Invalid Parameter: Interpolation value</v>
      </c>
      <c r="AJ978" s="43" t="str">
        <f ca="1"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0"/>
        <v>#REF!</v>
      </c>
      <c r="AI979" s="43" t="str">
        <f ca="1">_xll.BInterpol('Base IPCA'!$C$3:$C$14,'Base IPCA'!$E$3:$E$14,AH979,"Cubic","Extrapolate=Linear","MultiX=Average","Skip=True","Sort=True")</f>
        <v>#N/A Invalid Parameter: Interpolation value</v>
      </c>
      <c r="AJ979" s="43" t="str">
        <f ca="1"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0"/>
        <v>#REF!</v>
      </c>
      <c r="AI980" s="43" t="str">
        <f ca="1">_xll.BInterpol('Base IPCA'!$C$3:$C$14,'Base IPCA'!$E$3:$E$14,AH980,"Cubic","Extrapolate=Linear","MultiX=Average","Skip=True","Sort=True")</f>
        <v>#N/A Invalid Parameter: Interpolation value</v>
      </c>
      <c r="AJ980" s="43" t="str">
        <f ca="1"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0"/>
        <v>#REF!</v>
      </c>
      <c r="AI981" s="43" t="str">
        <f ca="1">_xll.BInterpol('Base IPCA'!$C$3:$C$14,'Base IPCA'!$E$3:$E$14,AH981,"Cubic","Extrapolate=Linear","MultiX=Average","Skip=True","Sort=True")</f>
        <v>#N/A Invalid Parameter: Interpolation value</v>
      </c>
      <c r="AJ981" s="43" t="str">
        <f ca="1"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0"/>
        <v>#REF!</v>
      </c>
      <c r="AI982" s="43" t="str">
        <f ca="1">_xll.BInterpol('Base IPCA'!$C$3:$C$14,'Base IPCA'!$E$3:$E$14,AH982,"Cubic","Extrapolate=Linear","MultiX=Average","Skip=True","Sort=True")</f>
        <v>#N/A Invalid Parameter: Interpolation value</v>
      </c>
      <c r="AJ982" s="43" t="str">
        <f ca="1"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0"/>
        <v>#REF!</v>
      </c>
      <c r="AI983" s="43" t="str">
        <f ca="1">_xll.BInterpol('Base IPCA'!$C$3:$C$14,'Base IPCA'!$E$3:$E$14,AH983,"Cubic","Extrapolate=Linear","MultiX=Average","Skip=True","Sort=True")</f>
        <v>#N/A Invalid Parameter: Interpolation value</v>
      </c>
      <c r="AJ983" s="43" t="str">
        <f ca="1"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0"/>
        <v>#REF!</v>
      </c>
      <c r="AI984" s="43" t="str">
        <f ca="1">_xll.BInterpol('Base IPCA'!$C$3:$C$14,'Base IPCA'!$E$3:$E$14,AH984,"Cubic","Extrapolate=Linear","MultiX=Average","Skip=True","Sort=True")</f>
        <v>#N/A Invalid Parameter: Interpolation value</v>
      </c>
      <c r="AJ984" s="43" t="str">
        <f ca="1"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0"/>
        <v>#REF!</v>
      </c>
      <c r="AI985" s="43" t="str">
        <f ca="1">_xll.BInterpol('Base IPCA'!$C$3:$C$14,'Base IPCA'!$E$3:$E$14,AH985,"Cubic","Extrapolate=Linear","MultiX=Average","Skip=True","Sort=True")</f>
        <v>#N/A Invalid Parameter: Interpolation value</v>
      </c>
      <c r="AJ985" s="43" t="str">
        <f ca="1"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0"/>
        <v>#REF!</v>
      </c>
      <c r="AI986" s="43" t="str">
        <f ca="1">_xll.BInterpol('Base IPCA'!$C$3:$C$14,'Base IPCA'!$E$3:$E$14,AH986,"Cubic","Extrapolate=Linear","MultiX=Average","Skip=True","Sort=True")</f>
        <v>#N/A Invalid Parameter: Interpolation value</v>
      </c>
      <c r="AJ986" s="43" t="str">
        <f ca="1"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0"/>
        <v>#REF!</v>
      </c>
      <c r="AI987" s="43" t="str">
        <f ca="1">_xll.BInterpol('Base IPCA'!$C$3:$C$14,'Base IPCA'!$E$3:$E$14,AH987,"Cubic","Extrapolate=Linear","MultiX=Average","Skip=True","Sort=True")</f>
        <v>#N/A Invalid Parameter: Interpolation value</v>
      </c>
      <c r="AJ987" s="43" t="str">
        <f ca="1"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0"/>
        <v>#REF!</v>
      </c>
      <c r="AI988" s="43" t="str">
        <f ca="1">_xll.BInterpol('Base IPCA'!$C$3:$C$14,'Base IPCA'!$E$3:$E$14,AH988,"Cubic","Extrapolate=Linear","MultiX=Average","Skip=True","Sort=True")</f>
        <v>#N/A Invalid Parameter: Interpolation value</v>
      </c>
      <c r="AJ988" s="43" t="str">
        <f ca="1"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0"/>
        <v>#REF!</v>
      </c>
      <c r="AI989" s="43" t="str">
        <f ca="1">_xll.BInterpol('Base IPCA'!$C$3:$C$14,'Base IPCA'!$E$3:$E$14,AH989,"Cubic","Extrapolate=Linear","MultiX=Average","Skip=True","Sort=True")</f>
        <v>#N/A Invalid Parameter: Interpolation value</v>
      </c>
      <c r="AJ989" s="43" t="str">
        <f ca="1"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0"/>
        <v>#REF!</v>
      </c>
      <c r="AI990" s="43" t="str">
        <f ca="1">_xll.BInterpol('Base IPCA'!$C$3:$C$14,'Base IPCA'!$E$3:$E$14,AH990,"Cubic","Extrapolate=Linear","MultiX=Average","Skip=True","Sort=True")</f>
        <v>#N/A Invalid Parameter: Interpolation value</v>
      </c>
      <c r="AJ990" s="43" t="str">
        <f ca="1"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0"/>
        <v>#REF!</v>
      </c>
      <c r="AI991" s="43" t="str">
        <f ca="1">_xll.BInterpol('Base IPCA'!$C$3:$C$14,'Base IPCA'!$E$3:$E$14,AH991,"Cubic","Extrapolate=Linear","MultiX=Average","Skip=True","Sort=True")</f>
        <v>#N/A Invalid Parameter: Interpolation value</v>
      </c>
      <c r="AJ991" s="43" t="str">
        <f ca="1"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0"/>
        <v>#REF!</v>
      </c>
      <c r="AI992" s="43" t="str">
        <f ca="1">_xll.BInterpol('Base IPCA'!$C$3:$C$14,'Base IPCA'!$E$3:$E$14,AH992,"Cubic","Extrapolate=Linear","MultiX=Average","Skip=True","Sort=True")</f>
        <v>#N/A Invalid Parameter: Interpolation value</v>
      </c>
      <c r="AJ992" s="43" t="str">
        <f ca="1"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0"/>
        <v>#REF!</v>
      </c>
      <c r="AI993" s="43" t="str">
        <f ca="1">_xll.BInterpol('Base IPCA'!$C$3:$C$14,'Base IPCA'!$E$3:$E$14,AH993,"Cubic","Extrapolate=Linear","MultiX=Average","Skip=True","Sort=True")</f>
        <v>#N/A Invalid Parameter: Interpolation value</v>
      </c>
      <c r="AJ993" s="43" t="str">
        <f ca="1"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0"/>
        <v>#REF!</v>
      </c>
      <c r="AI994" s="43" t="str">
        <f ca="1">_xll.BInterpol('Base IPCA'!$C$3:$C$14,'Base IPCA'!$E$3:$E$14,AH994,"Cubic","Extrapolate=Linear","MultiX=Average","Skip=True","Sort=True")</f>
        <v>#N/A Invalid Parameter: Interpolation value</v>
      </c>
      <c r="AJ994" s="43" t="str">
        <f ca="1"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0"/>
        <v>#REF!</v>
      </c>
      <c r="AI995" s="43" t="str">
        <f ca="1">_xll.BInterpol('Base IPCA'!$C$3:$C$14,'Base IPCA'!$E$3:$E$14,AH995,"Cubic","Extrapolate=Linear","MultiX=Average","Skip=True","Sort=True")</f>
        <v>#N/A Invalid Parameter: Interpolation value</v>
      </c>
      <c r="AJ995" s="43" t="str">
        <f ca="1"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0"/>
        <v>#REF!</v>
      </c>
      <c r="AI996" s="43" t="str">
        <f ca="1">_xll.BInterpol('Base IPCA'!$C$3:$C$14,'Base IPCA'!$E$3:$E$14,AH996,"Cubic","Extrapolate=Linear","MultiX=Average","Skip=True","Sort=True")</f>
        <v>#N/A Invalid Parameter: Interpolation value</v>
      </c>
      <c r="AJ996" s="43" t="str">
        <f ca="1"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0"/>
        <v>#REF!</v>
      </c>
      <c r="AI997" s="43" t="str">
        <f ca="1">_xll.BInterpol('Base IPCA'!$C$3:$C$14,'Base IPCA'!$E$3:$E$14,AH997,"Cubic","Extrapolate=Linear","MultiX=Average","Skip=True","Sort=True")</f>
        <v>#N/A Invalid Parameter: Interpolation value</v>
      </c>
      <c r="AJ997" s="43" t="str">
        <f ca="1"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0"/>
        <v>#REF!</v>
      </c>
      <c r="AI998" s="43" t="str">
        <f ca="1">_xll.BInterpol('Base IPCA'!$C$3:$C$14,'Base IPCA'!$E$3:$E$14,AH998,"Cubic","Extrapolate=Linear","MultiX=Average","Skip=True","Sort=True")</f>
        <v>#N/A Invalid Parameter: Interpolation value</v>
      </c>
      <c r="AJ998" s="43" t="str">
        <f ca="1"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0"/>
        <v>#REF!</v>
      </c>
      <c r="AI999" s="43" t="str">
        <f ca="1">_xll.BInterpol('Base IPCA'!$C$3:$C$14,'Base IPCA'!$E$3:$E$14,AH999,"Cubic","Extrapolate=Linear","MultiX=Average","Skip=True","Sort=True")</f>
        <v>#N/A Invalid Parameter: Interpolation value</v>
      </c>
      <c r="AJ999" s="43" t="str">
        <f ca="1"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0"/>
        <v>#REF!</v>
      </c>
      <c r="AI1000" s="43" t="str">
        <f ca="1">_xll.BInterpol('Base IPCA'!$C$3:$C$14,'Base IPCA'!$E$3:$E$14,AH1000,"Cubic","Extrapolate=Linear","MultiX=Average","Skip=True","Sort=True")</f>
        <v>#N/A Invalid Parameter: Interpolation value</v>
      </c>
      <c r="AJ1000" s="43" t="str">
        <f ca="1"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0"/>
        <v>#REF!</v>
      </c>
      <c r="AI1001" s="43" t="str">
        <f ca="1">_xll.BInterpol('Base IPCA'!$C$3:$C$14,'Base IPCA'!$E$3:$E$14,AH1001,"Cubic","Extrapolate=Linear","MultiX=Average","Skip=True","Sort=True")</f>
        <v>#N/A Invalid Parameter: Interpolation value</v>
      </c>
      <c r="AJ1001" s="43" t="str">
        <f ca="1"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0"/>
        <v>#REF!</v>
      </c>
      <c r="AI1002" s="43" t="str">
        <f ca="1">_xll.BInterpol('Base IPCA'!$C$3:$C$14,'Base IPCA'!$E$3:$E$14,AH1002,"Cubic","Extrapolate=Linear","MultiX=Average","Skip=True","Sort=True")</f>
        <v>#N/A Invalid Parameter: Interpolation value</v>
      </c>
      <c r="AJ1002" s="43" t="str">
        <f ca="1"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0"/>
        <v>#REF!</v>
      </c>
      <c r="AI1003" s="43" t="str">
        <f ca="1">_xll.BInterpol('Base IPCA'!$C$3:$C$14,'Base IPCA'!$E$3:$E$14,AH1003,"Cubic","Extrapolate=Linear","MultiX=Average","Skip=True","Sort=True")</f>
        <v>#N/A Invalid Parameter: Interpolation value</v>
      </c>
      <c r="AJ1003" s="43" t="str">
        <f ca="1"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0"/>
        <v>#REF!</v>
      </c>
      <c r="AI1004" s="43" t="str">
        <f ca="1">_xll.BInterpol('Base IPCA'!$C$3:$C$14,'Base IPCA'!$E$3:$E$14,AH1004,"Cubic","Extrapolate=Linear","MultiX=Average","Skip=True","Sort=True")</f>
        <v>#N/A Invalid Parameter: Interpolation value</v>
      </c>
      <c r="AJ1004" s="43" t="str">
        <f ca="1"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0"/>
        <v>#REF!</v>
      </c>
      <c r="AI1005" s="43" t="str">
        <f ca="1">_xll.BInterpol('Base IPCA'!$C$3:$C$14,'Base IPCA'!$E$3:$E$14,AH1005,"Cubic","Extrapolate=Linear","MultiX=Average","Skip=True","Sort=True")</f>
        <v>#N/A Invalid Parameter: Interpolation value</v>
      </c>
      <c r="AJ1005" s="43" t="str">
        <f ca="1"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0"/>
        <v>#REF!</v>
      </c>
      <c r="AI1006" s="43" t="str">
        <f ca="1">_xll.BInterpol('Base IPCA'!$C$3:$C$14,'Base IPCA'!$E$3:$E$14,AH1006,"Cubic","Extrapolate=Linear","MultiX=Average","Skip=True","Sort=True")</f>
        <v>#N/A Invalid Parameter: Interpolation value</v>
      </c>
      <c r="AJ1006" s="43" t="str">
        <f ca="1"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0"/>
        <v>#REF!</v>
      </c>
      <c r="AI1007" s="43" t="str">
        <f ca="1">_xll.BInterpol('Base IPCA'!$C$3:$C$14,'Base IPCA'!$E$3:$E$14,AH1007,"Cubic","Extrapolate=Linear","MultiX=Average","Skip=True","Sort=True")</f>
        <v>#N/A Invalid Parameter: Interpolation value</v>
      </c>
      <c r="AJ1007" s="43" t="str">
        <f ca="1"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0"/>
        <v>#REF!</v>
      </c>
      <c r="AI1008" s="43" t="str">
        <f ca="1">_xll.BInterpol('Base IPCA'!$C$3:$C$14,'Base IPCA'!$E$3:$E$14,AH1008,"Cubic","Extrapolate=Linear","MultiX=Average","Skip=True","Sort=True")</f>
        <v>#N/A Invalid Parameter: Interpolation value</v>
      </c>
      <c r="AJ1008" s="43" t="str">
        <f ca="1"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0"/>
        <v>#REF!</v>
      </c>
      <c r="AI1009" s="43" t="str">
        <f ca="1">_xll.BInterpol('Base IPCA'!$C$3:$C$14,'Base IPCA'!$E$3:$E$14,AH1009,"Cubic","Extrapolate=Linear","MultiX=Average","Skip=True","Sort=True")</f>
        <v>#N/A Invalid Parameter: Interpolation value</v>
      </c>
      <c r="AJ1009" s="43" t="str">
        <f ca="1"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0"/>
        <v>#REF!</v>
      </c>
      <c r="AI1010" s="43" t="str">
        <f ca="1">_xll.BInterpol('Base IPCA'!$C$3:$C$14,'Base IPCA'!$E$3:$E$14,AH1010,"Cubic","Extrapolate=Linear","MultiX=Average","Skip=True","Sort=True")</f>
        <v>#N/A Invalid Parameter: Interpolation value</v>
      </c>
      <c r="AJ1010" s="43" t="str">
        <f ca="1"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0"/>
        <v>#REF!</v>
      </c>
      <c r="AI1011" s="43" t="str">
        <f ca="1">_xll.BInterpol('Base IPCA'!$C$3:$C$14,'Base IPCA'!$E$3:$E$14,AH1011,"Cubic","Extrapolate=Linear","MultiX=Average","Skip=True","Sort=True")</f>
        <v>#N/A Invalid Parameter: Interpolation value</v>
      </c>
      <c r="AJ1011" s="43" t="str">
        <f ca="1"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0"/>
        <v>#REF!</v>
      </c>
      <c r="AI1012" s="43" t="str">
        <f ca="1">_xll.BInterpol('Base IPCA'!$C$3:$C$14,'Base IPCA'!$E$3:$E$14,AH1012,"Cubic","Extrapolate=Linear","MultiX=Average","Skip=True","Sort=True")</f>
        <v>#N/A Invalid Parameter: Interpolation value</v>
      </c>
      <c r="AJ1012" s="43" t="str">
        <f ca="1"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0"/>
        <v>#REF!</v>
      </c>
      <c r="AI1013" s="43" t="str">
        <f ca="1">_xll.BInterpol('Base IPCA'!$C$3:$C$14,'Base IPCA'!$E$3:$E$14,AH1013,"Cubic","Extrapolate=Linear","MultiX=Average","Skip=True","Sort=True")</f>
        <v>#N/A Invalid Parameter: Interpolation value</v>
      </c>
      <c r="AJ1013" s="43" t="str">
        <f ca="1"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0"/>
        <v>#REF!</v>
      </c>
      <c r="AI1014" s="43" t="str">
        <f ca="1">_xll.BInterpol('Base IPCA'!$C$3:$C$14,'Base IPCA'!$E$3:$E$14,AH1014,"Cubic","Extrapolate=Linear","MultiX=Average","Skip=True","Sort=True")</f>
        <v>#N/A Invalid Parameter: Interpolation value</v>
      </c>
      <c r="AJ1014" s="43" t="str">
        <f ca="1"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0"/>
        <v>#REF!</v>
      </c>
      <c r="AI1015" s="43" t="str">
        <f ca="1">_xll.BInterpol('Base IPCA'!$C$3:$C$14,'Base IPCA'!$E$3:$E$14,AH1015,"Cubic","Extrapolate=Linear","MultiX=Average","Skip=True","Sort=True")</f>
        <v>#N/A Invalid Parameter: Interpolation value</v>
      </c>
      <c r="AJ1015" s="43" t="str">
        <f ca="1"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0"/>
        <v>#REF!</v>
      </c>
      <c r="AI1016" s="43" t="str">
        <f ca="1">_xll.BInterpol('Base IPCA'!$C$3:$C$14,'Base IPCA'!$E$3:$E$14,AH1016,"Cubic","Extrapolate=Linear","MultiX=Average","Skip=True","Sort=True")</f>
        <v>#N/A Invalid Parameter: Interpolation value</v>
      </c>
      <c r="AJ1016" s="43" t="str">
        <f ca="1"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0"/>
        <v>#REF!</v>
      </c>
      <c r="AI1017" s="43" t="str">
        <f ca="1">_xll.BInterpol('Base IPCA'!$C$3:$C$14,'Base IPCA'!$E$3:$E$14,AH1017,"Cubic","Extrapolate=Linear","MultiX=Average","Skip=True","Sort=True")</f>
        <v>#N/A Invalid Parameter: Interpolation value</v>
      </c>
      <c r="AJ1017" s="43" t="str">
        <f ca="1"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0"/>
        <v>#REF!</v>
      </c>
      <c r="AI1018" s="43" t="str">
        <f ca="1">_xll.BInterpol('Base IPCA'!$C$3:$C$14,'Base IPCA'!$E$3:$E$14,AH1018,"Cubic","Extrapolate=Linear","MultiX=Average","Skip=True","Sort=True")</f>
        <v>#N/A Invalid Parameter: Interpolation value</v>
      </c>
      <c r="AJ1018" s="43" t="str">
        <f ca="1"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0"/>
        <v>#REF!</v>
      </c>
      <c r="AI1019" s="43" t="str">
        <f ca="1">_xll.BInterpol('Base IPCA'!$C$3:$C$14,'Base IPCA'!$E$3:$E$14,AH1019,"Cubic","Extrapolate=Linear","MultiX=Average","Skip=True","Sort=True")</f>
        <v>#N/A Invalid Parameter: Interpolation value</v>
      </c>
      <c r="AJ1019" s="43" t="str">
        <f ca="1"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0"/>
        <v>#REF!</v>
      </c>
      <c r="AI1020" s="43" t="str">
        <f ca="1">_xll.BInterpol('Base IPCA'!$C$3:$C$14,'Base IPCA'!$E$3:$E$14,AH1020,"Cubic","Extrapolate=Linear","MultiX=Average","Skip=True","Sort=True")</f>
        <v>#N/A Invalid Parameter: Interpolation value</v>
      </c>
      <c r="AJ1020" s="43" t="str">
        <f ca="1"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0"/>
        <v>#REF!</v>
      </c>
      <c r="AI1021" s="43" t="str">
        <f ca="1">_xll.BInterpol('Base IPCA'!$C$3:$C$14,'Base IPCA'!$E$3:$E$14,AH1021,"Cubic","Extrapolate=Linear","MultiX=Average","Skip=True","Sort=True")</f>
        <v>#N/A Invalid Parameter: Interpolation value</v>
      </c>
      <c r="AJ1021" s="43" t="str">
        <f ca="1"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0"/>
        <v>#REF!</v>
      </c>
      <c r="AI1022" s="43" t="str">
        <f ca="1">_xll.BInterpol('Base IPCA'!$C$3:$C$14,'Base IPCA'!$E$3:$E$14,AH1022,"Cubic","Extrapolate=Linear","MultiX=Average","Skip=True","Sort=True")</f>
        <v>#N/A Invalid Parameter: Interpolation value</v>
      </c>
      <c r="AJ1022" s="43" t="str">
        <f ca="1"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0"/>
        <v>#REF!</v>
      </c>
      <c r="AI1023" s="43" t="str">
        <f ca="1">_xll.BInterpol('Base IPCA'!$C$3:$C$14,'Base IPCA'!$E$3:$E$14,AH1023,"Cubic","Extrapolate=Linear","MultiX=Average","Skip=True","Sort=True")</f>
        <v>#N/A Invalid Parameter: Interpolation value</v>
      </c>
      <c r="AJ1023" s="43" t="str">
        <f ca="1"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0"/>
        <v>#REF!</v>
      </c>
      <c r="AI1024" s="43" t="str">
        <f ca="1">_xll.BInterpol('Base IPCA'!$C$3:$C$14,'Base IPCA'!$E$3:$E$14,AH1024,"Cubic","Extrapolate=Linear","MultiX=Average","Skip=True","Sort=True")</f>
        <v>#N/A Invalid Parameter: Interpolation value</v>
      </c>
      <c r="AJ1024" s="43" t="str">
        <f ca="1"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0"/>
        <v>#REF!</v>
      </c>
      <c r="AI1025" s="43" t="str">
        <f ca="1">_xll.BInterpol('Base IPCA'!$C$3:$C$14,'Base IPCA'!$E$3:$E$14,AH1025,"Cubic","Extrapolate=Linear","MultiX=Average","Skip=True","Sort=True")</f>
        <v>#N/A Invalid Parameter: Interpolation value</v>
      </c>
      <c r="AJ1025" s="43" t="str">
        <f ca="1"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0"/>
        <v>#REF!</v>
      </c>
      <c r="AI1026" s="43" t="str">
        <f ca="1">_xll.BInterpol('Base IPCA'!$C$3:$C$14,'Base IPCA'!$E$3:$E$14,AH1026,"Cubic","Extrapolate=Linear","MultiX=Average","Skip=True","Sort=True")</f>
        <v>#N/A Invalid Parameter: Interpolation value</v>
      </c>
      <c r="AJ1026" s="43" t="str">
        <f ca="1"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0"/>
        <v>#REF!</v>
      </c>
      <c r="AI1027" s="43" t="str">
        <f ca="1">_xll.BInterpol('Base IPCA'!$C$3:$C$14,'Base IPCA'!$E$3:$E$14,AH1027,"Cubic","Extrapolate=Linear","MultiX=Average","Skip=True","Sort=True")</f>
        <v>#N/A Invalid Parameter: Interpolation value</v>
      </c>
      <c r="AJ1027" s="43" t="str">
        <f ca="1"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0"/>
        <v>#REF!</v>
      </c>
      <c r="AI1028" s="43" t="str">
        <f ca="1">_xll.BInterpol('Base IPCA'!$C$3:$C$14,'Base IPCA'!$E$3:$E$14,AH1028,"Cubic","Extrapolate=Linear","MultiX=Average","Skip=True","Sort=True")</f>
        <v>#N/A Invalid Parameter: Interpolation value</v>
      </c>
      <c r="AJ1028" s="43" t="str">
        <f ca="1"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0"/>
        <v>#REF!</v>
      </c>
      <c r="AI1029" s="43" t="str">
        <f ca="1">_xll.BInterpol('Base IPCA'!$C$3:$C$14,'Base IPCA'!$E$3:$E$14,AH1029,"Cubic","Extrapolate=Linear","MultiX=Average","Skip=True","Sort=True")</f>
        <v>#N/A Invalid Parameter: Interpolation value</v>
      </c>
      <c r="AJ1029" s="43" t="str">
        <f ca="1"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1">AH1029+1</f>
        <v>#REF!</v>
      </c>
      <c r="AI1030" s="43" t="str">
        <f ca="1">_xll.BInterpol('Base IPCA'!$C$3:$C$14,'Base IPCA'!$E$3:$E$14,AH1030,"Cubic","Extrapolate=Linear","MultiX=Average","Skip=True","Sort=True")</f>
        <v>#N/A Invalid Parameter: Interpolation value</v>
      </c>
      <c r="AJ1030" s="43" t="str">
        <f ca="1"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1"/>
        <v>#REF!</v>
      </c>
      <c r="AI1031" s="43" t="str">
        <f ca="1">_xll.BInterpol('Base IPCA'!$C$3:$C$14,'Base IPCA'!$E$3:$E$14,AH1031,"Cubic","Extrapolate=Linear","MultiX=Average","Skip=True","Sort=True")</f>
        <v>#N/A Invalid Parameter: Interpolation value</v>
      </c>
      <c r="AJ1031" s="43" t="str">
        <f ca="1"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1"/>
        <v>#REF!</v>
      </c>
      <c r="AI1032" s="43" t="str">
        <f ca="1">_xll.BInterpol('Base IPCA'!$C$3:$C$14,'Base IPCA'!$E$3:$E$14,AH1032,"Cubic","Extrapolate=Linear","MultiX=Average","Skip=True","Sort=True")</f>
        <v>#N/A Invalid Parameter: Interpolation value</v>
      </c>
      <c r="AJ1032" s="43" t="str">
        <f ca="1"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1"/>
        <v>#REF!</v>
      </c>
      <c r="AI1033" s="43" t="str">
        <f ca="1">_xll.BInterpol('Base IPCA'!$C$3:$C$14,'Base IPCA'!$E$3:$E$14,AH1033,"Cubic","Extrapolate=Linear","MultiX=Average","Skip=True","Sort=True")</f>
        <v>#N/A Invalid Parameter: Interpolation value</v>
      </c>
      <c r="AJ1033" s="43" t="str">
        <f ca="1"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1"/>
        <v>#REF!</v>
      </c>
      <c r="AI1034" s="43" t="str">
        <f ca="1">_xll.BInterpol('Base IPCA'!$C$3:$C$14,'Base IPCA'!$E$3:$E$14,AH1034,"Cubic","Extrapolate=Linear","MultiX=Average","Skip=True","Sort=True")</f>
        <v>#N/A Invalid Parameter: Interpolation value</v>
      </c>
      <c r="AJ1034" s="43" t="str">
        <f ca="1"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1"/>
        <v>#REF!</v>
      </c>
      <c r="AI1035" s="43" t="str">
        <f ca="1">_xll.BInterpol('Base IPCA'!$C$3:$C$14,'Base IPCA'!$E$3:$E$14,AH1035,"Cubic","Extrapolate=Linear","MultiX=Average","Skip=True","Sort=True")</f>
        <v>#N/A Invalid Parameter: Interpolation value</v>
      </c>
      <c r="AJ1035" s="43" t="str">
        <f ca="1"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1"/>
        <v>#REF!</v>
      </c>
      <c r="AI1036" s="43" t="str">
        <f ca="1">_xll.BInterpol('Base IPCA'!$C$3:$C$14,'Base IPCA'!$E$3:$E$14,AH1036,"Cubic","Extrapolate=Linear","MultiX=Average","Skip=True","Sort=True")</f>
        <v>#N/A Invalid Parameter: Interpolation value</v>
      </c>
      <c r="AJ1036" s="43" t="str">
        <f ca="1"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1"/>
        <v>#REF!</v>
      </c>
      <c r="AI1037" s="43" t="str">
        <f ca="1">_xll.BInterpol('Base IPCA'!$C$3:$C$14,'Base IPCA'!$E$3:$E$14,AH1037,"Cubic","Extrapolate=Linear","MultiX=Average","Skip=True","Sort=True")</f>
        <v>#N/A Invalid Parameter: Interpolation value</v>
      </c>
      <c r="AJ1037" s="43" t="str">
        <f ca="1"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1"/>
        <v>#REF!</v>
      </c>
      <c r="AI1038" s="43" t="str">
        <f ca="1">_xll.BInterpol('Base IPCA'!$C$3:$C$14,'Base IPCA'!$E$3:$E$14,AH1038,"Cubic","Extrapolate=Linear","MultiX=Average","Skip=True","Sort=True")</f>
        <v>#N/A Invalid Parameter: Interpolation value</v>
      </c>
      <c r="AJ1038" s="43" t="str">
        <f ca="1"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1"/>
        <v>#REF!</v>
      </c>
      <c r="AI1039" s="43" t="str">
        <f ca="1">_xll.BInterpol('Base IPCA'!$C$3:$C$14,'Base IPCA'!$E$3:$E$14,AH1039,"Cubic","Extrapolate=Linear","MultiX=Average","Skip=True","Sort=True")</f>
        <v>#N/A Invalid Parameter: Interpolation value</v>
      </c>
      <c r="AJ1039" s="43" t="str">
        <f ca="1"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1"/>
        <v>#REF!</v>
      </c>
      <c r="AI1040" s="43" t="str">
        <f ca="1">_xll.BInterpol('Base IPCA'!$C$3:$C$14,'Base IPCA'!$E$3:$E$14,AH1040,"Cubic","Extrapolate=Linear","MultiX=Average","Skip=True","Sort=True")</f>
        <v>#N/A Invalid Parameter: Interpolation value</v>
      </c>
      <c r="AJ1040" s="43" t="str">
        <f ca="1"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1"/>
        <v>#REF!</v>
      </c>
      <c r="AI1041" s="43" t="str">
        <f ca="1">_xll.BInterpol('Base IPCA'!$C$3:$C$14,'Base IPCA'!$E$3:$E$14,AH1041,"Cubic","Extrapolate=Linear","MultiX=Average","Skip=True","Sort=True")</f>
        <v>#N/A Invalid Parameter: Interpolation value</v>
      </c>
      <c r="AJ1041" s="43" t="str">
        <f ca="1"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1"/>
        <v>#REF!</v>
      </c>
      <c r="AI1042" s="43" t="str">
        <f ca="1">_xll.BInterpol('Base IPCA'!$C$3:$C$14,'Base IPCA'!$E$3:$E$14,AH1042,"Cubic","Extrapolate=Linear","MultiX=Average","Skip=True","Sort=True")</f>
        <v>#N/A Invalid Parameter: Interpolation value</v>
      </c>
      <c r="AJ1042" s="43" t="str">
        <f ca="1"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1"/>
        <v>#REF!</v>
      </c>
      <c r="AI1043" s="43" t="str">
        <f ca="1">_xll.BInterpol('Base IPCA'!$C$3:$C$14,'Base IPCA'!$E$3:$E$14,AH1043,"Cubic","Extrapolate=Linear","MultiX=Average","Skip=True","Sort=True")</f>
        <v>#N/A Invalid Parameter: Interpolation value</v>
      </c>
      <c r="AJ1043" s="43" t="str">
        <f ca="1"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1"/>
        <v>#REF!</v>
      </c>
      <c r="AI1044" s="43" t="str">
        <f ca="1">_xll.BInterpol('Base IPCA'!$C$3:$C$14,'Base IPCA'!$E$3:$E$14,AH1044,"Cubic","Extrapolate=Linear","MultiX=Average","Skip=True","Sort=True")</f>
        <v>#N/A Invalid Parameter: Interpolation value</v>
      </c>
      <c r="AJ1044" s="43" t="str">
        <f ca="1"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1"/>
        <v>#REF!</v>
      </c>
      <c r="AI1045" s="43" t="str">
        <f ca="1">_xll.BInterpol('Base IPCA'!$C$3:$C$14,'Base IPCA'!$E$3:$E$14,AH1045,"Cubic","Extrapolate=Linear","MultiX=Average","Skip=True","Sort=True")</f>
        <v>#N/A Invalid Parameter: Interpolation value</v>
      </c>
      <c r="AJ1045" s="43" t="str">
        <f ca="1"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1"/>
        <v>#REF!</v>
      </c>
      <c r="AI1046" s="43" t="str">
        <f ca="1">_xll.BInterpol('Base IPCA'!$C$3:$C$14,'Base IPCA'!$E$3:$E$14,AH1046,"Cubic","Extrapolate=Linear","MultiX=Average","Skip=True","Sort=True")</f>
        <v>#N/A Invalid Parameter: Interpolation value</v>
      </c>
      <c r="AJ1046" s="43" t="str">
        <f ca="1"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1"/>
        <v>#REF!</v>
      </c>
      <c r="AI1047" s="43" t="str">
        <f ca="1">_xll.BInterpol('Base IPCA'!$C$3:$C$14,'Base IPCA'!$E$3:$E$14,AH1047,"Cubic","Extrapolate=Linear","MultiX=Average","Skip=True","Sort=True")</f>
        <v>#N/A Invalid Parameter: Interpolation value</v>
      </c>
      <c r="AJ1047" s="43" t="str">
        <f ca="1"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1"/>
        <v>#REF!</v>
      </c>
      <c r="AI1048" s="43" t="str">
        <f ca="1">_xll.BInterpol('Base IPCA'!$C$3:$C$14,'Base IPCA'!$E$3:$E$14,AH1048,"Cubic","Extrapolate=Linear","MultiX=Average","Skip=True","Sort=True")</f>
        <v>#N/A Invalid Parameter: Interpolation value</v>
      </c>
      <c r="AJ1048" s="43" t="str">
        <f ca="1"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1"/>
        <v>#REF!</v>
      </c>
      <c r="AI1049" s="43" t="str">
        <f ca="1">_xll.BInterpol('Base IPCA'!$C$3:$C$14,'Base IPCA'!$E$3:$E$14,AH1049,"Cubic","Extrapolate=Linear","MultiX=Average","Skip=True","Sort=True")</f>
        <v>#N/A Invalid Parameter: Interpolation value</v>
      </c>
      <c r="AJ1049" s="43" t="str">
        <f ca="1"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1"/>
        <v>#REF!</v>
      </c>
      <c r="AI1050" s="43" t="str">
        <f ca="1">_xll.BInterpol('Base IPCA'!$C$3:$C$14,'Base IPCA'!$E$3:$E$14,AH1050,"Cubic","Extrapolate=Linear","MultiX=Average","Skip=True","Sort=True")</f>
        <v>#N/A Invalid Parameter: Interpolation value</v>
      </c>
      <c r="AJ1050" s="43" t="str">
        <f ca="1"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1"/>
        <v>#REF!</v>
      </c>
      <c r="AI1051" s="43" t="str">
        <f ca="1">_xll.BInterpol('Base IPCA'!$C$3:$C$14,'Base IPCA'!$E$3:$E$14,AH1051,"Cubic","Extrapolate=Linear","MultiX=Average","Skip=True","Sort=True")</f>
        <v>#N/A Invalid Parameter: Interpolation value</v>
      </c>
      <c r="AJ1051" s="43" t="str">
        <f ca="1"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1"/>
        <v>#REF!</v>
      </c>
      <c r="AI1052" s="43" t="str">
        <f ca="1">_xll.BInterpol('Base IPCA'!$C$3:$C$14,'Base IPCA'!$E$3:$E$14,AH1052,"Cubic","Extrapolate=Linear","MultiX=Average","Skip=True","Sort=True")</f>
        <v>#N/A Invalid Parameter: Interpolation value</v>
      </c>
      <c r="AJ1052" s="43" t="str">
        <f ca="1"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1"/>
        <v>#REF!</v>
      </c>
      <c r="AI1053" s="43" t="str">
        <f ca="1">_xll.BInterpol('Base IPCA'!$C$3:$C$14,'Base IPCA'!$E$3:$E$14,AH1053,"Cubic","Extrapolate=Linear","MultiX=Average","Skip=True","Sort=True")</f>
        <v>#N/A Invalid Parameter: Interpolation value</v>
      </c>
      <c r="AJ1053" s="43" t="str">
        <f ca="1"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1"/>
        <v>#REF!</v>
      </c>
      <c r="AI1054" s="43" t="str">
        <f ca="1">_xll.BInterpol('Base IPCA'!$C$3:$C$14,'Base IPCA'!$E$3:$E$14,AH1054,"Cubic","Extrapolate=Linear","MultiX=Average","Skip=True","Sort=True")</f>
        <v>#N/A Invalid Parameter: Interpolation value</v>
      </c>
      <c r="AJ1054" s="43" t="str">
        <f ca="1"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1"/>
        <v>#REF!</v>
      </c>
      <c r="AI1055" s="43" t="str">
        <f ca="1">_xll.BInterpol('Base IPCA'!$C$3:$C$14,'Base IPCA'!$E$3:$E$14,AH1055,"Cubic","Extrapolate=Linear","MultiX=Average","Skip=True","Sort=True")</f>
        <v>#N/A Invalid Parameter: Interpolation value</v>
      </c>
      <c r="AJ1055" s="43" t="str">
        <f ca="1"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1"/>
        <v>#REF!</v>
      </c>
      <c r="AI1056" s="43" t="str">
        <f ca="1">_xll.BInterpol('Base IPCA'!$C$3:$C$14,'Base IPCA'!$E$3:$E$14,AH1056,"Cubic","Extrapolate=Linear","MultiX=Average","Skip=True","Sort=True")</f>
        <v>#N/A Invalid Parameter: Interpolation value</v>
      </c>
      <c r="AJ1056" s="43" t="str">
        <f ca="1"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1"/>
        <v>#REF!</v>
      </c>
      <c r="AI1057" s="43" t="str">
        <f ca="1">_xll.BInterpol('Base IPCA'!$C$3:$C$14,'Base IPCA'!$E$3:$E$14,AH1057,"Cubic","Extrapolate=Linear","MultiX=Average","Skip=True","Sort=True")</f>
        <v>#N/A Invalid Parameter: Interpolation value</v>
      </c>
      <c r="AJ1057" s="43" t="str">
        <f ca="1"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1"/>
        <v>#REF!</v>
      </c>
      <c r="AI1058" s="43" t="str">
        <f ca="1">_xll.BInterpol('Base IPCA'!$C$3:$C$14,'Base IPCA'!$E$3:$E$14,AH1058,"Cubic","Extrapolate=Linear","MultiX=Average","Skip=True","Sort=True")</f>
        <v>#N/A Invalid Parameter: Interpolation value</v>
      </c>
      <c r="AJ1058" s="43" t="str">
        <f ca="1"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1"/>
        <v>#REF!</v>
      </c>
      <c r="AI1059" s="43" t="str">
        <f ca="1">_xll.BInterpol('Base IPCA'!$C$3:$C$14,'Base IPCA'!$E$3:$E$14,AH1059,"Cubic","Extrapolate=Linear","MultiX=Average","Skip=True","Sort=True")</f>
        <v>#N/A Invalid Parameter: Interpolation value</v>
      </c>
      <c r="AJ1059" s="43" t="str">
        <f ca="1"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1"/>
        <v>#REF!</v>
      </c>
      <c r="AI1060" s="43" t="str">
        <f ca="1">_xll.BInterpol('Base IPCA'!$C$3:$C$14,'Base IPCA'!$E$3:$E$14,AH1060,"Cubic","Extrapolate=Linear","MultiX=Average","Skip=True","Sort=True")</f>
        <v>#N/A Invalid Parameter: Interpolation value</v>
      </c>
      <c r="AJ1060" s="43" t="str">
        <f ca="1"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1"/>
        <v>#REF!</v>
      </c>
      <c r="AI1061" s="43" t="str">
        <f ca="1">_xll.BInterpol('Base IPCA'!$C$3:$C$14,'Base IPCA'!$E$3:$E$14,AH1061,"Cubic","Extrapolate=Linear","MultiX=Average","Skip=True","Sort=True")</f>
        <v>#N/A Invalid Parameter: Interpolation value</v>
      </c>
      <c r="AJ1061" s="43" t="str">
        <f ca="1"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1"/>
        <v>#REF!</v>
      </c>
      <c r="AI1062" s="43" t="str">
        <f ca="1">_xll.BInterpol('Base IPCA'!$C$3:$C$14,'Base IPCA'!$E$3:$E$14,AH1062,"Cubic","Extrapolate=Linear","MultiX=Average","Skip=True","Sort=True")</f>
        <v>#N/A Invalid Parameter: Interpolation value</v>
      </c>
      <c r="AJ1062" s="43" t="str">
        <f ca="1"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1"/>
        <v>#REF!</v>
      </c>
      <c r="AI1063" s="43" t="str">
        <f ca="1">_xll.BInterpol('Base IPCA'!$C$3:$C$14,'Base IPCA'!$E$3:$E$14,AH1063,"Cubic","Extrapolate=Linear","MultiX=Average","Skip=True","Sort=True")</f>
        <v>#N/A Invalid Parameter: Interpolation value</v>
      </c>
      <c r="AJ1063" s="43" t="str">
        <f ca="1"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1"/>
        <v>#REF!</v>
      </c>
      <c r="AI1064" s="43" t="str">
        <f ca="1">_xll.BInterpol('Base IPCA'!$C$3:$C$14,'Base IPCA'!$E$3:$E$14,AH1064,"Cubic","Extrapolate=Linear","MultiX=Average","Skip=True","Sort=True")</f>
        <v>#N/A Invalid Parameter: Interpolation value</v>
      </c>
      <c r="AJ1064" s="43" t="str">
        <f ca="1"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1"/>
        <v>#REF!</v>
      </c>
      <c r="AI1065" s="43" t="str">
        <f ca="1">_xll.BInterpol('Base IPCA'!$C$3:$C$14,'Base IPCA'!$E$3:$E$14,AH1065,"Cubic","Extrapolate=Linear","MultiX=Average","Skip=True","Sort=True")</f>
        <v>#N/A Invalid Parameter: Interpolation value</v>
      </c>
      <c r="AJ1065" s="43" t="str">
        <f ca="1"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1"/>
        <v>#REF!</v>
      </c>
      <c r="AI1066" s="43" t="str">
        <f ca="1">_xll.BInterpol('Base IPCA'!$C$3:$C$14,'Base IPCA'!$E$3:$E$14,AH1066,"Cubic","Extrapolate=Linear","MultiX=Average","Skip=True","Sort=True")</f>
        <v>#N/A Invalid Parameter: Interpolation value</v>
      </c>
      <c r="AJ1066" s="43" t="str">
        <f ca="1"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1"/>
        <v>#REF!</v>
      </c>
      <c r="AI1067" s="43" t="str">
        <f ca="1">_xll.BInterpol('Base IPCA'!$C$3:$C$14,'Base IPCA'!$E$3:$E$14,AH1067,"Cubic","Extrapolate=Linear","MultiX=Average","Skip=True","Sort=True")</f>
        <v>#N/A Invalid Parameter: Interpolation value</v>
      </c>
      <c r="AJ1067" s="43" t="str">
        <f ca="1"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1"/>
        <v>#REF!</v>
      </c>
      <c r="AI1068" s="43" t="str">
        <f ca="1">_xll.BInterpol('Base IPCA'!$C$3:$C$14,'Base IPCA'!$E$3:$E$14,AH1068,"Cubic","Extrapolate=Linear","MultiX=Average","Skip=True","Sort=True")</f>
        <v>#N/A Invalid Parameter: Interpolation value</v>
      </c>
      <c r="AJ1068" s="43" t="str">
        <f ca="1"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1"/>
        <v>#REF!</v>
      </c>
      <c r="AI1069" s="43" t="str">
        <f ca="1">_xll.BInterpol('Base IPCA'!$C$3:$C$14,'Base IPCA'!$E$3:$E$14,AH1069,"Cubic","Extrapolate=Linear","MultiX=Average","Skip=True","Sort=True")</f>
        <v>#N/A Invalid Parameter: Interpolation value</v>
      </c>
      <c r="AJ1069" s="43" t="str">
        <f ca="1"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1"/>
        <v>#REF!</v>
      </c>
      <c r="AI1070" s="43" t="str">
        <f ca="1">_xll.BInterpol('Base IPCA'!$C$3:$C$14,'Base IPCA'!$E$3:$E$14,AH1070,"Cubic","Extrapolate=Linear","MultiX=Average","Skip=True","Sort=True")</f>
        <v>#N/A Invalid Parameter: Interpolation value</v>
      </c>
      <c r="AJ1070" s="43" t="str">
        <f ca="1"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1"/>
        <v>#REF!</v>
      </c>
      <c r="AI1071" s="43" t="str">
        <f ca="1">_xll.BInterpol('Base IPCA'!$C$3:$C$14,'Base IPCA'!$E$3:$E$14,AH1071,"Cubic","Extrapolate=Linear","MultiX=Average","Skip=True","Sort=True")</f>
        <v>#N/A Invalid Parameter: Interpolation value</v>
      </c>
      <c r="AJ1071" s="43" t="str">
        <f ca="1"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1"/>
        <v>#REF!</v>
      </c>
      <c r="AI1072" s="43" t="str">
        <f ca="1">_xll.BInterpol('Base IPCA'!$C$3:$C$14,'Base IPCA'!$E$3:$E$14,AH1072,"Cubic","Extrapolate=Linear","MultiX=Average","Skip=True","Sort=True")</f>
        <v>#N/A Invalid Parameter: Interpolation value</v>
      </c>
      <c r="AJ1072" s="43" t="str">
        <f ca="1"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1"/>
        <v>#REF!</v>
      </c>
      <c r="AI1073" s="43" t="str">
        <f ca="1">_xll.BInterpol('Base IPCA'!$C$3:$C$14,'Base IPCA'!$E$3:$E$14,AH1073,"Cubic","Extrapolate=Linear","MultiX=Average","Skip=True","Sort=True")</f>
        <v>#N/A Invalid Parameter: Interpolation value</v>
      </c>
      <c r="AJ1073" s="43" t="str">
        <f ca="1"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1"/>
        <v>#REF!</v>
      </c>
      <c r="AI1074" s="43" t="str">
        <f ca="1">_xll.BInterpol('Base IPCA'!$C$3:$C$14,'Base IPCA'!$E$3:$E$14,AH1074,"Cubic","Extrapolate=Linear","MultiX=Average","Skip=True","Sort=True")</f>
        <v>#N/A Invalid Parameter: Interpolation value</v>
      </c>
      <c r="AJ1074" s="43" t="str">
        <f ca="1"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1"/>
        <v>#REF!</v>
      </c>
      <c r="AI1075" s="43" t="str">
        <f ca="1">_xll.BInterpol('Base IPCA'!$C$3:$C$14,'Base IPCA'!$E$3:$E$14,AH1075,"Cubic","Extrapolate=Linear","MultiX=Average","Skip=True","Sort=True")</f>
        <v>#N/A Invalid Parameter: Interpolation value</v>
      </c>
      <c r="AJ1075" s="43" t="str">
        <f ca="1"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1"/>
        <v>#REF!</v>
      </c>
      <c r="AI1076" s="43" t="str">
        <f ca="1">_xll.BInterpol('Base IPCA'!$C$3:$C$14,'Base IPCA'!$E$3:$E$14,AH1076,"Cubic","Extrapolate=Linear","MultiX=Average","Skip=True","Sort=True")</f>
        <v>#N/A Invalid Parameter: Interpolation value</v>
      </c>
      <c r="AJ1076" s="43" t="str">
        <f ca="1"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1"/>
        <v>#REF!</v>
      </c>
      <c r="AI1077" s="43" t="str">
        <f ca="1">_xll.BInterpol('Base IPCA'!$C$3:$C$14,'Base IPCA'!$E$3:$E$14,AH1077,"Cubic","Extrapolate=Linear","MultiX=Average","Skip=True","Sort=True")</f>
        <v>#N/A Invalid Parameter: Interpolation value</v>
      </c>
      <c r="AJ1077" s="43" t="str">
        <f ca="1"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1"/>
        <v>#REF!</v>
      </c>
      <c r="AI1078" s="43" t="str">
        <f ca="1">_xll.BInterpol('Base IPCA'!$C$3:$C$14,'Base IPCA'!$E$3:$E$14,AH1078,"Cubic","Extrapolate=Linear","MultiX=Average","Skip=True","Sort=True")</f>
        <v>#N/A Invalid Parameter: Interpolation value</v>
      </c>
      <c r="AJ1078" s="43" t="str">
        <f ca="1"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1"/>
        <v>#REF!</v>
      </c>
      <c r="AI1079" s="43" t="str">
        <f ca="1">_xll.BInterpol('Base IPCA'!$C$3:$C$14,'Base IPCA'!$E$3:$E$14,AH1079,"Cubic","Extrapolate=Linear","MultiX=Average","Skip=True","Sort=True")</f>
        <v>#N/A Invalid Parameter: Interpolation value</v>
      </c>
      <c r="AJ1079" s="43" t="str">
        <f ca="1"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1"/>
        <v>#REF!</v>
      </c>
      <c r="AI1080" s="43" t="str">
        <f ca="1">_xll.BInterpol('Base IPCA'!$C$3:$C$14,'Base IPCA'!$E$3:$E$14,AH1080,"Cubic","Extrapolate=Linear","MultiX=Average","Skip=True","Sort=True")</f>
        <v>#N/A Invalid Parameter: Interpolation value</v>
      </c>
      <c r="AJ1080" s="43" t="str">
        <f ca="1"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1"/>
        <v>#REF!</v>
      </c>
      <c r="AI1081" s="43" t="str">
        <f ca="1">_xll.BInterpol('Base IPCA'!$C$3:$C$14,'Base IPCA'!$E$3:$E$14,AH1081,"Cubic","Extrapolate=Linear","MultiX=Average","Skip=True","Sort=True")</f>
        <v>#N/A Invalid Parameter: Interpolation value</v>
      </c>
      <c r="AJ1081" s="43" t="str">
        <f ca="1"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1"/>
        <v>#REF!</v>
      </c>
      <c r="AI1082" s="43" t="str">
        <f ca="1">_xll.BInterpol('Base IPCA'!$C$3:$C$14,'Base IPCA'!$E$3:$E$14,AH1082,"Cubic","Extrapolate=Linear","MultiX=Average","Skip=True","Sort=True")</f>
        <v>#N/A Invalid Parameter: Interpolation value</v>
      </c>
      <c r="AJ1082" s="43" t="str">
        <f ca="1"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1"/>
        <v>#REF!</v>
      </c>
      <c r="AI1083" s="43" t="str">
        <f ca="1">_xll.BInterpol('Base IPCA'!$C$3:$C$14,'Base IPCA'!$E$3:$E$14,AH1083,"Cubic","Extrapolate=Linear","MultiX=Average","Skip=True","Sort=True")</f>
        <v>#N/A Invalid Parameter: Interpolation value</v>
      </c>
      <c r="AJ1083" s="43" t="str">
        <f ca="1"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1"/>
        <v>#REF!</v>
      </c>
      <c r="AI1084" s="43" t="str">
        <f ca="1">_xll.BInterpol('Base IPCA'!$C$3:$C$14,'Base IPCA'!$E$3:$E$14,AH1084,"Cubic","Extrapolate=Linear","MultiX=Average","Skip=True","Sort=True")</f>
        <v>#N/A Invalid Parameter: Interpolation value</v>
      </c>
      <c r="AJ1084" s="43" t="str">
        <f ca="1"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1"/>
        <v>#REF!</v>
      </c>
      <c r="AI1085" s="43" t="str">
        <f ca="1">_xll.BInterpol('Base IPCA'!$C$3:$C$14,'Base IPCA'!$E$3:$E$14,AH1085,"Cubic","Extrapolate=Linear","MultiX=Average","Skip=True","Sort=True")</f>
        <v>#N/A Invalid Parameter: Interpolation value</v>
      </c>
      <c r="AJ1085" s="43" t="str">
        <f ca="1"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1"/>
        <v>#REF!</v>
      </c>
      <c r="AI1086" s="43" t="str">
        <f ca="1">_xll.BInterpol('Base IPCA'!$C$3:$C$14,'Base IPCA'!$E$3:$E$14,AH1086,"Cubic","Extrapolate=Linear","MultiX=Average","Skip=True","Sort=True")</f>
        <v>#N/A Invalid Parameter: Interpolation value</v>
      </c>
      <c r="AJ1086" s="43" t="str">
        <f ca="1"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1"/>
        <v>#REF!</v>
      </c>
      <c r="AI1087" s="43" t="str">
        <f ca="1">_xll.BInterpol('Base IPCA'!$C$3:$C$14,'Base IPCA'!$E$3:$E$14,AH1087,"Cubic","Extrapolate=Linear","MultiX=Average","Skip=True","Sort=True")</f>
        <v>#N/A Invalid Parameter: Interpolation value</v>
      </c>
      <c r="AJ1087" s="43" t="str">
        <f ca="1"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1"/>
        <v>#REF!</v>
      </c>
      <c r="AI1088" s="43" t="str">
        <f ca="1">_xll.BInterpol('Base IPCA'!$C$3:$C$14,'Base IPCA'!$E$3:$E$14,AH1088,"Cubic","Extrapolate=Linear","MultiX=Average","Skip=True","Sort=True")</f>
        <v>#N/A Invalid Parameter: Interpolation value</v>
      </c>
      <c r="AJ1088" s="43" t="str">
        <f ca="1"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1"/>
        <v>#REF!</v>
      </c>
      <c r="AI1089" s="43" t="str">
        <f ca="1">_xll.BInterpol('Base IPCA'!$C$3:$C$14,'Base IPCA'!$E$3:$E$14,AH1089,"Cubic","Extrapolate=Linear","MultiX=Average","Skip=True","Sort=True")</f>
        <v>#N/A Invalid Parameter: Interpolation value</v>
      </c>
      <c r="AJ1089" s="43" t="str">
        <f ca="1"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1"/>
        <v>#REF!</v>
      </c>
      <c r="AI1090" s="43" t="str">
        <f ca="1">_xll.BInterpol('Base IPCA'!$C$3:$C$14,'Base IPCA'!$E$3:$E$14,AH1090,"Cubic","Extrapolate=Linear","MultiX=Average","Skip=True","Sort=True")</f>
        <v>#N/A Invalid Parameter: Interpolation value</v>
      </c>
      <c r="AJ1090" s="43" t="str">
        <f ca="1"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1"/>
        <v>#REF!</v>
      </c>
      <c r="AI1091" s="43" t="str">
        <f ca="1">_xll.BInterpol('Base IPCA'!$C$3:$C$14,'Base IPCA'!$E$3:$E$14,AH1091,"Cubic","Extrapolate=Linear","MultiX=Average","Skip=True","Sort=True")</f>
        <v>#N/A Invalid Parameter: Interpolation value</v>
      </c>
      <c r="AJ1091" s="43" t="str">
        <f ca="1"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1"/>
        <v>#REF!</v>
      </c>
      <c r="AI1092" s="43" t="str">
        <f ca="1">_xll.BInterpol('Base IPCA'!$C$3:$C$14,'Base IPCA'!$E$3:$E$14,AH1092,"Cubic","Extrapolate=Linear","MultiX=Average","Skip=True","Sort=True")</f>
        <v>#N/A Invalid Parameter: Interpolation value</v>
      </c>
      <c r="AJ1092" s="43" t="str">
        <f ca="1"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1"/>
        <v>#REF!</v>
      </c>
      <c r="AI1093" s="43" t="str">
        <f ca="1">_xll.BInterpol('Base IPCA'!$C$3:$C$14,'Base IPCA'!$E$3:$E$14,AH1093,"Cubic","Extrapolate=Linear","MultiX=Average","Skip=True","Sort=True")</f>
        <v>#N/A Invalid Parameter: Interpolation value</v>
      </c>
      <c r="AJ1093" s="43" t="str">
        <f ca="1"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02">AH1093+1</f>
        <v>#REF!</v>
      </c>
      <c r="AI1094" s="43" t="str">
        <f ca="1">_xll.BInterpol('Base IPCA'!$C$3:$C$14,'Base IPCA'!$E$3:$E$14,AH1094,"Cubic","Extrapolate=Linear","MultiX=Average","Skip=True","Sort=True")</f>
        <v>#N/A Invalid Parameter: Interpolation value</v>
      </c>
      <c r="AJ1094" s="43" t="str">
        <f ca="1"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02"/>
        <v>#REF!</v>
      </c>
      <c r="AI1095" s="43" t="str">
        <f ca="1">_xll.BInterpol('Base IPCA'!$C$3:$C$14,'Base IPCA'!$E$3:$E$14,AH1095,"Cubic","Extrapolate=Linear","MultiX=Average","Skip=True","Sort=True")</f>
        <v>#N/A Invalid Parameter: Interpolation value</v>
      </c>
      <c r="AJ1095" s="43" t="str">
        <f ca="1"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02"/>
        <v>#REF!</v>
      </c>
      <c r="AI1096" s="43" t="str">
        <f ca="1">_xll.BInterpol('Base IPCA'!$C$3:$C$14,'Base IPCA'!$E$3:$E$14,AH1096,"Cubic","Extrapolate=Linear","MultiX=Average","Skip=True","Sort=True")</f>
        <v>#N/A Invalid Parameter: Interpolation value</v>
      </c>
      <c r="AJ1096" s="43" t="str">
        <f ca="1"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02"/>
        <v>#REF!</v>
      </c>
      <c r="AI1097" s="43" t="str">
        <f ca="1">_xll.BInterpol('Base IPCA'!$C$3:$C$14,'Base IPCA'!$E$3:$E$14,AH1097,"Cubic","Extrapolate=Linear","MultiX=Average","Skip=True","Sort=True")</f>
        <v>#N/A Invalid Parameter: Interpolation value</v>
      </c>
      <c r="AJ1097" s="43" t="str">
        <f ca="1"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02"/>
        <v>#REF!</v>
      </c>
      <c r="AI1098" s="43" t="str">
        <f ca="1">_xll.BInterpol('Base IPCA'!$C$3:$C$14,'Base IPCA'!$E$3:$E$14,AH1098,"Cubic","Extrapolate=Linear","MultiX=Average","Skip=True","Sort=True")</f>
        <v>#N/A Invalid Parameter: Interpolation value</v>
      </c>
      <c r="AJ1098" s="43" t="str">
        <f ca="1"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02"/>
        <v>#REF!</v>
      </c>
      <c r="AI1099" s="43" t="str">
        <f ca="1">_xll.BInterpol('Base IPCA'!$C$3:$C$14,'Base IPCA'!$E$3:$E$14,AH1099,"Cubic","Extrapolate=Linear","MultiX=Average","Skip=True","Sort=True")</f>
        <v>#N/A Invalid Parameter: Interpolation value</v>
      </c>
      <c r="AJ1099" s="43" t="str">
        <f ca="1"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02"/>
        <v>#REF!</v>
      </c>
      <c r="AI1100" s="43" t="str">
        <f ca="1">_xll.BInterpol('Base IPCA'!$C$3:$C$14,'Base IPCA'!$E$3:$E$14,AH1100,"Cubic","Extrapolate=Linear","MultiX=Average","Skip=True","Sort=True")</f>
        <v>#N/A Invalid Parameter: Interpolation value</v>
      </c>
      <c r="AJ1100" s="43" t="str">
        <f ca="1"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02"/>
        <v>#REF!</v>
      </c>
      <c r="AI1101" s="43" t="str">
        <f ca="1">_xll.BInterpol('Base IPCA'!$C$3:$C$14,'Base IPCA'!$E$3:$E$14,AH1101,"Cubic","Extrapolate=Linear","MultiX=Average","Skip=True","Sort=True")</f>
        <v>#N/A Invalid Parameter: Interpolation value</v>
      </c>
      <c r="AJ1101" s="43" t="str">
        <f ca="1"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02"/>
        <v>#REF!</v>
      </c>
      <c r="AI1102" s="43" t="str">
        <f ca="1">_xll.BInterpol('Base IPCA'!$C$3:$C$14,'Base IPCA'!$E$3:$E$14,AH1102,"Cubic","Extrapolate=Linear","MultiX=Average","Skip=True","Sort=True")</f>
        <v>#N/A Invalid Parameter: Interpolation value</v>
      </c>
      <c r="AJ1102" s="43" t="str">
        <f ca="1"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02"/>
        <v>#REF!</v>
      </c>
      <c r="AI1103" s="43" t="str">
        <f ca="1">_xll.BInterpol('Base IPCA'!$C$3:$C$14,'Base IPCA'!$E$3:$E$14,AH1103,"Cubic","Extrapolate=Linear","MultiX=Average","Skip=True","Sort=True")</f>
        <v>#N/A Invalid Parameter: Interpolation value</v>
      </c>
      <c r="AJ1103" s="43" t="str">
        <f ca="1"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02"/>
        <v>#REF!</v>
      </c>
      <c r="AI1104" s="43" t="str">
        <f ca="1">_xll.BInterpol('Base IPCA'!$C$3:$C$14,'Base IPCA'!$E$3:$E$14,AH1104,"Cubic","Extrapolate=Linear","MultiX=Average","Skip=True","Sort=True")</f>
        <v>#N/A Invalid Parameter: Interpolation value</v>
      </c>
      <c r="AJ1104" s="43" t="str">
        <f ca="1"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02"/>
        <v>#REF!</v>
      </c>
      <c r="AI1105" s="43" t="str">
        <f ca="1">_xll.BInterpol('Base IPCA'!$C$3:$C$14,'Base IPCA'!$E$3:$E$14,AH1105,"Cubic","Extrapolate=Linear","MultiX=Average","Skip=True","Sort=True")</f>
        <v>#N/A Invalid Parameter: Interpolation value</v>
      </c>
      <c r="AJ1105" s="43" t="str">
        <f ca="1"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02"/>
        <v>#REF!</v>
      </c>
      <c r="AI1106" s="43" t="str">
        <f ca="1">_xll.BInterpol('Base IPCA'!$C$3:$C$14,'Base IPCA'!$E$3:$E$14,AH1106,"Cubic","Extrapolate=Linear","MultiX=Average","Skip=True","Sort=True")</f>
        <v>#N/A Invalid Parameter: Interpolation value</v>
      </c>
      <c r="AJ1106" s="43" t="str">
        <f ca="1"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02"/>
        <v>#REF!</v>
      </c>
      <c r="AI1107" s="43" t="str">
        <f ca="1">_xll.BInterpol('Base IPCA'!$C$3:$C$14,'Base IPCA'!$E$3:$E$14,AH1107,"Cubic","Extrapolate=Linear","MultiX=Average","Skip=True","Sort=True")</f>
        <v>#N/A Invalid Parameter: Interpolation value</v>
      </c>
      <c r="AJ1107" s="43" t="str">
        <f ca="1"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02"/>
        <v>#REF!</v>
      </c>
      <c r="AI1108" s="43" t="str">
        <f ca="1">_xll.BInterpol('Base IPCA'!$C$3:$C$14,'Base IPCA'!$E$3:$E$14,AH1108,"Cubic","Extrapolate=Linear","MultiX=Average","Skip=True","Sort=True")</f>
        <v>#N/A Invalid Parameter: Interpolation value</v>
      </c>
      <c r="AJ1108" s="43" t="str">
        <f ca="1"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02"/>
        <v>#REF!</v>
      </c>
      <c r="AI1109" s="43" t="str">
        <f ca="1">_xll.BInterpol('Base IPCA'!$C$3:$C$14,'Base IPCA'!$E$3:$E$14,AH1109,"Cubic","Extrapolate=Linear","MultiX=Average","Skip=True","Sort=True")</f>
        <v>#N/A Invalid Parameter: Interpolation value</v>
      </c>
      <c r="AJ1109" s="43" t="str">
        <f ca="1"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02"/>
        <v>#REF!</v>
      </c>
      <c r="AI1110" s="43" t="str">
        <f ca="1">_xll.BInterpol('Base IPCA'!$C$3:$C$14,'Base IPCA'!$E$3:$E$14,AH1110,"Cubic","Extrapolate=Linear","MultiX=Average","Skip=True","Sort=True")</f>
        <v>#N/A Invalid Parameter: Interpolation value</v>
      </c>
      <c r="AJ1110" s="43" t="str">
        <f ca="1"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02"/>
        <v>#REF!</v>
      </c>
      <c r="AI1111" s="43" t="str">
        <f ca="1">_xll.BInterpol('Base IPCA'!$C$3:$C$14,'Base IPCA'!$E$3:$E$14,AH1111,"Cubic","Extrapolate=Linear","MultiX=Average","Skip=True","Sort=True")</f>
        <v>#N/A Invalid Parameter: Interpolation value</v>
      </c>
      <c r="AJ1111" s="43" t="str">
        <f ca="1"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02"/>
        <v>#REF!</v>
      </c>
      <c r="AI1112" s="43" t="str">
        <f ca="1">_xll.BInterpol('Base IPCA'!$C$3:$C$14,'Base IPCA'!$E$3:$E$14,AH1112,"Cubic","Extrapolate=Linear","MultiX=Average","Skip=True","Sort=True")</f>
        <v>#N/A Invalid Parameter: Interpolation value</v>
      </c>
      <c r="AJ1112" s="43" t="str">
        <f ca="1"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02"/>
        <v>#REF!</v>
      </c>
      <c r="AI1113" s="43" t="str">
        <f ca="1">_xll.BInterpol('Base IPCA'!$C$3:$C$14,'Base IPCA'!$E$3:$E$14,AH1113,"Cubic","Extrapolate=Linear","MultiX=Average","Skip=True","Sort=True")</f>
        <v>#N/A Invalid Parameter: Interpolation value</v>
      </c>
      <c r="AJ1113" s="43" t="str">
        <f ca="1"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02"/>
        <v>#REF!</v>
      </c>
      <c r="AI1114" s="43" t="str">
        <f ca="1">_xll.BInterpol('Base IPCA'!$C$3:$C$14,'Base IPCA'!$E$3:$E$14,AH1114,"Cubic","Extrapolate=Linear","MultiX=Average","Skip=True","Sort=True")</f>
        <v>#N/A Invalid Parameter: Interpolation value</v>
      </c>
      <c r="AJ1114" s="43" t="str">
        <f ca="1"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02"/>
        <v>#REF!</v>
      </c>
      <c r="AI1115" s="43" t="str">
        <f ca="1">_xll.BInterpol('Base IPCA'!$C$3:$C$14,'Base IPCA'!$E$3:$E$14,AH1115,"Cubic","Extrapolate=Linear","MultiX=Average","Skip=True","Sort=True")</f>
        <v>#N/A Invalid Parameter: Interpolation value</v>
      </c>
      <c r="AJ1115" s="43" t="str">
        <f ca="1"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02"/>
        <v>#REF!</v>
      </c>
      <c r="AI1116" s="43" t="str">
        <f ca="1">_xll.BInterpol('Base IPCA'!$C$3:$C$14,'Base IPCA'!$E$3:$E$14,AH1116,"Cubic","Extrapolate=Linear","MultiX=Average","Skip=True","Sort=True")</f>
        <v>#N/A Invalid Parameter: Interpolation value</v>
      </c>
      <c r="AJ1116" s="43" t="str">
        <f ca="1"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02"/>
        <v>#REF!</v>
      </c>
      <c r="AI1117" s="43" t="str">
        <f ca="1">_xll.BInterpol('Base IPCA'!$C$3:$C$14,'Base IPCA'!$E$3:$E$14,AH1117,"Cubic","Extrapolate=Linear","MultiX=Average","Skip=True","Sort=True")</f>
        <v>#N/A Invalid Parameter: Interpolation value</v>
      </c>
      <c r="AJ1117" s="43" t="str">
        <f ca="1"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02"/>
        <v>#REF!</v>
      </c>
      <c r="AI1118" s="43" t="str">
        <f ca="1">_xll.BInterpol('Base IPCA'!$C$3:$C$14,'Base IPCA'!$E$3:$E$14,AH1118,"Cubic","Extrapolate=Linear","MultiX=Average","Skip=True","Sort=True")</f>
        <v>#N/A Invalid Parameter: Interpolation value</v>
      </c>
      <c r="AJ1118" s="43" t="str">
        <f ca="1"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02"/>
        <v>#REF!</v>
      </c>
      <c r="AI1119" s="43" t="str">
        <f ca="1">_xll.BInterpol('Base IPCA'!$C$3:$C$14,'Base IPCA'!$E$3:$E$14,AH1119,"Cubic","Extrapolate=Linear","MultiX=Average","Skip=True","Sort=True")</f>
        <v>#N/A Invalid Parameter: Interpolation value</v>
      </c>
      <c r="AJ1119" s="43" t="str">
        <f ca="1"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02"/>
        <v>#REF!</v>
      </c>
      <c r="AI1120" s="43" t="str">
        <f ca="1">_xll.BInterpol('Base IPCA'!$C$3:$C$14,'Base IPCA'!$E$3:$E$14,AH1120,"Cubic","Extrapolate=Linear","MultiX=Average","Skip=True","Sort=True")</f>
        <v>#N/A Invalid Parameter: Interpolation value</v>
      </c>
      <c r="AJ1120" s="43" t="str">
        <f ca="1"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02"/>
        <v>#REF!</v>
      </c>
      <c r="AI1121" s="43" t="str">
        <f ca="1">_xll.BInterpol('Base IPCA'!$C$3:$C$14,'Base IPCA'!$E$3:$E$14,AH1121,"Cubic","Extrapolate=Linear","MultiX=Average","Skip=True","Sort=True")</f>
        <v>#N/A Invalid Parameter: Interpolation value</v>
      </c>
      <c r="AJ1121" s="43" t="str">
        <f ca="1"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02"/>
        <v>#REF!</v>
      </c>
      <c r="AI1122" s="43" t="str">
        <f ca="1">_xll.BInterpol('Base IPCA'!$C$3:$C$14,'Base IPCA'!$E$3:$E$14,AH1122,"Cubic","Extrapolate=Linear","MultiX=Average","Skip=True","Sort=True")</f>
        <v>#N/A Invalid Parameter: Interpolation value</v>
      </c>
      <c r="AJ1122" s="43" t="str">
        <f ca="1"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02"/>
        <v>#REF!</v>
      </c>
      <c r="AI1123" s="43" t="str">
        <f ca="1">_xll.BInterpol('Base IPCA'!$C$3:$C$14,'Base IPCA'!$E$3:$E$14,AH1123,"Cubic","Extrapolate=Linear","MultiX=Average","Skip=True","Sort=True")</f>
        <v>#N/A Invalid Parameter: Interpolation value</v>
      </c>
      <c r="AJ1123" s="43" t="str">
        <f ca="1"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02"/>
        <v>#REF!</v>
      </c>
      <c r="AI1124" s="43" t="str">
        <f ca="1">_xll.BInterpol('Base IPCA'!$C$3:$C$14,'Base IPCA'!$E$3:$E$14,AH1124,"Cubic","Extrapolate=Linear","MultiX=Average","Skip=True","Sort=True")</f>
        <v>#N/A Invalid Parameter: Interpolation value</v>
      </c>
      <c r="AJ1124" s="43" t="str">
        <f ca="1"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02"/>
        <v>#REF!</v>
      </c>
      <c r="AI1125" s="43" t="str">
        <f ca="1">_xll.BInterpol('Base IPCA'!$C$3:$C$14,'Base IPCA'!$E$3:$E$14,AH1125,"Cubic","Extrapolate=Linear","MultiX=Average","Skip=True","Sort=True")</f>
        <v>#N/A Invalid Parameter: Interpolation value</v>
      </c>
      <c r="AJ1125" s="43" t="str">
        <f ca="1"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02"/>
        <v>#REF!</v>
      </c>
      <c r="AI1126" s="43" t="str">
        <f ca="1">_xll.BInterpol('Base IPCA'!$C$3:$C$14,'Base IPCA'!$E$3:$E$14,AH1126,"Cubic","Extrapolate=Linear","MultiX=Average","Skip=True","Sort=True")</f>
        <v>#N/A Invalid Parameter: Interpolation value</v>
      </c>
      <c r="AJ1126" s="43" t="str">
        <f ca="1"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02"/>
        <v>#REF!</v>
      </c>
      <c r="AI1127" s="43" t="str">
        <f ca="1">_xll.BInterpol('Base IPCA'!$C$3:$C$14,'Base IPCA'!$E$3:$E$14,AH1127,"Cubic","Extrapolate=Linear","MultiX=Average","Skip=True","Sort=True")</f>
        <v>#N/A Invalid Parameter: Interpolation value</v>
      </c>
      <c r="AJ1127" s="43" t="str">
        <f ca="1"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02"/>
        <v>#REF!</v>
      </c>
      <c r="AI1128" s="43" t="str">
        <f ca="1">_xll.BInterpol('Base IPCA'!$C$3:$C$14,'Base IPCA'!$E$3:$E$14,AH1128,"Cubic","Extrapolate=Linear","MultiX=Average","Skip=True","Sort=True")</f>
        <v>#N/A Invalid Parameter: Interpolation value</v>
      </c>
      <c r="AJ1128" s="43" t="str">
        <f ca="1"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02"/>
        <v>#REF!</v>
      </c>
      <c r="AI1129" s="43" t="str">
        <f ca="1">_xll.BInterpol('Base IPCA'!$C$3:$C$14,'Base IPCA'!$E$3:$E$14,AH1129,"Cubic","Extrapolate=Linear","MultiX=Average","Skip=True","Sort=True")</f>
        <v>#N/A Invalid Parameter: Interpolation value</v>
      </c>
      <c r="AJ1129" s="43" t="str">
        <f ca="1"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02"/>
        <v>#REF!</v>
      </c>
      <c r="AI1130" s="43" t="str">
        <f ca="1">_xll.BInterpol('Base IPCA'!$C$3:$C$14,'Base IPCA'!$E$3:$E$14,AH1130,"Cubic","Extrapolate=Linear","MultiX=Average","Skip=True","Sort=True")</f>
        <v>#N/A Invalid Parameter: Interpolation value</v>
      </c>
      <c r="AJ1130" s="43" t="str">
        <f ca="1"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02"/>
        <v>#REF!</v>
      </c>
      <c r="AI1131" s="43" t="str">
        <f ca="1">_xll.BInterpol('Base IPCA'!$C$3:$C$14,'Base IPCA'!$E$3:$E$14,AH1131,"Cubic","Extrapolate=Linear","MultiX=Average","Skip=True","Sort=True")</f>
        <v>#N/A Invalid Parameter: Interpolation value</v>
      </c>
      <c r="AJ1131" s="43" t="str">
        <f ca="1"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02"/>
        <v>#REF!</v>
      </c>
      <c r="AI1132" s="43" t="str">
        <f ca="1">_xll.BInterpol('Base IPCA'!$C$3:$C$14,'Base IPCA'!$E$3:$E$14,AH1132,"Cubic","Extrapolate=Linear","MultiX=Average","Skip=True","Sort=True")</f>
        <v>#N/A Invalid Parameter: Interpolation value</v>
      </c>
      <c r="AJ1132" s="43" t="str">
        <f ca="1"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02"/>
        <v>#REF!</v>
      </c>
      <c r="AI1133" s="43" t="str">
        <f ca="1">_xll.BInterpol('Base IPCA'!$C$3:$C$14,'Base IPCA'!$E$3:$E$14,AH1133,"Cubic","Extrapolate=Linear","MultiX=Average","Skip=True","Sort=True")</f>
        <v>#N/A Invalid Parameter: Interpolation value</v>
      </c>
      <c r="AJ1133" s="43" t="str">
        <f ca="1"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02"/>
        <v>#REF!</v>
      </c>
      <c r="AI1134" s="43" t="str">
        <f ca="1">_xll.BInterpol('Base IPCA'!$C$3:$C$14,'Base IPCA'!$E$3:$E$14,AH1134,"Cubic","Extrapolate=Linear","MultiX=Average","Skip=True","Sort=True")</f>
        <v>#N/A Invalid Parameter: Interpolation value</v>
      </c>
      <c r="AJ1134" s="43" t="str">
        <f ca="1"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02"/>
        <v>#REF!</v>
      </c>
      <c r="AI1135" s="43" t="str">
        <f ca="1">_xll.BInterpol('Base IPCA'!$C$3:$C$14,'Base IPCA'!$E$3:$E$14,AH1135,"Cubic","Extrapolate=Linear","MultiX=Average","Skip=True","Sort=True")</f>
        <v>#N/A Invalid Parameter: Interpolation value</v>
      </c>
      <c r="AJ1135" s="43" t="str">
        <f ca="1"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02"/>
        <v>#REF!</v>
      </c>
      <c r="AI1136" s="43" t="str">
        <f ca="1">_xll.BInterpol('Base IPCA'!$C$3:$C$14,'Base IPCA'!$E$3:$E$14,AH1136,"Cubic","Extrapolate=Linear","MultiX=Average","Skip=True","Sort=True")</f>
        <v>#N/A Invalid Parameter: Interpolation value</v>
      </c>
      <c r="AJ1136" s="43" t="str">
        <f ca="1"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02"/>
        <v>#REF!</v>
      </c>
      <c r="AI1137" s="43" t="str">
        <f ca="1">_xll.BInterpol('Base IPCA'!$C$3:$C$14,'Base IPCA'!$E$3:$E$14,AH1137,"Cubic","Extrapolate=Linear","MultiX=Average","Skip=True","Sort=True")</f>
        <v>#N/A Invalid Parameter: Interpolation value</v>
      </c>
      <c r="AJ1137" s="43" t="str">
        <f ca="1"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02"/>
        <v>#REF!</v>
      </c>
      <c r="AI1138" s="43" t="str">
        <f ca="1">_xll.BInterpol('Base IPCA'!$C$3:$C$14,'Base IPCA'!$E$3:$E$14,AH1138,"Cubic","Extrapolate=Linear","MultiX=Average","Skip=True","Sort=True")</f>
        <v>#N/A Invalid Parameter: Interpolation value</v>
      </c>
      <c r="AJ1138" s="43" t="str">
        <f ca="1"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02"/>
        <v>#REF!</v>
      </c>
      <c r="AI1139" s="43" t="str">
        <f ca="1">_xll.BInterpol('Base IPCA'!$C$3:$C$14,'Base IPCA'!$E$3:$E$14,AH1139,"Cubic","Extrapolate=Linear","MultiX=Average","Skip=True","Sort=True")</f>
        <v>#N/A Invalid Parameter: Interpolation value</v>
      </c>
      <c r="AJ1139" s="43" t="str">
        <f ca="1"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02"/>
        <v>#REF!</v>
      </c>
      <c r="AI1140" s="43" t="str">
        <f ca="1">_xll.BInterpol('Base IPCA'!$C$3:$C$14,'Base IPCA'!$E$3:$E$14,AH1140,"Cubic","Extrapolate=Linear","MultiX=Average","Skip=True","Sort=True")</f>
        <v>#N/A Invalid Parameter: Interpolation value</v>
      </c>
      <c r="AJ1140" s="43" t="str">
        <f ca="1"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02"/>
        <v>#REF!</v>
      </c>
      <c r="AI1141" s="43" t="str">
        <f ca="1">_xll.BInterpol('Base IPCA'!$C$3:$C$14,'Base IPCA'!$E$3:$E$14,AH1141,"Cubic","Extrapolate=Linear","MultiX=Average","Skip=True","Sort=True")</f>
        <v>#N/A Invalid Parameter: Interpolation value</v>
      </c>
      <c r="AJ1141" s="43" t="str">
        <f ca="1"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02"/>
        <v>#REF!</v>
      </c>
      <c r="AI1142" s="43" t="str">
        <f ca="1">_xll.BInterpol('Base IPCA'!$C$3:$C$14,'Base IPCA'!$E$3:$E$14,AH1142,"Cubic","Extrapolate=Linear","MultiX=Average","Skip=True","Sort=True")</f>
        <v>#N/A Invalid Parameter: Interpolation value</v>
      </c>
      <c r="AJ1142" s="43" t="str">
        <f ca="1"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02"/>
        <v>#REF!</v>
      </c>
      <c r="AI1143" s="43" t="str">
        <f ca="1">_xll.BInterpol('Base IPCA'!$C$3:$C$14,'Base IPCA'!$E$3:$E$14,AH1143,"Cubic","Extrapolate=Linear","MultiX=Average","Skip=True","Sort=True")</f>
        <v>#N/A Invalid Parameter: Interpolation value</v>
      </c>
      <c r="AJ1143" s="43" t="str">
        <f ca="1"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02"/>
        <v>#REF!</v>
      </c>
      <c r="AI1144" s="43" t="str">
        <f ca="1">_xll.BInterpol('Base IPCA'!$C$3:$C$14,'Base IPCA'!$E$3:$E$14,AH1144,"Cubic","Extrapolate=Linear","MultiX=Average","Skip=True","Sort=True")</f>
        <v>#N/A Invalid Parameter: Interpolation value</v>
      </c>
      <c r="AJ1144" s="43" t="str">
        <f ca="1"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02"/>
        <v>#REF!</v>
      </c>
      <c r="AI1145" s="43" t="str">
        <f ca="1">_xll.BInterpol('Base IPCA'!$C$3:$C$14,'Base IPCA'!$E$3:$E$14,AH1145,"Cubic","Extrapolate=Linear","MultiX=Average","Skip=True","Sort=True")</f>
        <v>#N/A Invalid Parameter: Interpolation value</v>
      </c>
      <c r="AJ1145" s="43" t="str">
        <f ca="1"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02"/>
        <v>#REF!</v>
      </c>
      <c r="AI1146" s="43" t="str">
        <f ca="1">_xll.BInterpol('Base IPCA'!$C$3:$C$14,'Base IPCA'!$E$3:$E$14,AH1146,"Cubic","Extrapolate=Linear","MultiX=Average","Skip=True","Sort=True")</f>
        <v>#N/A Invalid Parameter: Interpolation value</v>
      </c>
      <c r="AJ1146" s="43" t="str">
        <f ca="1"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02"/>
        <v>#REF!</v>
      </c>
      <c r="AI1147" s="43" t="str">
        <f ca="1">_xll.BInterpol('Base IPCA'!$C$3:$C$14,'Base IPCA'!$E$3:$E$14,AH1147,"Cubic","Extrapolate=Linear","MultiX=Average","Skip=True","Sort=True")</f>
        <v>#N/A Invalid Parameter: Interpolation value</v>
      </c>
      <c r="AJ1147" s="43" t="str">
        <f ca="1"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02"/>
        <v>#REF!</v>
      </c>
      <c r="AI1148" s="43" t="str">
        <f ca="1">_xll.BInterpol('Base IPCA'!$C$3:$C$14,'Base IPCA'!$E$3:$E$14,AH1148,"Cubic","Extrapolate=Linear","MultiX=Average","Skip=True","Sort=True")</f>
        <v>#N/A Invalid Parameter: Interpolation value</v>
      </c>
      <c r="AJ1148" s="43" t="str">
        <f ca="1"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02"/>
        <v>#REF!</v>
      </c>
      <c r="AI1149" s="43" t="str">
        <f ca="1">_xll.BInterpol('Base IPCA'!$C$3:$C$14,'Base IPCA'!$E$3:$E$14,AH1149,"Cubic","Extrapolate=Linear","MultiX=Average","Skip=True","Sort=True")</f>
        <v>#N/A Invalid Parameter: Interpolation value</v>
      </c>
      <c r="AJ1149" s="43" t="str">
        <f ca="1"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02"/>
        <v>#REF!</v>
      </c>
      <c r="AI1150" s="43" t="str">
        <f ca="1">_xll.BInterpol('Base IPCA'!$C$3:$C$14,'Base IPCA'!$E$3:$E$14,AH1150,"Cubic","Extrapolate=Linear","MultiX=Average","Skip=True","Sort=True")</f>
        <v>#N/A Invalid Parameter: Interpolation value</v>
      </c>
      <c r="AJ1150" s="43" t="str">
        <f ca="1"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02"/>
        <v>#REF!</v>
      </c>
      <c r="AI1151" s="43" t="str">
        <f ca="1">_xll.BInterpol('Base IPCA'!$C$3:$C$14,'Base IPCA'!$E$3:$E$14,AH1151,"Cubic","Extrapolate=Linear","MultiX=Average","Skip=True","Sort=True")</f>
        <v>#N/A Invalid Parameter: Interpolation value</v>
      </c>
      <c r="AJ1151" s="43" t="str">
        <f ca="1"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02"/>
        <v>#REF!</v>
      </c>
      <c r="AI1152" s="43" t="str">
        <f ca="1">_xll.BInterpol('Base IPCA'!$C$3:$C$14,'Base IPCA'!$E$3:$E$14,AH1152,"Cubic","Extrapolate=Linear","MultiX=Average","Skip=True","Sort=True")</f>
        <v>#N/A Invalid Parameter: Interpolation value</v>
      </c>
      <c r="AJ1152" s="43" t="str">
        <f ca="1"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02"/>
        <v>#REF!</v>
      </c>
      <c r="AI1153" s="43" t="str">
        <f ca="1">_xll.BInterpol('Base IPCA'!$C$3:$C$14,'Base IPCA'!$E$3:$E$14,AH1153,"Cubic","Extrapolate=Linear","MultiX=Average","Skip=True","Sort=True")</f>
        <v>#N/A Invalid Parameter: Interpolation value</v>
      </c>
      <c r="AJ1153" s="43" t="str">
        <f ca="1"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02"/>
        <v>#REF!</v>
      </c>
      <c r="AI1154" s="43" t="str">
        <f ca="1">_xll.BInterpol('Base IPCA'!$C$3:$C$14,'Base IPCA'!$E$3:$E$14,AH1154,"Cubic","Extrapolate=Linear","MultiX=Average","Skip=True","Sort=True")</f>
        <v>#N/A Invalid Parameter: Interpolation value</v>
      </c>
      <c r="AJ1154" s="43" t="str">
        <f ca="1"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02"/>
        <v>#REF!</v>
      </c>
      <c r="AI1155" s="43" t="str">
        <f ca="1">_xll.BInterpol('Base IPCA'!$C$3:$C$14,'Base IPCA'!$E$3:$E$14,AH1155,"Cubic","Extrapolate=Linear","MultiX=Average","Skip=True","Sort=True")</f>
        <v>#N/A Invalid Parameter: Interpolation value</v>
      </c>
      <c r="AJ1155" s="43" t="str">
        <f ca="1"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02"/>
        <v>#REF!</v>
      </c>
      <c r="AI1156" s="43" t="str">
        <f ca="1">_xll.BInterpol('Base IPCA'!$C$3:$C$14,'Base IPCA'!$E$3:$E$14,AH1156,"Cubic","Extrapolate=Linear","MultiX=Average","Skip=True","Sort=True")</f>
        <v>#N/A Invalid Parameter: Interpolation value</v>
      </c>
      <c r="AJ1156" s="43" t="str">
        <f ca="1"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02"/>
        <v>#REF!</v>
      </c>
      <c r="AI1157" s="43" t="str">
        <f ca="1">_xll.BInterpol('Base IPCA'!$C$3:$C$14,'Base IPCA'!$E$3:$E$14,AH1157,"Cubic","Extrapolate=Linear","MultiX=Average","Skip=True","Sort=True")</f>
        <v>#N/A Invalid Parameter: Interpolation value</v>
      </c>
      <c r="AJ1157" s="43" t="str">
        <f ca="1"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03">AH1157+1</f>
        <v>#REF!</v>
      </c>
      <c r="AI1158" s="43" t="str">
        <f ca="1">_xll.BInterpol('Base IPCA'!$C$3:$C$14,'Base IPCA'!$E$3:$E$14,AH1158,"Cubic","Extrapolate=Linear","MultiX=Average","Skip=True","Sort=True")</f>
        <v>#N/A Invalid Parameter: Interpolation value</v>
      </c>
      <c r="AJ1158" s="43" t="str">
        <f ca="1"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03"/>
        <v>#REF!</v>
      </c>
      <c r="AI1159" s="43" t="str">
        <f ca="1">_xll.BInterpol('Base IPCA'!$C$3:$C$14,'Base IPCA'!$E$3:$E$14,AH1159,"Cubic","Extrapolate=Linear","MultiX=Average","Skip=True","Sort=True")</f>
        <v>#N/A Invalid Parameter: Interpolation value</v>
      </c>
      <c r="AJ1159" s="43" t="str">
        <f ca="1"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03"/>
        <v>#REF!</v>
      </c>
      <c r="AI1160" s="43" t="str">
        <f ca="1">_xll.BInterpol('Base IPCA'!$C$3:$C$14,'Base IPCA'!$E$3:$E$14,AH1160,"Cubic","Extrapolate=Linear","MultiX=Average","Skip=True","Sort=True")</f>
        <v>#N/A Invalid Parameter: Interpolation value</v>
      </c>
      <c r="AJ1160" s="43" t="str">
        <f ca="1"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03"/>
        <v>#REF!</v>
      </c>
      <c r="AI1161" s="43" t="str">
        <f ca="1">_xll.BInterpol('Base IPCA'!$C$3:$C$14,'Base IPCA'!$E$3:$E$14,AH1161,"Cubic","Extrapolate=Linear","MultiX=Average","Skip=True","Sort=True")</f>
        <v>#N/A Invalid Parameter: Interpolation value</v>
      </c>
      <c r="AJ1161" s="43" t="str">
        <f ca="1"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03"/>
        <v>#REF!</v>
      </c>
      <c r="AI1162" s="43" t="str">
        <f ca="1">_xll.BInterpol('Base IPCA'!$C$3:$C$14,'Base IPCA'!$E$3:$E$14,AH1162,"Cubic","Extrapolate=Linear","MultiX=Average","Skip=True","Sort=True")</f>
        <v>#N/A Invalid Parameter: Interpolation value</v>
      </c>
      <c r="AJ1162" s="43" t="str">
        <f ca="1"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03"/>
        <v>#REF!</v>
      </c>
      <c r="AI1163" s="43" t="str">
        <f ca="1">_xll.BInterpol('Base IPCA'!$C$3:$C$14,'Base IPCA'!$E$3:$E$14,AH1163,"Cubic","Extrapolate=Linear","MultiX=Average","Skip=True","Sort=True")</f>
        <v>#N/A Invalid Parameter: Interpolation value</v>
      </c>
      <c r="AJ1163" s="43" t="str">
        <f ca="1"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03"/>
        <v>#REF!</v>
      </c>
      <c r="AI1164" s="43" t="str">
        <f ca="1">_xll.BInterpol('Base IPCA'!$C$3:$C$14,'Base IPCA'!$E$3:$E$14,AH1164,"Cubic","Extrapolate=Linear","MultiX=Average","Skip=True","Sort=True")</f>
        <v>#N/A Invalid Parameter: Interpolation value</v>
      </c>
      <c r="AJ1164" s="43" t="str">
        <f ca="1"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03"/>
        <v>#REF!</v>
      </c>
      <c r="AI1165" s="43" t="str">
        <f ca="1">_xll.BInterpol('Base IPCA'!$C$3:$C$14,'Base IPCA'!$E$3:$E$14,AH1165,"Cubic","Extrapolate=Linear","MultiX=Average","Skip=True","Sort=True")</f>
        <v>#N/A Invalid Parameter: Interpolation value</v>
      </c>
      <c r="AJ1165" s="43" t="str">
        <f ca="1"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03"/>
        <v>#REF!</v>
      </c>
      <c r="AI1166" s="43" t="str">
        <f ca="1">_xll.BInterpol('Base IPCA'!$C$3:$C$14,'Base IPCA'!$E$3:$E$14,AH1166,"Cubic","Extrapolate=Linear","MultiX=Average","Skip=True","Sort=True")</f>
        <v>#N/A Invalid Parameter: Interpolation value</v>
      </c>
      <c r="AJ1166" s="43" t="str">
        <f ca="1"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03"/>
        <v>#REF!</v>
      </c>
      <c r="AI1167" s="43" t="str">
        <f ca="1">_xll.BInterpol('Base IPCA'!$C$3:$C$14,'Base IPCA'!$E$3:$E$14,AH1167,"Cubic","Extrapolate=Linear","MultiX=Average","Skip=True","Sort=True")</f>
        <v>#N/A Invalid Parameter: Interpolation value</v>
      </c>
      <c r="AJ1167" s="43" t="str">
        <f ca="1"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03"/>
        <v>#REF!</v>
      </c>
      <c r="AI1168" s="43" t="str">
        <f ca="1">_xll.BInterpol('Base IPCA'!$C$3:$C$14,'Base IPCA'!$E$3:$E$14,AH1168,"Cubic","Extrapolate=Linear","MultiX=Average","Skip=True","Sort=True")</f>
        <v>#N/A Invalid Parameter: Interpolation value</v>
      </c>
      <c r="AJ1168" s="43" t="str">
        <f ca="1"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03"/>
        <v>#REF!</v>
      </c>
      <c r="AI1169" s="43" t="str">
        <f ca="1">_xll.BInterpol('Base IPCA'!$C$3:$C$14,'Base IPCA'!$E$3:$E$14,AH1169,"Cubic","Extrapolate=Linear","MultiX=Average","Skip=True","Sort=True")</f>
        <v>#N/A Invalid Parameter: Interpolation value</v>
      </c>
      <c r="AJ1169" s="43" t="str">
        <f ca="1"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03"/>
        <v>#REF!</v>
      </c>
      <c r="AI1170" s="43" t="str">
        <f ca="1">_xll.BInterpol('Base IPCA'!$C$3:$C$14,'Base IPCA'!$E$3:$E$14,AH1170,"Cubic","Extrapolate=Linear","MultiX=Average","Skip=True","Sort=True")</f>
        <v>#N/A Invalid Parameter: Interpolation value</v>
      </c>
      <c r="AJ1170" s="43" t="str">
        <f ca="1"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03"/>
        <v>#REF!</v>
      </c>
      <c r="AI1171" s="43" t="str">
        <f ca="1">_xll.BInterpol('Base IPCA'!$C$3:$C$14,'Base IPCA'!$E$3:$E$14,AH1171,"Cubic","Extrapolate=Linear","MultiX=Average","Skip=True","Sort=True")</f>
        <v>#N/A Invalid Parameter: Interpolation value</v>
      </c>
      <c r="AJ1171" s="43" t="str">
        <f ca="1"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03"/>
        <v>#REF!</v>
      </c>
      <c r="AI1172" s="43" t="str">
        <f ca="1">_xll.BInterpol('Base IPCA'!$C$3:$C$14,'Base IPCA'!$E$3:$E$14,AH1172,"Cubic","Extrapolate=Linear","MultiX=Average","Skip=True","Sort=True")</f>
        <v>#N/A Invalid Parameter: Interpolation value</v>
      </c>
      <c r="AJ1172" s="43" t="str">
        <f ca="1"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03"/>
        <v>#REF!</v>
      </c>
      <c r="AI1173" s="43" t="str">
        <f ca="1">_xll.BInterpol('Base IPCA'!$C$3:$C$14,'Base IPCA'!$E$3:$E$14,AH1173,"Cubic","Extrapolate=Linear","MultiX=Average","Skip=True","Sort=True")</f>
        <v>#N/A Invalid Parameter: Interpolation value</v>
      </c>
      <c r="AJ1173" s="43" t="str">
        <f ca="1"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03"/>
        <v>#REF!</v>
      </c>
      <c r="AI1174" s="43" t="str">
        <f ca="1">_xll.BInterpol('Base IPCA'!$C$3:$C$14,'Base IPCA'!$E$3:$E$14,AH1174,"Cubic","Extrapolate=Linear","MultiX=Average","Skip=True","Sort=True")</f>
        <v>#N/A Invalid Parameter: Interpolation value</v>
      </c>
      <c r="AJ1174" s="43" t="str">
        <f ca="1"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03"/>
        <v>#REF!</v>
      </c>
      <c r="AI1175" s="43" t="str">
        <f ca="1">_xll.BInterpol('Base IPCA'!$C$3:$C$14,'Base IPCA'!$E$3:$E$14,AH1175,"Cubic","Extrapolate=Linear","MultiX=Average","Skip=True","Sort=True")</f>
        <v>#N/A Invalid Parameter: Interpolation value</v>
      </c>
      <c r="AJ1175" s="43" t="str">
        <f ca="1"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03"/>
        <v>#REF!</v>
      </c>
      <c r="AI1176" s="43" t="str">
        <f ca="1">_xll.BInterpol('Base IPCA'!$C$3:$C$14,'Base IPCA'!$E$3:$E$14,AH1176,"Cubic","Extrapolate=Linear","MultiX=Average","Skip=True","Sort=True")</f>
        <v>#N/A Invalid Parameter: Interpolation value</v>
      </c>
      <c r="AJ1176" s="43" t="str">
        <f ca="1"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03"/>
        <v>#REF!</v>
      </c>
      <c r="AI1177" s="43" t="str">
        <f ca="1">_xll.BInterpol('Base IPCA'!$C$3:$C$14,'Base IPCA'!$E$3:$E$14,AH1177,"Cubic","Extrapolate=Linear","MultiX=Average","Skip=True","Sort=True")</f>
        <v>#N/A Invalid Parameter: Interpolation value</v>
      </c>
      <c r="AJ1177" s="43" t="str">
        <f ca="1"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03"/>
        <v>#REF!</v>
      </c>
      <c r="AI1178" s="43" t="str">
        <f ca="1">_xll.BInterpol('Base IPCA'!$C$3:$C$14,'Base IPCA'!$E$3:$E$14,AH1178,"Cubic","Extrapolate=Linear","MultiX=Average","Skip=True","Sort=True")</f>
        <v>#N/A Invalid Parameter: Interpolation value</v>
      </c>
      <c r="AJ1178" s="43" t="str">
        <f ca="1"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03"/>
        <v>#REF!</v>
      </c>
      <c r="AI1179" s="43" t="str">
        <f ca="1">_xll.BInterpol('Base IPCA'!$C$3:$C$14,'Base IPCA'!$E$3:$E$14,AH1179,"Cubic","Extrapolate=Linear","MultiX=Average","Skip=True","Sort=True")</f>
        <v>#N/A Invalid Parameter: Interpolation value</v>
      </c>
      <c r="AJ1179" s="43" t="str">
        <f ca="1"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03"/>
        <v>#REF!</v>
      </c>
      <c r="AI1180" s="43" t="str">
        <f ca="1">_xll.BInterpol('Base IPCA'!$C$3:$C$14,'Base IPCA'!$E$3:$E$14,AH1180,"Cubic","Extrapolate=Linear","MultiX=Average","Skip=True","Sort=True")</f>
        <v>#N/A Invalid Parameter: Interpolation value</v>
      </c>
      <c r="AJ1180" s="43" t="str">
        <f ca="1"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03"/>
        <v>#REF!</v>
      </c>
      <c r="AI1181" s="43" t="str">
        <f ca="1">_xll.BInterpol('Base IPCA'!$C$3:$C$14,'Base IPCA'!$E$3:$E$14,AH1181,"Cubic","Extrapolate=Linear","MultiX=Average","Skip=True","Sort=True")</f>
        <v>#N/A Invalid Parameter: Interpolation value</v>
      </c>
      <c r="AJ1181" s="43" t="str">
        <f ca="1"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03"/>
        <v>#REF!</v>
      </c>
      <c r="AI1182" s="43" t="str">
        <f ca="1">_xll.BInterpol('Base IPCA'!$C$3:$C$14,'Base IPCA'!$E$3:$E$14,AH1182,"Cubic","Extrapolate=Linear","MultiX=Average","Skip=True","Sort=True")</f>
        <v>#N/A Invalid Parameter: Interpolation value</v>
      </c>
      <c r="AJ1182" s="43" t="str">
        <f ca="1"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03"/>
        <v>#REF!</v>
      </c>
      <c r="AI1183" s="43" t="str">
        <f ca="1">_xll.BInterpol('Base IPCA'!$C$3:$C$14,'Base IPCA'!$E$3:$E$14,AH1183,"Cubic","Extrapolate=Linear","MultiX=Average","Skip=True","Sort=True")</f>
        <v>#N/A Invalid Parameter: Interpolation value</v>
      </c>
      <c r="AJ1183" s="43" t="str">
        <f ca="1"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03"/>
        <v>#REF!</v>
      </c>
      <c r="AI1184" s="43" t="str">
        <f ca="1">_xll.BInterpol('Base IPCA'!$C$3:$C$14,'Base IPCA'!$E$3:$E$14,AH1184,"Cubic","Extrapolate=Linear","MultiX=Average","Skip=True","Sort=True")</f>
        <v>#N/A Invalid Parameter: Interpolation value</v>
      </c>
      <c r="AJ1184" s="43" t="str">
        <f ca="1"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03"/>
        <v>#REF!</v>
      </c>
      <c r="AI1185" s="43" t="str">
        <f ca="1">_xll.BInterpol('Base IPCA'!$C$3:$C$14,'Base IPCA'!$E$3:$E$14,AH1185,"Cubic","Extrapolate=Linear","MultiX=Average","Skip=True","Sort=True")</f>
        <v>#N/A Invalid Parameter: Interpolation value</v>
      </c>
      <c r="AJ1185" s="43" t="str">
        <f ca="1"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03"/>
        <v>#REF!</v>
      </c>
      <c r="AI1186" s="43" t="str">
        <f ca="1">_xll.BInterpol('Base IPCA'!$C$3:$C$14,'Base IPCA'!$E$3:$E$14,AH1186,"Cubic","Extrapolate=Linear","MultiX=Average","Skip=True","Sort=True")</f>
        <v>#N/A Invalid Parameter: Interpolation value</v>
      </c>
      <c r="AJ1186" s="43" t="str">
        <f ca="1"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03"/>
        <v>#REF!</v>
      </c>
      <c r="AI1187" s="43" t="str">
        <f ca="1">_xll.BInterpol('Base IPCA'!$C$3:$C$14,'Base IPCA'!$E$3:$E$14,AH1187,"Cubic","Extrapolate=Linear","MultiX=Average","Skip=True","Sort=True")</f>
        <v>#N/A Invalid Parameter: Interpolation value</v>
      </c>
      <c r="AJ1187" s="43" t="str">
        <f ca="1"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03"/>
        <v>#REF!</v>
      </c>
      <c r="AI1188" s="43" t="str">
        <f ca="1">_xll.BInterpol('Base IPCA'!$C$3:$C$14,'Base IPCA'!$E$3:$E$14,AH1188,"Cubic","Extrapolate=Linear","MultiX=Average","Skip=True","Sort=True")</f>
        <v>#N/A Invalid Parameter: Interpolation value</v>
      </c>
      <c r="AJ1188" s="43" t="str">
        <f ca="1"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03"/>
        <v>#REF!</v>
      </c>
      <c r="AI1189" s="43" t="str">
        <f ca="1">_xll.BInterpol('Base IPCA'!$C$3:$C$14,'Base IPCA'!$E$3:$E$14,AH1189,"Cubic","Extrapolate=Linear","MultiX=Average","Skip=True","Sort=True")</f>
        <v>#N/A Invalid Parameter: Interpolation value</v>
      </c>
      <c r="AJ1189" s="43" t="str">
        <f ca="1"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03"/>
        <v>#REF!</v>
      </c>
      <c r="AI1190" s="43" t="str">
        <f ca="1">_xll.BInterpol('Base IPCA'!$C$3:$C$14,'Base IPCA'!$E$3:$E$14,AH1190,"Cubic","Extrapolate=Linear","MultiX=Average","Skip=True","Sort=True")</f>
        <v>#N/A Invalid Parameter: Interpolation value</v>
      </c>
      <c r="AJ1190" s="43" t="str">
        <f ca="1"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03"/>
        <v>#REF!</v>
      </c>
      <c r="AI1191" s="43" t="str">
        <f ca="1">_xll.BInterpol('Base IPCA'!$C$3:$C$14,'Base IPCA'!$E$3:$E$14,AH1191,"Cubic","Extrapolate=Linear","MultiX=Average","Skip=True","Sort=True")</f>
        <v>#N/A Invalid Parameter: Interpolation value</v>
      </c>
      <c r="AJ1191" s="43" t="str">
        <f ca="1"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03"/>
        <v>#REF!</v>
      </c>
      <c r="AI1192" s="43" t="str">
        <f ca="1">_xll.BInterpol('Base IPCA'!$C$3:$C$14,'Base IPCA'!$E$3:$E$14,AH1192,"Cubic","Extrapolate=Linear","MultiX=Average","Skip=True","Sort=True")</f>
        <v>#N/A Invalid Parameter: Interpolation value</v>
      </c>
      <c r="AJ1192" s="43" t="str">
        <f ca="1"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03"/>
        <v>#REF!</v>
      </c>
      <c r="AI1193" s="43" t="str">
        <f ca="1">_xll.BInterpol('Base IPCA'!$C$3:$C$14,'Base IPCA'!$E$3:$E$14,AH1193,"Cubic","Extrapolate=Linear","MultiX=Average","Skip=True","Sort=True")</f>
        <v>#N/A Invalid Parameter: Interpolation value</v>
      </c>
      <c r="AJ1193" s="43" t="str">
        <f ca="1"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03"/>
        <v>#REF!</v>
      </c>
      <c r="AI1194" s="43" t="str">
        <f ca="1">_xll.BInterpol('Base IPCA'!$C$3:$C$14,'Base IPCA'!$E$3:$E$14,AH1194,"Cubic","Extrapolate=Linear","MultiX=Average","Skip=True","Sort=True")</f>
        <v>#N/A Invalid Parameter: Interpolation value</v>
      </c>
      <c r="AJ1194" s="43" t="str">
        <f ca="1"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03"/>
        <v>#REF!</v>
      </c>
      <c r="AI1195" s="43" t="str">
        <f ca="1">_xll.BInterpol('Base IPCA'!$C$3:$C$14,'Base IPCA'!$E$3:$E$14,AH1195,"Cubic","Extrapolate=Linear","MultiX=Average","Skip=True","Sort=True")</f>
        <v>#N/A Invalid Parameter: Interpolation value</v>
      </c>
      <c r="AJ1195" s="43" t="str">
        <f ca="1"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03"/>
        <v>#REF!</v>
      </c>
      <c r="AI1196" s="43" t="str">
        <f ca="1">_xll.BInterpol('Base IPCA'!$C$3:$C$14,'Base IPCA'!$E$3:$E$14,AH1196,"Cubic","Extrapolate=Linear","MultiX=Average","Skip=True","Sort=True")</f>
        <v>#N/A Invalid Parameter: Interpolation value</v>
      </c>
      <c r="AJ1196" s="43" t="str">
        <f ca="1"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03"/>
        <v>#REF!</v>
      </c>
      <c r="AI1197" s="43" t="str">
        <f ca="1">_xll.BInterpol('Base IPCA'!$C$3:$C$14,'Base IPCA'!$E$3:$E$14,AH1197,"Cubic","Extrapolate=Linear","MultiX=Average","Skip=True","Sort=True")</f>
        <v>#N/A Invalid Parameter: Interpolation value</v>
      </c>
      <c r="AJ1197" s="43" t="str">
        <f ca="1"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03"/>
        <v>#REF!</v>
      </c>
      <c r="AI1198" s="43" t="str">
        <f ca="1">_xll.BInterpol('Base IPCA'!$C$3:$C$14,'Base IPCA'!$E$3:$E$14,AH1198,"Cubic","Extrapolate=Linear","MultiX=Average","Skip=True","Sort=True")</f>
        <v>#N/A Invalid Parameter: Interpolation value</v>
      </c>
      <c r="AJ1198" s="43" t="str">
        <f ca="1"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03"/>
        <v>#REF!</v>
      </c>
      <c r="AI1199" s="43" t="str">
        <f ca="1">_xll.BInterpol('Base IPCA'!$C$3:$C$14,'Base IPCA'!$E$3:$E$14,AH1199,"Cubic","Extrapolate=Linear","MultiX=Average","Skip=True","Sort=True")</f>
        <v>#N/A Invalid Parameter: Interpolation value</v>
      </c>
      <c r="AJ1199" s="43" t="str">
        <f ca="1"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03"/>
        <v>#REF!</v>
      </c>
      <c r="AI1200" s="43" t="str">
        <f ca="1">_xll.BInterpol('Base IPCA'!$C$3:$C$14,'Base IPCA'!$E$3:$E$14,AH1200,"Cubic","Extrapolate=Linear","MultiX=Average","Skip=True","Sort=True")</f>
        <v>#N/A Invalid Parameter: Interpolation value</v>
      </c>
      <c r="AJ1200" s="43" t="str">
        <f ca="1"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03"/>
        <v>#REF!</v>
      </c>
      <c r="AI1201" s="43" t="str">
        <f ca="1">_xll.BInterpol('Base IPCA'!$C$3:$C$14,'Base IPCA'!$E$3:$E$14,AH1201,"Cubic","Extrapolate=Linear","MultiX=Average","Skip=True","Sort=True")</f>
        <v>#N/A Invalid Parameter: Interpolation value</v>
      </c>
      <c r="AJ1201" s="43" t="str">
        <f ca="1"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03"/>
        <v>#REF!</v>
      </c>
      <c r="AI1202" s="43" t="str">
        <f ca="1">_xll.BInterpol('Base IPCA'!$C$3:$C$14,'Base IPCA'!$E$3:$E$14,AH1202,"Cubic","Extrapolate=Linear","MultiX=Average","Skip=True","Sort=True")</f>
        <v>#N/A Invalid Parameter: Interpolation value</v>
      </c>
      <c r="AJ1202" s="43" t="str">
        <f ca="1"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03"/>
        <v>#REF!</v>
      </c>
      <c r="AI1203" s="43" t="str">
        <f ca="1">_xll.BInterpol('Base IPCA'!$C$3:$C$14,'Base IPCA'!$E$3:$E$14,AH1203,"Cubic","Extrapolate=Linear","MultiX=Average","Skip=True","Sort=True")</f>
        <v>#N/A Invalid Parameter: Interpolation value</v>
      </c>
      <c r="AJ1203" s="43" t="str">
        <f ca="1"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03"/>
        <v>#REF!</v>
      </c>
      <c r="AI1204" s="43" t="str">
        <f ca="1">_xll.BInterpol('Base IPCA'!$C$3:$C$14,'Base IPCA'!$E$3:$E$14,AH1204,"Cubic","Extrapolate=Linear","MultiX=Average","Skip=True","Sort=True")</f>
        <v>#N/A Invalid Parameter: Interpolation value</v>
      </c>
      <c r="AJ1204" s="43" t="str">
        <f ca="1"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03"/>
        <v>#REF!</v>
      </c>
      <c r="AI1205" s="43" t="str">
        <f ca="1">_xll.BInterpol('Base IPCA'!$C$3:$C$14,'Base IPCA'!$E$3:$E$14,AH1205,"Cubic","Extrapolate=Linear","MultiX=Average","Skip=True","Sort=True")</f>
        <v>#N/A Invalid Parameter: Interpolation value</v>
      </c>
      <c r="AJ1205" s="43" t="str">
        <f ca="1"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03"/>
        <v>#REF!</v>
      </c>
      <c r="AI1206" s="43" t="str">
        <f ca="1">_xll.BInterpol('Base IPCA'!$C$3:$C$14,'Base IPCA'!$E$3:$E$14,AH1206,"Cubic","Extrapolate=Linear","MultiX=Average","Skip=True","Sort=True")</f>
        <v>#N/A Invalid Parameter: Interpolation value</v>
      </c>
      <c r="AJ1206" s="43" t="str">
        <f ca="1"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03"/>
        <v>#REF!</v>
      </c>
      <c r="AI1207" s="43" t="str">
        <f ca="1">_xll.BInterpol('Base IPCA'!$C$3:$C$14,'Base IPCA'!$E$3:$E$14,AH1207,"Cubic","Extrapolate=Linear","MultiX=Average","Skip=True","Sort=True")</f>
        <v>#N/A Invalid Parameter: Interpolation value</v>
      </c>
      <c r="AJ1207" s="43" t="str">
        <f ca="1"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03"/>
        <v>#REF!</v>
      </c>
      <c r="AI1208" s="43" t="str">
        <f ca="1">_xll.BInterpol('Base IPCA'!$C$3:$C$14,'Base IPCA'!$E$3:$E$14,AH1208,"Cubic","Extrapolate=Linear","MultiX=Average","Skip=True","Sort=True")</f>
        <v>#N/A Invalid Parameter: Interpolation value</v>
      </c>
      <c r="AJ1208" s="43" t="str">
        <f ca="1"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03"/>
        <v>#REF!</v>
      </c>
      <c r="AI1209" s="43" t="str">
        <f ca="1">_xll.BInterpol('Base IPCA'!$C$3:$C$14,'Base IPCA'!$E$3:$E$14,AH1209,"Cubic","Extrapolate=Linear","MultiX=Average","Skip=True","Sort=True")</f>
        <v>#N/A Invalid Parameter: Interpolation value</v>
      </c>
      <c r="AJ1209" s="43" t="str">
        <f ca="1"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03"/>
        <v>#REF!</v>
      </c>
      <c r="AI1210" s="43" t="str">
        <f ca="1">_xll.BInterpol('Base IPCA'!$C$3:$C$14,'Base IPCA'!$E$3:$E$14,AH1210,"Cubic","Extrapolate=Linear","MultiX=Average","Skip=True","Sort=True")</f>
        <v>#N/A Invalid Parameter: Interpolation value</v>
      </c>
      <c r="AJ1210" s="43" t="str">
        <f ca="1"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03"/>
        <v>#REF!</v>
      </c>
      <c r="AI1211" s="43" t="str">
        <f ca="1">_xll.BInterpol('Base IPCA'!$C$3:$C$14,'Base IPCA'!$E$3:$E$14,AH1211,"Cubic","Extrapolate=Linear","MultiX=Average","Skip=True","Sort=True")</f>
        <v>#N/A Invalid Parameter: Interpolation value</v>
      </c>
      <c r="AJ1211" s="43" t="str">
        <f ca="1"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03"/>
        <v>#REF!</v>
      </c>
      <c r="AI1212" s="43" t="str">
        <f ca="1">_xll.BInterpol('Base IPCA'!$C$3:$C$14,'Base IPCA'!$E$3:$E$14,AH1212,"Cubic","Extrapolate=Linear","MultiX=Average","Skip=True","Sort=True")</f>
        <v>#N/A Invalid Parameter: Interpolation value</v>
      </c>
      <c r="AJ1212" s="43" t="str">
        <f ca="1"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03"/>
        <v>#REF!</v>
      </c>
      <c r="AI1213" s="43" t="str">
        <f ca="1">_xll.BInterpol('Base IPCA'!$C$3:$C$14,'Base IPCA'!$E$3:$E$14,AH1213,"Cubic","Extrapolate=Linear","MultiX=Average","Skip=True","Sort=True")</f>
        <v>#N/A Invalid Parameter: Interpolation value</v>
      </c>
      <c r="AJ1213" s="43" t="str">
        <f ca="1"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03"/>
        <v>#REF!</v>
      </c>
      <c r="AI1214" s="43" t="str">
        <f ca="1">_xll.BInterpol('Base IPCA'!$C$3:$C$14,'Base IPCA'!$E$3:$E$14,AH1214,"Cubic","Extrapolate=Linear","MultiX=Average","Skip=True","Sort=True")</f>
        <v>#N/A Invalid Parameter: Interpolation value</v>
      </c>
      <c r="AJ1214" s="43" t="str">
        <f ca="1"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03"/>
        <v>#REF!</v>
      </c>
      <c r="AI1215" s="43" t="str">
        <f ca="1">_xll.BInterpol('Base IPCA'!$C$3:$C$14,'Base IPCA'!$E$3:$E$14,AH1215,"Cubic","Extrapolate=Linear","MultiX=Average","Skip=True","Sort=True")</f>
        <v>#N/A Invalid Parameter: Interpolation value</v>
      </c>
      <c r="AJ1215" s="43" t="str">
        <f ca="1"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03"/>
        <v>#REF!</v>
      </c>
      <c r="AI1216" s="43" t="str">
        <f ca="1">_xll.BInterpol('Base IPCA'!$C$3:$C$14,'Base IPCA'!$E$3:$E$14,AH1216,"Cubic","Extrapolate=Linear","MultiX=Average","Skip=True","Sort=True")</f>
        <v>#N/A Invalid Parameter: Interpolation value</v>
      </c>
      <c r="AJ1216" s="43" t="str">
        <f ca="1"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03"/>
        <v>#REF!</v>
      </c>
      <c r="AI1217" s="43" t="str">
        <f ca="1">_xll.BInterpol('Base IPCA'!$C$3:$C$14,'Base IPCA'!$E$3:$E$14,AH1217,"Cubic","Extrapolate=Linear","MultiX=Average","Skip=True","Sort=True")</f>
        <v>#N/A Invalid Parameter: Interpolation value</v>
      </c>
      <c r="AJ1217" s="43" t="str">
        <f ca="1"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03"/>
        <v>#REF!</v>
      </c>
      <c r="AI1218" s="43" t="str">
        <f ca="1">_xll.BInterpol('Base IPCA'!$C$3:$C$14,'Base IPCA'!$E$3:$E$14,AH1218,"Cubic","Extrapolate=Linear","MultiX=Average","Skip=True","Sort=True")</f>
        <v>#N/A Invalid Parameter: Interpolation value</v>
      </c>
      <c r="AJ1218" s="43" t="str">
        <f ca="1"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03"/>
        <v>#REF!</v>
      </c>
      <c r="AI1219" s="43" t="str">
        <f ca="1">_xll.BInterpol('Base IPCA'!$C$3:$C$14,'Base IPCA'!$E$3:$E$14,AH1219,"Cubic","Extrapolate=Linear","MultiX=Average","Skip=True","Sort=True")</f>
        <v>#N/A Invalid Parameter: Interpolation value</v>
      </c>
      <c r="AJ1219" s="43" t="str">
        <f ca="1"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03"/>
        <v>#REF!</v>
      </c>
      <c r="AI1220" s="43" t="str">
        <f ca="1">_xll.BInterpol('Base IPCA'!$C$3:$C$14,'Base IPCA'!$E$3:$E$14,AH1220,"Cubic","Extrapolate=Linear","MultiX=Average","Skip=True","Sort=True")</f>
        <v>#N/A Invalid Parameter: Interpolation value</v>
      </c>
      <c r="AJ1220" s="43" t="str">
        <f ca="1"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03"/>
        <v>#REF!</v>
      </c>
      <c r="AI1221" s="43" t="str">
        <f ca="1">_xll.BInterpol('Base IPCA'!$C$3:$C$14,'Base IPCA'!$E$3:$E$14,AH1221,"Cubic","Extrapolate=Linear","MultiX=Average","Skip=True","Sort=True")</f>
        <v>#N/A Invalid Parameter: Interpolation value</v>
      </c>
      <c r="AJ1221" s="43" t="str">
        <f ca="1"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04">AH1221+1</f>
        <v>#REF!</v>
      </c>
      <c r="AI1222" s="43" t="str">
        <f ca="1">_xll.BInterpol('Base IPCA'!$C$3:$C$14,'Base IPCA'!$E$3:$E$14,AH1222,"Cubic","Extrapolate=Linear","MultiX=Average","Skip=True","Sort=True")</f>
        <v>#N/A Invalid Parameter: Interpolation value</v>
      </c>
      <c r="AJ1222" s="43" t="str">
        <f ca="1"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04"/>
        <v>#REF!</v>
      </c>
      <c r="AI1223" s="43" t="str">
        <f ca="1">_xll.BInterpol('Base IPCA'!$C$3:$C$14,'Base IPCA'!$E$3:$E$14,AH1223,"Cubic","Extrapolate=Linear","MultiX=Average","Skip=True","Sort=True")</f>
        <v>#N/A Invalid Parameter: Interpolation value</v>
      </c>
      <c r="AJ1223" s="43" t="str">
        <f ca="1"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04"/>
        <v>#REF!</v>
      </c>
      <c r="AI1224" s="43" t="str">
        <f ca="1">_xll.BInterpol('Base IPCA'!$C$3:$C$14,'Base IPCA'!$E$3:$E$14,AH1224,"Cubic","Extrapolate=Linear","MultiX=Average","Skip=True","Sort=True")</f>
        <v>#N/A Invalid Parameter: Interpolation value</v>
      </c>
      <c r="AJ1224" s="43" t="str">
        <f ca="1"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04"/>
        <v>#REF!</v>
      </c>
      <c r="AI1225" s="43" t="str">
        <f ca="1">_xll.BInterpol('Base IPCA'!$C$3:$C$14,'Base IPCA'!$E$3:$E$14,AH1225,"Cubic","Extrapolate=Linear","MultiX=Average","Skip=True","Sort=True")</f>
        <v>#N/A Invalid Parameter: Interpolation value</v>
      </c>
      <c r="AJ1225" s="43" t="str">
        <f ca="1"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04"/>
        <v>#REF!</v>
      </c>
      <c r="AI1226" s="43" t="str">
        <f ca="1">_xll.BInterpol('Base IPCA'!$C$3:$C$14,'Base IPCA'!$E$3:$E$14,AH1226,"Cubic","Extrapolate=Linear","MultiX=Average","Skip=True","Sort=True")</f>
        <v>#N/A Invalid Parameter: Interpolation value</v>
      </c>
      <c r="AJ1226" s="43" t="str">
        <f ca="1"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04"/>
        <v>#REF!</v>
      </c>
      <c r="AI1227" s="43" t="str">
        <f ca="1">_xll.BInterpol('Base IPCA'!$C$3:$C$14,'Base IPCA'!$E$3:$E$14,AH1227,"Cubic","Extrapolate=Linear","MultiX=Average","Skip=True","Sort=True")</f>
        <v>#N/A Invalid Parameter: Interpolation value</v>
      </c>
      <c r="AJ1227" s="43" t="str">
        <f ca="1"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04"/>
        <v>#REF!</v>
      </c>
      <c r="AI1228" s="43" t="str">
        <f ca="1">_xll.BInterpol('Base IPCA'!$C$3:$C$14,'Base IPCA'!$E$3:$E$14,AH1228,"Cubic","Extrapolate=Linear","MultiX=Average","Skip=True","Sort=True")</f>
        <v>#N/A Invalid Parameter: Interpolation value</v>
      </c>
      <c r="AJ1228" s="43" t="str">
        <f ca="1"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04"/>
        <v>#REF!</v>
      </c>
      <c r="AI1229" s="43" t="str">
        <f ca="1">_xll.BInterpol('Base IPCA'!$C$3:$C$14,'Base IPCA'!$E$3:$E$14,AH1229,"Cubic","Extrapolate=Linear","MultiX=Average","Skip=True","Sort=True")</f>
        <v>#N/A Invalid Parameter: Interpolation value</v>
      </c>
      <c r="AJ1229" s="43" t="str">
        <f ca="1"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04"/>
        <v>#REF!</v>
      </c>
      <c r="AI1230" s="43" t="str">
        <f ca="1">_xll.BInterpol('Base IPCA'!$C$3:$C$14,'Base IPCA'!$E$3:$E$14,AH1230,"Cubic","Extrapolate=Linear","MultiX=Average","Skip=True","Sort=True")</f>
        <v>#N/A Invalid Parameter: Interpolation value</v>
      </c>
      <c r="AJ1230" s="43" t="str">
        <f ca="1"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04"/>
        <v>#REF!</v>
      </c>
      <c r="AI1231" s="43" t="str">
        <f ca="1">_xll.BInterpol('Base IPCA'!$C$3:$C$14,'Base IPCA'!$E$3:$E$14,AH1231,"Cubic","Extrapolate=Linear","MultiX=Average","Skip=True","Sort=True")</f>
        <v>#N/A Invalid Parameter: Interpolation value</v>
      </c>
      <c r="AJ1231" s="43" t="str">
        <f ca="1"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04"/>
        <v>#REF!</v>
      </c>
      <c r="AI1232" s="43" t="str">
        <f ca="1">_xll.BInterpol('Base IPCA'!$C$3:$C$14,'Base IPCA'!$E$3:$E$14,AH1232,"Cubic","Extrapolate=Linear","MultiX=Average","Skip=True","Sort=True")</f>
        <v>#N/A Invalid Parameter: Interpolation value</v>
      </c>
      <c r="AJ1232" s="43" t="str">
        <f ca="1"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04"/>
        <v>#REF!</v>
      </c>
      <c r="AI1233" s="43" t="str">
        <f ca="1">_xll.BInterpol('Base IPCA'!$C$3:$C$14,'Base IPCA'!$E$3:$E$14,AH1233,"Cubic","Extrapolate=Linear","MultiX=Average","Skip=True","Sort=True")</f>
        <v>#N/A Invalid Parameter: Interpolation value</v>
      </c>
      <c r="AJ1233" s="43" t="str">
        <f ca="1"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04"/>
        <v>#REF!</v>
      </c>
      <c r="AI1234" s="43" t="str">
        <f ca="1">_xll.BInterpol('Base IPCA'!$C$3:$C$14,'Base IPCA'!$E$3:$E$14,AH1234,"Cubic","Extrapolate=Linear","MultiX=Average","Skip=True","Sort=True")</f>
        <v>#N/A Invalid Parameter: Interpolation value</v>
      </c>
      <c r="AJ1234" s="43" t="str">
        <f ca="1"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04"/>
        <v>#REF!</v>
      </c>
      <c r="AI1235" s="43" t="str">
        <f ca="1">_xll.BInterpol('Base IPCA'!$C$3:$C$14,'Base IPCA'!$E$3:$E$14,AH1235,"Cubic","Extrapolate=Linear","MultiX=Average","Skip=True","Sort=True")</f>
        <v>#N/A Invalid Parameter: Interpolation value</v>
      </c>
      <c r="AJ1235" s="43" t="str">
        <f ca="1"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04"/>
        <v>#REF!</v>
      </c>
      <c r="AI1236" s="43" t="str">
        <f ca="1">_xll.BInterpol('Base IPCA'!$C$3:$C$14,'Base IPCA'!$E$3:$E$14,AH1236,"Cubic","Extrapolate=Linear","MultiX=Average","Skip=True","Sort=True")</f>
        <v>#N/A Invalid Parameter: Interpolation value</v>
      </c>
      <c r="AJ1236" s="43" t="str">
        <f ca="1"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04"/>
        <v>#REF!</v>
      </c>
      <c r="AI1237" s="43" t="str">
        <f ca="1">_xll.BInterpol('Base IPCA'!$C$3:$C$14,'Base IPCA'!$E$3:$E$14,AH1237,"Cubic","Extrapolate=Linear","MultiX=Average","Skip=True","Sort=True")</f>
        <v>#N/A Invalid Parameter: Interpolation value</v>
      </c>
      <c r="AJ1237" s="43" t="str">
        <f ca="1"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04"/>
        <v>#REF!</v>
      </c>
      <c r="AI1238" s="43" t="str">
        <f ca="1">_xll.BInterpol('Base IPCA'!$C$3:$C$14,'Base IPCA'!$E$3:$E$14,AH1238,"Cubic","Extrapolate=Linear","MultiX=Average","Skip=True","Sort=True")</f>
        <v>#N/A Invalid Parameter: Interpolation value</v>
      </c>
      <c r="AJ1238" s="43" t="str">
        <f ca="1"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04"/>
        <v>#REF!</v>
      </c>
      <c r="AI1239" s="43" t="str">
        <f ca="1">_xll.BInterpol('Base IPCA'!$C$3:$C$14,'Base IPCA'!$E$3:$E$14,AH1239,"Cubic","Extrapolate=Linear","MultiX=Average","Skip=True","Sort=True")</f>
        <v>#N/A Invalid Parameter: Interpolation value</v>
      </c>
      <c r="AJ1239" s="43" t="str">
        <f ca="1"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04"/>
        <v>#REF!</v>
      </c>
      <c r="AI1240" s="43" t="str">
        <f ca="1">_xll.BInterpol('Base IPCA'!$C$3:$C$14,'Base IPCA'!$E$3:$E$14,AH1240,"Cubic","Extrapolate=Linear","MultiX=Average","Skip=True","Sort=True")</f>
        <v>#N/A Invalid Parameter: Interpolation value</v>
      </c>
      <c r="AJ1240" s="43" t="str">
        <f ca="1"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04"/>
        <v>#REF!</v>
      </c>
      <c r="AI1241" s="43" t="str">
        <f ca="1">_xll.BInterpol('Base IPCA'!$C$3:$C$14,'Base IPCA'!$E$3:$E$14,AH1241,"Cubic","Extrapolate=Linear","MultiX=Average","Skip=True","Sort=True")</f>
        <v>#N/A Invalid Parameter: Interpolation value</v>
      </c>
      <c r="AJ1241" s="43" t="str">
        <f ca="1"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04"/>
        <v>#REF!</v>
      </c>
      <c r="AI1242" s="43" t="str">
        <f ca="1">_xll.BInterpol('Base IPCA'!$C$3:$C$14,'Base IPCA'!$E$3:$E$14,AH1242,"Cubic","Extrapolate=Linear","MultiX=Average","Skip=True","Sort=True")</f>
        <v>#N/A Invalid Parameter: Interpolation value</v>
      </c>
      <c r="AJ1242" s="43" t="str">
        <f ca="1"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04"/>
        <v>#REF!</v>
      </c>
      <c r="AI1243" s="43" t="str">
        <f ca="1">_xll.BInterpol('Base IPCA'!$C$3:$C$14,'Base IPCA'!$E$3:$E$14,AH1243,"Cubic","Extrapolate=Linear","MultiX=Average","Skip=True","Sort=True")</f>
        <v>#N/A Invalid Parameter: Interpolation value</v>
      </c>
      <c r="AJ1243" s="43" t="str">
        <f ca="1"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04"/>
        <v>#REF!</v>
      </c>
      <c r="AI1244" s="43" t="str">
        <f ca="1">_xll.BInterpol('Base IPCA'!$C$3:$C$14,'Base IPCA'!$E$3:$E$14,AH1244,"Cubic","Extrapolate=Linear","MultiX=Average","Skip=True","Sort=True")</f>
        <v>#N/A Invalid Parameter: Interpolation value</v>
      </c>
      <c r="AJ1244" s="43" t="str">
        <f ca="1"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04"/>
        <v>#REF!</v>
      </c>
      <c r="AI1245" s="43" t="str">
        <f ca="1">_xll.BInterpol('Base IPCA'!$C$3:$C$14,'Base IPCA'!$E$3:$E$14,AH1245,"Cubic","Extrapolate=Linear","MultiX=Average","Skip=True","Sort=True")</f>
        <v>#N/A Invalid Parameter: Interpolation value</v>
      </c>
      <c r="AJ1245" s="43" t="str">
        <f ca="1"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04"/>
        <v>#REF!</v>
      </c>
      <c r="AI1246" s="43" t="str">
        <f ca="1">_xll.BInterpol('Base IPCA'!$C$3:$C$14,'Base IPCA'!$E$3:$E$14,AH1246,"Cubic","Extrapolate=Linear","MultiX=Average","Skip=True","Sort=True")</f>
        <v>#N/A Invalid Parameter: Interpolation value</v>
      </c>
      <c r="AJ1246" s="43" t="str">
        <f ca="1"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04"/>
        <v>#REF!</v>
      </c>
      <c r="AI1247" s="43" t="str">
        <f ca="1">_xll.BInterpol('Base IPCA'!$C$3:$C$14,'Base IPCA'!$E$3:$E$14,AH1247,"Cubic","Extrapolate=Linear","MultiX=Average","Skip=True","Sort=True")</f>
        <v>#N/A Invalid Parameter: Interpolation value</v>
      </c>
      <c r="AJ1247" s="43" t="str">
        <f ca="1"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04"/>
        <v>#REF!</v>
      </c>
      <c r="AI1248" s="43" t="str">
        <f ca="1">_xll.BInterpol('Base IPCA'!$C$3:$C$14,'Base IPCA'!$E$3:$E$14,AH1248,"Cubic","Extrapolate=Linear","MultiX=Average","Skip=True","Sort=True")</f>
        <v>#N/A Invalid Parameter: Interpolation value</v>
      </c>
      <c r="AJ1248" s="43" t="str">
        <f ca="1"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04"/>
        <v>#REF!</v>
      </c>
      <c r="AI1249" s="43" t="str">
        <f ca="1">_xll.BInterpol('Base IPCA'!$C$3:$C$14,'Base IPCA'!$E$3:$E$14,AH1249,"Cubic","Extrapolate=Linear","MultiX=Average","Skip=True","Sort=True")</f>
        <v>#N/A Invalid Parameter: Interpolation value</v>
      </c>
      <c r="AJ1249" s="43" t="str">
        <f ca="1"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04"/>
        <v>#REF!</v>
      </c>
      <c r="AI1250" s="43" t="str">
        <f ca="1">_xll.BInterpol('Base IPCA'!$C$3:$C$14,'Base IPCA'!$E$3:$E$14,AH1250,"Cubic","Extrapolate=Linear","MultiX=Average","Skip=True","Sort=True")</f>
        <v>#N/A Invalid Parameter: Interpolation value</v>
      </c>
      <c r="AJ1250" s="43" t="str">
        <f ca="1"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04"/>
        <v>#REF!</v>
      </c>
      <c r="AI1251" s="43" t="str">
        <f ca="1">_xll.BInterpol('Base IPCA'!$C$3:$C$14,'Base IPCA'!$E$3:$E$14,AH1251,"Cubic","Extrapolate=Linear","MultiX=Average","Skip=True","Sort=True")</f>
        <v>#N/A Invalid Parameter: Interpolation value</v>
      </c>
      <c r="AJ1251" s="43" t="str">
        <f ca="1"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04"/>
        <v>#REF!</v>
      </c>
      <c r="AI1252" s="43" t="str">
        <f ca="1">_xll.BInterpol('Base IPCA'!$C$3:$C$14,'Base IPCA'!$E$3:$E$14,AH1252,"Cubic","Extrapolate=Linear","MultiX=Average","Skip=True","Sort=True")</f>
        <v>#N/A Invalid Parameter: Interpolation value</v>
      </c>
      <c r="AJ1252" s="43" t="str">
        <f ca="1"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04"/>
        <v>#REF!</v>
      </c>
      <c r="AI1253" s="43" t="str">
        <f ca="1">_xll.BInterpol('Base IPCA'!$C$3:$C$14,'Base IPCA'!$E$3:$E$14,AH1253,"Cubic","Extrapolate=Linear","MultiX=Average","Skip=True","Sort=True")</f>
        <v>#N/A Invalid Parameter: Interpolation value</v>
      </c>
      <c r="AJ1253" s="43" t="str">
        <f ca="1"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04"/>
        <v>#REF!</v>
      </c>
      <c r="AI1254" s="43" t="str">
        <f ca="1">_xll.BInterpol('Base IPCA'!$C$3:$C$14,'Base IPCA'!$E$3:$E$14,AH1254,"Cubic","Extrapolate=Linear","MultiX=Average","Skip=True","Sort=True")</f>
        <v>#N/A Invalid Parameter: Interpolation value</v>
      </c>
      <c r="AJ1254" s="43" t="str">
        <f ca="1"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04"/>
        <v>#REF!</v>
      </c>
      <c r="AI1255" s="43" t="str">
        <f ca="1">_xll.BInterpol('Base IPCA'!$C$3:$C$14,'Base IPCA'!$E$3:$E$14,AH1255,"Cubic","Extrapolate=Linear","MultiX=Average","Skip=True","Sort=True")</f>
        <v>#N/A Invalid Parameter: Interpolation value</v>
      </c>
      <c r="AJ1255" s="43" t="str">
        <f ca="1"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04"/>
        <v>#REF!</v>
      </c>
      <c r="AI1256" s="43" t="str">
        <f ca="1">_xll.BInterpol('Base IPCA'!$C$3:$C$14,'Base IPCA'!$E$3:$E$14,AH1256,"Cubic","Extrapolate=Linear","MultiX=Average","Skip=True","Sort=True")</f>
        <v>#N/A Invalid Parameter: Interpolation value</v>
      </c>
      <c r="AJ1256" s="43" t="str">
        <f ca="1"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04"/>
        <v>#REF!</v>
      </c>
      <c r="AI1257" s="43" t="str">
        <f ca="1">_xll.BInterpol('Base IPCA'!$C$3:$C$14,'Base IPCA'!$E$3:$E$14,AH1257,"Cubic","Extrapolate=Linear","MultiX=Average","Skip=True","Sort=True")</f>
        <v>#N/A Invalid Parameter: Interpolation value</v>
      </c>
      <c r="AJ1257" s="43" t="str">
        <f ca="1"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04"/>
        <v>#REF!</v>
      </c>
      <c r="AI1258" s="43" t="str">
        <f ca="1">_xll.BInterpol('Base IPCA'!$C$3:$C$14,'Base IPCA'!$E$3:$E$14,AH1258,"Cubic","Extrapolate=Linear","MultiX=Average","Skip=True","Sort=True")</f>
        <v>#N/A Invalid Parameter: Interpolation value</v>
      </c>
      <c r="AJ1258" s="43" t="str">
        <f ca="1"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04"/>
        <v>#REF!</v>
      </c>
      <c r="AI1259" s="43" t="str">
        <f ca="1">_xll.BInterpol('Base IPCA'!$C$3:$C$14,'Base IPCA'!$E$3:$E$14,AH1259,"Cubic","Extrapolate=Linear","MultiX=Average","Skip=True","Sort=True")</f>
        <v>#N/A Invalid Parameter: Interpolation value</v>
      </c>
      <c r="AJ1259" s="43" t="str">
        <f ca="1"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04"/>
        <v>#REF!</v>
      </c>
      <c r="AI1260" s="43" t="str">
        <f ca="1">_xll.BInterpol('Base IPCA'!$C$3:$C$14,'Base IPCA'!$E$3:$E$14,AH1260,"Cubic","Extrapolate=Linear","MultiX=Average","Skip=True","Sort=True")</f>
        <v>#N/A Invalid Parameter: Interpolation value</v>
      </c>
      <c r="AJ1260" s="43" t="str">
        <f ca="1"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04"/>
        <v>#REF!</v>
      </c>
      <c r="AI1261" s="43" t="str">
        <f ca="1">_xll.BInterpol('Base IPCA'!$C$3:$C$14,'Base IPCA'!$E$3:$E$14,AH1261,"Cubic","Extrapolate=Linear","MultiX=Average","Skip=True","Sort=True")</f>
        <v>#N/A Invalid Parameter: Interpolation value</v>
      </c>
      <c r="AJ1261" s="43" t="str">
        <f ca="1"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04"/>
        <v>#REF!</v>
      </c>
      <c r="AI1262" s="43" t="str">
        <f ca="1">_xll.BInterpol('Base IPCA'!$C$3:$C$14,'Base IPCA'!$E$3:$E$14,AH1262,"Cubic","Extrapolate=Linear","MultiX=Average","Skip=True","Sort=True")</f>
        <v>#N/A Invalid Parameter: Interpolation value</v>
      </c>
      <c r="AJ1262" s="43" t="str">
        <f ca="1"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04"/>
        <v>#REF!</v>
      </c>
      <c r="AI1263" s="43" t="str">
        <f ca="1">_xll.BInterpol('Base IPCA'!$C$3:$C$14,'Base IPCA'!$E$3:$E$14,AH1263,"Cubic","Extrapolate=Linear","MultiX=Average","Skip=True","Sort=True")</f>
        <v>#N/A Invalid Parameter: Interpolation value</v>
      </c>
      <c r="AJ1263" s="43" t="str">
        <f ca="1"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04"/>
        <v>#REF!</v>
      </c>
      <c r="AI1264" s="43" t="str">
        <f ca="1">_xll.BInterpol('Base IPCA'!$C$3:$C$14,'Base IPCA'!$E$3:$E$14,AH1264,"Cubic","Extrapolate=Linear","MultiX=Average","Skip=True","Sort=True")</f>
        <v>#N/A Invalid Parameter: Interpolation value</v>
      </c>
      <c r="AJ1264" s="43" t="str">
        <f ca="1"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04"/>
        <v>#REF!</v>
      </c>
      <c r="AI1265" s="43" t="str">
        <f ca="1">_xll.BInterpol('Base IPCA'!$C$3:$C$14,'Base IPCA'!$E$3:$E$14,AH1265,"Cubic","Extrapolate=Linear","MultiX=Average","Skip=True","Sort=True")</f>
        <v>#N/A Invalid Parameter: Interpolation value</v>
      </c>
      <c r="AJ1265" s="43" t="str">
        <f ca="1"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04"/>
        <v>#REF!</v>
      </c>
      <c r="AI1266" s="43" t="str">
        <f ca="1">_xll.BInterpol('Base IPCA'!$C$3:$C$14,'Base IPCA'!$E$3:$E$14,AH1266,"Cubic","Extrapolate=Linear","MultiX=Average","Skip=True","Sort=True")</f>
        <v>#N/A Invalid Parameter: Interpolation value</v>
      </c>
      <c r="AJ1266" s="43" t="str">
        <f ca="1"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04"/>
        <v>#REF!</v>
      </c>
      <c r="AI1267" s="43" t="str">
        <f ca="1">_xll.BInterpol('Base IPCA'!$C$3:$C$14,'Base IPCA'!$E$3:$E$14,AH1267,"Cubic","Extrapolate=Linear","MultiX=Average","Skip=True","Sort=True")</f>
        <v>#N/A Invalid Parameter: Interpolation value</v>
      </c>
      <c r="AJ1267" s="43" t="str">
        <f ca="1"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04"/>
        <v>#REF!</v>
      </c>
      <c r="AI1268" s="43" t="str">
        <f ca="1">_xll.BInterpol('Base IPCA'!$C$3:$C$14,'Base IPCA'!$E$3:$E$14,AH1268,"Cubic","Extrapolate=Linear","MultiX=Average","Skip=True","Sort=True")</f>
        <v>#N/A Invalid Parameter: Interpolation value</v>
      </c>
      <c r="AJ1268" s="43" t="str">
        <f ca="1"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04"/>
        <v>#REF!</v>
      </c>
      <c r="AI1269" s="43" t="str">
        <f ca="1">_xll.BInterpol('Base IPCA'!$C$3:$C$14,'Base IPCA'!$E$3:$E$14,AH1269,"Cubic","Extrapolate=Linear","MultiX=Average","Skip=True","Sort=True")</f>
        <v>#N/A Invalid Parameter: Interpolation value</v>
      </c>
      <c r="AJ1269" s="43" t="str">
        <f ca="1"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04"/>
        <v>#REF!</v>
      </c>
      <c r="AI1270" s="43" t="str">
        <f ca="1">_xll.BInterpol('Base IPCA'!$C$3:$C$14,'Base IPCA'!$E$3:$E$14,AH1270,"Cubic","Extrapolate=Linear","MultiX=Average","Skip=True","Sort=True")</f>
        <v>#N/A Invalid Parameter: Interpolation value</v>
      </c>
      <c r="AJ1270" s="43" t="str">
        <f ca="1"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04"/>
        <v>#REF!</v>
      </c>
      <c r="AI1271" s="43" t="str">
        <f ca="1">_xll.BInterpol('Base IPCA'!$C$3:$C$14,'Base IPCA'!$E$3:$E$14,AH1271,"Cubic","Extrapolate=Linear","MultiX=Average","Skip=True","Sort=True")</f>
        <v>#N/A Invalid Parameter: Interpolation value</v>
      </c>
      <c r="AJ1271" s="43" t="str">
        <f ca="1"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04"/>
        <v>#REF!</v>
      </c>
      <c r="AI1272" s="43" t="str">
        <f ca="1">_xll.BInterpol('Base IPCA'!$C$3:$C$14,'Base IPCA'!$E$3:$E$14,AH1272,"Cubic","Extrapolate=Linear","MultiX=Average","Skip=True","Sort=True")</f>
        <v>#N/A Invalid Parameter: Interpolation value</v>
      </c>
      <c r="AJ1272" s="43" t="str">
        <f ca="1"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04"/>
        <v>#REF!</v>
      </c>
      <c r="AI1273" s="43" t="str">
        <f ca="1">_xll.BInterpol('Base IPCA'!$C$3:$C$14,'Base IPCA'!$E$3:$E$14,AH1273,"Cubic","Extrapolate=Linear","MultiX=Average","Skip=True","Sort=True")</f>
        <v>#N/A Invalid Parameter: Interpolation value</v>
      </c>
      <c r="AJ1273" s="43" t="str">
        <f ca="1"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04"/>
        <v>#REF!</v>
      </c>
      <c r="AI1274" s="43" t="str">
        <f ca="1">_xll.BInterpol('Base IPCA'!$C$3:$C$14,'Base IPCA'!$E$3:$E$14,AH1274,"Cubic","Extrapolate=Linear","MultiX=Average","Skip=True","Sort=True")</f>
        <v>#N/A Invalid Parameter: Interpolation value</v>
      </c>
      <c r="AJ1274" s="43" t="str">
        <f ca="1"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04"/>
        <v>#REF!</v>
      </c>
      <c r="AI1275" s="43" t="str">
        <f ca="1">_xll.BInterpol('Base IPCA'!$C$3:$C$14,'Base IPCA'!$E$3:$E$14,AH1275,"Cubic","Extrapolate=Linear","MultiX=Average","Skip=True","Sort=True")</f>
        <v>#N/A Invalid Parameter: Interpolation value</v>
      </c>
      <c r="AJ1275" s="43" t="str">
        <f ca="1"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04"/>
        <v>#REF!</v>
      </c>
      <c r="AI1276" s="43" t="str">
        <f ca="1">_xll.BInterpol('Base IPCA'!$C$3:$C$14,'Base IPCA'!$E$3:$E$14,AH1276,"Cubic","Extrapolate=Linear","MultiX=Average","Skip=True","Sort=True")</f>
        <v>#N/A Invalid Parameter: Interpolation value</v>
      </c>
      <c r="AJ1276" s="43" t="str">
        <f ca="1"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04"/>
        <v>#REF!</v>
      </c>
      <c r="AI1277" s="43" t="str">
        <f ca="1">_xll.BInterpol('Base IPCA'!$C$3:$C$14,'Base IPCA'!$E$3:$E$14,AH1277,"Cubic","Extrapolate=Linear","MultiX=Average","Skip=True","Sort=True")</f>
        <v>#N/A Invalid Parameter: Interpolation value</v>
      </c>
      <c r="AJ1277" s="43" t="str">
        <f ca="1"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04"/>
        <v>#REF!</v>
      </c>
      <c r="AI1278" s="43" t="str">
        <f ca="1">_xll.BInterpol('Base IPCA'!$C$3:$C$14,'Base IPCA'!$E$3:$E$14,AH1278,"Cubic","Extrapolate=Linear","MultiX=Average","Skip=True","Sort=True")</f>
        <v>#N/A Invalid Parameter: Interpolation value</v>
      </c>
      <c r="AJ1278" s="43" t="str">
        <f ca="1"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04"/>
        <v>#REF!</v>
      </c>
      <c r="AI1279" s="43" t="str">
        <f ca="1">_xll.BInterpol('Base IPCA'!$C$3:$C$14,'Base IPCA'!$E$3:$E$14,AH1279,"Cubic","Extrapolate=Linear","MultiX=Average","Skip=True","Sort=True")</f>
        <v>#N/A Invalid Parameter: Interpolation value</v>
      </c>
      <c r="AJ1279" s="43" t="str">
        <f ca="1"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04"/>
        <v>#REF!</v>
      </c>
      <c r="AI1280" s="43" t="str">
        <f ca="1">_xll.BInterpol('Base IPCA'!$C$3:$C$14,'Base IPCA'!$E$3:$E$14,AH1280,"Cubic","Extrapolate=Linear","MultiX=Average","Skip=True","Sort=True")</f>
        <v>#N/A Invalid Parameter: Interpolation value</v>
      </c>
      <c r="AJ1280" s="43" t="str">
        <f ca="1"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04"/>
        <v>#REF!</v>
      </c>
      <c r="AI1281" s="43" t="str">
        <f ca="1">_xll.BInterpol('Base IPCA'!$C$3:$C$14,'Base IPCA'!$E$3:$E$14,AH1281,"Cubic","Extrapolate=Linear","MultiX=Average","Skip=True","Sort=True")</f>
        <v>#N/A Invalid Parameter: Interpolation value</v>
      </c>
      <c r="AJ1281" s="43" t="str">
        <f ca="1"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04"/>
        <v>#REF!</v>
      </c>
      <c r="AI1282" s="43" t="str">
        <f ca="1">_xll.BInterpol('Base IPCA'!$C$3:$C$14,'Base IPCA'!$E$3:$E$14,AH1282,"Cubic","Extrapolate=Linear","MultiX=Average","Skip=True","Sort=True")</f>
        <v>#N/A Invalid Parameter: Interpolation value</v>
      </c>
      <c r="AJ1282" s="43" t="str">
        <f ca="1"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04"/>
        <v>#REF!</v>
      </c>
      <c r="AI1283" s="43" t="str">
        <f ca="1">_xll.BInterpol('Base IPCA'!$C$3:$C$14,'Base IPCA'!$E$3:$E$14,AH1283,"Cubic","Extrapolate=Linear","MultiX=Average","Skip=True","Sort=True")</f>
        <v>#N/A Invalid Parameter: Interpolation value</v>
      </c>
      <c r="AJ1283" s="43" t="str">
        <f ca="1"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04"/>
        <v>#REF!</v>
      </c>
      <c r="AI1284" s="43" t="str">
        <f ca="1">_xll.BInterpol('Base IPCA'!$C$3:$C$14,'Base IPCA'!$E$3:$E$14,AH1284,"Cubic","Extrapolate=Linear","MultiX=Average","Skip=True","Sort=True")</f>
        <v>#N/A Invalid Parameter: Interpolation value</v>
      </c>
      <c r="AJ1284" s="43" t="str">
        <f ca="1"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04"/>
        <v>#REF!</v>
      </c>
      <c r="AI1285" s="43" t="str">
        <f ca="1">_xll.BInterpol('Base IPCA'!$C$3:$C$14,'Base IPCA'!$E$3:$E$14,AH1285,"Cubic","Extrapolate=Linear","MultiX=Average","Skip=True","Sort=True")</f>
        <v>#N/A Invalid Parameter: Interpolation value</v>
      </c>
      <c r="AJ1285" s="43" t="str">
        <f ca="1"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05">AH1285+1</f>
        <v>#REF!</v>
      </c>
      <c r="AI1286" s="43" t="str">
        <f ca="1">_xll.BInterpol('Base IPCA'!$C$3:$C$14,'Base IPCA'!$E$3:$E$14,AH1286,"Cubic","Extrapolate=Linear","MultiX=Average","Skip=True","Sort=True")</f>
        <v>#N/A Invalid Parameter: Interpolation value</v>
      </c>
      <c r="AJ1286" s="43" t="str">
        <f ca="1"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05"/>
        <v>#REF!</v>
      </c>
      <c r="AI1287" s="43" t="str">
        <f ca="1">_xll.BInterpol('Base IPCA'!$C$3:$C$14,'Base IPCA'!$E$3:$E$14,AH1287,"Cubic","Extrapolate=Linear","MultiX=Average","Skip=True","Sort=True")</f>
        <v>#N/A Invalid Parameter: Interpolation value</v>
      </c>
      <c r="AJ1287" s="43" t="str">
        <f ca="1"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05"/>
        <v>#REF!</v>
      </c>
      <c r="AI1288" s="43" t="str">
        <f ca="1">_xll.BInterpol('Base IPCA'!$C$3:$C$14,'Base IPCA'!$E$3:$E$14,AH1288,"Cubic","Extrapolate=Linear","MultiX=Average","Skip=True","Sort=True")</f>
        <v>#N/A Invalid Parameter: Interpolation value</v>
      </c>
      <c r="AJ1288" s="43" t="str">
        <f ca="1"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05"/>
        <v>#REF!</v>
      </c>
      <c r="AI1289" s="43" t="str">
        <f ca="1">_xll.BInterpol('Base IPCA'!$C$3:$C$14,'Base IPCA'!$E$3:$E$14,AH1289,"Cubic","Extrapolate=Linear","MultiX=Average","Skip=True","Sort=True")</f>
        <v>#N/A Invalid Parameter: Interpolation value</v>
      </c>
      <c r="AJ1289" s="43" t="str">
        <f ca="1"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05"/>
        <v>#REF!</v>
      </c>
      <c r="AI1290" s="43" t="str">
        <f ca="1">_xll.BInterpol('Base IPCA'!$C$3:$C$14,'Base IPCA'!$E$3:$E$14,AH1290,"Cubic","Extrapolate=Linear","MultiX=Average","Skip=True","Sort=True")</f>
        <v>#N/A Invalid Parameter: Interpolation value</v>
      </c>
      <c r="AJ1290" s="43" t="str">
        <f ca="1"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05"/>
        <v>#REF!</v>
      </c>
      <c r="AI1291" s="43" t="str">
        <f ca="1">_xll.BInterpol('Base IPCA'!$C$3:$C$14,'Base IPCA'!$E$3:$E$14,AH1291,"Cubic","Extrapolate=Linear","MultiX=Average","Skip=True","Sort=True")</f>
        <v>#N/A Invalid Parameter: Interpolation value</v>
      </c>
      <c r="AJ1291" s="43" t="str">
        <f ca="1"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05"/>
        <v>#REF!</v>
      </c>
      <c r="AI1292" s="43" t="str">
        <f ca="1">_xll.BInterpol('Base IPCA'!$C$3:$C$14,'Base IPCA'!$E$3:$E$14,AH1292,"Cubic","Extrapolate=Linear","MultiX=Average","Skip=True","Sort=True")</f>
        <v>#N/A Invalid Parameter: Interpolation value</v>
      </c>
      <c r="AJ1292" s="43" t="str">
        <f ca="1"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05"/>
        <v>#REF!</v>
      </c>
      <c r="AI1293" s="43" t="str">
        <f ca="1">_xll.BInterpol('Base IPCA'!$C$3:$C$14,'Base IPCA'!$E$3:$E$14,AH1293,"Cubic","Extrapolate=Linear","MultiX=Average","Skip=True","Sort=True")</f>
        <v>#N/A Invalid Parameter: Interpolation value</v>
      </c>
      <c r="AJ1293" s="43" t="str">
        <f ca="1"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05"/>
        <v>#REF!</v>
      </c>
      <c r="AI1294" s="43" t="str">
        <f ca="1">_xll.BInterpol('Base IPCA'!$C$3:$C$14,'Base IPCA'!$E$3:$E$14,AH1294,"Cubic","Extrapolate=Linear","MultiX=Average","Skip=True","Sort=True")</f>
        <v>#N/A Invalid Parameter: Interpolation value</v>
      </c>
      <c r="AJ1294" s="43" t="str">
        <f ca="1"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05"/>
        <v>#REF!</v>
      </c>
      <c r="AI1295" s="43" t="str">
        <f ca="1">_xll.BInterpol('Base IPCA'!$C$3:$C$14,'Base IPCA'!$E$3:$E$14,AH1295,"Cubic","Extrapolate=Linear","MultiX=Average","Skip=True","Sort=True")</f>
        <v>#N/A Invalid Parameter: Interpolation value</v>
      </c>
      <c r="AJ1295" s="43" t="str">
        <f ca="1"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05"/>
        <v>#REF!</v>
      </c>
      <c r="AI1296" s="43" t="str">
        <f ca="1">_xll.BInterpol('Base IPCA'!$C$3:$C$14,'Base IPCA'!$E$3:$E$14,AH1296,"Cubic","Extrapolate=Linear","MultiX=Average","Skip=True","Sort=True")</f>
        <v>#N/A Invalid Parameter: Interpolation value</v>
      </c>
      <c r="AJ1296" s="43" t="str">
        <f ca="1"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05"/>
        <v>#REF!</v>
      </c>
      <c r="AI1297" s="43" t="str">
        <f ca="1">_xll.BInterpol('Base IPCA'!$C$3:$C$14,'Base IPCA'!$E$3:$E$14,AH1297,"Cubic","Extrapolate=Linear","MultiX=Average","Skip=True","Sort=True")</f>
        <v>#N/A Invalid Parameter: Interpolation value</v>
      </c>
      <c r="AJ1297" s="43" t="str">
        <f ca="1"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05"/>
        <v>#REF!</v>
      </c>
      <c r="AI1298" s="43" t="str">
        <f ca="1">_xll.BInterpol('Base IPCA'!$C$3:$C$14,'Base IPCA'!$E$3:$E$14,AH1298,"Cubic","Extrapolate=Linear","MultiX=Average","Skip=True","Sort=True")</f>
        <v>#N/A Invalid Parameter: Interpolation value</v>
      </c>
      <c r="AJ1298" s="43" t="str">
        <f ca="1"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05"/>
        <v>#REF!</v>
      </c>
      <c r="AI1299" s="43" t="str">
        <f ca="1">_xll.BInterpol('Base IPCA'!$C$3:$C$14,'Base IPCA'!$E$3:$E$14,AH1299,"Cubic","Extrapolate=Linear","MultiX=Average","Skip=True","Sort=True")</f>
        <v>#N/A Invalid Parameter: Interpolation value</v>
      </c>
      <c r="AJ1299" s="43" t="str">
        <f ca="1"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05"/>
        <v>#REF!</v>
      </c>
      <c r="AI1300" s="43" t="str">
        <f ca="1">_xll.BInterpol('Base IPCA'!$C$3:$C$14,'Base IPCA'!$E$3:$E$14,AH1300,"Cubic","Extrapolate=Linear","MultiX=Average","Skip=True","Sort=True")</f>
        <v>#N/A Invalid Parameter: Interpolation value</v>
      </c>
      <c r="AJ1300" s="43" t="str">
        <f ca="1"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05"/>
        <v>#REF!</v>
      </c>
      <c r="AI1301" s="43" t="str">
        <f ca="1">_xll.BInterpol('Base IPCA'!$C$3:$C$14,'Base IPCA'!$E$3:$E$14,AH1301,"Cubic","Extrapolate=Linear","MultiX=Average","Skip=True","Sort=True")</f>
        <v>#N/A Invalid Parameter: Interpolation value</v>
      </c>
      <c r="AJ1301" s="43" t="str">
        <f ca="1"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05"/>
        <v>#REF!</v>
      </c>
      <c r="AI1302" s="43" t="str">
        <f ca="1">_xll.BInterpol('Base IPCA'!$C$3:$C$14,'Base IPCA'!$E$3:$E$14,AH1302,"Cubic","Extrapolate=Linear","MultiX=Average","Skip=True","Sort=True")</f>
        <v>#N/A Invalid Parameter: Interpolation value</v>
      </c>
      <c r="AJ1302" s="43" t="str">
        <f ca="1"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05"/>
        <v>#REF!</v>
      </c>
      <c r="AI1303" s="43" t="str">
        <f ca="1">_xll.BInterpol('Base IPCA'!$C$3:$C$14,'Base IPCA'!$E$3:$E$14,AH1303,"Cubic","Extrapolate=Linear","MultiX=Average","Skip=True","Sort=True")</f>
        <v>#N/A Invalid Parameter: Interpolation value</v>
      </c>
      <c r="AJ1303" s="43" t="str">
        <f ca="1"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05"/>
        <v>#REF!</v>
      </c>
      <c r="AI1304" s="43" t="str">
        <f ca="1">_xll.BInterpol('Base IPCA'!$C$3:$C$14,'Base IPCA'!$E$3:$E$14,AH1304,"Cubic","Extrapolate=Linear","MultiX=Average","Skip=True","Sort=True")</f>
        <v>#N/A Invalid Parameter: Interpolation value</v>
      </c>
      <c r="AJ1304" s="43" t="str">
        <f ca="1"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05"/>
        <v>#REF!</v>
      </c>
      <c r="AI1305" s="43" t="str">
        <f ca="1">_xll.BInterpol('Base IPCA'!$C$3:$C$14,'Base IPCA'!$E$3:$E$14,AH1305,"Cubic","Extrapolate=Linear","MultiX=Average","Skip=True","Sort=True")</f>
        <v>#N/A Invalid Parameter: Interpolation value</v>
      </c>
      <c r="AJ1305" s="43" t="str">
        <f ca="1"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05"/>
        <v>#REF!</v>
      </c>
      <c r="AI1306" s="43" t="str">
        <f ca="1">_xll.BInterpol('Base IPCA'!$C$3:$C$14,'Base IPCA'!$E$3:$E$14,AH1306,"Cubic","Extrapolate=Linear","MultiX=Average","Skip=True","Sort=True")</f>
        <v>#N/A Invalid Parameter: Interpolation value</v>
      </c>
      <c r="AJ1306" s="43" t="str">
        <f ca="1"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05"/>
        <v>#REF!</v>
      </c>
      <c r="AI1307" s="43" t="str">
        <f ca="1">_xll.BInterpol('Base IPCA'!$C$3:$C$14,'Base IPCA'!$E$3:$E$14,AH1307,"Cubic","Extrapolate=Linear","MultiX=Average","Skip=True","Sort=True")</f>
        <v>#N/A Invalid Parameter: Interpolation value</v>
      </c>
      <c r="AJ1307" s="43" t="str">
        <f ca="1"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05"/>
        <v>#REF!</v>
      </c>
      <c r="AI1308" s="43" t="str">
        <f ca="1">_xll.BInterpol('Base IPCA'!$C$3:$C$14,'Base IPCA'!$E$3:$E$14,AH1308,"Cubic","Extrapolate=Linear","MultiX=Average","Skip=True","Sort=True")</f>
        <v>#N/A Invalid Parameter: Interpolation value</v>
      </c>
      <c r="AJ1308" s="43" t="str">
        <f ca="1"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05"/>
        <v>#REF!</v>
      </c>
      <c r="AI1309" s="43" t="str">
        <f ca="1">_xll.BInterpol('Base IPCA'!$C$3:$C$14,'Base IPCA'!$E$3:$E$14,AH1309,"Cubic","Extrapolate=Linear","MultiX=Average","Skip=True","Sort=True")</f>
        <v>#N/A Invalid Parameter: Interpolation value</v>
      </c>
      <c r="AJ1309" s="43" t="str">
        <f ca="1"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05"/>
        <v>#REF!</v>
      </c>
      <c r="AI1310" s="43" t="str">
        <f ca="1">_xll.BInterpol('Base IPCA'!$C$3:$C$14,'Base IPCA'!$E$3:$E$14,AH1310,"Cubic","Extrapolate=Linear","MultiX=Average","Skip=True","Sort=True")</f>
        <v>#N/A Invalid Parameter: Interpolation value</v>
      </c>
      <c r="AJ1310" s="43" t="str">
        <f ca="1"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05"/>
        <v>#REF!</v>
      </c>
      <c r="AI1311" s="43" t="str">
        <f ca="1">_xll.BInterpol('Base IPCA'!$C$3:$C$14,'Base IPCA'!$E$3:$E$14,AH1311,"Cubic","Extrapolate=Linear","MultiX=Average","Skip=True","Sort=True")</f>
        <v>#N/A Invalid Parameter: Interpolation value</v>
      </c>
      <c r="AJ1311" s="43" t="str">
        <f ca="1"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05"/>
        <v>#REF!</v>
      </c>
      <c r="AI1312" s="43" t="str">
        <f ca="1">_xll.BInterpol('Base IPCA'!$C$3:$C$14,'Base IPCA'!$E$3:$E$14,AH1312,"Cubic","Extrapolate=Linear","MultiX=Average","Skip=True","Sort=True")</f>
        <v>#N/A Invalid Parameter: Interpolation value</v>
      </c>
      <c r="AJ1312" s="43" t="str">
        <f ca="1"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05"/>
        <v>#REF!</v>
      </c>
      <c r="AI1313" s="43" t="str">
        <f ca="1">_xll.BInterpol('Base IPCA'!$C$3:$C$14,'Base IPCA'!$E$3:$E$14,AH1313,"Cubic","Extrapolate=Linear","MultiX=Average","Skip=True","Sort=True")</f>
        <v>#N/A Invalid Parameter: Interpolation value</v>
      </c>
      <c r="AJ1313" s="43" t="str">
        <f ca="1"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05"/>
        <v>#REF!</v>
      </c>
      <c r="AI1314" s="43" t="str">
        <f ca="1">_xll.BInterpol('Base IPCA'!$C$3:$C$14,'Base IPCA'!$E$3:$E$14,AH1314,"Cubic","Extrapolate=Linear","MultiX=Average","Skip=True","Sort=True")</f>
        <v>#N/A Invalid Parameter: Interpolation value</v>
      </c>
      <c r="AJ1314" s="43" t="str">
        <f ca="1"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05"/>
        <v>#REF!</v>
      </c>
      <c r="AI1315" s="43" t="str">
        <f ca="1">_xll.BInterpol('Base IPCA'!$C$3:$C$14,'Base IPCA'!$E$3:$E$14,AH1315,"Cubic","Extrapolate=Linear","MultiX=Average","Skip=True","Sort=True")</f>
        <v>#N/A Invalid Parameter: Interpolation value</v>
      </c>
      <c r="AJ1315" s="43" t="str">
        <f ca="1"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05"/>
        <v>#REF!</v>
      </c>
      <c r="AI1316" s="43" t="str">
        <f ca="1">_xll.BInterpol('Base IPCA'!$C$3:$C$14,'Base IPCA'!$E$3:$E$14,AH1316,"Cubic","Extrapolate=Linear","MultiX=Average","Skip=True","Sort=True")</f>
        <v>#N/A Invalid Parameter: Interpolation value</v>
      </c>
      <c r="AJ1316" s="43" t="str">
        <f ca="1"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05"/>
        <v>#REF!</v>
      </c>
      <c r="AI1317" s="43" t="str">
        <f ca="1">_xll.BInterpol('Base IPCA'!$C$3:$C$14,'Base IPCA'!$E$3:$E$14,AH1317,"Cubic","Extrapolate=Linear","MultiX=Average","Skip=True","Sort=True")</f>
        <v>#N/A Invalid Parameter: Interpolation value</v>
      </c>
      <c r="AJ1317" s="43" t="str">
        <f ca="1"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05"/>
        <v>#REF!</v>
      </c>
      <c r="AI1318" s="43" t="str">
        <f ca="1">_xll.BInterpol('Base IPCA'!$C$3:$C$14,'Base IPCA'!$E$3:$E$14,AH1318,"Cubic","Extrapolate=Linear","MultiX=Average","Skip=True","Sort=True")</f>
        <v>#N/A Invalid Parameter: Interpolation value</v>
      </c>
      <c r="AJ1318" s="43" t="str">
        <f ca="1"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05"/>
        <v>#REF!</v>
      </c>
      <c r="AI1319" s="43" t="str">
        <f ca="1">_xll.BInterpol('Base IPCA'!$C$3:$C$14,'Base IPCA'!$E$3:$E$14,AH1319,"Cubic","Extrapolate=Linear","MultiX=Average","Skip=True","Sort=True")</f>
        <v>#N/A Invalid Parameter: Interpolation value</v>
      </c>
      <c r="AJ1319" s="43" t="str">
        <f ca="1"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05"/>
        <v>#REF!</v>
      </c>
      <c r="AI1320" s="43" t="str">
        <f ca="1">_xll.BInterpol('Base IPCA'!$C$3:$C$14,'Base IPCA'!$E$3:$E$14,AH1320,"Cubic","Extrapolate=Linear","MultiX=Average","Skip=True","Sort=True")</f>
        <v>#N/A Invalid Parameter: Interpolation value</v>
      </c>
      <c r="AJ1320" s="43" t="str">
        <f ca="1"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05"/>
        <v>#REF!</v>
      </c>
      <c r="AI1321" s="43" t="str">
        <f ca="1">_xll.BInterpol('Base IPCA'!$C$3:$C$14,'Base IPCA'!$E$3:$E$14,AH1321,"Cubic","Extrapolate=Linear","MultiX=Average","Skip=True","Sort=True")</f>
        <v>#N/A Invalid Parameter: Interpolation value</v>
      </c>
      <c r="AJ1321" s="43" t="str">
        <f ca="1"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05"/>
        <v>#REF!</v>
      </c>
      <c r="AI1322" s="43" t="str">
        <f ca="1">_xll.BInterpol('Base IPCA'!$C$3:$C$14,'Base IPCA'!$E$3:$E$14,AH1322,"Cubic","Extrapolate=Linear","MultiX=Average","Skip=True","Sort=True")</f>
        <v>#N/A Invalid Parameter: Interpolation value</v>
      </c>
      <c r="AJ1322" s="43" t="str">
        <f ca="1"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05"/>
        <v>#REF!</v>
      </c>
      <c r="AI1323" s="43" t="str">
        <f ca="1">_xll.BInterpol('Base IPCA'!$C$3:$C$14,'Base IPCA'!$E$3:$E$14,AH1323,"Cubic","Extrapolate=Linear","MultiX=Average","Skip=True","Sort=True")</f>
        <v>#N/A Invalid Parameter: Interpolation value</v>
      </c>
      <c r="AJ1323" s="43" t="str">
        <f ca="1"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05"/>
        <v>#REF!</v>
      </c>
      <c r="AI1324" s="43" t="str">
        <f ca="1">_xll.BInterpol('Base IPCA'!$C$3:$C$14,'Base IPCA'!$E$3:$E$14,AH1324,"Cubic","Extrapolate=Linear","MultiX=Average","Skip=True","Sort=True")</f>
        <v>#N/A Invalid Parameter: Interpolation value</v>
      </c>
      <c r="AJ1324" s="43" t="str">
        <f ca="1"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05"/>
        <v>#REF!</v>
      </c>
      <c r="AI1325" s="43" t="str">
        <f ca="1">_xll.BInterpol('Base IPCA'!$C$3:$C$14,'Base IPCA'!$E$3:$E$14,AH1325,"Cubic","Extrapolate=Linear","MultiX=Average","Skip=True","Sort=True")</f>
        <v>#N/A Invalid Parameter: Interpolation value</v>
      </c>
      <c r="AJ1325" s="43" t="str">
        <f ca="1"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05"/>
        <v>#REF!</v>
      </c>
      <c r="AI1326" s="43" t="str">
        <f ca="1">_xll.BInterpol('Base IPCA'!$C$3:$C$14,'Base IPCA'!$E$3:$E$14,AH1326,"Cubic","Extrapolate=Linear","MultiX=Average","Skip=True","Sort=True")</f>
        <v>#N/A Invalid Parameter: Interpolation value</v>
      </c>
      <c r="AJ1326" s="43" t="str">
        <f ca="1"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05"/>
        <v>#REF!</v>
      </c>
      <c r="AI1327" s="43" t="str">
        <f ca="1">_xll.BInterpol('Base IPCA'!$C$3:$C$14,'Base IPCA'!$E$3:$E$14,AH1327,"Cubic","Extrapolate=Linear","MultiX=Average","Skip=True","Sort=True")</f>
        <v>#N/A Invalid Parameter: Interpolation value</v>
      </c>
      <c r="AJ1327" s="43" t="str">
        <f ca="1"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05"/>
        <v>#REF!</v>
      </c>
      <c r="AI1328" s="43" t="str">
        <f ca="1">_xll.BInterpol('Base IPCA'!$C$3:$C$14,'Base IPCA'!$E$3:$E$14,AH1328,"Cubic","Extrapolate=Linear","MultiX=Average","Skip=True","Sort=True")</f>
        <v>#N/A Invalid Parameter: Interpolation value</v>
      </c>
      <c r="AJ1328" s="43" t="str">
        <f ca="1"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05"/>
        <v>#REF!</v>
      </c>
      <c r="AI1329" s="43" t="str">
        <f ca="1">_xll.BInterpol('Base IPCA'!$C$3:$C$14,'Base IPCA'!$E$3:$E$14,AH1329,"Cubic","Extrapolate=Linear","MultiX=Average","Skip=True","Sort=True")</f>
        <v>#N/A Invalid Parameter: Interpolation value</v>
      </c>
      <c r="AJ1329" s="43" t="str">
        <f ca="1"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05"/>
        <v>#REF!</v>
      </c>
      <c r="AI1330" s="43" t="str">
        <f ca="1">_xll.BInterpol('Base IPCA'!$C$3:$C$14,'Base IPCA'!$E$3:$E$14,AH1330,"Cubic","Extrapolate=Linear","MultiX=Average","Skip=True","Sort=True")</f>
        <v>#N/A Invalid Parameter: Interpolation value</v>
      </c>
      <c r="AJ1330" s="43" t="str">
        <f ca="1"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05"/>
        <v>#REF!</v>
      </c>
      <c r="AI1331" s="43" t="str">
        <f ca="1">_xll.BInterpol('Base IPCA'!$C$3:$C$14,'Base IPCA'!$E$3:$E$14,AH1331,"Cubic","Extrapolate=Linear","MultiX=Average","Skip=True","Sort=True")</f>
        <v>#N/A Invalid Parameter: Interpolation value</v>
      </c>
      <c r="AJ1331" s="43" t="str">
        <f ca="1"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05"/>
        <v>#REF!</v>
      </c>
      <c r="AI1332" s="43" t="str">
        <f ca="1">_xll.BInterpol('Base IPCA'!$C$3:$C$14,'Base IPCA'!$E$3:$E$14,AH1332,"Cubic","Extrapolate=Linear","MultiX=Average","Skip=True","Sort=True")</f>
        <v>#N/A Invalid Parameter: Interpolation value</v>
      </c>
      <c r="AJ1332" s="43" t="str">
        <f ca="1"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05"/>
        <v>#REF!</v>
      </c>
      <c r="AI1333" s="43" t="str">
        <f ca="1">_xll.BInterpol('Base IPCA'!$C$3:$C$14,'Base IPCA'!$E$3:$E$14,AH1333,"Cubic","Extrapolate=Linear","MultiX=Average","Skip=True","Sort=True")</f>
        <v>#N/A Invalid Parameter: Interpolation value</v>
      </c>
      <c r="AJ1333" s="43" t="str">
        <f ca="1"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05"/>
        <v>#REF!</v>
      </c>
      <c r="AI1334" s="43" t="str">
        <f ca="1">_xll.BInterpol('Base IPCA'!$C$3:$C$14,'Base IPCA'!$E$3:$E$14,AH1334,"Cubic","Extrapolate=Linear","MultiX=Average","Skip=True","Sort=True")</f>
        <v>#N/A Invalid Parameter: Interpolation value</v>
      </c>
      <c r="AJ1334" s="43" t="str">
        <f ca="1"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05"/>
        <v>#REF!</v>
      </c>
      <c r="AI1335" s="43" t="str">
        <f ca="1">_xll.BInterpol('Base IPCA'!$C$3:$C$14,'Base IPCA'!$E$3:$E$14,AH1335,"Cubic","Extrapolate=Linear","MultiX=Average","Skip=True","Sort=True")</f>
        <v>#N/A Invalid Parameter: Interpolation value</v>
      </c>
      <c r="AJ1335" s="43" t="str">
        <f ca="1"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05"/>
        <v>#REF!</v>
      </c>
      <c r="AI1336" s="43" t="str">
        <f ca="1">_xll.BInterpol('Base IPCA'!$C$3:$C$14,'Base IPCA'!$E$3:$E$14,AH1336,"Cubic","Extrapolate=Linear","MultiX=Average","Skip=True","Sort=True")</f>
        <v>#N/A Invalid Parameter: Interpolation value</v>
      </c>
      <c r="AJ1336" s="43" t="str">
        <f ca="1"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05"/>
        <v>#REF!</v>
      </c>
      <c r="AI1337" s="43" t="str">
        <f ca="1">_xll.BInterpol('Base IPCA'!$C$3:$C$14,'Base IPCA'!$E$3:$E$14,AH1337,"Cubic","Extrapolate=Linear","MultiX=Average","Skip=True","Sort=True")</f>
        <v>#N/A Invalid Parameter: Interpolation value</v>
      </c>
      <c r="AJ1337" s="43" t="str">
        <f ca="1"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05"/>
        <v>#REF!</v>
      </c>
      <c r="AI1338" s="43" t="str">
        <f ca="1">_xll.BInterpol('Base IPCA'!$C$3:$C$14,'Base IPCA'!$E$3:$E$14,AH1338,"Cubic","Extrapolate=Linear","MultiX=Average","Skip=True","Sort=True")</f>
        <v>#N/A Invalid Parameter: Interpolation value</v>
      </c>
      <c r="AJ1338" s="43" t="str">
        <f ca="1"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05"/>
        <v>#REF!</v>
      </c>
      <c r="AI1339" s="43" t="str">
        <f ca="1">_xll.BInterpol('Base IPCA'!$C$3:$C$14,'Base IPCA'!$E$3:$E$14,AH1339,"Cubic","Extrapolate=Linear","MultiX=Average","Skip=True","Sort=True")</f>
        <v>#N/A Invalid Parameter: Interpolation value</v>
      </c>
      <c r="AJ1339" s="43" t="str">
        <f ca="1"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05"/>
        <v>#REF!</v>
      </c>
      <c r="AI1340" s="43" t="str">
        <f ca="1">_xll.BInterpol('Base IPCA'!$C$3:$C$14,'Base IPCA'!$E$3:$E$14,AH1340,"Cubic","Extrapolate=Linear","MultiX=Average","Skip=True","Sort=True")</f>
        <v>#N/A Invalid Parameter: Interpolation value</v>
      </c>
      <c r="AJ1340" s="43" t="str">
        <f ca="1"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05"/>
        <v>#REF!</v>
      </c>
      <c r="AI1341" s="43" t="str">
        <f ca="1">_xll.BInterpol('Base IPCA'!$C$3:$C$14,'Base IPCA'!$E$3:$E$14,AH1341,"Cubic","Extrapolate=Linear","MultiX=Average","Skip=True","Sort=True")</f>
        <v>#N/A Invalid Parameter: Interpolation value</v>
      </c>
      <c r="AJ1341" s="43" t="str">
        <f ca="1"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05"/>
        <v>#REF!</v>
      </c>
      <c r="AI1342" s="43" t="str">
        <f ca="1">_xll.BInterpol('Base IPCA'!$C$3:$C$14,'Base IPCA'!$E$3:$E$14,AH1342,"Cubic","Extrapolate=Linear","MultiX=Average","Skip=True","Sort=True")</f>
        <v>#N/A Invalid Parameter: Interpolation value</v>
      </c>
      <c r="AJ1342" s="43" t="str">
        <f ca="1"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05"/>
        <v>#REF!</v>
      </c>
      <c r="AI1343" s="43" t="str">
        <f ca="1">_xll.BInterpol('Base IPCA'!$C$3:$C$14,'Base IPCA'!$E$3:$E$14,AH1343,"Cubic","Extrapolate=Linear","MultiX=Average","Skip=True","Sort=True")</f>
        <v>#N/A Invalid Parameter: Interpolation value</v>
      </c>
      <c r="AJ1343" s="43" t="str">
        <f ca="1"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05"/>
        <v>#REF!</v>
      </c>
      <c r="AI1344" s="43" t="str">
        <f ca="1">_xll.BInterpol('Base IPCA'!$C$3:$C$14,'Base IPCA'!$E$3:$E$14,AH1344,"Cubic","Extrapolate=Linear","MultiX=Average","Skip=True","Sort=True")</f>
        <v>#N/A Invalid Parameter: Interpolation value</v>
      </c>
      <c r="AJ1344" s="43" t="str">
        <f ca="1"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05"/>
        <v>#REF!</v>
      </c>
      <c r="AI1345" s="43" t="str">
        <f ca="1">_xll.BInterpol('Base IPCA'!$C$3:$C$14,'Base IPCA'!$E$3:$E$14,AH1345,"Cubic","Extrapolate=Linear","MultiX=Average","Skip=True","Sort=True")</f>
        <v>#N/A Invalid Parameter: Interpolation value</v>
      </c>
      <c r="AJ1345" s="43" t="str">
        <f ca="1"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05"/>
        <v>#REF!</v>
      </c>
      <c r="AI1346" s="43" t="str">
        <f ca="1">_xll.BInterpol('Base IPCA'!$C$3:$C$14,'Base IPCA'!$E$3:$E$14,AH1346,"Cubic","Extrapolate=Linear","MultiX=Average","Skip=True","Sort=True")</f>
        <v>#N/A Invalid Parameter: Interpolation value</v>
      </c>
      <c r="AJ1346" s="43" t="str">
        <f ca="1"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05"/>
        <v>#REF!</v>
      </c>
      <c r="AI1347" s="43" t="str">
        <f ca="1">_xll.BInterpol('Base IPCA'!$C$3:$C$14,'Base IPCA'!$E$3:$E$14,AH1347,"Cubic","Extrapolate=Linear","MultiX=Average","Skip=True","Sort=True")</f>
        <v>#N/A Invalid Parameter: Interpolation value</v>
      </c>
      <c r="AJ1347" s="43" t="str">
        <f ca="1"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05"/>
        <v>#REF!</v>
      </c>
      <c r="AI1348" s="43" t="str">
        <f ca="1">_xll.BInterpol('Base IPCA'!$C$3:$C$14,'Base IPCA'!$E$3:$E$14,AH1348,"Cubic","Extrapolate=Linear","MultiX=Average","Skip=True","Sort=True")</f>
        <v>#N/A Invalid Parameter: Interpolation value</v>
      </c>
      <c r="AJ1348" s="43" t="str">
        <f ca="1"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05"/>
        <v>#REF!</v>
      </c>
      <c r="AI1349" s="43" t="str">
        <f ca="1">_xll.BInterpol('Base IPCA'!$C$3:$C$14,'Base IPCA'!$E$3:$E$14,AH1349,"Cubic","Extrapolate=Linear","MultiX=Average","Skip=True","Sort=True")</f>
        <v>#N/A Invalid Parameter: Interpolation value</v>
      </c>
      <c r="AJ1349" s="43" t="str">
        <f ca="1"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06">AH1349+1</f>
        <v>#REF!</v>
      </c>
      <c r="AI1350" s="43" t="str">
        <f ca="1">_xll.BInterpol('Base IPCA'!$C$3:$C$14,'Base IPCA'!$E$3:$E$14,AH1350,"Cubic","Extrapolate=Linear","MultiX=Average","Skip=True","Sort=True")</f>
        <v>#N/A Invalid Parameter: Interpolation value</v>
      </c>
      <c r="AJ1350" s="43" t="str">
        <f ca="1"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06"/>
        <v>#REF!</v>
      </c>
      <c r="AI1351" s="43" t="str">
        <f ca="1">_xll.BInterpol('Base IPCA'!$C$3:$C$14,'Base IPCA'!$E$3:$E$14,AH1351,"Cubic","Extrapolate=Linear","MultiX=Average","Skip=True","Sort=True")</f>
        <v>#N/A Invalid Parameter: Interpolation value</v>
      </c>
      <c r="AJ1351" s="43" t="str">
        <f ca="1"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06"/>
        <v>#REF!</v>
      </c>
      <c r="AI1352" s="43" t="str">
        <f ca="1">_xll.BInterpol('Base IPCA'!$C$3:$C$14,'Base IPCA'!$E$3:$E$14,AH1352,"Cubic","Extrapolate=Linear","MultiX=Average","Skip=True","Sort=True")</f>
        <v>#N/A Invalid Parameter: Interpolation value</v>
      </c>
      <c r="AJ1352" s="43" t="str">
        <f ca="1"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06"/>
        <v>#REF!</v>
      </c>
      <c r="AI1353" s="43" t="str">
        <f ca="1">_xll.BInterpol('Base IPCA'!$C$3:$C$14,'Base IPCA'!$E$3:$E$14,AH1353,"Cubic","Extrapolate=Linear","MultiX=Average","Skip=True","Sort=True")</f>
        <v>#N/A Invalid Parameter: Interpolation value</v>
      </c>
      <c r="AJ1353" s="43" t="str">
        <f ca="1"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06"/>
        <v>#REF!</v>
      </c>
      <c r="AI1354" s="43" t="str">
        <f ca="1">_xll.BInterpol('Base IPCA'!$C$3:$C$14,'Base IPCA'!$E$3:$E$14,AH1354,"Cubic","Extrapolate=Linear","MultiX=Average","Skip=True","Sort=True")</f>
        <v>#N/A Invalid Parameter: Interpolation value</v>
      </c>
      <c r="AJ1354" s="43" t="str">
        <f ca="1"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06"/>
        <v>#REF!</v>
      </c>
      <c r="AI1355" s="43" t="str">
        <f ca="1">_xll.BInterpol('Base IPCA'!$C$3:$C$14,'Base IPCA'!$E$3:$E$14,AH1355,"Cubic","Extrapolate=Linear","MultiX=Average","Skip=True","Sort=True")</f>
        <v>#N/A Invalid Parameter: Interpolation value</v>
      </c>
      <c r="AJ1355" s="43" t="str">
        <f ca="1"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06"/>
        <v>#REF!</v>
      </c>
      <c r="AI1356" s="43" t="str">
        <f ca="1">_xll.BInterpol('Base IPCA'!$C$3:$C$14,'Base IPCA'!$E$3:$E$14,AH1356,"Cubic","Extrapolate=Linear","MultiX=Average","Skip=True","Sort=True")</f>
        <v>#N/A Invalid Parameter: Interpolation value</v>
      </c>
      <c r="AJ1356" s="43" t="str">
        <f ca="1"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06"/>
        <v>#REF!</v>
      </c>
      <c r="AI1357" s="43" t="str">
        <f ca="1">_xll.BInterpol('Base IPCA'!$C$3:$C$14,'Base IPCA'!$E$3:$E$14,AH1357,"Cubic","Extrapolate=Linear","MultiX=Average","Skip=True","Sort=True")</f>
        <v>#N/A Invalid Parameter: Interpolation value</v>
      </c>
      <c r="AJ1357" s="43" t="str">
        <f ca="1"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06"/>
        <v>#REF!</v>
      </c>
      <c r="AI1358" s="43" t="str">
        <f ca="1">_xll.BInterpol('Base IPCA'!$C$3:$C$14,'Base IPCA'!$E$3:$E$14,AH1358,"Cubic","Extrapolate=Linear","MultiX=Average","Skip=True","Sort=True")</f>
        <v>#N/A Invalid Parameter: Interpolation value</v>
      </c>
      <c r="AJ1358" s="43" t="str">
        <f ca="1"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06"/>
        <v>#REF!</v>
      </c>
      <c r="AI1359" s="43" t="str">
        <f ca="1">_xll.BInterpol('Base IPCA'!$C$3:$C$14,'Base IPCA'!$E$3:$E$14,AH1359,"Cubic","Extrapolate=Linear","MultiX=Average","Skip=True","Sort=True")</f>
        <v>#N/A Invalid Parameter: Interpolation value</v>
      </c>
      <c r="AJ1359" s="43" t="str">
        <f ca="1"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06"/>
        <v>#REF!</v>
      </c>
      <c r="AI1360" s="43" t="str">
        <f ca="1">_xll.BInterpol('Base IPCA'!$C$3:$C$14,'Base IPCA'!$E$3:$E$14,AH1360,"Cubic","Extrapolate=Linear","MultiX=Average","Skip=True","Sort=True")</f>
        <v>#N/A Invalid Parameter: Interpolation value</v>
      </c>
      <c r="AJ1360" s="43" t="str">
        <f ca="1"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06"/>
        <v>#REF!</v>
      </c>
      <c r="AI1361" s="43" t="str">
        <f ca="1">_xll.BInterpol('Base IPCA'!$C$3:$C$14,'Base IPCA'!$E$3:$E$14,AH1361,"Cubic","Extrapolate=Linear","MultiX=Average","Skip=True","Sort=True")</f>
        <v>#N/A Invalid Parameter: Interpolation value</v>
      </c>
      <c r="AJ1361" s="43" t="str">
        <f ca="1"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06"/>
        <v>#REF!</v>
      </c>
      <c r="AI1362" s="43" t="str">
        <f ca="1">_xll.BInterpol('Base IPCA'!$C$3:$C$14,'Base IPCA'!$E$3:$E$14,AH1362,"Cubic","Extrapolate=Linear","MultiX=Average","Skip=True","Sort=True")</f>
        <v>#N/A Invalid Parameter: Interpolation value</v>
      </c>
      <c r="AJ1362" s="43" t="str">
        <f ca="1"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06"/>
        <v>#REF!</v>
      </c>
      <c r="AI1363" s="43" t="str">
        <f ca="1">_xll.BInterpol('Base IPCA'!$C$3:$C$14,'Base IPCA'!$E$3:$E$14,AH1363,"Cubic","Extrapolate=Linear","MultiX=Average","Skip=True","Sort=True")</f>
        <v>#N/A Invalid Parameter: Interpolation value</v>
      </c>
      <c r="AJ1363" s="43" t="str">
        <f ca="1"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06"/>
        <v>#REF!</v>
      </c>
      <c r="AI1364" s="43" t="str">
        <f ca="1">_xll.BInterpol('Base IPCA'!$C$3:$C$14,'Base IPCA'!$E$3:$E$14,AH1364,"Cubic","Extrapolate=Linear","MultiX=Average","Skip=True","Sort=True")</f>
        <v>#N/A Invalid Parameter: Interpolation value</v>
      </c>
      <c r="AJ1364" s="43" t="str">
        <f ca="1"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06"/>
        <v>#REF!</v>
      </c>
      <c r="AI1365" s="43" t="str">
        <f ca="1">_xll.BInterpol('Base IPCA'!$C$3:$C$14,'Base IPCA'!$E$3:$E$14,AH1365,"Cubic","Extrapolate=Linear","MultiX=Average","Skip=True","Sort=True")</f>
        <v>#N/A Invalid Parameter: Interpolation value</v>
      </c>
      <c r="AJ1365" s="43" t="str">
        <f ca="1"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06"/>
        <v>#REF!</v>
      </c>
      <c r="AI1366" s="43" t="str">
        <f ca="1">_xll.BInterpol('Base IPCA'!$C$3:$C$14,'Base IPCA'!$E$3:$E$14,AH1366,"Cubic","Extrapolate=Linear","MultiX=Average","Skip=True","Sort=True")</f>
        <v>#N/A Invalid Parameter: Interpolation value</v>
      </c>
      <c r="AJ1366" s="43" t="str">
        <f ca="1"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06"/>
        <v>#REF!</v>
      </c>
      <c r="AI1367" s="43" t="str">
        <f ca="1">_xll.BInterpol('Base IPCA'!$C$3:$C$14,'Base IPCA'!$E$3:$E$14,AH1367,"Cubic","Extrapolate=Linear","MultiX=Average","Skip=True","Sort=True")</f>
        <v>#N/A Invalid Parameter: Interpolation value</v>
      </c>
      <c r="AJ1367" s="43" t="str">
        <f ca="1"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06"/>
        <v>#REF!</v>
      </c>
      <c r="AI1368" s="43" t="str">
        <f ca="1">_xll.BInterpol('Base IPCA'!$C$3:$C$14,'Base IPCA'!$E$3:$E$14,AH1368,"Cubic","Extrapolate=Linear","MultiX=Average","Skip=True","Sort=True")</f>
        <v>#N/A Invalid Parameter: Interpolation value</v>
      </c>
      <c r="AJ1368" s="43" t="str">
        <f ca="1"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06"/>
        <v>#REF!</v>
      </c>
      <c r="AI1369" s="43" t="str">
        <f ca="1">_xll.BInterpol('Base IPCA'!$C$3:$C$14,'Base IPCA'!$E$3:$E$14,AH1369,"Cubic","Extrapolate=Linear","MultiX=Average","Skip=True","Sort=True")</f>
        <v>#N/A Invalid Parameter: Interpolation value</v>
      </c>
      <c r="AJ1369" s="43" t="str">
        <f ca="1"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06"/>
        <v>#REF!</v>
      </c>
      <c r="AI1370" s="43" t="str">
        <f ca="1">_xll.BInterpol('Base IPCA'!$C$3:$C$14,'Base IPCA'!$E$3:$E$14,AH1370,"Cubic","Extrapolate=Linear","MultiX=Average","Skip=True","Sort=True")</f>
        <v>#N/A Invalid Parameter: Interpolation value</v>
      </c>
      <c r="AJ1370" s="43" t="str">
        <f ca="1"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06"/>
        <v>#REF!</v>
      </c>
      <c r="AI1371" s="43" t="str">
        <f ca="1">_xll.BInterpol('Base IPCA'!$C$3:$C$14,'Base IPCA'!$E$3:$E$14,AH1371,"Cubic","Extrapolate=Linear","MultiX=Average","Skip=True","Sort=True")</f>
        <v>#N/A Invalid Parameter: Interpolation value</v>
      </c>
      <c r="AJ1371" s="43" t="str">
        <f ca="1"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06"/>
        <v>#REF!</v>
      </c>
      <c r="AI1372" s="43" t="str">
        <f ca="1">_xll.BInterpol('Base IPCA'!$C$3:$C$14,'Base IPCA'!$E$3:$E$14,AH1372,"Cubic","Extrapolate=Linear","MultiX=Average","Skip=True","Sort=True")</f>
        <v>#N/A Invalid Parameter: Interpolation value</v>
      </c>
      <c r="AJ1372" s="43" t="str">
        <f ca="1"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06"/>
        <v>#REF!</v>
      </c>
      <c r="AI1373" s="43" t="str">
        <f ca="1">_xll.BInterpol('Base IPCA'!$C$3:$C$14,'Base IPCA'!$E$3:$E$14,AH1373,"Cubic","Extrapolate=Linear","MultiX=Average","Skip=True","Sort=True")</f>
        <v>#N/A Invalid Parameter: Interpolation value</v>
      </c>
      <c r="AJ1373" s="43" t="str">
        <f ca="1"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06"/>
        <v>#REF!</v>
      </c>
      <c r="AI1374" s="43" t="str">
        <f ca="1">_xll.BInterpol('Base IPCA'!$C$3:$C$14,'Base IPCA'!$E$3:$E$14,AH1374,"Cubic","Extrapolate=Linear","MultiX=Average","Skip=True","Sort=True")</f>
        <v>#N/A Invalid Parameter: Interpolation value</v>
      </c>
      <c r="AJ1374" s="43" t="str">
        <f ca="1"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06"/>
        <v>#REF!</v>
      </c>
      <c r="AI1375" s="43" t="str">
        <f ca="1">_xll.BInterpol('Base IPCA'!$C$3:$C$14,'Base IPCA'!$E$3:$E$14,AH1375,"Cubic","Extrapolate=Linear","MultiX=Average","Skip=True","Sort=True")</f>
        <v>#N/A Invalid Parameter: Interpolation value</v>
      </c>
      <c r="AJ1375" s="43" t="str">
        <f ca="1"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06"/>
        <v>#REF!</v>
      </c>
      <c r="AI1376" s="43" t="str">
        <f ca="1">_xll.BInterpol('Base IPCA'!$C$3:$C$14,'Base IPCA'!$E$3:$E$14,AH1376,"Cubic","Extrapolate=Linear","MultiX=Average","Skip=True","Sort=True")</f>
        <v>#N/A Invalid Parameter: Interpolation value</v>
      </c>
      <c r="AJ1376" s="43" t="str">
        <f ca="1"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06"/>
        <v>#REF!</v>
      </c>
      <c r="AI1377" s="43" t="str">
        <f ca="1">_xll.BInterpol('Base IPCA'!$C$3:$C$14,'Base IPCA'!$E$3:$E$14,AH1377,"Cubic","Extrapolate=Linear","MultiX=Average","Skip=True","Sort=True")</f>
        <v>#N/A Invalid Parameter: Interpolation value</v>
      </c>
      <c r="AJ1377" s="43" t="str">
        <f ca="1"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06"/>
        <v>#REF!</v>
      </c>
      <c r="AI1378" s="43" t="str">
        <f ca="1">_xll.BInterpol('Base IPCA'!$C$3:$C$14,'Base IPCA'!$E$3:$E$14,AH1378,"Cubic","Extrapolate=Linear","MultiX=Average","Skip=True","Sort=True")</f>
        <v>#N/A Invalid Parameter: Interpolation value</v>
      </c>
      <c r="AJ1378" s="43" t="str">
        <f ca="1"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06"/>
        <v>#REF!</v>
      </c>
      <c r="AI1379" s="43" t="str">
        <f ca="1">_xll.BInterpol('Base IPCA'!$C$3:$C$14,'Base IPCA'!$E$3:$E$14,AH1379,"Cubic","Extrapolate=Linear","MultiX=Average","Skip=True","Sort=True")</f>
        <v>#N/A Invalid Parameter: Interpolation value</v>
      </c>
      <c r="AJ1379" s="43" t="str">
        <f ca="1"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06"/>
        <v>#REF!</v>
      </c>
      <c r="AI1380" s="43" t="str">
        <f ca="1">_xll.BInterpol('Base IPCA'!$C$3:$C$14,'Base IPCA'!$E$3:$E$14,AH1380,"Cubic","Extrapolate=Linear","MultiX=Average","Skip=True","Sort=True")</f>
        <v>#N/A Invalid Parameter: Interpolation value</v>
      </c>
      <c r="AJ1380" s="43" t="str">
        <f ca="1"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06"/>
        <v>#REF!</v>
      </c>
      <c r="AI1381" s="43" t="str">
        <f ca="1">_xll.BInterpol('Base IPCA'!$C$3:$C$14,'Base IPCA'!$E$3:$E$14,AH1381,"Cubic","Extrapolate=Linear","MultiX=Average","Skip=True","Sort=True")</f>
        <v>#N/A Invalid Parameter: Interpolation value</v>
      </c>
      <c r="AJ1381" s="43" t="str">
        <f ca="1"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06"/>
        <v>#REF!</v>
      </c>
      <c r="AI1382" s="43" t="str">
        <f ca="1">_xll.BInterpol('Base IPCA'!$C$3:$C$14,'Base IPCA'!$E$3:$E$14,AH1382,"Cubic","Extrapolate=Linear","MultiX=Average","Skip=True","Sort=True")</f>
        <v>#N/A Invalid Parameter: Interpolation value</v>
      </c>
      <c r="AJ1382" s="43" t="str">
        <f ca="1"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06"/>
        <v>#REF!</v>
      </c>
      <c r="AI1383" s="43" t="str">
        <f ca="1">_xll.BInterpol('Base IPCA'!$C$3:$C$14,'Base IPCA'!$E$3:$E$14,AH1383,"Cubic","Extrapolate=Linear","MultiX=Average","Skip=True","Sort=True")</f>
        <v>#N/A Invalid Parameter: Interpolation value</v>
      </c>
      <c r="AJ1383" s="43" t="str">
        <f ca="1"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06"/>
        <v>#REF!</v>
      </c>
      <c r="AI1384" s="43" t="str">
        <f ca="1">_xll.BInterpol('Base IPCA'!$C$3:$C$14,'Base IPCA'!$E$3:$E$14,AH1384,"Cubic","Extrapolate=Linear","MultiX=Average","Skip=True","Sort=True")</f>
        <v>#N/A Invalid Parameter: Interpolation value</v>
      </c>
      <c r="AJ1384" s="43" t="str">
        <f ca="1"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06"/>
        <v>#REF!</v>
      </c>
      <c r="AI1385" s="43" t="str">
        <f ca="1">_xll.BInterpol('Base IPCA'!$C$3:$C$14,'Base IPCA'!$E$3:$E$14,AH1385,"Cubic","Extrapolate=Linear","MultiX=Average","Skip=True","Sort=True")</f>
        <v>#N/A Invalid Parameter: Interpolation value</v>
      </c>
      <c r="AJ1385" s="43" t="str">
        <f ca="1"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06"/>
        <v>#REF!</v>
      </c>
      <c r="AI1386" s="43" t="str">
        <f ca="1">_xll.BInterpol('Base IPCA'!$C$3:$C$14,'Base IPCA'!$E$3:$E$14,AH1386,"Cubic","Extrapolate=Linear","MultiX=Average","Skip=True","Sort=True")</f>
        <v>#N/A Invalid Parameter: Interpolation value</v>
      </c>
      <c r="AJ1386" s="43" t="str">
        <f ca="1"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06"/>
        <v>#REF!</v>
      </c>
      <c r="AI1387" s="43" t="str">
        <f ca="1">_xll.BInterpol('Base IPCA'!$C$3:$C$14,'Base IPCA'!$E$3:$E$14,AH1387,"Cubic","Extrapolate=Linear","MultiX=Average","Skip=True","Sort=True")</f>
        <v>#N/A Invalid Parameter: Interpolation value</v>
      </c>
      <c r="AJ1387" s="43" t="str">
        <f ca="1"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06"/>
        <v>#REF!</v>
      </c>
      <c r="AI1388" s="43" t="str">
        <f ca="1">_xll.BInterpol('Base IPCA'!$C$3:$C$14,'Base IPCA'!$E$3:$E$14,AH1388,"Cubic","Extrapolate=Linear","MultiX=Average","Skip=True","Sort=True")</f>
        <v>#N/A Invalid Parameter: Interpolation value</v>
      </c>
      <c r="AJ1388" s="43" t="str">
        <f ca="1"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06"/>
        <v>#REF!</v>
      </c>
      <c r="AI1389" s="43" t="str">
        <f ca="1">_xll.BInterpol('Base IPCA'!$C$3:$C$14,'Base IPCA'!$E$3:$E$14,AH1389,"Cubic","Extrapolate=Linear","MultiX=Average","Skip=True","Sort=True")</f>
        <v>#N/A Invalid Parameter: Interpolation value</v>
      </c>
      <c r="AJ1389" s="43" t="str">
        <f ca="1"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06"/>
        <v>#REF!</v>
      </c>
      <c r="AI1390" s="43" t="str">
        <f ca="1">_xll.BInterpol('Base IPCA'!$C$3:$C$14,'Base IPCA'!$E$3:$E$14,AH1390,"Cubic","Extrapolate=Linear","MultiX=Average","Skip=True","Sort=True")</f>
        <v>#N/A Invalid Parameter: Interpolation value</v>
      </c>
      <c r="AJ1390" s="43" t="str">
        <f ca="1"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06"/>
        <v>#REF!</v>
      </c>
      <c r="AI1391" s="43" t="str">
        <f ca="1">_xll.BInterpol('Base IPCA'!$C$3:$C$14,'Base IPCA'!$E$3:$E$14,AH1391,"Cubic","Extrapolate=Linear","MultiX=Average","Skip=True","Sort=True")</f>
        <v>#N/A Invalid Parameter: Interpolation value</v>
      </c>
      <c r="AJ1391" s="43" t="str">
        <f ca="1"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06"/>
        <v>#REF!</v>
      </c>
      <c r="AI1392" s="43" t="str">
        <f ca="1">_xll.BInterpol('Base IPCA'!$C$3:$C$14,'Base IPCA'!$E$3:$E$14,AH1392,"Cubic","Extrapolate=Linear","MultiX=Average","Skip=True","Sort=True")</f>
        <v>#N/A Invalid Parameter: Interpolation value</v>
      </c>
      <c r="AJ1392" s="43" t="str">
        <f ca="1"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06"/>
        <v>#REF!</v>
      </c>
      <c r="AI1393" s="43" t="str">
        <f ca="1">_xll.BInterpol('Base IPCA'!$C$3:$C$14,'Base IPCA'!$E$3:$E$14,AH1393,"Cubic","Extrapolate=Linear","MultiX=Average","Skip=True","Sort=True")</f>
        <v>#N/A Invalid Parameter: Interpolation value</v>
      </c>
      <c r="AJ1393" s="43" t="str">
        <f ca="1"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06"/>
        <v>#REF!</v>
      </c>
      <c r="AI1394" s="43" t="str">
        <f ca="1">_xll.BInterpol('Base IPCA'!$C$3:$C$14,'Base IPCA'!$E$3:$E$14,AH1394,"Cubic","Extrapolate=Linear","MultiX=Average","Skip=True","Sort=True")</f>
        <v>#N/A Invalid Parameter: Interpolation value</v>
      </c>
      <c r="AJ1394" s="43" t="str">
        <f ca="1"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06"/>
        <v>#REF!</v>
      </c>
      <c r="AI1395" s="43" t="str">
        <f ca="1">_xll.BInterpol('Base IPCA'!$C$3:$C$14,'Base IPCA'!$E$3:$E$14,AH1395,"Cubic","Extrapolate=Linear","MultiX=Average","Skip=True","Sort=True")</f>
        <v>#N/A Invalid Parameter: Interpolation value</v>
      </c>
      <c r="AJ1395" s="43" t="str">
        <f ca="1"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06"/>
        <v>#REF!</v>
      </c>
      <c r="AI1396" s="43" t="str">
        <f ca="1">_xll.BInterpol('Base IPCA'!$C$3:$C$14,'Base IPCA'!$E$3:$E$14,AH1396,"Cubic","Extrapolate=Linear","MultiX=Average","Skip=True","Sort=True")</f>
        <v>#N/A Invalid Parameter: Interpolation value</v>
      </c>
      <c r="AJ1396" s="43" t="str">
        <f ca="1"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06"/>
        <v>#REF!</v>
      </c>
      <c r="AI1397" s="43" t="str">
        <f ca="1">_xll.BInterpol('Base IPCA'!$C$3:$C$14,'Base IPCA'!$E$3:$E$14,AH1397,"Cubic","Extrapolate=Linear","MultiX=Average","Skip=True","Sort=True")</f>
        <v>#N/A Invalid Parameter: Interpolation value</v>
      </c>
      <c r="AJ1397" s="43" t="str">
        <f ca="1"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06"/>
        <v>#REF!</v>
      </c>
      <c r="AI1398" s="43" t="str">
        <f ca="1">_xll.BInterpol('Base IPCA'!$C$3:$C$14,'Base IPCA'!$E$3:$E$14,AH1398,"Cubic","Extrapolate=Linear","MultiX=Average","Skip=True","Sort=True")</f>
        <v>#N/A Invalid Parameter: Interpolation value</v>
      </c>
      <c r="AJ1398" s="43" t="str">
        <f ca="1"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06"/>
        <v>#REF!</v>
      </c>
      <c r="AI1399" s="43" t="str">
        <f ca="1">_xll.BInterpol('Base IPCA'!$C$3:$C$14,'Base IPCA'!$E$3:$E$14,AH1399,"Cubic","Extrapolate=Linear","MultiX=Average","Skip=True","Sort=True")</f>
        <v>#N/A Invalid Parameter: Interpolation value</v>
      </c>
      <c r="AJ1399" s="43" t="str">
        <f ca="1"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06"/>
        <v>#REF!</v>
      </c>
      <c r="AI1400" s="43" t="str">
        <f ca="1">_xll.BInterpol('Base IPCA'!$C$3:$C$14,'Base IPCA'!$E$3:$E$14,AH1400,"Cubic","Extrapolate=Linear","MultiX=Average","Skip=True","Sort=True")</f>
        <v>#N/A Invalid Parameter: Interpolation value</v>
      </c>
      <c r="AJ1400" s="43" t="str">
        <f ca="1"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06"/>
        <v>#REF!</v>
      </c>
      <c r="AI1401" s="43" t="str">
        <f ca="1">_xll.BInterpol('Base IPCA'!$C$3:$C$14,'Base IPCA'!$E$3:$E$14,AH1401,"Cubic","Extrapolate=Linear","MultiX=Average","Skip=True","Sort=True")</f>
        <v>#N/A Invalid Parameter: Interpolation value</v>
      </c>
      <c r="AJ1401" s="43" t="str">
        <f ca="1"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06"/>
        <v>#REF!</v>
      </c>
      <c r="AI1402" s="43" t="str">
        <f ca="1">_xll.BInterpol('Base IPCA'!$C$3:$C$14,'Base IPCA'!$E$3:$E$14,AH1402,"Cubic","Extrapolate=Linear","MultiX=Average","Skip=True","Sort=True")</f>
        <v>#N/A Invalid Parameter: Interpolation value</v>
      </c>
      <c r="AJ1402" s="43" t="str">
        <f ca="1"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06"/>
        <v>#REF!</v>
      </c>
      <c r="AI1403" s="43" t="str">
        <f ca="1">_xll.BInterpol('Base IPCA'!$C$3:$C$14,'Base IPCA'!$E$3:$E$14,AH1403,"Cubic","Extrapolate=Linear","MultiX=Average","Skip=True","Sort=True")</f>
        <v>#N/A Invalid Parameter: Interpolation value</v>
      </c>
      <c r="AJ1403" s="43" t="str">
        <f ca="1"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06"/>
        <v>#REF!</v>
      </c>
      <c r="AI1404" s="43" t="str">
        <f ca="1">_xll.BInterpol('Base IPCA'!$C$3:$C$14,'Base IPCA'!$E$3:$E$14,AH1404,"Cubic","Extrapolate=Linear","MultiX=Average","Skip=True","Sort=True")</f>
        <v>#N/A Invalid Parameter: Interpolation value</v>
      </c>
      <c r="AJ1404" s="43" t="str">
        <f ca="1"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06"/>
        <v>#REF!</v>
      </c>
      <c r="AI1405" s="43" t="str">
        <f ca="1">_xll.BInterpol('Base IPCA'!$C$3:$C$14,'Base IPCA'!$E$3:$E$14,AH1405,"Cubic","Extrapolate=Linear","MultiX=Average","Skip=True","Sort=True")</f>
        <v>#N/A Invalid Parameter: Interpolation value</v>
      </c>
      <c r="AJ1405" s="43" t="str">
        <f ca="1"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06"/>
        <v>#REF!</v>
      </c>
      <c r="AI1406" s="43" t="str">
        <f ca="1">_xll.BInterpol('Base IPCA'!$C$3:$C$14,'Base IPCA'!$E$3:$E$14,AH1406,"Cubic","Extrapolate=Linear","MultiX=Average","Skip=True","Sort=True")</f>
        <v>#N/A Invalid Parameter: Interpolation value</v>
      </c>
      <c r="AJ1406" s="43" t="str">
        <f ca="1"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06"/>
        <v>#REF!</v>
      </c>
      <c r="AI1407" s="43" t="str">
        <f ca="1">_xll.BInterpol('Base IPCA'!$C$3:$C$14,'Base IPCA'!$E$3:$E$14,AH1407,"Cubic","Extrapolate=Linear","MultiX=Average","Skip=True","Sort=True")</f>
        <v>#N/A Invalid Parameter: Interpolation value</v>
      </c>
      <c r="AJ1407" s="43" t="str">
        <f ca="1"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06"/>
        <v>#REF!</v>
      </c>
      <c r="AI1408" s="43" t="str">
        <f ca="1">_xll.BInterpol('Base IPCA'!$C$3:$C$14,'Base IPCA'!$E$3:$E$14,AH1408,"Cubic","Extrapolate=Linear","MultiX=Average","Skip=True","Sort=True")</f>
        <v>#N/A Invalid Parameter: Interpolation value</v>
      </c>
      <c r="AJ1408" s="43" t="str">
        <f ca="1"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06"/>
        <v>#REF!</v>
      </c>
      <c r="AI1409" s="43" t="str">
        <f ca="1">_xll.BInterpol('Base IPCA'!$C$3:$C$14,'Base IPCA'!$E$3:$E$14,AH1409,"Cubic","Extrapolate=Linear","MultiX=Average","Skip=True","Sort=True")</f>
        <v>#N/A Invalid Parameter: Interpolation value</v>
      </c>
      <c r="AJ1409" s="43" t="str">
        <f ca="1"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06"/>
        <v>#REF!</v>
      </c>
      <c r="AI1410" s="43" t="str">
        <f ca="1">_xll.BInterpol('Base IPCA'!$C$3:$C$14,'Base IPCA'!$E$3:$E$14,AH1410,"Cubic","Extrapolate=Linear","MultiX=Average","Skip=True","Sort=True")</f>
        <v>#N/A Invalid Parameter: Interpolation value</v>
      </c>
      <c r="AJ1410" s="43" t="str">
        <f ca="1"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06"/>
        <v>#REF!</v>
      </c>
      <c r="AI1411" s="43" t="str">
        <f ca="1">_xll.BInterpol('Base IPCA'!$C$3:$C$14,'Base IPCA'!$E$3:$E$14,AH1411,"Cubic","Extrapolate=Linear","MultiX=Average","Skip=True","Sort=True")</f>
        <v>#N/A Invalid Parameter: Interpolation value</v>
      </c>
      <c r="AJ1411" s="43" t="str">
        <f ca="1"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06"/>
        <v>#REF!</v>
      </c>
      <c r="AI1412" s="43" t="str">
        <f ca="1">_xll.BInterpol('Base IPCA'!$C$3:$C$14,'Base IPCA'!$E$3:$E$14,AH1412,"Cubic","Extrapolate=Linear","MultiX=Average","Skip=True","Sort=True")</f>
        <v>#N/A Invalid Parameter: Interpolation value</v>
      </c>
      <c r="AJ1412" s="43" t="str">
        <f ca="1"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06"/>
        <v>#REF!</v>
      </c>
      <c r="AI1413" s="43" t="str">
        <f ca="1">_xll.BInterpol('Base IPCA'!$C$3:$C$14,'Base IPCA'!$E$3:$E$14,AH1413,"Cubic","Extrapolate=Linear","MultiX=Average","Skip=True","Sort=True")</f>
        <v>#N/A Invalid Parameter: Interpolation value</v>
      </c>
      <c r="AJ1413" s="43" t="str">
        <f ca="1"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07">AH1413+1</f>
        <v>#REF!</v>
      </c>
      <c r="AI1414" s="43" t="str">
        <f ca="1">_xll.BInterpol('Base IPCA'!$C$3:$C$14,'Base IPCA'!$E$3:$E$14,AH1414,"Cubic","Extrapolate=Linear","MultiX=Average","Skip=True","Sort=True")</f>
        <v>#N/A Invalid Parameter: Interpolation value</v>
      </c>
      <c r="AJ1414" s="43" t="str">
        <f ca="1"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07"/>
        <v>#REF!</v>
      </c>
      <c r="AI1415" s="43" t="str">
        <f ca="1">_xll.BInterpol('Base IPCA'!$C$3:$C$14,'Base IPCA'!$E$3:$E$14,AH1415,"Cubic","Extrapolate=Linear","MultiX=Average","Skip=True","Sort=True")</f>
        <v>#N/A Invalid Parameter: Interpolation value</v>
      </c>
      <c r="AJ1415" s="43" t="str">
        <f ca="1"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07"/>
        <v>#REF!</v>
      </c>
      <c r="AI1416" s="43" t="str">
        <f ca="1">_xll.BInterpol('Base IPCA'!$C$3:$C$14,'Base IPCA'!$E$3:$E$14,AH1416,"Cubic","Extrapolate=Linear","MultiX=Average","Skip=True","Sort=True")</f>
        <v>#N/A Invalid Parameter: Interpolation value</v>
      </c>
      <c r="AJ1416" s="43" t="str">
        <f ca="1"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07"/>
        <v>#REF!</v>
      </c>
      <c r="AI1417" s="43" t="str">
        <f ca="1">_xll.BInterpol('Base IPCA'!$C$3:$C$14,'Base IPCA'!$E$3:$E$14,AH1417,"Cubic","Extrapolate=Linear","MultiX=Average","Skip=True","Sort=True")</f>
        <v>#N/A Invalid Parameter: Interpolation value</v>
      </c>
      <c r="AJ1417" s="43" t="str">
        <f ca="1"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07"/>
        <v>#REF!</v>
      </c>
      <c r="AI1418" s="43" t="str">
        <f ca="1">_xll.BInterpol('Base IPCA'!$C$3:$C$14,'Base IPCA'!$E$3:$E$14,AH1418,"Cubic","Extrapolate=Linear","MultiX=Average","Skip=True","Sort=True")</f>
        <v>#N/A Invalid Parameter: Interpolation value</v>
      </c>
      <c r="AJ1418" s="43" t="str">
        <f ca="1"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07"/>
        <v>#REF!</v>
      </c>
      <c r="AI1419" s="43" t="str">
        <f ca="1">_xll.BInterpol('Base IPCA'!$C$3:$C$14,'Base IPCA'!$E$3:$E$14,AH1419,"Cubic","Extrapolate=Linear","MultiX=Average","Skip=True","Sort=True")</f>
        <v>#N/A Invalid Parameter: Interpolation value</v>
      </c>
      <c r="AJ1419" s="43" t="str">
        <f ca="1"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07"/>
        <v>#REF!</v>
      </c>
      <c r="AI1420" s="43" t="str">
        <f ca="1">_xll.BInterpol('Base IPCA'!$C$3:$C$14,'Base IPCA'!$E$3:$E$14,AH1420,"Cubic","Extrapolate=Linear","MultiX=Average","Skip=True","Sort=True")</f>
        <v>#N/A Invalid Parameter: Interpolation value</v>
      </c>
      <c r="AJ1420" s="43" t="str">
        <f ca="1"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07"/>
        <v>#REF!</v>
      </c>
      <c r="AI1421" s="43" t="str">
        <f ca="1">_xll.BInterpol('Base IPCA'!$C$3:$C$14,'Base IPCA'!$E$3:$E$14,AH1421,"Cubic","Extrapolate=Linear","MultiX=Average","Skip=True","Sort=True")</f>
        <v>#N/A Invalid Parameter: Interpolation value</v>
      </c>
      <c r="AJ1421" s="43" t="str">
        <f ca="1"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07"/>
        <v>#REF!</v>
      </c>
      <c r="AI1422" s="43" t="str">
        <f ca="1">_xll.BInterpol('Base IPCA'!$C$3:$C$14,'Base IPCA'!$E$3:$E$14,AH1422,"Cubic","Extrapolate=Linear","MultiX=Average","Skip=True","Sort=True")</f>
        <v>#N/A Invalid Parameter: Interpolation value</v>
      </c>
      <c r="AJ1422" s="43" t="str">
        <f ca="1"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07"/>
        <v>#REF!</v>
      </c>
      <c r="AI1423" s="43" t="str">
        <f ca="1">_xll.BInterpol('Base IPCA'!$C$3:$C$14,'Base IPCA'!$E$3:$E$14,AH1423,"Cubic","Extrapolate=Linear","MultiX=Average","Skip=True","Sort=True")</f>
        <v>#N/A Invalid Parameter: Interpolation value</v>
      </c>
      <c r="AJ1423" s="43" t="str">
        <f ca="1"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07"/>
        <v>#REF!</v>
      </c>
      <c r="AI1424" s="43" t="str">
        <f ca="1">_xll.BInterpol('Base IPCA'!$C$3:$C$14,'Base IPCA'!$E$3:$E$14,AH1424,"Cubic","Extrapolate=Linear","MultiX=Average","Skip=True","Sort=True")</f>
        <v>#N/A Invalid Parameter: Interpolation value</v>
      </c>
      <c r="AJ1424" s="43" t="str">
        <f ca="1"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07"/>
        <v>#REF!</v>
      </c>
      <c r="AI1425" s="43" t="str">
        <f ca="1">_xll.BInterpol('Base IPCA'!$C$3:$C$14,'Base IPCA'!$E$3:$E$14,AH1425,"Cubic","Extrapolate=Linear","MultiX=Average","Skip=True","Sort=True")</f>
        <v>#N/A Invalid Parameter: Interpolation value</v>
      </c>
      <c r="AJ1425" s="43" t="str">
        <f ca="1"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07"/>
        <v>#REF!</v>
      </c>
      <c r="AI1426" s="43" t="str">
        <f ca="1">_xll.BInterpol('Base IPCA'!$C$3:$C$14,'Base IPCA'!$E$3:$E$14,AH1426,"Cubic","Extrapolate=Linear","MultiX=Average","Skip=True","Sort=True")</f>
        <v>#N/A Invalid Parameter: Interpolation value</v>
      </c>
      <c r="AJ1426" s="43" t="str">
        <f ca="1"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07"/>
        <v>#REF!</v>
      </c>
      <c r="AI1427" s="43" t="str">
        <f ca="1">_xll.BInterpol('Base IPCA'!$C$3:$C$14,'Base IPCA'!$E$3:$E$14,AH1427,"Cubic","Extrapolate=Linear","MultiX=Average","Skip=True","Sort=True")</f>
        <v>#N/A Invalid Parameter: Interpolation value</v>
      </c>
      <c r="AJ1427" s="43" t="str">
        <f ca="1"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07"/>
        <v>#REF!</v>
      </c>
      <c r="AI1428" s="43" t="str">
        <f ca="1">_xll.BInterpol('Base IPCA'!$C$3:$C$14,'Base IPCA'!$E$3:$E$14,AH1428,"Cubic","Extrapolate=Linear","MultiX=Average","Skip=True","Sort=True")</f>
        <v>#N/A Invalid Parameter: Interpolation value</v>
      </c>
      <c r="AJ1428" s="43" t="str">
        <f ca="1"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07"/>
        <v>#REF!</v>
      </c>
      <c r="AI1429" s="43" t="str">
        <f ca="1">_xll.BInterpol('Base IPCA'!$C$3:$C$14,'Base IPCA'!$E$3:$E$14,AH1429,"Cubic","Extrapolate=Linear","MultiX=Average","Skip=True","Sort=True")</f>
        <v>#N/A Invalid Parameter: Interpolation value</v>
      </c>
      <c r="AJ1429" s="43" t="str">
        <f ca="1"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07"/>
        <v>#REF!</v>
      </c>
      <c r="AI1430" s="43" t="str">
        <f ca="1">_xll.BInterpol('Base IPCA'!$C$3:$C$14,'Base IPCA'!$E$3:$E$14,AH1430,"Cubic","Extrapolate=Linear","MultiX=Average","Skip=True","Sort=True")</f>
        <v>#N/A Invalid Parameter: Interpolation value</v>
      </c>
      <c r="AJ1430" s="43" t="str">
        <f ca="1"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07"/>
        <v>#REF!</v>
      </c>
      <c r="AI1431" s="43" t="str">
        <f ca="1">_xll.BInterpol('Base IPCA'!$C$3:$C$14,'Base IPCA'!$E$3:$E$14,AH1431,"Cubic","Extrapolate=Linear","MultiX=Average","Skip=True","Sort=True")</f>
        <v>#N/A Invalid Parameter: Interpolation value</v>
      </c>
      <c r="AJ1431" s="43" t="str">
        <f ca="1"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07"/>
        <v>#REF!</v>
      </c>
      <c r="AI1432" s="43" t="str">
        <f ca="1">_xll.BInterpol('Base IPCA'!$C$3:$C$14,'Base IPCA'!$E$3:$E$14,AH1432,"Cubic","Extrapolate=Linear","MultiX=Average","Skip=True","Sort=True")</f>
        <v>#N/A Invalid Parameter: Interpolation value</v>
      </c>
      <c r="AJ1432" s="43" t="str">
        <f ca="1"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07"/>
        <v>#REF!</v>
      </c>
      <c r="AI1433" s="43" t="str">
        <f ca="1">_xll.BInterpol('Base IPCA'!$C$3:$C$14,'Base IPCA'!$E$3:$E$14,AH1433,"Cubic","Extrapolate=Linear","MultiX=Average","Skip=True","Sort=True")</f>
        <v>#N/A Invalid Parameter: Interpolation value</v>
      </c>
      <c r="AJ1433" s="43" t="str">
        <f ca="1"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07"/>
        <v>#REF!</v>
      </c>
      <c r="AI1434" s="43" t="str">
        <f ca="1">_xll.BInterpol('Base IPCA'!$C$3:$C$14,'Base IPCA'!$E$3:$E$14,AH1434,"Cubic","Extrapolate=Linear","MultiX=Average","Skip=True","Sort=True")</f>
        <v>#N/A Invalid Parameter: Interpolation value</v>
      </c>
      <c r="AJ1434" s="43" t="str">
        <f ca="1"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07"/>
        <v>#REF!</v>
      </c>
      <c r="AI1435" s="43" t="str">
        <f ca="1">_xll.BInterpol('Base IPCA'!$C$3:$C$14,'Base IPCA'!$E$3:$E$14,AH1435,"Cubic","Extrapolate=Linear","MultiX=Average","Skip=True","Sort=True")</f>
        <v>#N/A Invalid Parameter: Interpolation value</v>
      </c>
      <c r="AJ1435" s="43" t="str">
        <f ca="1"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07"/>
        <v>#REF!</v>
      </c>
      <c r="AI1436" s="43" t="str">
        <f ca="1">_xll.BInterpol('Base IPCA'!$C$3:$C$14,'Base IPCA'!$E$3:$E$14,AH1436,"Cubic","Extrapolate=Linear","MultiX=Average","Skip=True","Sort=True")</f>
        <v>#N/A Invalid Parameter: Interpolation value</v>
      </c>
      <c r="AJ1436" s="43" t="str">
        <f ca="1"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07"/>
        <v>#REF!</v>
      </c>
      <c r="AI1437" s="43" t="str">
        <f ca="1">_xll.BInterpol('Base IPCA'!$C$3:$C$14,'Base IPCA'!$E$3:$E$14,AH1437,"Cubic","Extrapolate=Linear","MultiX=Average","Skip=True","Sort=True")</f>
        <v>#N/A Invalid Parameter: Interpolation value</v>
      </c>
      <c r="AJ1437" s="43" t="str">
        <f ca="1"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07"/>
        <v>#REF!</v>
      </c>
      <c r="AI1438" s="43" t="str">
        <f ca="1">_xll.BInterpol('Base IPCA'!$C$3:$C$14,'Base IPCA'!$E$3:$E$14,AH1438,"Cubic","Extrapolate=Linear","MultiX=Average","Skip=True","Sort=True")</f>
        <v>#N/A Invalid Parameter: Interpolation value</v>
      </c>
      <c r="AJ1438" s="43" t="str">
        <f ca="1"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07"/>
        <v>#REF!</v>
      </c>
      <c r="AI1439" s="43" t="str">
        <f ca="1">_xll.BInterpol('Base IPCA'!$C$3:$C$14,'Base IPCA'!$E$3:$E$14,AH1439,"Cubic","Extrapolate=Linear","MultiX=Average","Skip=True","Sort=True")</f>
        <v>#N/A Invalid Parameter: Interpolation value</v>
      </c>
      <c r="AJ1439" s="43" t="str">
        <f ca="1"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07"/>
        <v>#REF!</v>
      </c>
      <c r="AI1440" s="43" t="str">
        <f ca="1">_xll.BInterpol('Base IPCA'!$C$3:$C$14,'Base IPCA'!$E$3:$E$14,AH1440,"Cubic","Extrapolate=Linear","MultiX=Average","Skip=True","Sort=True")</f>
        <v>#N/A Invalid Parameter: Interpolation value</v>
      </c>
      <c r="AJ1440" s="43" t="str">
        <f ca="1"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07"/>
        <v>#REF!</v>
      </c>
      <c r="AI1441" s="43" t="str">
        <f ca="1">_xll.BInterpol('Base IPCA'!$C$3:$C$14,'Base IPCA'!$E$3:$E$14,AH1441,"Cubic","Extrapolate=Linear","MultiX=Average","Skip=True","Sort=True")</f>
        <v>#N/A Invalid Parameter: Interpolation value</v>
      </c>
      <c r="AJ1441" s="43" t="str">
        <f ca="1"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07"/>
        <v>#REF!</v>
      </c>
      <c r="AI1442" s="43" t="str">
        <f ca="1">_xll.BInterpol('Base IPCA'!$C$3:$C$14,'Base IPCA'!$E$3:$E$14,AH1442,"Cubic","Extrapolate=Linear","MultiX=Average","Skip=True","Sort=True")</f>
        <v>#N/A Invalid Parameter: Interpolation value</v>
      </c>
      <c r="AJ1442" s="43" t="str">
        <f ca="1"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07"/>
        <v>#REF!</v>
      </c>
      <c r="AI1443" s="43" t="str">
        <f ca="1">_xll.BInterpol('Base IPCA'!$C$3:$C$14,'Base IPCA'!$E$3:$E$14,AH1443,"Cubic","Extrapolate=Linear","MultiX=Average","Skip=True","Sort=True")</f>
        <v>#N/A Invalid Parameter: Interpolation value</v>
      </c>
      <c r="AJ1443" s="43" t="str">
        <f ca="1"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07"/>
        <v>#REF!</v>
      </c>
      <c r="AI1444" s="43" t="str">
        <f ca="1">_xll.BInterpol('Base IPCA'!$C$3:$C$14,'Base IPCA'!$E$3:$E$14,AH1444,"Cubic","Extrapolate=Linear","MultiX=Average","Skip=True","Sort=True")</f>
        <v>#N/A Invalid Parameter: Interpolation value</v>
      </c>
      <c r="AJ1444" s="43" t="str">
        <f ca="1"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07"/>
        <v>#REF!</v>
      </c>
      <c r="AI1445" s="43" t="str">
        <f ca="1">_xll.BInterpol('Base IPCA'!$C$3:$C$14,'Base IPCA'!$E$3:$E$14,AH1445,"Cubic","Extrapolate=Linear","MultiX=Average","Skip=True","Sort=True")</f>
        <v>#N/A Invalid Parameter: Interpolation value</v>
      </c>
      <c r="AJ1445" s="43" t="str">
        <f ca="1"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07"/>
        <v>#REF!</v>
      </c>
      <c r="AI1446" s="43" t="str">
        <f ca="1">_xll.BInterpol('Base IPCA'!$C$3:$C$14,'Base IPCA'!$E$3:$E$14,AH1446,"Cubic","Extrapolate=Linear","MultiX=Average","Skip=True","Sort=True")</f>
        <v>#N/A Invalid Parameter: Interpolation value</v>
      </c>
      <c r="AJ1446" s="43" t="str">
        <f ca="1"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07"/>
        <v>#REF!</v>
      </c>
      <c r="AI1447" s="43" t="str">
        <f ca="1">_xll.BInterpol('Base IPCA'!$C$3:$C$14,'Base IPCA'!$E$3:$E$14,AH1447,"Cubic","Extrapolate=Linear","MultiX=Average","Skip=True","Sort=True")</f>
        <v>#N/A Invalid Parameter: Interpolation value</v>
      </c>
      <c r="AJ1447" s="43" t="str">
        <f ca="1"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07"/>
        <v>#REF!</v>
      </c>
      <c r="AI1448" s="43" t="str">
        <f ca="1">_xll.BInterpol('Base IPCA'!$C$3:$C$14,'Base IPCA'!$E$3:$E$14,AH1448,"Cubic","Extrapolate=Linear","MultiX=Average","Skip=True","Sort=True")</f>
        <v>#N/A Invalid Parameter: Interpolation value</v>
      </c>
      <c r="AJ1448" s="43" t="str">
        <f ca="1"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07"/>
        <v>#REF!</v>
      </c>
      <c r="AI1449" s="43" t="str">
        <f ca="1">_xll.BInterpol('Base IPCA'!$C$3:$C$14,'Base IPCA'!$E$3:$E$14,AH1449,"Cubic","Extrapolate=Linear","MultiX=Average","Skip=True","Sort=True")</f>
        <v>#N/A Invalid Parameter: Interpolation value</v>
      </c>
      <c r="AJ1449" s="43" t="str">
        <f ca="1"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07"/>
        <v>#REF!</v>
      </c>
      <c r="AI1450" s="43" t="str">
        <f ca="1">_xll.BInterpol('Base IPCA'!$C$3:$C$14,'Base IPCA'!$E$3:$E$14,AH1450,"Cubic","Extrapolate=Linear","MultiX=Average","Skip=True","Sort=True")</f>
        <v>#N/A Invalid Parameter: Interpolation value</v>
      </c>
      <c r="AJ1450" s="43" t="str">
        <f ca="1"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07"/>
        <v>#REF!</v>
      </c>
      <c r="AI1451" s="43" t="str">
        <f ca="1">_xll.BInterpol('Base IPCA'!$C$3:$C$14,'Base IPCA'!$E$3:$E$14,AH1451,"Cubic","Extrapolate=Linear","MultiX=Average","Skip=True","Sort=True")</f>
        <v>#N/A Invalid Parameter: Interpolation value</v>
      </c>
      <c r="AJ1451" s="43" t="str">
        <f ca="1"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07"/>
        <v>#REF!</v>
      </c>
      <c r="AI1452" s="43" t="str">
        <f ca="1">_xll.BInterpol('Base IPCA'!$C$3:$C$14,'Base IPCA'!$E$3:$E$14,AH1452,"Cubic","Extrapolate=Linear","MultiX=Average","Skip=True","Sort=True")</f>
        <v>#N/A Invalid Parameter: Interpolation value</v>
      </c>
      <c r="AJ1452" s="43" t="str">
        <f ca="1"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07"/>
        <v>#REF!</v>
      </c>
      <c r="AI1453" s="43" t="str">
        <f ca="1">_xll.BInterpol('Base IPCA'!$C$3:$C$14,'Base IPCA'!$E$3:$E$14,AH1453,"Cubic","Extrapolate=Linear","MultiX=Average","Skip=True","Sort=True")</f>
        <v>#N/A Invalid Parameter: Interpolation value</v>
      </c>
      <c r="AJ1453" s="43" t="str">
        <f ca="1"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07"/>
        <v>#REF!</v>
      </c>
      <c r="AI1454" s="43" t="str">
        <f ca="1">_xll.BInterpol('Base IPCA'!$C$3:$C$14,'Base IPCA'!$E$3:$E$14,AH1454,"Cubic","Extrapolate=Linear","MultiX=Average","Skip=True","Sort=True")</f>
        <v>#N/A Invalid Parameter: Interpolation value</v>
      </c>
      <c r="AJ1454" s="43" t="str">
        <f ca="1"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07"/>
        <v>#REF!</v>
      </c>
      <c r="AI1455" s="43" t="str">
        <f ca="1">_xll.BInterpol('Base IPCA'!$C$3:$C$14,'Base IPCA'!$E$3:$E$14,AH1455,"Cubic","Extrapolate=Linear","MultiX=Average","Skip=True","Sort=True")</f>
        <v>#N/A Invalid Parameter: Interpolation value</v>
      </c>
      <c r="AJ1455" s="43" t="str">
        <f ca="1"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07"/>
        <v>#REF!</v>
      </c>
      <c r="AI1456" s="43" t="str">
        <f ca="1">_xll.BInterpol('Base IPCA'!$C$3:$C$14,'Base IPCA'!$E$3:$E$14,AH1456,"Cubic","Extrapolate=Linear","MultiX=Average","Skip=True","Sort=True")</f>
        <v>#N/A Invalid Parameter: Interpolation value</v>
      </c>
      <c r="AJ1456" s="43" t="str">
        <f ca="1"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07"/>
        <v>#REF!</v>
      </c>
      <c r="AI1457" s="43" t="str">
        <f ca="1">_xll.BInterpol('Base IPCA'!$C$3:$C$14,'Base IPCA'!$E$3:$E$14,AH1457,"Cubic","Extrapolate=Linear","MultiX=Average","Skip=True","Sort=True")</f>
        <v>#N/A Invalid Parameter: Interpolation value</v>
      </c>
      <c r="AJ1457" s="43" t="str">
        <f ca="1"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07"/>
        <v>#REF!</v>
      </c>
      <c r="AI1458" s="43" t="str">
        <f ca="1">_xll.BInterpol('Base IPCA'!$C$3:$C$14,'Base IPCA'!$E$3:$E$14,AH1458,"Cubic","Extrapolate=Linear","MultiX=Average","Skip=True","Sort=True")</f>
        <v>#N/A Invalid Parameter: Interpolation value</v>
      </c>
      <c r="AJ1458" s="43" t="str">
        <f ca="1"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07"/>
        <v>#REF!</v>
      </c>
      <c r="AI1459" s="43" t="str">
        <f ca="1">_xll.BInterpol('Base IPCA'!$C$3:$C$14,'Base IPCA'!$E$3:$E$14,AH1459,"Cubic","Extrapolate=Linear","MultiX=Average","Skip=True","Sort=True")</f>
        <v>#N/A Invalid Parameter: Interpolation value</v>
      </c>
      <c r="AJ1459" s="43" t="str">
        <f ca="1"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07"/>
        <v>#REF!</v>
      </c>
      <c r="AI1460" s="43" t="str">
        <f ca="1">_xll.BInterpol('Base IPCA'!$C$3:$C$14,'Base IPCA'!$E$3:$E$14,AH1460,"Cubic","Extrapolate=Linear","MultiX=Average","Skip=True","Sort=True")</f>
        <v>#N/A Invalid Parameter: Interpolation value</v>
      </c>
      <c r="AJ1460" s="43" t="str">
        <f ca="1"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07"/>
        <v>#REF!</v>
      </c>
      <c r="AI1461" s="43" t="str">
        <f ca="1">_xll.BInterpol('Base IPCA'!$C$3:$C$14,'Base IPCA'!$E$3:$E$14,AH1461,"Cubic","Extrapolate=Linear","MultiX=Average","Skip=True","Sort=True")</f>
        <v>#N/A Invalid Parameter: Interpolation value</v>
      </c>
      <c r="AJ1461" s="43" t="str">
        <f ca="1"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07"/>
        <v>#REF!</v>
      </c>
      <c r="AI1462" s="43" t="str">
        <f ca="1">_xll.BInterpol('Base IPCA'!$C$3:$C$14,'Base IPCA'!$E$3:$E$14,AH1462,"Cubic","Extrapolate=Linear","MultiX=Average","Skip=True","Sort=True")</f>
        <v>#N/A Invalid Parameter: Interpolation value</v>
      </c>
      <c r="AJ1462" s="43" t="str">
        <f ca="1"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07"/>
        <v>#REF!</v>
      </c>
      <c r="AI1463" s="43" t="str">
        <f ca="1">_xll.BInterpol('Base IPCA'!$C$3:$C$14,'Base IPCA'!$E$3:$E$14,AH1463,"Cubic","Extrapolate=Linear","MultiX=Average","Skip=True","Sort=True")</f>
        <v>#N/A Invalid Parameter: Interpolation value</v>
      </c>
      <c r="AJ1463" s="43" t="str">
        <f ca="1"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07"/>
        <v>#REF!</v>
      </c>
      <c r="AI1464" s="43" t="str">
        <f ca="1">_xll.BInterpol('Base IPCA'!$C$3:$C$14,'Base IPCA'!$E$3:$E$14,AH1464,"Cubic","Extrapolate=Linear","MultiX=Average","Skip=True","Sort=True")</f>
        <v>#N/A Invalid Parameter: Interpolation value</v>
      </c>
      <c r="AJ1464" s="43" t="str">
        <f ca="1"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07"/>
        <v>#REF!</v>
      </c>
      <c r="AI1465" s="43" t="str">
        <f ca="1">_xll.BInterpol('Base IPCA'!$C$3:$C$14,'Base IPCA'!$E$3:$E$14,AH1465,"Cubic","Extrapolate=Linear","MultiX=Average","Skip=True","Sort=True")</f>
        <v>#N/A Invalid Parameter: Interpolation value</v>
      </c>
      <c r="AJ1465" s="43" t="str">
        <f ca="1"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07"/>
        <v>#REF!</v>
      </c>
      <c r="AI1466" s="43" t="str">
        <f ca="1">_xll.BInterpol('Base IPCA'!$C$3:$C$14,'Base IPCA'!$E$3:$E$14,AH1466,"Cubic","Extrapolate=Linear","MultiX=Average","Skip=True","Sort=True")</f>
        <v>#N/A Invalid Parameter: Interpolation value</v>
      </c>
      <c r="AJ1466" s="43" t="str">
        <f ca="1"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07"/>
        <v>#REF!</v>
      </c>
      <c r="AI1467" s="43" t="str">
        <f ca="1">_xll.BInterpol('Base IPCA'!$C$3:$C$14,'Base IPCA'!$E$3:$E$14,AH1467,"Cubic","Extrapolate=Linear","MultiX=Average","Skip=True","Sort=True")</f>
        <v>#N/A Invalid Parameter: Interpolation value</v>
      </c>
      <c r="AJ1467" s="43" t="str">
        <f ca="1"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07"/>
        <v>#REF!</v>
      </c>
      <c r="AI1468" s="43" t="str">
        <f ca="1">_xll.BInterpol('Base IPCA'!$C$3:$C$14,'Base IPCA'!$E$3:$E$14,AH1468,"Cubic","Extrapolate=Linear","MultiX=Average","Skip=True","Sort=True")</f>
        <v>#N/A Invalid Parameter: Interpolation value</v>
      </c>
      <c r="AJ1468" s="43" t="str">
        <f ca="1"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07"/>
        <v>#REF!</v>
      </c>
      <c r="AI1469" s="43" t="str">
        <f ca="1">_xll.BInterpol('Base IPCA'!$C$3:$C$14,'Base IPCA'!$E$3:$E$14,AH1469,"Cubic","Extrapolate=Linear","MultiX=Average","Skip=True","Sort=True")</f>
        <v>#N/A Invalid Parameter: Interpolation value</v>
      </c>
      <c r="AJ1469" s="43" t="str">
        <f ca="1"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07"/>
        <v>#REF!</v>
      </c>
      <c r="AI1470" s="43" t="str">
        <f ca="1">_xll.BInterpol('Base IPCA'!$C$3:$C$14,'Base IPCA'!$E$3:$E$14,AH1470,"Cubic","Extrapolate=Linear","MultiX=Average","Skip=True","Sort=True")</f>
        <v>#N/A Invalid Parameter: Interpolation value</v>
      </c>
      <c r="AJ1470" s="43" t="str">
        <f ca="1"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07"/>
        <v>#REF!</v>
      </c>
      <c r="AI1471" s="43" t="str">
        <f ca="1">_xll.BInterpol('Base IPCA'!$C$3:$C$14,'Base IPCA'!$E$3:$E$14,AH1471,"Cubic","Extrapolate=Linear","MultiX=Average","Skip=True","Sort=True")</f>
        <v>#N/A Invalid Parameter: Interpolation value</v>
      </c>
      <c r="AJ1471" s="43" t="str">
        <f ca="1"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07"/>
        <v>#REF!</v>
      </c>
      <c r="AI1472" s="43" t="str">
        <f ca="1">_xll.BInterpol('Base IPCA'!$C$3:$C$14,'Base IPCA'!$E$3:$E$14,AH1472,"Cubic","Extrapolate=Linear","MultiX=Average","Skip=True","Sort=True")</f>
        <v>#N/A Invalid Parameter: Interpolation value</v>
      </c>
      <c r="AJ1472" s="43" t="str">
        <f ca="1"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07"/>
        <v>#REF!</v>
      </c>
      <c r="AI1473" s="43" t="str">
        <f ca="1">_xll.BInterpol('Base IPCA'!$C$3:$C$14,'Base IPCA'!$E$3:$E$14,AH1473,"Cubic","Extrapolate=Linear","MultiX=Average","Skip=True","Sort=True")</f>
        <v>#N/A Invalid Parameter: Interpolation value</v>
      </c>
      <c r="AJ1473" s="43" t="str">
        <f ca="1"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07"/>
        <v>#REF!</v>
      </c>
      <c r="AI1474" s="43" t="str">
        <f ca="1">_xll.BInterpol('Base IPCA'!$C$3:$C$14,'Base IPCA'!$E$3:$E$14,AH1474,"Cubic","Extrapolate=Linear","MultiX=Average","Skip=True","Sort=True")</f>
        <v>#N/A Invalid Parameter: Interpolation value</v>
      </c>
      <c r="AJ1474" s="43" t="str">
        <f ca="1"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07"/>
        <v>#REF!</v>
      </c>
      <c r="AI1475" s="43" t="str">
        <f ca="1">_xll.BInterpol('Base IPCA'!$C$3:$C$14,'Base IPCA'!$E$3:$E$14,AH1475,"Cubic","Extrapolate=Linear","MultiX=Average","Skip=True","Sort=True")</f>
        <v>#N/A Invalid Parameter: Interpolation value</v>
      </c>
      <c r="AJ1475" s="43" t="str">
        <f ca="1"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07"/>
        <v>#REF!</v>
      </c>
      <c r="AI1476" s="43" t="str">
        <f ca="1">_xll.BInterpol('Base IPCA'!$C$3:$C$14,'Base IPCA'!$E$3:$E$14,AH1476,"Cubic","Extrapolate=Linear","MultiX=Average","Skip=True","Sort=True")</f>
        <v>#N/A Invalid Parameter: Interpolation value</v>
      </c>
      <c r="AJ1476" s="43" t="str">
        <f ca="1"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07"/>
        <v>#REF!</v>
      </c>
      <c r="AI1477" s="43" t="str">
        <f ca="1">_xll.BInterpol('Base IPCA'!$C$3:$C$14,'Base IPCA'!$E$3:$E$14,AH1477,"Cubic","Extrapolate=Linear","MultiX=Average","Skip=True","Sort=True")</f>
        <v>#N/A Invalid Parameter: Interpolation value</v>
      </c>
      <c r="AJ1477" s="43" t="str">
        <f ca="1"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08">AH1477+1</f>
        <v>#REF!</v>
      </c>
      <c r="AI1478" s="43" t="str">
        <f ca="1">_xll.BInterpol('Base IPCA'!$C$3:$C$14,'Base IPCA'!$E$3:$E$14,AH1478,"Cubic","Extrapolate=Linear","MultiX=Average","Skip=True","Sort=True")</f>
        <v>#N/A Invalid Parameter: Interpolation value</v>
      </c>
      <c r="AJ1478" s="43" t="str">
        <f ca="1"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08"/>
        <v>#REF!</v>
      </c>
      <c r="AI1479" s="43" t="str">
        <f ca="1">_xll.BInterpol('Base IPCA'!$C$3:$C$14,'Base IPCA'!$E$3:$E$14,AH1479,"Cubic","Extrapolate=Linear","MultiX=Average","Skip=True","Sort=True")</f>
        <v>#N/A Invalid Parameter: Interpolation value</v>
      </c>
      <c r="AJ1479" s="43" t="str">
        <f ca="1"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08"/>
        <v>#REF!</v>
      </c>
      <c r="AI1480" s="43" t="str">
        <f ca="1">_xll.BInterpol('Base IPCA'!$C$3:$C$14,'Base IPCA'!$E$3:$E$14,AH1480,"Cubic","Extrapolate=Linear","MultiX=Average","Skip=True","Sort=True")</f>
        <v>#N/A Invalid Parameter: Interpolation value</v>
      </c>
      <c r="AJ1480" s="43" t="str">
        <f ca="1"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08"/>
        <v>#REF!</v>
      </c>
      <c r="AI1481" s="43" t="str">
        <f ca="1">_xll.BInterpol('Base IPCA'!$C$3:$C$14,'Base IPCA'!$E$3:$E$14,AH1481,"Cubic","Extrapolate=Linear","MultiX=Average","Skip=True","Sort=True")</f>
        <v>#N/A Invalid Parameter: Interpolation value</v>
      </c>
      <c r="AJ1481" s="43" t="str">
        <f ca="1"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08"/>
        <v>#REF!</v>
      </c>
      <c r="AI1482" s="43" t="str">
        <f ca="1">_xll.BInterpol('Base IPCA'!$C$3:$C$14,'Base IPCA'!$E$3:$E$14,AH1482,"Cubic","Extrapolate=Linear","MultiX=Average","Skip=True","Sort=True")</f>
        <v>#N/A Invalid Parameter: Interpolation value</v>
      </c>
      <c r="AJ1482" s="43" t="str">
        <f ca="1"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08"/>
        <v>#REF!</v>
      </c>
      <c r="AI1483" s="43" t="str">
        <f ca="1">_xll.BInterpol('Base IPCA'!$C$3:$C$14,'Base IPCA'!$E$3:$E$14,AH1483,"Cubic","Extrapolate=Linear","MultiX=Average","Skip=True","Sort=True")</f>
        <v>#N/A Invalid Parameter: Interpolation value</v>
      </c>
      <c r="AJ1483" s="43" t="str">
        <f ca="1"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08"/>
        <v>#REF!</v>
      </c>
      <c r="AI1484" s="43" t="str">
        <f ca="1">_xll.BInterpol('Base IPCA'!$C$3:$C$14,'Base IPCA'!$E$3:$E$14,AH1484,"Cubic","Extrapolate=Linear","MultiX=Average","Skip=True","Sort=True")</f>
        <v>#N/A Invalid Parameter: Interpolation value</v>
      </c>
      <c r="AJ1484" s="43" t="str">
        <f ca="1"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08"/>
        <v>#REF!</v>
      </c>
      <c r="AI1485" s="43" t="str">
        <f ca="1">_xll.BInterpol('Base IPCA'!$C$3:$C$14,'Base IPCA'!$E$3:$E$14,AH1485,"Cubic","Extrapolate=Linear","MultiX=Average","Skip=True","Sort=True")</f>
        <v>#N/A Invalid Parameter: Interpolation value</v>
      </c>
      <c r="AJ1485" s="43" t="str">
        <f ca="1"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08"/>
        <v>#REF!</v>
      </c>
      <c r="AI1486" s="43" t="str">
        <f ca="1">_xll.BInterpol('Base IPCA'!$C$3:$C$14,'Base IPCA'!$E$3:$E$14,AH1486,"Cubic","Extrapolate=Linear","MultiX=Average","Skip=True","Sort=True")</f>
        <v>#N/A Invalid Parameter: Interpolation value</v>
      </c>
      <c r="AJ1486" s="43" t="str">
        <f ca="1"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08"/>
        <v>#REF!</v>
      </c>
      <c r="AI1487" s="43" t="str">
        <f ca="1">_xll.BInterpol('Base IPCA'!$C$3:$C$14,'Base IPCA'!$E$3:$E$14,AH1487,"Cubic","Extrapolate=Linear","MultiX=Average","Skip=True","Sort=True")</f>
        <v>#N/A Invalid Parameter: Interpolation value</v>
      </c>
      <c r="AJ1487" s="43" t="str">
        <f ca="1"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08"/>
        <v>#REF!</v>
      </c>
      <c r="AI1488" s="43" t="str">
        <f ca="1">_xll.BInterpol('Base IPCA'!$C$3:$C$14,'Base IPCA'!$E$3:$E$14,AH1488,"Cubic","Extrapolate=Linear","MultiX=Average","Skip=True","Sort=True")</f>
        <v>#N/A Invalid Parameter: Interpolation value</v>
      </c>
      <c r="AJ1488" s="43" t="str">
        <f ca="1"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08"/>
        <v>#REF!</v>
      </c>
      <c r="AI1489" s="43" t="str">
        <f ca="1">_xll.BInterpol('Base IPCA'!$C$3:$C$14,'Base IPCA'!$E$3:$E$14,AH1489,"Cubic","Extrapolate=Linear","MultiX=Average","Skip=True","Sort=True")</f>
        <v>#N/A Invalid Parameter: Interpolation value</v>
      </c>
      <c r="AJ1489" s="43" t="str">
        <f ca="1"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08"/>
        <v>#REF!</v>
      </c>
      <c r="AI1490" s="43" t="str">
        <f ca="1">_xll.BInterpol('Base IPCA'!$C$3:$C$14,'Base IPCA'!$E$3:$E$14,AH1490,"Cubic","Extrapolate=Linear","MultiX=Average","Skip=True","Sort=True")</f>
        <v>#N/A Invalid Parameter: Interpolation value</v>
      </c>
      <c r="AJ1490" s="43" t="str">
        <f ca="1"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08"/>
        <v>#REF!</v>
      </c>
      <c r="AI1491" s="43" t="str">
        <f ca="1">_xll.BInterpol('Base IPCA'!$C$3:$C$14,'Base IPCA'!$E$3:$E$14,AH1491,"Cubic","Extrapolate=Linear","MultiX=Average","Skip=True","Sort=True")</f>
        <v>#N/A Invalid Parameter: Interpolation value</v>
      </c>
      <c r="AJ1491" s="43" t="str">
        <f ca="1"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08"/>
        <v>#REF!</v>
      </c>
      <c r="AI1492" s="43" t="str">
        <f ca="1">_xll.BInterpol('Base IPCA'!$C$3:$C$14,'Base IPCA'!$E$3:$E$14,AH1492,"Cubic","Extrapolate=Linear","MultiX=Average","Skip=True","Sort=True")</f>
        <v>#N/A Invalid Parameter: Interpolation value</v>
      </c>
      <c r="AJ1492" s="43" t="str">
        <f ca="1"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08"/>
        <v>#REF!</v>
      </c>
      <c r="AI1493" s="43" t="str">
        <f ca="1">_xll.BInterpol('Base IPCA'!$C$3:$C$14,'Base IPCA'!$E$3:$E$14,AH1493,"Cubic","Extrapolate=Linear","MultiX=Average","Skip=True","Sort=True")</f>
        <v>#N/A Invalid Parameter: Interpolation value</v>
      </c>
      <c r="AJ1493" s="43" t="str">
        <f ca="1"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08"/>
        <v>#REF!</v>
      </c>
      <c r="AI1494" s="43" t="str">
        <f ca="1">_xll.BInterpol('Base IPCA'!$C$3:$C$14,'Base IPCA'!$E$3:$E$14,AH1494,"Cubic","Extrapolate=Linear","MultiX=Average","Skip=True","Sort=True")</f>
        <v>#N/A Invalid Parameter: Interpolation value</v>
      </c>
      <c r="AJ1494" s="43" t="str">
        <f ca="1"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08"/>
        <v>#REF!</v>
      </c>
      <c r="AI1495" s="43" t="str">
        <f ca="1">_xll.BInterpol('Base IPCA'!$C$3:$C$14,'Base IPCA'!$E$3:$E$14,AH1495,"Cubic","Extrapolate=Linear","MultiX=Average","Skip=True","Sort=True")</f>
        <v>#N/A Invalid Parameter: Interpolation value</v>
      </c>
      <c r="AJ1495" s="43" t="str">
        <f ca="1"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08"/>
        <v>#REF!</v>
      </c>
      <c r="AI1496" s="43" t="str">
        <f ca="1">_xll.BInterpol('Base IPCA'!$C$3:$C$14,'Base IPCA'!$E$3:$E$14,AH1496,"Cubic","Extrapolate=Linear","MultiX=Average","Skip=True","Sort=True")</f>
        <v>#N/A Invalid Parameter: Interpolation value</v>
      </c>
      <c r="AJ1496" s="43" t="str">
        <f ca="1"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08"/>
        <v>#REF!</v>
      </c>
      <c r="AI1497" s="43" t="str">
        <f ca="1">_xll.BInterpol('Base IPCA'!$C$3:$C$14,'Base IPCA'!$E$3:$E$14,AH1497,"Cubic","Extrapolate=Linear","MultiX=Average","Skip=True","Sort=True")</f>
        <v>#N/A Invalid Parameter: Interpolation value</v>
      </c>
      <c r="AJ1497" s="43" t="str">
        <f ca="1"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08"/>
        <v>#REF!</v>
      </c>
      <c r="AI1498" s="43" t="str">
        <f ca="1">_xll.BInterpol('Base IPCA'!$C$3:$C$14,'Base IPCA'!$E$3:$E$14,AH1498,"Cubic","Extrapolate=Linear","MultiX=Average","Skip=True","Sort=True")</f>
        <v>#N/A Invalid Parameter: Interpolation value</v>
      </c>
      <c r="AJ1498" s="43" t="str">
        <f ca="1"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08"/>
        <v>#REF!</v>
      </c>
      <c r="AI1499" s="43" t="str">
        <f ca="1">_xll.BInterpol('Base IPCA'!$C$3:$C$14,'Base IPCA'!$E$3:$E$14,AH1499,"Cubic","Extrapolate=Linear","MultiX=Average","Skip=True","Sort=True")</f>
        <v>#N/A Invalid Parameter: Interpolation value</v>
      </c>
      <c r="AJ1499" s="43" t="str">
        <f ca="1"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08"/>
        <v>#REF!</v>
      </c>
      <c r="AI1500" s="43" t="str">
        <f ca="1">_xll.BInterpol('Base IPCA'!$C$3:$C$14,'Base IPCA'!$E$3:$E$14,AH1500,"Cubic","Extrapolate=Linear","MultiX=Average","Skip=True","Sort=True")</f>
        <v>#N/A Invalid Parameter: Interpolation value</v>
      </c>
      <c r="AJ1500" s="43" t="str">
        <f ca="1"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08"/>
        <v>#REF!</v>
      </c>
      <c r="AI1501" s="43" t="str">
        <f ca="1">_xll.BInterpol('Base IPCA'!$C$3:$C$14,'Base IPCA'!$E$3:$E$14,AH1501,"Cubic","Extrapolate=Linear","MultiX=Average","Skip=True","Sort=True")</f>
        <v>#N/A Invalid Parameter: Interpolation value</v>
      </c>
      <c r="AJ1501" s="43" t="str">
        <f ca="1"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08"/>
        <v>#REF!</v>
      </c>
      <c r="AI1502" s="43" t="str">
        <f ca="1">_xll.BInterpol('Base IPCA'!$C$3:$C$14,'Base IPCA'!$E$3:$E$14,AH1502,"Cubic","Extrapolate=Linear","MultiX=Average","Skip=True","Sort=True")</f>
        <v>#N/A Invalid Parameter: Interpolation value</v>
      </c>
      <c r="AJ1502" s="43" t="str">
        <f ca="1"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08"/>
        <v>#REF!</v>
      </c>
      <c r="AI1503" s="43" t="str">
        <f ca="1">_xll.BInterpol('Base IPCA'!$C$3:$C$14,'Base IPCA'!$E$3:$E$14,AH1503,"Cubic","Extrapolate=Linear","MultiX=Average","Skip=True","Sort=True")</f>
        <v>#N/A Invalid Parameter: Interpolation value</v>
      </c>
      <c r="AJ1503" s="43" t="str">
        <f ca="1"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08"/>
        <v>#REF!</v>
      </c>
      <c r="AI1504" s="43" t="str">
        <f ca="1">_xll.BInterpol('Base IPCA'!$C$3:$C$14,'Base IPCA'!$E$3:$E$14,AH1504,"Cubic","Extrapolate=Linear","MultiX=Average","Skip=True","Sort=True")</f>
        <v>#N/A Invalid Parameter: Interpolation value</v>
      </c>
      <c r="AJ1504" s="43" t="str">
        <f ca="1"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08"/>
        <v>#REF!</v>
      </c>
      <c r="AI1505" s="43" t="str">
        <f ca="1">_xll.BInterpol('Base IPCA'!$C$3:$C$14,'Base IPCA'!$E$3:$E$14,AH1505,"Cubic","Extrapolate=Linear","MultiX=Average","Skip=True","Sort=True")</f>
        <v>#N/A Invalid Parameter: Interpolation value</v>
      </c>
      <c r="AJ1505" s="43" t="str">
        <f ca="1"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08"/>
        <v>#REF!</v>
      </c>
      <c r="AI1506" s="43" t="str">
        <f ca="1">_xll.BInterpol('Base IPCA'!$C$3:$C$14,'Base IPCA'!$E$3:$E$14,AH1506,"Cubic","Extrapolate=Linear","MultiX=Average","Skip=True","Sort=True")</f>
        <v>#N/A Invalid Parameter: Interpolation value</v>
      </c>
      <c r="AJ1506" s="43" t="str">
        <f ca="1"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08"/>
        <v>#REF!</v>
      </c>
      <c r="AI1507" s="43" t="str">
        <f ca="1">_xll.BInterpol('Base IPCA'!$C$3:$C$14,'Base IPCA'!$E$3:$E$14,AH1507,"Cubic","Extrapolate=Linear","MultiX=Average","Skip=True","Sort=True")</f>
        <v>#N/A Invalid Parameter: Interpolation value</v>
      </c>
      <c r="AJ1507" s="43" t="str">
        <f ca="1"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08"/>
        <v>#REF!</v>
      </c>
      <c r="AI1508" s="43" t="str">
        <f ca="1">_xll.BInterpol('Base IPCA'!$C$3:$C$14,'Base IPCA'!$E$3:$E$14,AH1508,"Cubic","Extrapolate=Linear","MultiX=Average","Skip=True","Sort=True")</f>
        <v>#N/A Invalid Parameter: Interpolation value</v>
      </c>
      <c r="AJ1508" s="43" t="str">
        <f ca="1"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08"/>
        <v>#REF!</v>
      </c>
      <c r="AI1509" s="43" t="str">
        <f ca="1">_xll.BInterpol('Base IPCA'!$C$3:$C$14,'Base IPCA'!$E$3:$E$14,AH1509,"Cubic","Extrapolate=Linear","MultiX=Average","Skip=True","Sort=True")</f>
        <v>#N/A Invalid Parameter: Interpolation value</v>
      </c>
      <c r="AJ1509" s="43" t="str">
        <f ca="1"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08"/>
        <v>#REF!</v>
      </c>
      <c r="AI1510" s="43" t="str">
        <f ca="1">_xll.BInterpol('Base IPCA'!$C$3:$C$14,'Base IPCA'!$E$3:$E$14,AH1510,"Cubic","Extrapolate=Linear","MultiX=Average","Skip=True","Sort=True")</f>
        <v>#N/A Invalid Parameter: Interpolation value</v>
      </c>
      <c r="AJ1510" s="43" t="str">
        <f ca="1"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08"/>
        <v>#REF!</v>
      </c>
      <c r="AI1511" s="43" t="str">
        <f ca="1">_xll.BInterpol('Base IPCA'!$C$3:$C$14,'Base IPCA'!$E$3:$E$14,AH1511,"Cubic","Extrapolate=Linear","MultiX=Average","Skip=True","Sort=True")</f>
        <v>#N/A Invalid Parameter: Interpolation value</v>
      </c>
      <c r="AJ1511" s="43" t="str">
        <f ca="1"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08"/>
        <v>#REF!</v>
      </c>
      <c r="AI1512" s="43" t="str">
        <f ca="1">_xll.BInterpol('Base IPCA'!$C$3:$C$14,'Base IPCA'!$E$3:$E$14,AH1512,"Cubic","Extrapolate=Linear","MultiX=Average","Skip=True","Sort=True")</f>
        <v>#N/A Invalid Parameter: Interpolation value</v>
      </c>
      <c r="AJ1512" s="43" t="str">
        <f ca="1"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08"/>
        <v>#REF!</v>
      </c>
      <c r="AI1513" s="43" t="str">
        <f ca="1">_xll.BInterpol('Base IPCA'!$C$3:$C$14,'Base IPCA'!$E$3:$E$14,AH1513,"Cubic","Extrapolate=Linear","MultiX=Average","Skip=True","Sort=True")</f>
        <v>#N/A Invalid Parameter: Interpolation value</v>
      </c>
      <c r="AJ1513" s="43" t="str">
        <f ca="1"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08"/>
        <v>#REF!</v>
      </c>
      <c r="AI1514" s="43" t="str">
        <f ca="1">_xll.BInterpol('Base IPCA'!$C$3:$C$14,'Base IPCA'!$E$3:$E$14,AH1514,"Cubic","Extrapolate=Linear","MultiX=Average","Skip=True","Sort=True")</f>
        <v>#N/A Invalid Parameter: Interpolation value</v>
      </c>
      <c r="AJ1514" s="43" t="str">
        <f ca="1"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08"/>
        <v>#REF!</v>
      </c>
      <c r="AI1515" s="43" t="str">
        <f ca="1">_xll.BInterpol('Base IPCA'!$C$3:$C$14,'Base IPCA'!$E$3:$E$14,AH1515,"Cubic","Extrapolate=Linear","MultiX=Average","Skip=True","Sort=True")</f>
        <v>#N/A Invalid Parameter: Interpolation value</v>
      </c>
      <c r="AJ1515" s="43" t="str">
        <f ca="1"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08"/>
        <v>#REF!</v>
      </c>
      <c r="AI1516" s="43" t="str">
        <f ca="1">_xll.BInterpol('Base IPCA'!$C$3:$C$14,'Base IPCA'!$E$3:$E$14,AH1516,"Cubic","Extrapolate=Linear","MultiX=Average","Skip=True","Sort=True")</f>
        <v>#N/A Invalid Parameter: Interpolation value</v>
      </c>
      <c r="AJ1516" s="43" t="str">
        <f ca="1"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08"/>
        <v>#REF!</v>
      </c>
      <c r="AI1517" s="43" t="str">
        <f ca="1">_xll.BInterpol('Base IPCA'!$C$3:$C$14,'Base IPCA'!$E$3:$E$14,AH1517,"Cubic","Extrapolate=Linear","MultiX=Average","Skip=True","Sort=True")</f>
        <v>#N/A Invalid Parameter: Interpolation value</v>
      </c>
      <c r="AJ1517" s="43" t="str">
        <f ca="1"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08"/>
        <v>#REF!</v>
      </c>
      <c r="AI1518" s="43" t="str">
        <f ca="1">_xll.BInterpol('Base IPCA'!$C$3:$C$14,'Base IPCA'!$E$3:$E$14,AH1518,"Cubic","Extrapolate=Linear","MultiX=Average","Skip=True","Sort=True")</f>
        <v>#N/A Invalid Parameter: Interpolation value</v>
      </c>
      <c r="AJ1518" s="43" t="str">
        <f ca="1"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08"/>
        <v>#REF!</v>
      </c>
      <c r="AI1519" s="43" t="str">
        <f ca="1">_xll.BInterpol('Base IPCA'!$C$3:$C$14,'Base IPCA'!$E$3:$E$14,AH1519,"Cubic","Extrapolate=Linear","MultiX=Average","Skip=True","Sort=True")</f>
        <v>#N/A Invalid Parameter: Interpolation value</v>
      </c>
      <c r="AJ1519" s="43" t="str">
        <f ca="1"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08"/>
        <v>#REF!</v>
      </c>
      <c r="AI1520" s="43" t="str">
        <f ca="1">_xll.BInterpol('Base IPCA'!$C$3:$C$14,'Base IPCA'!$E$3:$E$14,AH1520,"Cubic","Extrapolate=Linear","MultiX=Average","Skip=True","Sort=True")</f>
        <v>#N/A Invalid Parameter: Interpolation value</v>
      </c>
      <c r="AJ1520" s="43" t="str">
        <f ca="1"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08"/>
        <v>#REF!</v>
      </c>
      <c r="AI1521" s="43" t="str">
        <f ca="1">_xll.BInterpol('Base IPCA'!$C$3:$C$14,'Base IPCA'!$E$3:$E$14,AH1521,"Cubic","Extrapolate=Linear","MultiX=Average","Skip=True","Sort=True")</f>
        <v>#N/A Invalid Parameter: Interpolation value</v>
      </c>
      <c r="AJ1521" s="43" t="str">
        <f ca="1"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08"/>
        <v>#REF!</v>
      </c>
      <c r="AI1522" s="43" t="str">
        <f ca="1">_xll.BInterpol('Base IPCA'!$C$3:$C$14,'Base IPCA'!$E$3:$E$14,AH1522,"Cubic","Extrapolate=Linear","MultiX=Average","Skip=True","Sort=True")</f>
        <v>#N/A Invalid Parameter: Interpolation value</v>
      </c>
      <c r="AJ1522" s="43" t="str">
        <f ca="1"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08"/>
        <v>#REF!</v>
      </c>
      <c r="AI1523" s="43" t="str">
        <f ca="1">_xll.BInterpol('Base IPCA'!$C$3:$C$14,'Base IPCA'!$E$3:$E$14,AH1523,"Cubic","Extrapolate=Linear","MultiX=Average","Skip=True","Sort=True")</f>
        <v>#N/A Invalid Parameter: Interpolation value</v>
      </c>
      <c r="AJ1523" s="43" t="str">
        <f ca="1"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08"/>
        <v>#REF!</v>
      </c>
      <c r="AI1524" s="43" t="str">
        <f ca="1">_xll.BInterpol('Base IPCA'!$C$3:$C$14,'Base IPCA'!$E$3:$E$14,AH1524,"Cubic","Extrapolate=Linear","MultiX=Average","Skip=True","Sort=True")</f>
        <v>#N/A Invalid Parameter: Interpolation value</v>
      </c>
      <c r="AJ1524" s="43" t="str">
        <f ca="1"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08"/>
        <v>#REF!</v>
      </c>
      <c r="AI1525" s="43" t="str">
        <f ca="1">_xll.BInterpol('Base IPCA'!$C$3:$C$14,'Base IPCA'!$E$3:$E$14,AH1525,"Cubic","Extrapolate=Linear","MultiX=Average","Skip=True","Sort=True")</f>
        <v>#N/A Invalid Parameter: Interpolation value</v>
      </c>
      <c r="AJ1525" s="43" t="str">
        <f ca="1"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08"/>
        <v>#REF!</v>
      </c>
      <c r="AI1526" s="43" t="str">
        <f ca="1">_xll.BInterpol('Base IPCA'!$C$3:$C$14,'Base IPCA'!$E$3:$E$14,AH1526,"Cubic","Extrapolate=Linear","MultiX=Average","Skip=True","Sort=True")</f>
        <v>#N/A Invalid Parameter: Interpolation value</v>
      </c>
      <c r="AJ1526" s="43" t="str">
        <f ca="1"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08"/>
        <v>#REF!</v>
      </c>
      <c r="AI1527" s="43" t="str">
        <f ca="1">_xll.BInterpol('Base IPCA'!$C$3:$C$14,'Base IPCA'!$E$3:$E$14,AH1527,"Cubic","Extrapolate=Linear","MultiX=Average","Skip=True","Sort=True")</f>
        <v>#N/A Invalid Parameter: Interpolation value</v>
      </c>
      <c r="AJ1527" s="43" t="str">
        <f ca="1"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08"/>
        <v>#REF!</v>
      </c>
      <c r="AI1528" s="43" t="str">
        <f ca="1">_xll.BInterpol('Base IPCA'!$C$3:$C$14,'Base IPCA'!$E$3:$E$14,AH1528,"Cubic","Extrapolate=Linear","MultiX=Average","Skip=True","Sort=True")</f>
        <v>#N/A Invalid Parameter: Interpolation value</v>
      </c>
      <c r="AJ1528" s="43" t="str">
        <f ca="1"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08"/>
        <v>#REF!</v>
      </c>
      <c r="AI1529" s="43" t="str">
        <f ca="1">_xll.BInterpol('Base IPCA'!$C$3:$C$14,'Base IPCA'!$E$3:$E$14,AH1529,"Cubic","Extrapolate=Linear","MultiX=Average","Skip=True","Sort=True")</f>
        <v>#N/A Invalid Parameter: Interpolation value</v>
      </c>
      <c r="AJ1529" s="43" t="str">
        <f ca="1"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08"/>
        <v>#REF!</v>
      </c>
      <c r="AI1530" s="43" t="str">
        <f ca="1">_xll.BInterpol('Base IPCA'!$C$3:$C$14,'Base IPCA'!$E$3:$E$14,AH1530,"Cubic","Extrapolate=Linear","MultiX=Average","Skip=True","Sort=True")</f>
        <v>#N/A Invalid Parameter: Interpolation value</v>
      </c>
      <c r="AJ1530" s="43" t="str">
        <f ca="1"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08"/>
        <v>#REF!</v>
      </c>
      <c r="AI1531" s="43" t="str">
        <f ca="1">_xll.BInterpol('Base IPCA'!$C$3:$C$14,'Base IPCA'!$E$3:$E$14,AH1531,"Cubic","Extrapolate=Linear","MultiX=Average","Skip=True","Sort=True")</f>
        <v>#N/A Invalid Parameter: Interpolation value</v>
      </c>
      <c r="AJ1531" s="43" t="str">
        <f ca="1"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08"/>
        <v>#REF!</v>
      </c>
      <c r="AI1532" s="43" t="str">
        <f ca="1">_xll.BInterpol('Base IPCA'!$C$3:$C$14,'Base IPCA'!$E$3:$E$14,AH1532,"Cubic","Extrapolate=Linear","MultiX=Average","Skip=True","Sort=True")</f>
        <v>#N/A Invalid Parameter: Interpolation value</v>
      </c>
      <c r="AJ1532" s="43" t="str">
        <f ca="1"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08"/>
        <v>#REF!</v>
      </c>
      <c r="AI1533" s="43" t="str">
        <f ca="1">_xll.BInterpol('Base IPCA'!$C$3:$C$14,'Base IPCA'!$E$3:$E$14,AH1533,"Cubic","Extrapolate=Linear","MultiX=Average","Skip=True","Sort=True")</f>
        <v>#N/A Invalid Parameter: Interpolation value</v>
      </c>
      <c r="AJ1533" s="43" t="str">
        <f ca="1"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08"/>
        <v>#REF!</v>
      </c>
      <c r="AI1534" s="43" t="str">
        <f ca="1">_xll.BInterpol('Base IPCA'!$C$3:$C$14,'Base IPCA'!$E$3:$E$14,AH1534,"Cubic","Extrapolate=Linear","MultiX=Average","Skip=True","Sort=True")</f>
        <v>#N/A Invalid Parameter: Interpolation value</v>
      </c>
      <c r="AJ1534" s="43" t="str">
        <f ca="1"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08"/>
        <v>#REF!</v>
      </c>
      <c r="AI1535" s="43" t="str">
        <f ca="1">_xll.BInterpol('Base IPCA'!$C$3:$C$14,'Base IPCA'!$E$3:$E$14,AH1535,"Cubic","Extrapolate=Linear","MultiX=Average","Skip=True","Sort=True")</f>
        <v>#N/A Invalid Parameter: Interpolation value</v>
      </c>
      <c r="AJ1535" s="43" t="str">
        <f ca="1"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08"/>
        <v>#REF!</v>
      </c>
      <c r="AI1536" s="43" t="str">
        <f ca="1">_xll.BInterpol('Base IPCA'!$C$3:$C$14,'Base IPCA'!$E$3:$E$14,AH1536,"Cubic","Extrapolate=Linear","MultiX=Average","Skip=True","Sort=True")</f>
        <v>#N/A Invalid Parameter: Interpolation value</v>
      </c>
      <c r="AJ1536" s="43" t="str">
        <f ca="1"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08"/>
        <v>#REF!</v>
      </c>
      <c r="AI1537" s="43" t="str">
        <f ca="1">_xll.BInterpol('Base IPCA'!$C$3:$C$14,'Base IPCA'!$E$3:$E$14,AH1537,"Cubic","Extrapolate=Linear","MultiX=Average","Skip=True","Sort=True")</f>
        <v>#N/A Invalid Parameter: Interpolation value</v>
      </c>
      <c r="AJ1537" s="43" t="str">
        <f ca="1"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08"/>
        <v>#REF!</v>
      </c>
      <c r="AI1538" s="43" t="str">
        <f ca="1">_xll.BInterpol('Base IPCA'!$C$3:$C$14,'Base IPCA'!$E$3:$E$14,AH1538,"Cubic","Extrapolate=Linear","MultiX=Average","Skip=True","Sort=True")</f>
        <v>#N/A Invalid Parameter: Interpolation value</v>
      </c>
      <c r="AJ1538" s="43" t="str">
        <f ca="1"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08"/>
        <v>#REF!</v>
      </c>
      <c r="AI1539" s="43" t="str">
        <f ca="1">_xll.BInterpol('Base IPCA'!$C$3:$C$14,'Base IPCA'!$E$3:$E$14,AH1539,"Cubic","Extrapolate=Linear","MultiX=Average","Skip=True","Sort=True")</f>
        <v>#N/A Invalid Parameter: Interpolation value</v>
      </c>
      <c r="AJ1539" s="43" t="str">
        <f ca="1"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08"/>
        <v>#REF!</v>
      </c>
      <c r="AI1540" s="43" t="str">
        <f ca="1">_xll.BInterpol('Base IPCA'!$C$3:$C$14,'Base IPCA'!$E$3:$E$14,AH1540,"Cubic","Extrapolate=Linear","MultiX=Average","Skip=True","Sort=True")</f>
        <v>#N/A Invalid Parameter: Interpolation value</v>
      </c>
      <c r="AJ1540" s="43" t="str">
        <f ca="1"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08"/>
        <v>#REF!</v>
      </c>
      <c r="AI1541" s="43" t="str">
        <f ca="1">_xll.BInterpol('Base IPCA'!$C$3:$C$14,'Base IPCA'!$E$3:$E$14,AH1541,"Cubic","Extrapolate=Linear","MultiX=Average","Skip=True","Sort=True")</f>
        <v>#N/A Invalid Parameter: Interpolation value</v>
      </c>
      <c r="AJ1541" s="43" t="str">
        <f ca="1"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09">AH1541+1</f>
        <v>#REF!</v>
      </c>
      <c r="AI1542" s="43" t="str">
        <f ca="1">_xll.BInterpol('Base IPCA'!$C$3:$C$14,'Base IPCA'!$E$3:$E$14,AH1542,"Cubic","Extrapolate=Linear","MultiX=Average","Skip=True","Sort=True")</f>
        <v>#N/A Invalid Parameter: Interpolation value</v>
      </c>
      <c r="AJ1542" s="43" t="str">
        <f ca="1"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09"/>
        <v>#REF!</v>
      </c>
      <c r="AI1543" s="43" t="str">
        <f ca="1">_xll.BInterpol('Base IPCA'!$C$3:$C$14,'Base IPCA'!$E$3:$E$14,AH1543,"Cubic","Extrapolate=Linear","MultiX=Average","Skip=True","Sort=True")</f>
        <v>#N/A Invalid Parameter: Interpolation value</v>
      </c>
      <c r="AJ1543" s="43" t="str">
        <f ca="1"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09"/>
        <v>#REF!</v>
      </c>
      <c r="AI1544" s="43" t="str">
        <f ca="1">_xll.BInterpol('Base IPCA'!$C$3:$C$14,'Base IPCA'!$E$3:$E$14,AH1544,"Cubic","Extrapolate=Linear","MultiX=Average","Skip=True","Sort=True")</f>
        <v>#N/A Invalid Parameter: Interpolation value</v>
      </c>
      <c r="AJ1544" s="43" t="str">
        <f ca="1"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09"/>
        <v>#REF!</v>
      </c>
      <c r="AI1545" s="43" t="str">
        <f ca="1">_xll.BInterpol('Base IPCA'!$C$3:$C$14,'Base IPCA'!$E$3:$E$14,AH1545,"Cubic","Extrapolate=Linear","MultiX=Average","Skip=True","Sort=True")</f>
        <v>#N/A Invalid Parameter: Interpolation value</v>
      </c>
      <c r="AJ1545" s="43" t="str">
        <f ca="1"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09"/>
        <v>#REF!</v>
      </c>
      <c r="AI1546" s="43" t="str">
        <f ca="1">_xll.BInterpol('Base IPCA'!$C$3:$C$14,'Base IPCA'!$E$3:$E$14,AH1546,"Cubic","Extrapolate=Linear","MultiX=Average","Skip=True","Sort=True")</f>
        <v>#N/A Invalid Parameter: Interpolation value</v>
      </c>
      <c r="AJ1546" s="43" t="str">
        <f ca="1"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09"/>
        <v>#REF!</v>
      </c>
      <c r="AI1547" s="43" t="str">
        <f ca="1">_xll.BInterpol('Base IPCA'!$C$3:$C$14,'Base IPCA'!$E$3:$E$14,AH1547,"Cubic","Extrapolate=Linear","MultiX=Average","Skip=True","Sort=True")</f>
        <v>#N/A Invalid Parameter: Interpolation value</v>
      </c>
      <c r="AJ1547" s="43" t="str">
        <f ca="1"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09"/>
        <v>#REF!</v>
      </c>
      <c r="AI1548" s="43" t="str">
        <f ca="1">_xll.BInterpol('Base IPCA'!$C$3:$C$14,'Base IPCA'!$E$3:$E$14,AH1548,"Cubic","Extrapolate=Linear","MultiX=Average","Skip=True","Sort=True")</f>
        <v>#N/A Invalid Parameter: Interpolation value</v>
      </c>
      <c r="AJ1548" s="43" t="str">
        <f ca="1"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09"/>
        <v>#REF!</v>
      </c>
      <c r="AI1549" s="43" t="str">
        <f ca="1">_xll.BInterpol('Base IPCA'!$C$3:$C$14,'Base IPCA'!$E$3:$E$14,AH1549,"Cubic","Extrapolate=Linear","MultiX=Average","Skip=True","Sort=True")</f>
        <v>#N/A Invalid Parameter: Interpolation value</v>
      </c>
      <c r="AJ1549" s="43" t="str">
        <f ca="1"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09"/>
        <v>#REF!</v>
      </c>
      <c r="AI1550" s="43" t="str">
        <f ca="1">_xll.BInterpol('Base IPCA'!$C$3:$C$14,'Base IPCA'!$E$3:$E$14,AH1550,"Cubic","Extrapolate=Linear","MultiX=Average","Skip=True","Sort=True")</f>
        <v>#N/A Invalid Parameter: Interpolation value</v>
      </c>
      <c r="AJ1550" s="43" t="str">
        <f ca="1"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09"/>
        <v>#REF!</v>
      </c>
      <c r="AI1551" s="43" t="str">
        <f ca="1">_xll.BInterpol('Base IPCA'!$C$3:$C$14,'Base IPCA'!$E$3:$E$14,AH1551,"Cubic","Extrapolate=Linear","MultiX=Average","Skip=True","Sort=True")</f>
        <v>#N/A Invalid Parameter: Interpolation value</v>
      </c>
      <c r="AJ1551" s="43" t="str">
        <f ca="1"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09"/>
        <v>#REF!</v>
      </c>
      <c r="AI1552" s="43" t="str">
        <f ca="1">_xll.BInterpol('Base IPCA'!$C$3:$C$14,'Base IPCA'!$E$3:$E$14,AH1552,"Cubic","Extrapolate=Linear","MultiX=Average","Skip=True","Sort=True")</f>
        <v>#N/A Invalid Parameter: Interpolation value</v>
      </c>
      <c r="AJ1552" s="43" t="str">
        <f ca="1"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09"/>
        <v>#REF!</v>
      </c>
      <c r="AI1553" s="43" t="str">
        <f ca="1">_xll.BInterpol('Base IPCA'!$C$3:$C$14,'Base IPCA'!$E$3:$E$14,AH1553,"Cubic","Extrapolate=Linear","MultiX=Average","Skip=True","Sort=True")</f>
        <v>#N/A Invalid Parameter: Interpolation value</v>
      </c>
      <c r="AJ1553" s="43" t="str">
        <f ca="1"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09"/>
        <v>#REF!</v>
      </c>
      <c r="AI1554" s="43" t="str">
        <f ca="1">_xll.BInterpol('Base IPCA'!$C$3:$C$14,'Base IPCA'!$E$3:$E$14,AH1554,"Cubic","Extrapolate=Linear","MultiX=Average","Skip=True","Sort=True")</f>
        <v>#N/A Invalid Parameter: Interpolation value</v>
      </c>
      <c r="AJ1554" s="43" t="str">
        <f ca="1"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09"/>
        <v>#REF!</v>
      </c>
      <c r="AI1555" s="43" t="str">
        <f ca="1">_xll.BInterpol('Base IPCA'!$C$3:$C$14,'Base IPCA'!$E$3:$E$14,AH1555,"Cubic","Extrapolate=Linear","MultiX=Average","Skip=True","Sort=True")</f>
        <v>#N/A Invalid Parameter: Interpolation value</v>
      </c>
      <c r="AJ1555" s="43" t="str">
        <f ca="1"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09"/>
        <v>#REF!</v>
      </c>
      <c r="AI1556" s="43" t="str">
        <f ca="1">_xll.BInterpol('Base IPCA'!$C$3:$C$14,'Base IPCA'!$E$3:$E$14,AH1556,"Cubic","Extrapolate=Linear","MultiX=Average","Skip=True","Sort=True")</f>
        <v>#N/A Invalid Parameter: Interpolation value</v>
      </c>
      <c r="AJ1556" s="43" t="str">
        <f ca="1"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09"/>
        <v>#REF!</v>
      </c>
      <c r="AI1557" s="43" t="str">
        <f ca="1">_xll.BInterpol('Base IPCA'!$C$3:$C$14,'Base IPCA'!$E$3:$E$14,AH1557,"Cubic","Extrapolate=Linear","MultiX=Average","Skip=True","Sort=True")</f>
        <v>#N/A Invalid Parameter: Interpolation value</v>
      </c>
      <c r="AJ1557" s="43" t="str">
        <f ca="1"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09"/>
        <v>#REF!</v>
      </c>
      <c r="AI1558" s="43" t="str">
        <f ca="1">_xll.BInterpol('Base IPCA'!$C$3:$C$14,'Base IPCA'!$E$3:$E$14,AH1558,"Cubic","Extrapolate=Linear","MultiX=Average","Skip=True","Sort=True")</f>
        <v>#N/A Invalid Parameter: Interpolation value</v>
      </c>
      <c r="AJ1558" s="43" t="str">
        <f ca="1"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09"/>
        <v>#REF!</v>
      </c>
      <c r="AI1559" s="43" t="str">
        <f ca="1">_xll.BInterpol('Base IPCA'!$C$3:$C$14,'Base IPCA'!$E$3:$E$14,AH1559,"Cubic","Extrapolate=Linear","MultiX=Average","Skip=True","Sort=True")</f>
        <v>#N/A Invalid Parameter: Interpolation value</v>
      </c>
      <c r="AJ1559" s="43" t="str">
        <f ca="1"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09"/>
        <v>#REF!</v>
      </c>
      <c r="AI1560" s="43" t="str">
        <f ca="1">_xll.BInterpol('Base IPCA'!$C$3:$C$14,'Base IPCA'!$E$3:$E$14,AH1560,"Cubic","Extrapolate=Linear","MultiX=Average","Skip=True","Sort=True")</f>
        <v>#N/A Invalid Parameter: Interpolation value</v>
      </c>
      <c r="AJ1560" s="43" t="str">
        <f ca="1"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09"/>
        <v>#REF!</v>
      </c>
      <c r="AI1561" s="43" t="str">
        <f ca="1">_xll.BInterpol('Base IPCA'!$C$3:$C$14,'Base IPCA'!$E$3:$E$14,AH1561,"Cubic","Extrapolate=Linear","MultiX=Average","Skip=True","Sort=True")</f>
        <v>#N/A Invalid Parameter: Interpolation value</v>
      </c>
      <c r="AJ1561" s="43" t="str">
        <f ca="1"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09"/>
        <v>#REF!</v>
      </c>
      <c r="AI1562" s="43" t="str">
        <f ca="1">_xll.BInterpol('Base IPCA'!$C$3:$C$14,'Base IPCA'!$E$3:$E$14,AH1562,"Cubic","Extrapolate=Linear","MultiX=Average","Skip=True","Sort=True")</f>
        <v>#N/A Invalid Parameter: Interpolation value</v>
      </c>
      <c r="AJ1562" s="43" t="str">
        <f ca="1"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09"/>
        <v>#REF!</v>
      </c>
      <c r="AI1563" s="43" t="str">
        <f ca="1">_xll.BInterpol('Base IPCA'!$C$3:$C$14,'Base IPCA'!$E$3:$E$14,AH1563,"Cubic","Extrapolate=Linear","MultiX=Average","Skip=True","Sort=True")</f>
        <v>#N/A Invalid Parameter: Interpolation value</v>
      </c>
      <c r="AJ1563" s="43" t="str">
        <f ca="1"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09"/>
        <v>#REF!</v>
      </c>
      <c r="AI1564" s="43" t="str">
        <f ca="1">_xll.BInterpol('Base IPCA'!$C$3:$C$14,'Base IPCA'!$E$3:$E$14,AH1564,"Cubic","Extrapolate=Linear","MultiX=Average","Skip=True","Sort=True")</f>
        <v>#N/A Invalid Parameter: Interpolation value</v>
      </c>
      <c r="AJ1564" s="43" t="str">
        <f ca="1"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09"/>
        <v>#REF!</v>
      </c>
      <c r="AI1565" s="43" t="str">
        <f ca="1">_xll.BInterpol('Base IPCA'!$C$3:$C$14,'Base IPCA'!$E$3:$E$14,AH1565,"Cubic","Extrapolate=Linear","MultiX=Average","Skip=True","Sort=True")</f>
        <v>#N/A Invalid Parameter: Interpolation value</v>
      </c>
      <c r="AJ1565" s="43" t="str">
        <f ca="1"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09"/>
        <v>#REF!</v>
      </c>
      <c r="AI1566" s="43" t="str">
        <f ca="1">_xll.BInterpol('Base IPCA'!$C$3:$C$14,'Base IPCA'!$E$3:$E$14,AH1566,"Cubic","Extrapolate=Linear","MultiX=Average","Skip=True","Sort=True")</f>
        <v>#N/A Invalid Parameter: Interpolation value</v>
      </c>
      <c r="AJ1566" s="43" t="str">
        <f ca="1"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09"/>
        <v>#REF!</v>
      </c>
      <c r="AI1567" s="43" t="str">
        <f ca="1">_xll.BInterpol('Base IPCA'!$C$3:$C$14,'Base IPCA'!$E$3:$E$14,AH1567,"Cubic","Extrapolate=Linear","MultiX=Average","Skip=True","Sort=True")</f>
        <v>#N/A Invalid Parameter: Interpolation value</v>
      </c>
      <c r="AJ1567" s="43" t="str">
        <f ca="1"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09"/>
        <v>#REF!</v>
      </c>
      <c r="AI1568" s="43" t="str">
        <f ca="1">_xll.BInterpol('Base IPCA'!$C$3:$C$14,'Base IPCA'!$E$3:$E$14,AH1568,"Cubic","Extrapolate=Linear","MultiX=Average","Skip=True","Sort=True")</f>
        <v>#N/A Invalid Parameter: Interpolation value</v>
      </c>
      <c r="AJ1568" s="43" t="str">
        <f ca="1"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09"/>
        <v>#REF!</v>
      </c>
      <c r="AI1569" s="43" t="str">
        <f ca="1">_xll.BInterpol('Base IPCA'!$C$3:$C$14,'Base IPCA'!$E$3:$E$14,AH1569,"Cubic","Extrapolate=Linear","MultiX=Average","Skip=True","Sort=True")</f>
        <v>#N/A Invalid Parameter: Interpolation value</v>
      </c>
      <c r="AJ1569" s="43" t="str">
        <f ca="1"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09"/>
        <v>#REF!</v>
      </c>
      <c r="AI1570" s="43" t="str">
        <f ca="1">_xll.BInterpol('Base IPCA'!$C$3:$C$14,'Base IPCA'!$E$3:$E$14,AH1570,"Cubic","Extrapolate=Linear","MultiX=Average","Skip=True","Sort=True")</f>
        <v>#N/A Invalid Parameter: Interpolation value</v>
      </c>
      <c r="AJ1570" s="43" t="str">
        <f ca="1"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09"/>
        <v>#REF!</v>
      </c>
      <c r="AI1571" s="43" t="str">
        <f ca="1">_xll.BInterpol('Base IPCA'!$C$3:$C$14,'Base IPCA'!$E$3:$E$14,AH1571,"Cubic","Extrapolate=Linear","MultiX=Average","Skip=True","Sort=True")</f>
        <v>#N/A Invalid Parameter: Interpolation value</v>
      </c>
      <c r="AJ1571" s="43" t="str">
        <f ca="1"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09"/>
        <v>#REF!</v>
      </c>
      <c r="AI1572" s="43" t="str">
        <f ca="1">_xll.BInterpol('Base IPCA'!$C$3:$C$14,'Base IPCA'!$E$3:$E$14,AH1572,"Cubic","Extrapolate=Linear","MultiX=Average","Skip=True","Sort=True")</f>
        <v>#N/A Invalid Parameter: Interpolation value</v>
      </c>
      <c r="AJ1572" s="43" t="str">
        <f ca="1"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09"/>
        <v>#REF!</v>
      </c>
      <c r="AI1573" s="43" t="str">
        <f ca="1">_xll.BInterpol('Base IPCA'!$C$3:$C$14,'Base IPCA'!$E$3:$E$14,AH1573,"Cubic","Extrapolate=Linear","MultiX=Average","Skip=True","Sort=True")</f>
        <v>#N/A Invalid Parameter: Interpolation value</v>
      </c>
      <c r="AJ1573" s="43" t="str">
        <f ca="1"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09"/>
        <v>#REF!</v>
      </c>
      <c r="AI1574" s="43" t="str">
        <f ca="1">_xll.BInterpol('Base IPCA'!$C$3:$C$14,'Base IPCA'!$E$3:$E$14,AH1574,"Cubic","Extrapolate=Linear","MultiX=Average","Skip=True","Sort=True")</f>
        <v>#N/A Invalid Parameter: Interpolation value</v>
      </c>
      <c r="AJ1574" s="43" t="str">
        <f ca="1"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09"/>
        <v>#REF!</v>
      </c>
      <c r="AI1575" s="43" t="str">
        <f ca="1">_xll.BInterpol('Base IPCA'!$C$3:$C$14,'Base IPCA'!$E$3:$E$14,AH1575,"Cubic","Extrapolate=Linear","MultiX=Average","Skip=True","Sort=True")</f>
        <v>#N/A Invalid Parameter: Interpolation value</v>
      </c>
      <c r="AJ1575" s="43" t="str">
        <f ca="1"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09"/>
        <v>#REF!</v>
      </c>
      <c r="AI1576" s="43" t="str">
        <f ca="1">_xll.BInterpol('Base IPCA'!$C$3:$C$14,'Base IPCA'!$E$3:$E$14,AH1576,"Cubic","Extrapolate=Linear","MultiX=Average","Skip=True","Sort=True")</f>
        <v>#N/A Invalid Parameter: Interpolation value</v>
      </c>
      <c r="AJ1576" s="43" t="str">
        <f ca="1"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09"/>
        <v>#REF!</v>
      </c>
      <c r="AI1577" s="43" t="str">
        <f ca="1">_xll.BInterpol('Base IPCA'!$C$3:$C$14,'Base IPCA'!$E$3:$E$14,AH1577,"Cubic","Extrapolate=Linear","MultiX=Average","Skip=True","Sort=True")</f>
        <v>#N/A Invalid Parameter: Interpolation value</v>
      </c>
      <c r="AJ1577" s="43" t="str">
        <f ca="1"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09"/>
        <v>#REF!</v>
      </c>
      <c r="AI1578" s="43" t="str">
        <f ca="1">_xll.BInterpol('Base IPCA'!$C$3:$C$14,'Base IPCA'!$E$3:$E$14,AH1578,"Cubic","Extrapolate=Linear","MultiX=Average","Skip=True","Sort=True")</f>
        <v>#N/A Invalid Parameter: Interpolation value</v>
      </c>
      <c r="AJ1578" s="43" t="str">
        <f ca="1"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09"/>
        <v>#REF!</v>
      </c>
      <c r="AI1579" s="43" t="str">
        <f ca="1">_xll.BInterpol('Base IPCA'!$C$3:$C$14,'Base IPCA'!$E$3:$E$14,AH1579,"Cubic","Extrapolate=Linear","MultiX=Average","Skip=True","Sort=True")</f>
        <v>#N/A Invalid Parameter: Interpolation value</v>
      </c>
      <c r="AJ1579" s="43" t="str">
        <f ca="1"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09"/>
        <v>#REF!</v>
      </c>
      <c r="AI1580" s="43" t="str">
        <f ca="1">_xll.BInterpol('Base IPCA'!$C$3:$C$14,'Base IPCA'!$E$3:$E$14,AH1580,"Cubic","Extrapolate=Linear","MultiX=Average","Skip=True","Sort=True")</f>
        <v>#N/A Invalid Parameter: Interpolation value</v>
      </c>
      <c r="AJ1580" s="43" t="str">
        <f ca="1"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09"/>
        <v>#REF!</v>
      </c>
      <c r="AI1581" s="43" t="str">
        <f ca="1">_xll.BInterpol('Base IPCA'!$C$3:$C$14,'Base IPCA'!$E$3:$E$14,AH1581,"Cubic","Extrapolate=Linear","MultiX=Average","Skip=True","Sort=True")</f>
        <v>#N/A Invalid Parameter: Interpolation value</v>
      </c>
      <c r="AJ1581" s="43" t="str">
        <f ca="1"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09"/>
        <v>#REF!</v>
      </c>
      <c r="AI1582" s="43" t="str">
        <f ca="1">_xll.BInterpol('Base IPCA'!$C$3:$C$14,'Base IPCA'!$E$3:$E$14,AH1582,"Cubic","Extrapolate=Linear","MultiX=Average","Skip=True","Sort=True")</f>
        <v>#N/A Invalid Parameter: Interpolation value</v>
      </c>
      <c r="AJ1582" s="43" t="str">
        <f ca="1"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09"/>
        <v>#REF!</v>
      </c>
      <c r="AI1583" s="43" t="str">
        <f ca="1">_xll.BInterpol('Base IPCA'!$C$3:$C$14,'Base IPCA'!$E$3:$E$14,AH1583,"Cubic","Extrapolate=Linear","MultiX=Average","Skip=True","Sort=True")</f>
        <v>#N/A Invalid Parameter: Interpolation value</v>
      </c>
      <c r="AJ1583" s="43" t="str">
        <f ca="1"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09"/>
        <v>#REF!</v>
      </c>
      <c r="AI1584" s="43" t="str">
        <f ca="1">_xll.BInterpol('Base IPCA'!$C$3:$C$14,'Base IPCA'!$E$3:$E$14,AH1584,"Cubic","Extrapolate=Linear","MultiX=Average","Skip=True","Sort=True")</f>
        <v>#N/A Invalid Parameter: Interpolation value</v>
      </c>
      <c r="AJ1584" s="43" t="str">
        <f ca="1"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09"/>
        <v>#REF!</v>
      </c>
      <c r="AI1585" s="43" t="str">
        <f ca="1">_xll.BInterpol('Base IPCA'!$C$3:$C$14,'Base IPCA'!$E$3:$E$14,AH1585,"Cubic","Extrapolate=Linear","MultiX=Average","Skip=True","Sort=True")</f>
        <v>#N/A Invalid Parameter: Interpolation value</v>
      </c>
      <c r="AJ1585" s="43" t="str">
        <f ca="1"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09"/>
        <v>#REF!</v>
      </c>
      <c r="AI1586" s="43" t="str">
        <f ca="1">_xll.BInterpol('Base IPCA'!$C$3:$C$14,'Base IPCA'!$E$3:$E$14,AH1586,"Cubic","Extrapolate=Linear","MultiX=Average","Skip=True","Sort=True")</f>
        <v>#N/A Invalid Parameter: Interpolation value</v>
      </c>
      <c r="AJ1586" s="43" t="str">
        <f ca="1"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09"/>
        <v>#REF!</v>
      </c>
      <c r="AI1587" s="43" t="str">
        <f ca="1">_xll.BInterpol('Base IPCA'!$C$3:$C$14,'Base IPCA'!$E$3:$E$14,AH1587,"Cubic","Extrapolate=Linear","MultiX=Average","Skip=True","Sort=True")</f>
        <v>#N/A Invalid Parameter: Interpolation value</v>
      </c>
      <c r="AJ1587" s="43" t="str">
        <f ca="1"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09"/>
        <v>#REF!</v>
      </c>
      <c r="AI1588" s="43" t="str">
        <f ca="1">_xll.BInterpol('Base IPCA'!$C$3:$C$14,'Base IPCA'!$E$3:$E$14,AH1588,"Cubic","Extrapolate=Linear","MultiX=Average","Skip=True","Sort=True")</f>
        <v>#N/A Invalid Parameter: Interpolation value</v>
      </c>
      <c r="AJ1588" s="43" t="str">
        <f ca="1"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09"/>
        <v>#REF!</v>
      </c>
      <c r="AI1589" s="43" t="str">
        <f ca="1">_xll.BInterpol('Base IPCA'!$C$3:$C$14,'Base IPCA'!$E$3:$E$14,AH1589,"Cubic","Extrapolate=Linear","MultiX=Average","Skip=True","Sort=True")</f>
        <v>#N/A Invalid Parameter: Interpolation value</v>
      </c>
      <c r="AJ1589" s="43" t="str">
        <f ca="1"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09"/>
        <v>#REF!</v>
      </c>
      <c r="AI1590" s="43" t="str">
        <f ca="1">_xll.BInterpol('Base IPCA'!$C$3:$C$14,'Base IPCA'!$E$3:$E$14,AH1590,"Cubic","Extrapolate=Linear","MultiX=Average","Skip=True","Sort=True")</f>
        <v>#N/A Invalid Parameter: Interpolation value</v>
      </c>
      <c r="AJ1590" s="43" t="str">
        <f ca="1"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09"/>
        <v>#REF!</v>
      </c>
      <c r="AI1591" s="43" t="str">
        <f ca="1">_xll.BInterpol('Base IPCA'!$C$3:$C$14,'Base IPCA'!$E$3:$E$14,AH1591,"Cubic","Extrapolate=Linear","MultiX=Average","Skip=True","Sort=True")</f>
        <v>#N/A Invalid Parameter: Interpolation value</v>
      </c>
      <c r="AJ1591" s="43" t="str">
        <f ca="1"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09"/>
        <v>#REF!</v>
      </c>
      <c r="AI1592" s="43" t="str">
        <f ca="1">_xll.BInterpol('Base IPCA'!$C$3:$C$14,'Base IPCA'!$E$3:$E$14,AH1592,"Cubic","Extrapolate=Linear","MultiX=Average","Skip=True","Sort=True")</f>
        <v>#N/A Invalid Parameter: Interpolation value</v>
      </c>
      <c r="AJ1592" s="43" t="str">
        <f ca="1"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09"/>
        <v>#REF!</v>
      </c>
      <c r="AI1593" s="43" t="str">
        <f ca="1">_xll.BInterpol('Base IPCA'!$C$3:$C$14,'Base IPCA'!$E$3:$E$14,AH1593,"Cubic","Extrapolate=Linear","MultiX=Average","Skip=True","Sort=True")</f>
        <v>#N/A Invalid Parameter: Interpolation value</v>
      </c>
      <c r="AJ1593" s="43" t="str">
        <f ca="1"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09"/>
        <v>#REF!</v>
      </c>
      <c r="AI1594" s="43" t="str">
        <f ca="1">_xll.BInterpol('Base IPCA'!$C$3:$C$14,'Base IPCA'!$E$3:$E$14,AH1594,"Cubic","Extrapolate=Linear","MultiX=Average","Skip=True","Sort=True")</f>
        <v>#N/A Invalid Parameter: Interpolation value</v>
      </c>
      <c r="AJ1594" s="43" t="str">
        <f ca="1"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09"/>
        <v>#REF!</v>
      </c>
      <c r="AI1595" s="43" t="str">
        <f ca="1">_xll.BInterpol('Base IPCA'!$C$3:$C$14,'Base IPCA'!$E$3:$E$14,AH1595,"Cubic","Extrapolate=Linear","MultiX=Average","Skip=True","Sort=True")</f>
        <v>#N/A Invalid Parameter: Interpolation value</v>
      </c>
      <c r="AJ1595" s="43" t="str">
        <f ca="1"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09"/>
        <v>#REF!</v>
      </c>
      <c r="AI1596" s="43" t="str">
        <f ca="1">_xll.BInterpol('Base IPCA'!$C$3:$C$14,'Base IPCA'!$E$3:$E$14,AH1596,"Cubic","Extrapolate=Linear","MultiX=Average","Skip=True","Sort=True")</f>
        <v>#N/A Invalid Parameter: Interpolation value</v>
      </c>
      <c r="AJ1596" s="43" t="str">
        <f ca="1"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09"/>
        <v>#REF!</v>
      </c>
      <c r="AI1597" s="43" t="str">
        <f ca="1">_xll.BInterpol('Base IPCA'!$C$3:$C$14,'Base IPCA'!$E$3:$E$14,AH1597,"Cubic","Extrapolate=Linear","MultiX=Average","Skip=True","Sort=True")</f>
        <v>#N/A Invalid Parameter: Interpolation value</v>
      </c>
      <c r="AJ1597" s="43" t="str">
        <f ca="1"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09"/>
        <v>#REF!</v>
      </c>
      <c r="AI1598" s="43" t="str">
        <f ca="1">_xll.BInterpol('Base IPCA'!$C$3:$C$14,'Base IPCA'!$E$3:$E$14,AH1598,"Cubic","Extrapolate=Linear","MultiX=Average","Skip=True","Sort=True")</f>
        <v>#N/A Invalid Parameter: Interpolation value</v>
      </c>
      <c r="AJ1598" s="43" t="str">
        <f ca="1"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09"/>
        <v>#REF!</v>
      </c>
      <c r="AI1599" s="43" t="str">
        <f ca="1">_xll.BInterpol('Base IPCA'!$C$3:$C$14,'Base IPCA'!$E$3:$E$14,AH1599,"Cubic","Extrapolate=Linear","MultiX=Average","Skip=True","Sort=True")</f>
        <v>#N/A Invalid Parameter: Interpolation value</v>
      </c>
      <c r="AJ1599" s="43" t="str">
        <f ca="1"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09"/>
        <v>#REF!</v>
      </c>
      <c r="AI1600" s="43" t="str">
        <f ca="1">_xll.BInterpol('Base IPCA'!$C$3:$C$14,'Base IPCA'!$E$3:$E$14,AH1600,"Cubic","Extrapolate=Linear","MultiX=Average","Skip=True","Sort=True")</f>
        <v>#N/A Invalid Parameter: Interpolation value</v>
      </c>
      <c r="AJ1600" s="43" t="str">
        <f ca="1"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09"/>
        <v>#REF!</v>
      </c>
      <c r="AI1601" s="43" t="str">
        <f ca="1">_xll.BInterpol('Base IPCA'!$C$3:$C$14,'Base IPCA'!$E$3:$E$14,AH1601,"Cubic","Extrapolate=Linear","MultiX=Average","Skip=True","Sort=True")</f>
        <v>#N/A Invalid Parameter: Interpolation value</v>
      </c>
      <c r="AJ1601" s="43" t="str">
        <f ca="1"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09"/>
        <v>#REF!</v>
      </c>
      <c r="AI1602" s="43" t="str">
        <f ca="1">_xll.BInterpol('Base IPCA'!$C$3:$C$14,'Base IPCA'!$E$3:$E$14,AH1602,"Cubic","Extrapolate=Linear","MultiX=Average","Skip=True","Sort=True")</f>
        <v>#N/A Invalid Parameter: Interpolation value</v>
      </c>
      <c r="AJ1602" s="43" t="str">
        <f ca="1"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09"/>
        <v>#REF!</v>
      </c>
      <c r="AI1603" s="43" t="str">
        <f ca="1">_xll.BInterpol('Base IPCA'!$C$3:$C$14,'Base IPCA'!$E$3:$E$14,AH1603,"Cubic","Extrapolate=Linear","MultiX=Average","Skip=True","Sort=True")</f>
        <v>#N/A Invalid Parameter: Interpolation value</v>
      </c>
      <c r="AJ1603" s="43" t="str">
        <f ca="1"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09"/>
        <v>#REF!</v>
      </c>
      <c r="AI1604" s="43" t="str">
        <f ca="1">_xll.BInterpol('Base IPCA'!$C$3:$C$14,'Base IPCA'!$E$3:$E$14,AH1604,"Cubic","Extrapolate=Linear","MultiX=Average","Skip=True","Sort=True")</f>
        <v>#N/A Invalid Parameter: Interpolation value</v>
      </c>
      <c r="AJ1604" s="43" t="str">
        <f ca="1"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09"/>
        <v>#REF!</v>
      </c>
      <c r="AI1605" s="43" t="str">
        <f ca="1">_xll.BInterpol('Base IPCA'!$C$3:$C$14,'Base IPCA'!$E$3:$E$14,AH1605,"Cubic","Extrapolate=Linear","MultiX=Average","Skip=True","Sort=True")</f>
        <v>#N/A Invalid Parameter: Interpolation value</v>
      </c>
      <c r="AJ1605" s="43" t="str">
        <f ca="1"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0">AH1605+1</f>
        <v>#REF!</v>
      </c>
      <c r="AI1606" s="43" t="str">
        <f ca="1">_xll.BInterpol('Base IPCA'!$C$3:$C$14,'Base IPCA'!$E$3:$E$14,AH1606,"Cubic","Extrapolate=Linear","MultiX=Average","Skip=True","Sort=True")</f>
        <v>#N/A Invalid Parameter: Interpolation value</v>
      </c>
      <c r="AJ1606" s="43" t="str">
        <f ca="1"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0"/>
        <v>#REF!</v>
      </c>
      <c r="AI1607" s="43" t="str">
        <f ca="1">_xll.BInterpol('Base IPCA'!$C$3:$C$14,'Base IPCA'!$E$3:$E$14,AH1607,"Cubic","Extrapolate=Linear","MultiX=Average","Skip=True","Sort=True")</f>
        <v>#N/A Invalid Parameter: Interpolation value</v>
      </c>
      <c r="AJ1607" s="43" t="str">
        <f ca="1"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0"/>
        <v>#REF!</v>
      </c>
      <c r="AI1608" s="43" t="str">
        <f ca="1">_xll.BInterpol('Base IPCA'!$C$3:$C$14,'Base IPCA'!$E$3:$E$14,AH1608,"Cubic","Extrapolate=Linear","MultiX=Average","Skip=True","Sort=True")</f>
        <v>#N/A Invalid Parameter: Interpolation value</v>
      </c>
      <c r="AJ1608" s="43" t="str">
        <f ca="1"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0"/>
        <v>#REF!</v>
      </c>
      <c r="AI1609" s="43" t="str">
        <f ca="1">_xll.BInterpol('Base IPCA'!$C$3:$C$14,'Base IPCA'!$E$3:$E$14,AH1609,"Cubic","Extrapolate=Linear","MultiX=Average","Skip=True","Sort=True")</f>
        <v>#N/A Invalid Parameter: Interpolation value</v>
      </c>
      <c r="AJ1609" s="43" t="str">
        <f ca="1"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0"/>
        <v>#REF!</v>
      </c>
      <c r="AI1610" s="43" t="str">
        <f ca="1">_xll.BInterpol('Base IPCA'!$C$3:$C$14,'Base IPCA'!$E$3:$E$14,AH1610,"Cubic","Extrapolate=Linear","MultiX=Average","Skip=True","Sort=True")</f>
        <v>#N/A Invalid Parameter: Interpolation value</v>
      </c>
      <c r="AJ1610" s="43" t="str">
        <f ca="1"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0"/>
        <v>#REF!</v>
      </c>
      <c r="AI1611" s="43" t="str">
        <f ca="1">_xll.BInterpol('Base IPCA'!$C$3:$C$14,'Base IPCA'!$E$3:$E$14,AH1611,"Cubic","Extrapolate=Linear","MultiX=Average","Skip=True","Sort=True")</f>
        <v>#N/A Invalid Parameter: Interpolation value</v>
      </c>
      <c r="AJ1611" s="43" t="str">
        <f ca="1"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0"/>
        <v>#REF!</v>
      </c>
      <c r="AI1612" s="43" t="str">
        <f ca="1">_xll.BInterpol('Base IPCA'!$C$3:$C$14,'Base IPCA'!$E$3:$E$14,AH1612,"Cubic","Extrapolate=Linear","MultiX=Average","Skip=True","Sort=True")</f>
        <v>#N/A Invalid Parameter: Interpolation value</v>
      </c>
      <c r="AJ1612" s="43" t="str">
        <f ca="1"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0"/>
        <v>#REF!</v>
      </c>
      <c r="AI1613" s="43" t="str">
        <f ca="1">_xll.BInterpol('Base IPCA'!$C$3:$C$14,'Base IPCA'!$E$3:$E$14,AH1613,"Cubic","Extrapolate=Linear","MultiX=Average","Skip=True","Sort=True")</f>
        <v>#N/A Invalid Parameter: Interpolation value</v>
      </c>
      <c r="AJ1613" s="43" t="str">
        <f ca="1"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0"/>
        <v>#REF!</v>
      </c>
      <c r="AI1614" s="43" t="str">
        <f ca="1">_xll.BInterpol('Base IPCA'!$C$3:$C$14,'Base IPCA'!$E$3:$E$14,AH1614,"Cubic","Extrapolate=Linear","MultiX=Average","Skip=True","Sort=True")</f>
        <v>#N/A Invalid Parameter: Interpolation value</v>
      </c>
      <c r="AJ1614" s="43" t="str">
        <f ca="1"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0"/>
        <v>#REF!</v>
      </c>
      <c r="AI1615" s="43" t="str">
        <f ca="1">_xll.BInterpol('Base IPCA'!$C$3:$C$14,'Base IPCA'!$E$3:$E$14,AH1615,"Cubic","Extrapolate=Linear","MultiX=Average","Skip=True","Sort=True")</f>
        <v>#N/A Invalid Parameter: Interpolation value</v>
      </c>
      <c r="AJ1615" s="43" t="str">
        <f ca="1"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0"/>
        <v>#REF!</v>
      </c>
      <c r="AI1616" s="43" t="str">
        <f ca="1">_xll.BInterpol('Base IPCA'!$C$3:$C$14,'Base IPCA'!$E$3:$E$14,AH1616,"Cubic","Extrapolate=Linear","MultiX=Average","Skip=True","Sort=True")</f>
        <v>#N/A Invalid Parameter: Interpolation value</v>
      </c>
      <c r="AJ1616" s="43" t="str">
        <f ca="1"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0"/>
        <v>#REF!</v>
      </c>
      <c r="AI1617" s="43" t="str">
        <f ca="1">_xll.BInterpol('Base IPCA'!$C$3:$C$14,'Base IPCA'!$E$3:$E$14,AH1617,"Cubic","Extrapolate=Linear","MultiX=Average","Skip=True","Sort=True")</f>
        <v>#N/A Invalid Parameter: Interpolation value</v>
      </c>
      <c r="AJ1617" s="43" t="str">
        <f ca="1"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0"/>
        <v>#REF!</v>
      </c>
      <c r="AI1618" s="43" t="str">
        <f ca="1">_xll.BInterpol('Base IPCA'!$C$3:$C$14,'Base IPCA'!$E$3:$E$14,AH1618,"Cubic","Extrapolate=Linear","MultiX=Average","Skip=True","Sort=True")</f>
        <v>#N/A Invalid Parameter: Interpolation value</v>
      </c>
      <c r="AJ1618" s="43" t="str">
        <f ca="1"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0"/>
        <v>#REF!</v>
      </c>
      <c r="AI1619" s="43" t="str">
        <f ca="1">_xll.BInterpol('Base IPCA'!$C$3:$C$14,'Base IPCA'!$E$3:$E$14,AH1619,"Cubic","Extrapolate=Linear","MultiX=Average","Skip=True","Sort=True")</f>
        <v>#N/A Invalid Parameter: Interpolation value</v>
      </c>
      <c r="AJ1619" s="43" t="str">
        <f ca="1"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0"/>
        <v>#REF!</v>
      </c>
      <c r="AI1620" s="43" t="str">
        <f ca="1">_xll.BInterpol('Base IPCA'!$C$3:$C$14,'Base IPCA'!$E$3:$E$14,AH1620,"Cubic","Extrapolate=Linear","MultiX=Average","Skip=True","Sort=True")</f>
        <v>#N/A Invalid Parameter: Interpolation value</v>
      </c>
      <c r="AJ1620" s="43" t="str">
        <f ca="1"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0"/>
        <v>#REF!</v>
      </c>
      <c r="AI1621" s="43" t="str">
        <f ca="1">_xll.BInterpol('Base IPCA'!$C$3:$C$14,'Base IPCA'!$E$3:$E$14,AH1621,"Cubic","Extrapolate=Linear","MultiX=Average","Skip=True","Sort=True")</f>
        <v>#N/A Invalid Parameter: Interpolation value</v>
      </c>
      <c r="AJ1621" s="43" t="str">
        <f ca="1"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0"/>
        <v>#REF!</v>
      </c>
      <c r="AI1622" s="43" t="str">
        <f ca="1">_xll.BInterpol('Base IPCA'!$C$3:$C$14,'Base IPCA'!$E$3:$E$14,AH1622,"Cubic","Extrapolate=Linear","MultiX=Average","Skip=True","Sort=True")</f>
        <v>#N/A Invalid Parameter: Interpolation value</v>
      </c>
      <c r="AJ1622" s="43" t="str">
        <f ca="1"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0"/>
        <v>#REF!</v>
      </c>
      <c r="AI1623" s="43" t="str">
        <f ca="1">_xll.BInterpol('Base IPCA'!$C$3:$C$14,'Base IPCA'!$E$3:$E$14,AH1623,"Cubic","Extrapolate=Linear","MultiX=Average","Skip=True","Sort=True")</f>
        <v>#N/A Invalid Parameter: Interpolation value</v>
      </c>
      <c r="AJ1623" s="43" t="str">
        <f ca="1"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0"/>
        <v>#REF!</v>
      </c>
      <c r="AI1624" s="43" t="str">
        <f ca="1">_xll.BInterpol('Base IPCA'!$C$3:$C$14,'Base IPCA'!$E$3:$E$14,AH1624,"Cubic","Extrapolate=Linear","MultiX=Average","Skip=True","Sort=True")</f>
        <v>#N/A Invalid Parameter: Interpolation value</v>
      </c>
      <c r="AJ1624" s="43" t="str">
        <f ca="1"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0"/>
        <v>#REF!</v>
      </c>
      <c r="AI1625" s="43" t="str">
        <f ca="1">_xll.BInterpol('Base IPCA'!$C$3:$C$14,'Base IPCA'!$E$3:$E$14,AH1625,"Cubic","Extrapolate=Linear","MultiX=Average","Skip=True","Sort=True")</f>
        <v>#N/A Invalid Parameter: Interpolation value</v>
      </c>
      <c r="AJ1625" s="43" t="str">
        <f ca="1"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0"/>
        <v>#REF!</v>
      </c>
      <c r="AI1626" s="43" t="str">
        <f ca="1">_xll.BInterpol('Base IPCA'!$C$3:$C$14,'Base IPCA'!$E$3:$E$14,AH1626,"Cubic","Extrapolate=Linear","MultiX=Average","Skip=True","Sort=True")</f>
        <v>#N/A Invalid Parameter: Interpolation value</v>
      </c>
      <c r="AJ1626" s="43" t="str">
        <f ca="1"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0"/>
        <v>#REF!</v>
      </c>
      <c r="AI1627" s="43" t="str">
        <f ca="1">_xll.BInterpol('Base IPCA'!$C$3:$C$14,'Base IPCA'!$E$3:$E$14,AH1627,"Cubic","Extrapolate=Linear","MultiX=Average","Skip=True","Sort=True")</f>
        <v>#N/A Invalid Parameter: Interpolation value</v>
      </c>
      <c r="AJ1627" s="43" t="str">
        <f ca="1"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0"/>
        <v>#REF!</v>
      </c>
      <c r="AI1628" s="43" t="str">
        <f ca="1">_xll.BInterpol('Base IPCA'!$C$3:$C$14,'Base IPCA'!$E$3:$E$14,AH1628,"Cubic","Extrapolate=Linear","MultiX=Average","Skip=True","Sort=True")</f>
        <v>#N/A Invalid Parameter: Interpolation value</v>
      </c>
      <c r="AJ1628" s="43" t="str">
        <f ca="1"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0"/>
        <v>#REF!</v>
      </c>
      <c r="AI1629" s="43" t="str">
        <f ca="1">_xll.BInterpol('Base IPCA'!$C$3:$C$14,'Base IPCA'!$E$3:$E$14,AH1629,"Cubic","Extrapolate=Linear","MultiX=Average","Skip=True","Sort=True")</f>
        <v>#N/A Invalid Parameter: Interpolation value</v>
      </c>
      <c r="AJ1629" s="43" t="str">
        <f ca="1"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0"/>
        <v>#REF!</v>
      </c>
      <c r="AI1630" s="43" t="str">
        <f ca="1">_xll.BInterpol('Base IPCA'!$C$3:$C$14,'Base IPCA'!$E$3:$E$14,AH1630,"Cubic","Extrapolate=Linear","MultiX=Average","Skip=True","Sort=True")</f>
        <v>#N/A Invalid Parameter: Interpolation value</v>
      </c>
      <c r="AJ1630" s="43" t="str">
        <f ca="1"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0"/>
        <v>#REF!</v>
      </c>
      <c r="AI1631" s="43" t="str">
        <f ca="1">_xll.BInterpol('Base IPCA'!$C$3:$C$14,'Base IPCA'!$E$3:$E$14,AH1631,"Cubic","Extrapolate=Linear","MultiX=Average","Skip=True","Sort=True")</f>
        <v>#N/A Invalid Parameter: Interpolation value</v>
      </c>
      <c r="AJ1631" s="43" t="str">
        <f ca="1"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0"/>
        <v>#REF!</v>
      </c>
      <c r="AI1632" s="43" t="str">
        <f ca="1">_xll.BInterpol('Base IPCA'!$C$3:$C$14,'Base IPCA'!$E$3:$E$14,AH1632,"Cubic","Extrapolate=Linear","MultiX=Average","Skip=True","Sort=True")</f>
        <v>#N/A Invalid Parameter: Interpolation value</v>
      </c>
      <c r="AJ1632" s="43" t="str">
        <f ca="1"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0"/>
        <v>#REF!</v>
      </c>
      <c r="AI1633" s="43" t="str">
        <f ca="1">_xll.BInterpol('Base IPCA'!$C$3:$C$14,'Base IPCA'!$E$3:$E$14,AH1633,"Cubic","Extrapolate=Linear","MultiX=Average","Skip=True","Sort=True")</f>
        <v>#N/A Invalid Parameter: Interpolation value</v>
      </c>
      <c r="AJ1633" s="43" t="str">
        <f ca="1"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0"/>
        <v>#REF!</v>
      </c>
      <c r="AI1634" s="43" t="str">
        <f ca="1">_xll.BInterpol('Base IPCA'!$C$3:$C$14,'Base IPCA'!$E$3:$E$14,AH1634,"Cubic","Extrapolate=Linear","MultiX=Average","Skip=True","Sort=True")</f>
        <v>#N/A Invalid Parameter: Interpolation value</v>
      </c>
      <c r="AJ1634" s="43" t="str">
        <f ca="1"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0"/>
        <v>#REF!</v>
      </c>
      <c r="AI1635" s="43" t="str">
        <f ca="1">_xll.BInterpol('Base IPCA'!$C$3:$C$14,'Base IPCA'!$E$3:$E$14,AH1635,"Cubic","Extrapolate=Linear","MultiX=Average","Skip=True","Sort=True")</f>
        <v>#N/A Invalid Parameter: Interpolation value</v>
      </c>
      <c r="AJ1635" s="43" t="str">
        <f ca="1"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0"/>
        <v>#REF!</v>
      </c>
      <c r="AI1636" s="43" t="str">
        <f ca="1">_xll.BInterpol('Base IPCA'!$C$3:$C$14,'Base IPCA'!$E$3:$E$14,AH1636,"Cubic","Extrapolate=Linear","MultiX=Average","Skip=True","Sort=True")</f>
        <v>#N/A Invalid Parameter: Interpolation value</v>
      </c>
      <c r="AJ1636" s="43" t="str">
        <f ca="1"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0"/>
        <v>#REF!</v>
      </c>
      <c r="AI1637" s="43" t="str">
        <f ca="1">_xll.BInterpol('Base IPCA'!$C$3:$C$14,'Base IPCA'!$E$3:$E$14,AH1637,"Cubic","Extrapolate=Linear","MultiX=Average","Skip=True","Sort=True")</f>
        <v>#N/A Invalid Parameter: Interpolation value</v>
      </c>
      <c r="AJ1637" s="43" t="str">
        <f ca="1"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0"/>
        <v>#REF!</v>
      </c>
      <c r="AI1638" s="43" t="str">
        <f ca="1">_xll.BInterpol('Base IPCA'!$C$3:$C$14,'Base IPCA'!$E$3:$E$14,AH1638,"Cubic","Extrapolate=Linear","MultiX=Average","Skip=True","Sort=True")</f>
        <v>#N/A Invalid Parameter: Interpolation value</v>
      </c>
      <c r="AJ1638" s="43" t="str">
        <f ca="1"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0"/>
        <v>#REF!</v>
      </c>
      <c r="AI1639" s="43" t="str">
        <f ca="1">_xll.BInterpol('Base IPCA'!$C$3:$C$14,'Base IPCA'!$E$3:$E$14,AH1639,"Cubic","Extrapolate=Linear","MultiX=Average","Skip=True","Sort=True")</f>
        <v>#N/A Invalid Parameter: Interpolation value</v>
      </c>
      <c r="AJ1639" s="43" t="str">
        <f ca="1"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0"/>
        <v>#REF!</v>
      </c>
      <c r="AI1640" s="43" t="str">
        <f ca="1">_xll.BInterpol('Base IPCA'!$C$3:$C$14,'Base IPCA'!$E$3:$E$14,AH1640,"Cubic","Extrapolate=Linear","MultiX=Average","Skip=True","Sort=True")</f>
        <v>#N/A Invalid Parameter: Interpolation value</v>
      </c>
      <c r="AJ1640" s="43" t="str">
        <f ca="1"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0"/>
        <v>#REF!</v>
      </c>
      <c r="AI1641" s="43" t="str">
        <f ca="1">_xll.BInterpol('Base IPCA'!$C$3:$C$14,'Base IPCA'!$E$3:$E$14,AH1641,"Cubic","Extrapolate=Linear","MultiX=Average","Skip=True","Sort=True")</f>
        <v>#N/A Invalid Parameter: Interpolation value</v>
      </c>
      <c r="AJ1641" s="43" t="str">
        <f ca="1"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0"/>
        <v>#REF!</v>
      </c>
      <c r="AI1642" s="43" t="str">
        <f ca="1">_xll.BInterpol('Base IPCA'!$C$3:$C$14,'Base IPCA'!$E$3:$E$14,AH1642,"Cubic","Extrapolate=Linear","MultiX=Average","Skip=True","Sort=True")</f>
        <v>#N/A Invalid Parameter: Interpolation value</v>
      </c>
      <c r="AJ1642" s="43" t="str">
        <f ca="1"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0"/>
        <v>#REF!</v>
      </c>
      <c r="AI1643" s="43" t="str">
        <f ca="1">_xll.BInterpol('Base IPCA'!$C$3:$C$14,'Base IPCA'!$E$3:$E$14,AH1643,"Cubic","Extrapolate=Linear","MultiX=Average","Skip=True","Sort=True")</f>
        <v>#N/A Invalid Parameter: Interpolation value</v>
      </c>
      <c r="AJ1643" s="43" t="str">
        <f ca="1"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0"/>
        <v>#REF!</v>
      </c>
      <c r="AI1644" s="43" t="str">
        <f ca="1">_xll.BInterpol('Base IPCA'!$C$3:$C$14,'Base IPCA'!$E$3:$E$14,AH1644,"Cubic","Extrapolate=Linear","MultiX=Average","Skip=True","Sort=True")</f>
        <v>#N/A Invalid Parameter: Interpolation value</v>
      </c>
      <c r="AJ1644" s="43" t="str">
        <f ca="1"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0"/>
        <v>#REF!</v>
      </c>
      <c r="AI1645" s="43" t="str">
        <f ca="1">_xll.BInterpol('Base IPCA'!$C$3:$C$14,'Base IPCA'!$E$3:$E$14,AH1645,"Cubic","Extrapolate=Linear","MultiX=Average","Skip=True","Sort=True")</f>
        <v>#N/A Invalid Parameter: Interpolation value</v>
      </c>
      <c r="AJ1645" s="43" t="str">
        <f ca="1"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0"/>
        <v>#REF!</v>
      </c>
      <c r="AI1646" s="43" t="str">
        <f ca="1">_xll.BInterpol('Base IPCA'!$C$3:$C$14,'Base IPCA'!$E$3:$E$14,AH1646,"Cubic","Extrapolate=Linear","MultiX=Average","Skip=True","Sort=True")</f>
        <v>#N/A Invalid Parameter: Interpolation value</v>
      </c>
      <c r="AJ1646" s="43" t="str">
        <f ca="1"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0"/>
        <v>#REF!</v>
      </c>
      <c r="AI1647" s="43" t="str">
        <f ca="1">_xll.BInterpol('Base IPCA'!$C$3:$C$14,'Base IPCA'!$E$3:$E$14,AH1647,"Cubic","Extrapolate=Linear","MultiX=Average","Skip=True","Sort=True")</f>
        <v>#N/A Invalid Parameter: Interpolation value</v>
      </c>
      <c r="AJ1647" s="43" t="str">
        <f ca="1"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0"/>
        <v>#REF!</v>
      </c>
      <c r="AI1648" s="43" t="str">
        <f ca="1">_xll.BInterpol('Base IPCA'!$C$3:$C$14,'Base IPCA'!$E$3:$E$14,AH1648,"Cubic","Extrapolate=Linear","MultiX=Average","Skip=True","Sort=True")</f>
        <v>#N/A Invalid Parameter: Interpolation value</v>
      </c>
      <c r="AJ1648" s="43" t="str">
        <f ca="1"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0"/>
        <v>#REF!</v>
      </c>
      <c r="AI1649" s="43" t="str">
        <f ca="1">_xll.BInterpol('Base IPCA'!$C$3:$C$14,'Base IPCA'!$E$3:$E$14,AH1649,"Cubic","Extrapolate=Linear","MultiX=Average","Skip=True","Sort=True")</f>
        <v>#N/A Invalid Parameter: Interpolation value</v>
      </c>
      <c r="AJ1649" s="43" t="str">
        <f ca="1"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0"/>
        <v>#REF!</v>
      </c>
      <c r="AI1650" s="43" t="str">
        <f ca="1">_xll.BInterpol('Base IPCA'!$C$3:$C$14,'Base IPCA'!$E$3:$E$14,AH1650,"Cubic","Extrapolate=Linear","MultiX=Average","Skip=True","Sort=True")</f>
        <v>#N/A Invalid Parameter: Interpolation value</v>
      </c>
      <c r="AJ1650" s="43" t="str">
        <f ca="1"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0"/>
        <v>#REF!</v>
      </c>
      <c r="AI1651" s="43" t="str">
        <f ca="1">_xll.BInterpol('Base IPCA'!$C$3:$C$14,'Base IPCA'!$E$3:$E$14,AH1651,"Cubic","Extrapolate=Linear","MultiX=Average","Skip=True","Sort=True")</f>
        <v>#N/A Invalid Parameter: Interpolation value</v>
      </c>
      <c r="AJ1651" s="43" t="str">
        <f ca="1"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0"/>
        <v>#REF!</v>
      </c>
      <c r="AI1652" s="43" t="str">
        <f ca="1">_xll.BInterpol('Base IPCA'!$C$3:$C$14,'Base IPCA'!$E$3:$E$14,AH1652,"Cubic","Extrapolate=Linear","MultiX=Average","Skip=True","Sort=True")</f>
        <v>#N/A Invalid Parameter: Interpolation value</v>
      </c>
      <c r="AJ1652" s="43" t="str">
        <f ca="1"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0"/>
        <v>#REF!</v>
      </c>
      <c r="AI1653" s="43" t="str">
        <f ca="1">_xll.BInterpol('Base IPCA'!$C$3:$C$14,'Base IPCA'!$E$3:$E$14,AH1653,"Cubic","Extrapolate=Linear","MultiX=Average","Skip=True","Sort=True")</f>
        <v>#N/A Invalid Parameter: Interpolation value</v>
      </c>
      <c r="AJ1653" s="43" t="str">
        <f ca="1"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0"/>
        <v>#REF!</v>
      </c>
      <c r="AI1654" s="43" t="str">
        <f ca="1">_xll.BInterpol('Base IPCA'!$C$3:$C$14,'Base IPCA'!$E$3:$E$14,AH1654,"Cubic","Extrapolate=Linear","MultiX=Average","Skip=True","Sort=True")</f>
        <v>#N/A Invalid Parameter: Interpolation value</v>
      </c>
      <c r="AJ1654" s="43" t="str">
        <f ca="1"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0"/>
        <v>#REF!</v>
      </c>
      <c r="AI1655" s="43" t="str">
        <f ca="1">_xll.BInterpol('Base IPCA'!$C$3:$C$14,'Base IPCA'!$E$3:$E$14,AH1655,"Cubic","Extrapolate=Linear","MultiX=Average","Skip=True","Sort=True")</f>
        <v>#N/A Invalid Parameter: Interpolation value</v>
      </c>
      <c r="AJ1655" s="43" t="str">
        <f ca="1"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0"/>
        <v>#REF!</v>
      </c>
      <c r="AI1656" s="43" t="str">
        <f ca="1">_xll.BInterpol('Base IPCA'!$C$3:$C$14,'Base IPCA'!$E$3:$E$14,AH1656,"Cubic","Extrapolate=Linear","MultiX=Average","Skip=True","Sort=True")</f>
        <v>#N/A Invalid Parameter: Interpolation value</v>
      </c>
      <c r="AJ1656" s="43" t="str">
        <f ca="1"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0"/>
        <v>#REF!</v>
      </c>
      <c r="AI1657" s="43" t="str">
        <f ca="1">_xll.BInterpol('Base IPCA'!$C$3:$C$14,'Base IPCA'!$E$3:$E$14,AH1657,"Cubic","Extrapolate=Linear","MultiX=Average","Skip=True","Sort=True")</f>
        <v>#N/A Invalid Parameter: Interpolation value</v>
      </c>
      <c r="AJ1657" s="43" t="str">
        <f ca="1"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0"/>
        <v>#REF!</v>
      </c>
      <c r="AI1658" s="43" t="str">
        <f ca="1">_xll.BInterpol('Base IPCA'!$C$3:$C$14,'Base IPCA'!$E$3:$E$14,AH1658,"Cubic","Extrapolate=Linear","MultiX=Average","Skip=True","Sort=True")</f>
        <v>#N/A Invalid Parameter: Interpolation value</v>
      </c>
      <c r="AJ1658" s="43" t="str">
        <f ca="1"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0"/>
        <v>#REF!</v>
      </c>
      <c r="AI1659" s="43" t="str">
        <f ca="1">_xll.BInterpol('Base IPCA'!$C$3:$C$14,'Base IPCA'!$E$3:$E$14,AH1659,"Cubic","Extrapolate=Linear","MultiX=Average","Skip=True","Sort=True")</f>
        <v>#N/A Invalid Parameter: Interpolation value</v>
      </c>
      <c r="AJ1659" s="43" t="str">
        <f ca="1"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0"/>
        <v>#REF!</v>
      </c>
      <c r="AI1660" s="43" t="str">
        <f ca="1">_xll.BInterpol('Base IPCA'!$C$3:$C$14,'Base IPCA'!$E$3:$E$14,AH1660,"Cubic","Extrapolate=Linear","MultiX=Average","Skip=True","Sort=True")</f>
        <v>#N/A Invalid Parameter: Interpolation value</v>
      </c>
      <c r="AJ1660" s="43" t="str">
        <f ca="1"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0"/>
        <v>#REF!</v>
      </c>
      <c r="AI1661" s="43" t="str">
        <f ca="1">_xll.BInterpol('Base IPCA'!$C$3:$C$14,'Base IPCA'!$E$3:$E$14,AH1661,"Cubic","Extrapolate=Linear","MultiX=Average","Skip=True","Sort=True")</f>
        <v>#N/A Invalid Parameter: Interpolation value</v>
      </c>
      <c r="AJ1661" s="43" t="str">
        <f ca="1"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0"/>
        <v>#REF!</v>
      </c>
      <c r="AI1662" s="43" t="str">
        <f ca="1">_xll.BInterpol('Base IPCA'!$C$3:$C$14,'Base IPCA'!$E$3:$E$14,AH1662,"Cubic","Extrapolate=Linear","MultiX=Average","Skip=True","Sort=True")</f>
        <v>#N/A Invalid Parameter: Interpolation value</v>
      </c>
      <c r="AJ1662" s="43" t="str">
        <f ca="1"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0"/>
        <v>#REF!</v>
      </c>
      <c r="AI1663" s="43" t="str">
        <f ca="1">_xll.BInterpol('Base IPCA'!$C$3:$C$14,'Base IPCA'!$E$3:$E$14,AH1663,"Cubic","Extrapolate=Linear","MultiX=Average","Skip=True","Sort=True")</f>
        <v>#N/A Invalid Parameter: Interpolation value</v>
      </c>
      <c r="AJ1663" s="43" t="str">
        <f ca="1"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0"/>
        <v>#REF!</v>
      </c>
      <c r="AI1664" s="43" t="str">
        <f ca="1">_xll.BInterpol('Base IPCA'!$C$3:$C$14,'Base IPCA'!$E$3:$E$14,AH1664,"Cubic","Extrapolate=Linear","MultiX=Average","Skip=True","Sort=True")</f>
        <v>#N/A Invalid Parameter: Interpolation value</v>
      </c>
      <c r="AJ1664" s="43" t="str">
        <f ca="1"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0"/>
        <v>#REF!</v>
      </c>
      <c r="AI1665" s="43" t="str">
        <f ca="1">_xll.BInterpol('Base IPCA'!$C$3:$C$14,'Base IPCA'!$E$3:$E$14,AH1665,"Cubic","Extrapolate=Linear","MultiX=Average","Skip=True","Sort=True")</f>
        <v>#N/A Invalid Parameter: Interpolation value</v>
      </c>
      <c r="AJ1665" s="43" t="str">
        <f ca="1"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0"/>
        <v>#REF!</v>
      </c>
      <c r="AI1666" s="43" t="str">
        <f ca="1">_xll.BInterpol('Base IPCA'!$C$3:$C$14,'Base IPCA'!$E$3:$E$14,AH1666,"Cubic","Extrapolate=Linear","MultiX=Average","Skip=True","Sort=True")</f>
        <v>#N/A Invalid Parameter: Interpolation value</v>
      </c>
      <c r="AJ1666" s="43" t="str">
        <f ca="1"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0"/>
        <v>#REF!</v>
      </c>
      <c r="AI1667" s="43" t="str">
        <f ca="1">_xll.BInterpol('Base IPCA'!$C$3:$C$14,'Base IPCA'!$E$3:$E$14,AH1667,"Cubic","Extrapolate=Linear","MultiX=Average","Skip=True","Sort=True")</f>
        <v>#N/A Invalid Parameter: Interpolation value</v>
      </c>
      <c r="AJ1667" s="43" t="str">
        <f ca="1"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0"/>
        <v>#REF!</v>
      </c>
      <c r="AI1668" s="43" t="str">
        <f ca="1">_xll.BInterpol('Base IPCA'!$C$3:$C$14,'Base IPCA'!$E$3:$E$14,AH1668,"Cubic","Extrapolate=Linear","MultiX=Average","Skip=True","Sort=True")</f>
        <v>#N/A Invalid Parameter: Interpolation value</v>
      </c>
      <c r="AJ1668" s="43" t="str">
        <f ca="1"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0"/>
        <v>#REF!</v>
      </c>
      <c r="AI1669" s="43" t="str">
        <f ca="1">_xll.BInterpol('Base IPCA'!$C$3:$C$14,'Base IPCA'!$E$3:$E$14,AH1669,"Cubic","Extrapolate=Linear","MultiX=Average","Skip=True","Sort=True")</f>
        <v>#N/A Invalid Parameter: Interpolation value</v>
      </c>
      <c r="AJ1669" s="43" t="str">
        <f ca="1"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1">AH1669+1</f>
        <v>#REF!</v>
      </c>
      <c r="AI1670" s="43" t="str">
        <f ca="1">_xll.BInterpol('Base IPCA'!$C$3:$C$14,'Base IPCA'!$E$3:$E$14,AH1670,"Cubic","Extrapolate=Linear","MultiX=Average","Skip=True","Sort=True")</f>
        <v>#N/A Invalid Parameter: Interpolation value</v>
      </c>
      <c r="AJ1670" s="43" t="str">
        <f ca="1"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1"/>
        <v>#REF!</v>
      </c>
      <c r="AI1671" s="43" t="str">
        <f ca="1">_xll.BInterpol('Base IPCA'!$C$3:$C$14,'Base IPCA'!$E$3:$E$14,AH1671,"Cubic","Extrapolate=Linear","MultiX=Average","Skip=True","Sort=True")</f>
        <v>#N/A Invalid Parameter: Interpolation value</v>
      </c>
      <c r="AJ1671" s="43" t="str">
        <f ca="1"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1"/>
        <v>#REF!</v>
      </c>
      <c r="AI1672" s="43" t="str">
        <f ca="1">_xll.BInterpol('Base IPCA'!$C$3:$C$14,'Base IPCA'!$E$3:$E$14,AH1672,"Cubic","Extrapolate=Linear","MultiX=Average","Skip=True","Sort=True")</f>
        <v>#N/A Invalid Parameter: Interpolation value</v>
      </c>
      <c r="AJ1672" s="43" t="str">
        <f ca="1"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1"/>
        <v>#REF!</v>
      </c>
      <c r="AI1673" s="43" t="str">
        <f ca="1">_xll.BInterpol('Base IPCA'!$C$3:$C$14,'Base IPCA'!$E$3:$E$14,AH1673,"Cubic","Extrapolate=Linear","MultiX=Average","Skip=True","Sort=True")</f>
        <v>#N/A Invalid Parameter: Interpolation value</v>
      </c>
      <c r="AJ1673" s="43" t="str">
        <f ca="1"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1"/>
        <v>#REF!</v>
      </c>
      <c r="AI1674" s="43" t="str">
        <f ca="1">_xll.BInterpol('Base IPCA'!$C$3:$C$14,'Base IPCA'!$E$3:$E$14,AH1674,"Cubic","Extrapolate=Linear","MultiX=Average","Skip=True","Sort=True")</f>
        <v>#N/A Invalid Parameter: Interpolation value</v>
      </c>
      <c r="AJ1674" s="43" t="str">
        <f ca="1"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1"/>
        <v>#REF!</v>
      </c>
      <c r="AI1675" s="43" t="str">
        <f ca="1">_xll.BInterpol('Base IPCA'!$C$3:$C$14,'Base IPCA'!$E$3:$E$14,AH1675,"Cubic","Extrapolate=Linear","MultiX=Average","Skip=True","Sort=True")</f>
        <v>#N/A Invalid Parameter: Interpolation value</v>
      </c>
      <c r="AJ1675" s="43" t="str">
        <f ca="1"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1"/>
        <v>#REF!</v>
      </c>
      <c r="AI1676" s="43" t="str">
        <f ca="1">_xll.BInterpol('Base IPCA'!$C$3:$C$14,'Base IPCA'!$E$3:$E$14,AH1676,"Cubic","Extrapolate=Linear","MultiX=Average","Skip=True","Sort=True")</f>
        <v>#N/A Invalid Parameter: Interpolation value</v>
      </c>
      <c r="AJ1676" s="43" t="str">
        <f ca="1"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1"/>
        <v>#REF!</v>
      </c>
      <c r="AI1677" s="43" t="str">
        <f ca="1">_xll.BInterpol('Base IPCA'!$C$3:$C$14,'Base IPCA'!$E$3:$E$14,AH1677,"Cubic","Extrapolate=Linear","MultiX=Average","Skip=True","Sort=True")</f>
        <v>#N/A Invalid Parameter: Interpolation value</v>
      </c>
      <c r="AJ1677" s="43" t="str">
        <f ca="1"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1"/>
        <v>#REF!</v>
      </c>
      <c r="AI1678" s="43" t="str">
        <f ca="1">_xll.BInterpol('Base IPCA'!$C$3:$C$14,'Base IPCA'!$E$3:$E$14,AH1678,"Cubic","Extrapolate=Linear","MultiX=Average","Skip=True","Sort=True")</f>
        <v>#N/A Invalid Parameter: Interpolation value</v>
      </c>
      <c r="AJ1678" s="43" t="str">
        <f ca="1"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1"/>
        <v>#REF!</v>
      </c>
      <c r="AI1679" s="43" t="str">
        <f ca="1">_xll.BInterpol('Base IPCA'!$C$3:$C$14,'Base IPCA'!$E$3:$E$14,AH1679,"Cubic","Extrapolate=Linear","MultiX=Average","Skip=True","Sort=True")</f>
        <v>#N/A Invalid Parameter: Interpolation value</v>
      </c>
      <c r="AJ1679" s="43" t="str">
        <f ca="1"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1"/>
        <v>#REF!</v>
      </c>
      <c r="AI1680" s="43" t="str">
        <f ca="1">_xll.BInterpol('Base IPCA'!$C$3:$C$14,'Base IPCA'!$E$3:$E$14,AH1680,"Cubic","Extrapolate=Linear","MultiX=Average","Skip=True","Sort=True")</f>
        <v>#N/A Invalid Parameter: Interpolation value</v>
      </c>
      <c r="AJ1680" s="43" t="str">
        <f ca="1"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1"/>
        <v>#REF!</v>
      </c>
      <c r="AI1681" s="43" t="str">
        <f ca="1">_xll.BInterpol('Base IPCA'!$C$3:$C$14,'Base IPCA'!$E$3:$E$14,AH1681,"Cubic","Extrapolate=Linear","MultiX=Average","Skip=True","Sort=True")</f>
        <v>#N/A Invalid Parameter: Interpolation value</v>
      </c>
      <c r="AJ1681" s="43" t="str">
        <f ca="1"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1"/>
        <v>#REF!</v>
      </c>
      <c r="AI1682" s="43" t="str">
        <f ca="1">_xll.BInterpol('Base IPCA'!$C$3:$C$14,'Base IPCA'!$E$3:$E$14,AH1682,"Cubic","Extrapolate=Linear","MultiX=Average","Skip=True","Sort=True")</f>
        <v>#N/A Invalid Parameter: Interpolation value</v>
      </c>
      <c r="AJ1682" s="43" t="str">
        <f ca="1"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1"/>
        <v>#REF!</v>
      </c>
      <c r="AI1683" s="43" t="str">
        <f ca="1">_xll.BInterpol('Base IPCA'!$C$3:$C$14,'Base IPCA'!$E$3:$E$14,AH1683,"Cubic","Extrapolate=Linear","MultiX=Average","Skip=True","Sort=True")</f>
        <v>#N/A Invalid Parameter: Interpolation value</v>
      </c>
      <c r="AJ1683" s="43" t="str">
        <f ca="1"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1"/>
        <v>#REF!</v>
      </c>
      <c r="AI1684" s="43" t="str">
        <f ca="1">_xll.BInterpol('Base IPCA'!$C$3:$C$14,'Base IPCA'!$E$3:$E$14,AH1684,"Cubic","Extrapolate=Linear","MultiX=Average","Skip=True","Sort=True")</f>
        <v>#N/A Invalid Parameter: Interpolation value</v>
      </c>
      <c r="AJ1684" s="43" t="str">
        <f ca="1"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1"/>
        <v>#REF!</v>
      </c>
      <c r="AI1685" s="43" t="str">
        <f ca="1">_xll.BInterpol('Base IPCA'!$C$3:$C$14,'Base IPCA'!$E$3:$E$14,AH1685,"Cubic","Extrapolate=Linear","MultiX=Average","Skip=True","Sort=True")</f>
        <v>#N/A Invalid Parameter: Interpolation value</v>
      </c>
      <c r="AJ1685" s="43" t="str">
        <f ca="1"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1"/>
        <v>#REF!</v>
      </c>
      <c r="AI1686" s="43" t="str">
        <f ca="1">_xll.BInterpol('Base IPCA'!$C$3:$C$14,'Base IPCA'!$E$3:$E$14,AH1686,"Cubic","Extrapolate=Linear","MultiX=Average","Skip=True","Sort=True")</f>
        <v>#N/A Invalid Parameter: Interpolation value</v>
      </c>
      <c r="AJ1686" s="43" t="str">
        <f ca="1"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1"/>
        <v>#REF!</v>
      </c>
      <c r="AI1687" s="43" t="str">
        <f ca="1">_xll.BInterpol('Base IPCA'!$C$3:$C$14,'Base IPCA'!$E$3:$E$14,AH1687,"Cubic","Extrapolate=Linear","MultiX=Average","Skip=True","Sort=True")</f>
        <v>#N/A Invalid Parameter: Interpolation value</v>
      </c>
      <c r="AJ1687" s="43" t="str">
        <f ca="1"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1"/>
        <v>#REF!</v>
      </c>
      <c r="AI1688" s="43" t="str">
        <f ca="1">_xll.BInterpol('Base IPCA'!$C$3:$C$14,'Base IPCA'!$E$3:$E$14,AH1688,"Cubic","Extrapolate=Linear","MultiX=Average","Skip=True","Sort=True")</f>
        <v>#N/A Invalid Parameter: Interpolation value</v>
      </c>
      <c r="AJ1688" s="43" t="str">
        <f ca="1"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1"/>
        <v>#REF!</v>
      </c>
      <c r="AI1689" s="43" t="str">
        <f ca="1">_xll.BInterpol('Base IPCA'!$C$3:$C$14,'Base IPCA'!$E$3:$E$14,AH1689,"Cubic","Extrapolate=Linear","MultiX=Average","Skip=True","Sort=True")</f>
        <v>#N/A Invalid Parameter: Interpolation value</v>
      </c>
      <c r="AJ1689" s="43" t="str">
        <f ca="1"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1"/>
        <v>#REF!</v>
      </c>
      <c r="AI1690" s="43" t="str">
        <f ca="1">_xll.BInterpol('Base IPCA'!$C$3:$C$14,'Base IPCA'!$E$3:$E$14,AH1690,"Cubic","Extrapolate=Linear","MultiX=Average","Skip=True","Sort=True")</f>
        <v>#N/A Invalid Parameter: Interpolation value</v>
      </c>
      <c r="AJ1690" s="43" t="str">
        <f ca="1"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1"/>
        <v>#REF!</v>
      </c>
      <c r="AI1691" s="43" t="str">
        <f ca="1">_xll.BInterpol('Base IPCA'!$C$3:$C$14,'Base IPCA'!$E$3:$E$14,AH1691,"Cubic","Extrapolate=Linear","MultiX=Average","Skip=True","Sort=True")</f>
        <v>#N/A Invalid Parameter: Interpolation value</v>
      </c>
      <c r="AJ1691" s="43" t="str">
        <f ca="1"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1"/>
        <v>#REF!</v>
      </c>
      <c r="AI1692" s="43" t="str">
        <f ca="1">_xll.BInterpol('Base IPCA'!$C$3:$C$14,'Base IPCA'!$E$3:$E$14,AH1692,"Cubic","Extrapolate=Linear","MultiX=Average","Skip=True","Sort=True")</f>
        <v>#N/A Invalid Parameter: Interpolation value</v>
      </c>
      <c r="AJ1692" s="43" t="str">
        <f ca="1"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1"/>
        <v>#REF!</v>
      </c>
      <c r="AI1693" s="43" t="str">
        <f ca="1">_xll.BInterpol('Base IPCA'!$C$3:$C$14,'Base IPCA'!$E$3:$E$14,AH1693,"Cubic","Extrapolate=Linear","MultiX=Average","Skip=True","Sort=True")</f>
        <v>#N/A Invalid Parameter: Interpolation value</v>
      </c>
      <c r="AJ1693" s="43" t="str">
        <f ca="1"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1"/>
        <v>#REF!</v>
      </c>
      <c r="AI1694" s="43" t="str">
        <f ca="1">_xll.BInterpol('Base IPCA'!$C$3:$C$14,'Base IPCA'!$E$3:$E$14,AH1694,"Cubic","Extrapolate=Linear","MultiX=Average","Skip=True","Sort=True")</f>
        <v>#N/A Invalid Parameter: Interpolation value</v>
      </c>
      <c r="AJ1694" s="43" t="str">
        <f ca="1"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1"/>
        <v>#REF!</v>
      </c>
      <c r="AI1695" s="43" t="str">
        <f ca="1">_xll.BInterpol('Base IPCA'!$C$3:$C$14,'Base IPCA'!$E$3:$E$14,AH1695,"Cubic","Extrapolate=Linear","MultiX=Average","Skip=True","Sort=True")</f>
        <v>#N/A Invalid Parameter: Interpolation value</v>
      </c>
      <c r="AJ1695" s="43" t="str">
        <f ca="1"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1"/>
        <v>#REF!</v>
      </c>
      <c r="AI1696" s="43" t="str">
        <f ca="1">_xll.BInterpol('Base IPCA'!$C$3:$C$14,'Base IPCA'!$E$3:$E$14,AH1696,"Cubic","Extrapolate=Linear","MultiX=Average","Skip=True","Sort=True")</f>
        <v>#N/A Invalid Parameter: Interpolation value</v>
      </c>
      <c r="AJ1696" s="43" t="str">
        <f ca="1"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1"/>
        <v>#REF!</v>
      </c>
      <c r="AI1697" s="43" t="str">
        <f ca="1">_xll.BInterpol('Base IPCA'!$C$3:$C$14,'Base IPCA'!$E$3:$E$14,AH1697,"Cubic","Extrapolate=Linear","MultiX=Average","Skip=True","Sort=True")</f>
        <v>#N/A Invalid Parameter: Interpolation value</v>
      </c>
      <c r="AJ1697" s="43" t="str">
        <f ca="1"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1"/>
        <v>#REF!</v>
      </c>
      <c r="AI1698" s="43" t="str">
        <f ca="1">_xll.BInterpol('Base IPCA'!$C$3:$C$14,'Base IPCA'!$E$3:$E$14,AH1698,"Cubic","Extrapolate=Linear","MultiX=Average","Skip=True","Sort=True")</f>
        <v>#N/A Invalid Parameter: Interpolation value</v>
      </c>
      <c r="AJ1698" s="43" t="str">
        <f ca="1"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1"/>
        <v>#REF!</v>
      </c>
      <c r="AI1699" s="43" t="str">
        <f ca="1">_xll.BInterpol('Base IPCA'!$C$3:$C$14,'Base IPCA'!$E$3:$E$14,AH1699,"Cubic","Extrapolate=Linear","MultiX=Average","Skip=True","Sort=True")</f>
        <v>#N/A Invalid Parameter: Interpolation value</v>
      </c>
      <c r="AJ1699" s="43" t="str">
        <f ca="1"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1"/>
        <v>#REF!</v>
      </c>
      <c r="AI1700" s="43" t="str">
        <f ca="1">_xll.BInterpol('Base IPCA'!$C$3:$C$14,'Base IPCA'!$E$3:$E$14,AH1700,"Cubic","Extrapolate=Linear","MultiX=Average","Skip=True","Sort=True")</f>
        <v>#N/A Invalid Parameter: Interpolation value</v>
      </c>
      <c r="AJ1700" s="43" t="str">
        <f ca="1"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1"/>
        <v>#REF!</v>
      </c>
      <c r="AI1701" s="43" t="str">
        <f ca="1">_xll.BInterpol('Base IPCA'!$C$3:$C$14,'Base IPCA'!$E$3:$E$14,AH1701,"Cubic","Extrapolate=Linear","MultiX=Average","Skip=True","Sort=True")</f>
        <v>#N/A Invalid Parameter: Interpolation value</v>
      </c>
      <c r="AJ1701" s="43" t="str">
        <f ca="1"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1"/>
        <v>#REF!</v>
      </c>
      <c r="AI1702" s="43" t="str">
        <f ca="1">_xll.BInterpol('Base IPCA'!$C$3:$C$14,'Base IPCA'!$E$3:$E$14,AH1702,"Cubic","Extrapolate=Linear","MultiX=Average","Skip=True","Sort=True")</f>
        <v>#N/A Invalid Parameter: Interpolation value</v>
      </c>
      <c r="AJ1702" s="43" t="str">
        <f ca="1"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1"/>
        <v>#REF!</v>
      </c>
      <c r="AI1703" s="43" t="str">
        <f ca="1">_xll.BInterpol('Base IPCA'!$C$3:$C$14,'Base IPCA'!$E$3:$E$14,AH1703,"Cubic","Extrapolate=Linear","MultiX=Average","Skip=True","Sort=True")</f>
        <v>#N/A Invalid Parameter: Interpolation value</v>
      </c>
      <c r="AJ1703" s="43" t="str">
        <f ca="1"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1"/>
        <v>#REF!</v>
      </c>
      <c r="AI1704" s="43" t="str">
        <f ca="1">_xll.BInterpol('Base IPCA'!$C$3:$C$14,'Base IPCA'!$E$3:$E$14,AH1704,"Cubic","Extrapolate=Linear","MultiX=Average","Skip=True","Sort=True")</f>
        <v>#N/A Invalid Parameter: Interpolation value</v>
      </c>
      <c r="AJ1704" s="43" t="str">
        <f ca="1"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1"/>
        <v>#REF!</v>
      </c>
      <c r="AI1705" s="43" t="str">
        <f ca="1">_xll.BInterpol('Base IPCA'!$C$3:$C$14,'Base IPCA'!$E$3:$E$14,AH1705,"Cubic","Extrapolate=Linear","MultiX=Average","Skip=True","Sort=True")</f>
        <v>#N/A Invalid Parameter: Interpolation value</v>
      </c>
      <c r="AJ1705" s="43" t="str">
        <f ca="1"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1"/>
        <v>#REF!</v>
      </c>
      <c r="AI1706" s="43" t="str">
        <f ca="1">_xll.BInterpol('Base IPCA'!$C$3:$C$14,'Base IPCA'!$E$3:$E$14,AH1706,"Cubic","Extrapolate=Linear","MultiX=Average","Skip=True","Sort=True")</f>
        <v>#N/A Invalid Parameter: Interpolation value</v>
      </c>
      <c r="AJ1706" s="43" t="str">
        <f ca="1"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1"/>
        <v>#REF!</v>
      </c>
      <c r="AI1707" s="43" t="str">
        <f ca="1">_xll.BInterpol('Base IPCA'!$C$3:$C$14,'Base IPCA'!$E$3:$E$14,AH1707,"Cubic","Extrapolate=Linear","MultiX=Average","Skip=True","Sort=True")</f>
        <v>#N/A Invalid Parameter: Interpolation value</v>
      </c>
      <c r="AJ1707" s="43" t="str">
        <f ca="1"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1"/>
        <v>#REF!</v>
      </c>
      <c r="AI1708" s="43" t="str">
        <f ca="1">_xll.BInterpol('Base IPCA'!$C$3:$C$14,'Base IPCA'!$E$3:$E$14,AH1708,"Cubic","Extrapolate=Linear","MultiX=Average","Skip=True","Sort=True")</f>
        <v>#N/A Invalid Parameter: Interpolation value</v>
      </c>
      <c r="AJ1708" s="43" t="str">
        <f ca="1"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1"/>
        <v>#REF!</v>
      </c>
      <c r="AI1709" s="43" t="str">
        <f ca="1">_xll.BInterpol('Base IPCA'!$C$3:$C$14,'Base IPCA'!$E$3:$E$14,AH1709,"Cubic","Extrapolate=Linear","MultiX=Average","Skip=True","Sort=True")</f>
        <v>#N/A Invalid Parameter: Interpolation value</v>
      </c>
      <c r="AJ1709" s="43" t="str">
        <f ca="1"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1"/>
        <v>#REF!</v>
      </c>
      <c r="AI1710" s="43" t="str">
        <f ca="1">_xll.BInterpol('Base IPCA'!$C$3:$C$14,'Base IPCA'!$E$3:$E$14,AH1710,"Cubic","Extrapolate=Linear","MultiX=Average","Skip=True","Sort=True")</f>
        <v>#N/A Invalid Parameter: Interpolation value</v>
      </c>
      <c r="AJ1710" s="43" t="str">
        <f ca="1"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1"/>
        <v>#REF!</v>
      </c>
      <c r="AI1711" s="43" t="str">
        <f ca="1">_xll.BInterpol('Base IPCA'!$C$3:$C$14,'Base IPCA'!$E$3:$E$14,AH1711,"Cubic","Extrapolate=Linear","MultiX=Average","Skip=True","Sort=True")</f>
        <v>#N/A Invalid Parameter: Interpolation value</v>
      </c>
      <c r="AJ1711" s="43" t="str">
        <f ca="1"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1"/>
        <v>#REF!</v>
      </c>
      <c r="AI1712" s="43" t="str">
        <f ca="1">_xll.BInterpol('Base IPCA'!$C$3:$C$14,'Base IPCA'!$E$3:$E$14,AH1712,"Cubic","Extrapolate=Linear","MultiX=Average","Skip=True","Sort=True")</f>
        <v>#N/A Invalid Parameter: Interpolation value</v>
      </c>
      <c r="AJ1712" s="43" t="str">
        <f ca="1"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1"/>
        <v>#REF!</v>
      </c>
      <c r="AI1713" s="43" t="str">
        <f ca="1">_xll.BInterpol('Base IPCA'!$C$3:$C$14,'Base IPCA'!$E$3:$E$14,AH1713,"Cubic","Extrapolate=Linear","MultiX=Average","Skip=True","Sort=True")</f>
        <v>#N/A Invalid Parameter: Interpolation value</v>
      </c>
      <c r="AJ1713" s="43" t="str">
        <f ca="1"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1"/>
        <v>#REF!</v>
      </c>
      <c r="AI1714" s="43" t="str">
        <f ca="1">_xll.BInterpol('Base IPCA'!$C$3:$C$14,'Base IPCA'!$E$3:$E$14,AH1714,"Cubic","Extrapolate=Linear","MultiX=Average","Skip=True","Sort=True")</f>
        <v>#N/A Invalid Parameter: Interpolation value</v>
      </c>
      <c r="AJ1714" s="43" t="str">
        <f ca="1"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1"/>
        <v>#REF!</v>
      </c>
      <c r="AI1715" s="43" t="str">
        <f ca="1">_xll.BInterpol('Base IPCA'!$C$3:$C$14,'Base IPCA'!$E$3:$E$14,AH1715,"Cubic","Extrapolate=Linear","MultiX=Average","Skip=True","Sort=True")</f>
        <v>#N/A Invalid Parameter: Interpolation value</v>
      </c>
      <c r="AJ1715" s="43" t="str">
        <f ca="1"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1"/>
        <v>#REF!</v>
      </c>
      <c r="AI1716" s="43" t="str">
        <f ca="1">_xll.BInterpol('Base IPCA'!$C$3:$C$14,'Base IPCA'!$E$3:$E$14,AH1716,"Cubic","Extrapolate=Linear","MultiX=Average","Skip=True","Sort=True")</f>
        <v>#N/A Invalid Parameter: Interpolation value</v>
      </c>
      <c r="AJ1716" s="43" t="str">
        <f ca="1"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1"/>
        <v>#REF!</v>
      </c>
      <c r="AI1717" s="43" t="str">
        <f ca="1">_xll.BInterpol('Base IPCA'!$C$3:$C$14,'Base IPCA'!$E$3:$E$14,AH1717,"Cubic","Extrapolate=Linear","MultiX=Average","Skip=True","Sort=True")</f>
        <v>#N/A Invalid Parameter: Interpolation value</v>
      </c>
      <c r="AJ1717" s="43" t="str">
        <f ca="1"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1"/>
        <v>#REF!</v>
      </c>
      <c r="AI1718" s="43" t="str">
        <f ca="1">_xll.BInterpol('Base IPCA'!$C$3:$C$14,'Base IPCA'!$E$3:$E$14,AH1718,"Cubic","Extrapolate=Linear","MultiX=Average","Skip=True","Sort=True")</f>
        <v>#N/A Invalid Parameter: Interpolation value</v>
      </c>
      <c r="AJ1718" s="43" t="str">
        <f ca="1"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1"/>
        <v>#REF!</v>
      </c>
      <c r="AI1719" s="43" t="str">
        <f ca="1">_xll.BInterpol('Base IPCA'!$C$3:$C$14,'Base IPCA'!$E$3:$E$14,AH1719,"Cubic","Extrapolate=Linear","MultiX=Average","Skip=True","Sort=True")</f>
        <v>#N/A Invalid Parameter: Interpolation value</v>
      </c>
      <c r="AJ1719" s="43" t="str">
        <f ca="1"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1"/>
        <v>#REF!</v>
      </c>
      <c r="AI1720" s="43" t="str">
        <f ca="1">_xll.BInterpol('Base IPCA'!$C$3:$C$14,'Base IPCA'!$E$3:$E$14,AH1720,"Cubic","Extrapolate=Linear","MultiX=Average","Skip=True","Sort=True")</f>
        <v>#N/A Invalid Parameter: Interpolation value</v>
      </c>
      <c r="AJ1720" s="43" t="str">
        <f ca="1"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1"/>
        <v>#REF!</v>
      </c>
      <c r="AI1721" s="43" t="str">
        <f ca="1">_xll.BInterpol('Base IPCA'!$C$3:$C$14,'Base IPCA'!$E$3:$E$14,AH1721,"Cubic","Extrapolate=Linear","MultiX=Average","Skip=True","Sort=True")</f>
        <v>#N/A Invalid Parameter: Interpolation value</v>
      </c>
      <c r="AJ1721" s="43" t="str">
        <f ca="1"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1"/>
        <v>#REF!</v>
      </c>
      <c r="AI1722" s="43" t="str">
        <f ca="1">_xll.BInterpol('Base IPCA'!$C$3:$C$14,'Base IPCA'!$E$3:$E$14,AH1722,"Cubic","Extrapolate=Linear","MultiX=Average","Skip=True","Sort=True")</f>
        <v>#N/A Invalid Parameter: Interpolation value</v>
      </c>
      <c r="AJ1722" s="43" t="str">
        <f ca="1"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1"/>
        <v>#REF!</v>
      </c>
      <c r="AI1723" s="43" t="str">
        <f ca="1">_xll.BInterpol('Base IPCA'!$C$3:$C$14,'Base IPCA'!$E$3:$E$14,AH1723,"Cubic","Extrapolate=Linear","MultiX=Average","Skip=True","Sort=True")</f>
        <v>#N/A Invalid Parameter: Interpolation value</v>
      </c>
      <c r="AJ1723" s="43" t="str">
        <f ca="1"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1"/>
        <v>#REF!</v>
      </c>
      <c r="AI1724" s="43" t="str">
        <f ca="1">_xll.BInterpol('Base IPCA'!$C$3:$C$14,'Base IPCA'!$E$3:$E$14,AH1724,"Cubic","Extrapolate=Linear","MultiX=Average","Skip=True","Sort=True")</f>
        <v>#N/A Invalid Parameter: Interpolation value</v>
      </c>
      <c r="AJ1724" s="43" t="str">
        <f ca="1"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1"/>
        <v>#REF!</v>
      </c>
      <c r="AI1725" s="43" t="str">
        <f ca="1">_xll.BInterpol('Base IPCA'!$C$3:$C$14,'Base IPCA'!$E$3:$E$14,AH1725,"Cubic","Extrapolate=Linear","MultiX=Average","Skip=True","Sort=True")</f>
        <v>#N/A Invalid Parameter: Interpolation value</v>
      </c>
      <c r="AJ1725" s="43" t="str">
        <f ca="1"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1"/>
        <v>#REF!</v>
      </c>
      <c r="AI1726" s="43" t="str">
        <f ca="1">_xll.BInterpol('Base IPCA'!$C$3:$C$14,'Base IPCA'!$E$3:$E$14,AH1726,"Cubic","Extrapolate=Linear","MultiX=Average","Skip=True","Sort=True")</f>
        <v>#N/A Invalid Parameter: Interpolation value</v>
      </c>
      <c r="AJ1726" s="43" t="str">
        <f ca="1"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1"/>
        <v>#REF!</v>
      </c>
      <c r="AI1727" s="43" t="str">
        <f ca="1">_xll.BInterpol('Base IPCA'!$C$3:$C$14,'Base IPCA'!$E$3:$E$14,AH1727,"Cubic","Extrapolate=Linear","MultiX=Average","Skip=True","Sort=True")</f>
        <v>#N/A Invalid Parameter: Interpolation value</v>
      </c>
      <c r="AJ1727" s="43" t="str">
        <f ca="1"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1"/>
        <v>#REF!</v>
      </c>
      <c r="AI1728" s="43" t="str">
        <f ca="1">_xll.BInterpol('Base IPCA'!$C$3:$C$14,'Base IPCA'!$E$3:$E$14,AH1728,"Cubic","Extrapolate=Linear","MultiX=Average","Skip=True","Sort=True")</f>
        <v>#N/A Invalid Parameter: Interpolation value</v>
      </c>
      <c r="AJ1728" s="43" t="str">
        <f ca="1"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1"/>
        <v>#REF!</v>
      </c>
      <c r="AI1729" s="43" t="str">
        <f ca="1">_xll.BInterpol('Base IPCA'!$C$3:$C$14,'Base IPCA'!$E$3:$E$14,AH1729,"Cubic","Extrapolate=Linear","MultiX=Average","Skip=True","Sort=True")</f>
        <v>#N/A Invalid Parameter: Interpolation value</v>
      </c>
      <c r="AJ1729" s="43" t="str">
        <f ca="1"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1"/>
        <v>#REF!</v>
      </c>
      <c r="AI1730" s="43" t="str">
        <f ca="1">_xll.BInterpol('Base IPCA'!$C$3:$C$14,'Base IPCA'!$E$3:$E$14,AH1730,"Cubic","Extrapolate=Linear","MultiX=Average","Skip=True","Sort=True")</f>
        <v>#N/A Invalid Parameter: Interpolation value</v>
      </c>
      <c r="AJ1730" s="43" t="str">
        <f ca="1"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1"/>
        <v>#REF!</v>
      </c>
      <c r="AI1731" s="43" t="str">
        <f ca="1">_xll.BInterpol('Base IPCA'!$C$3:$C$14,'Base IPCA'!$E$3:$E$14,AH1731,"Cubic","Extrapolate=Linear","MultiX=Average","Skip=True","Sort=True")</f>
        <v>#N/A Invalid Parameter: Interpolation value</v>
      </c>
      <c r="AJ1731" s="43" t="str">
        <f ca="1"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1"/>
        <v>#REF!</v>
      </c>
      <c r="AI1732" s="43" t="str">
        <f ca="1">_xll.BInterpol('Base IPCA'!$C$3:$C$14,'Base IPCA'!$E$3:$E$14,AH1732,"Cubic","Extrapolate=Linear","MultiX=Average","Skip=True","Sort=True")</f>
        <v>#N/A Invalid Parameter: Interpolation value</v>
      </c>
      <c r="AJ1732" s="43" t="str">
        <f ca="1"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1"/>
        <v>#REF!</v>
      </c>
      <c r="AI1733" s="43" t="str">
        <f ca="1">_xll.BInterpol('Base IPCA'!$C$3:$C$14,'Base IPCA'!$E$3:$E$14,AH1733,"Cubic","Extrapolate=Linear","MultiX=Average","Skip=True","Sort=True")</f>
        <v>#N/A Invalid Parameter: Interpolation value</v>
      </c>
      <c r="AJ1733" s="43" t="str">
        <f ca="1"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12">AH1733+1</f>
        <v>#REF!</v>
      </c>
      <c r="AI1734" s="43" t="str">
        <f ca="1">_xll.BInterpol('Base IPCA'!$C$3:$C$14,'Base IPCA'!$E$3:$E$14,AH1734,"Cubic","Extrapolate=Linear","MultiX=Average","Skip=True","Sort=True")</f>
        <v>#N/A Invalid Parameter: Interpolation value</v>
      </c>
      <c r="AJ1734" s="43" t="str">
        <f ca="1"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12"/>
        <v>#REF!</v>
      </c>
      <c r="AI1735" s="43" t="str">
        <f ca="1">_xll.BInterpol('Base IPCA'!$C$3:$C$14,'Base IPCA'!$E$3:$E$14,AH1735,"Cubic","Extrapolate=Linear","MultiX=Average","Skip=True","Sort=True")</f>
        <v>#N/A Invalid Parameter: Interpolation value</v>
      </c>
      <c r="AJ1735" s="43" t="str">
        <f ca="1"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12"/>
        <v>#REF!</v>
      </c>
      <c r="AI1736" s="43" t="str">
        <f ca="1">_xll.BInterpol('Base IPCA'!$C$3:$C$14,'Base IPCA'!$E$3:$E$14,AH1736,"Cubic","Extrapolate=Linear","MultiX=Average","Skip=True","Sort=True")</f>
        <v>#N/A Invalid Parameter: Interpolation value</v>
      </c>
      <c r="AJ1736" s="43" t="str">
        <f ca="1"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12"/>
        <v>#REF!</v>
      </c>
      <c r="AI1737" s="43" t="str">
        <f ca="1">_xll.BInterpol('Base IPCA'!$C$3:$C$14,'Base IPCA'!$E$3:$E$14,AH1737,"Cubic","Extrapolate=Linear","MultiX=Average","Skip=True","Sort=True")</f>
        <v>#N/A Invalid Parameter: Interpolation value</v>
      </c>
      <c r="AJ1737" s="43" t="str">
        <f ca="1"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12"/>
        <v>#REF!</v>
      </c>
      <c r="AI1738" s="43" t="str">
        <f ca="1">_xll.BInterpol('Base IPCA'!$C$3:$C$14,'Base IPCA'!$E$3:$E$14,AH1738,"Cubic","Extrapolate=Linear","MultiX=Average","Skip=True","Sort=True")</f>
        <v>#N/A Invalid Parameter: Interpolation value</v>
      </c>
      <c r="AJ1738" s="43" t="str">
        <f ca="1"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12"/>
        <v>#REF!</v>
      </c>
      <c r="AI1739" s="43" t="str">
        <f ca="1">_xll.BInterpol('Base IPCA'!$C$3:$C$14,'Base IPCA'!$E$3:$E$14,AH1739,"Cubic","Extrapolate=Linear","MultiX=Average","Skip=True","Sort=True")</f>
        <v>#N/A Invalid Parameter: Interpolation value</v>
      </c>
      <c r="AJ1739" s="43" t="str">
        <f ca="1"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12"/>
        <v>#REF!</v>
      </c>
      <c r="AI1740" s="43" t="str">
        <f ca="1">_xll.BInterpol('Base IPCA'!$C$3:$C$14,'Base IPCA'!$E$3:$E$14,AH1740,"Cubic","Extrapolate=Linear","MultiX=Average","Skip=True","Sort=True")</f>
        <v>#N/A Invalid Parameter: Interpolation value</v>
      </c>
      <c r="AJ1740" s="43" t="str">
        <f ca="1"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12"/>
        <v>#REF!</v>
      </c>
      <c r="AI1741" s="43" t="str">
        <f ca="1">_xll.BInterpol('Base IPCA'!$C$3:$C$14,'Base IPCA'!$E$3:$E$14,AH1741,"Cubic","Extrapolate=Linear","MultiX=Average","Skip=True","Sort=True")</f>
        <v>#N/A Invalid Parameter: Interpolation value</v>
      </c>
      <c r="AJ1741" s="43" t="str">
        <f ca="1"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12"/>
        <v>#REF!</v>
      </c>
      <c r="AI1742" s="43" t="str">
        <f ca="1">_xll.BInterpol('Base IPCA'!$C$3:$C$14,'Base IPCA'!$E$3:$E$14,AH1742,"Cubic","Extrapolate=Linear","MultiX=Average","Skip=True","Sort=True")</f>
        <v>#N/A Invalid Parameter: Interpolation value</v>
      </c>
      <c r="AJ1742" s="43" t="str">
        <f ca="1"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12"/>
        <v>#REF!</v>
      </c>
      <c r="AI1743" s="43" t="str">
        <f ca="1">_xll.BInterpol('Base IPCA'!$C$3:$C$14,'Base IPCA'!$E$3:$E$14,AH1743,"Cubic","Extrapolate=Linear","MultiX=Average","Skip=True","Sort=True")</f>
        <v>#N/A Invalid Parameter: Interpolation value</v>
      </c>
      <c r="AJ1743" s="43" t="str">
        <f ca="1"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12"/>
        <v>#REF!</v>
      </c>
      <c r="AI1744" s="43" t="str">
        <f ca="1">_xll.BInterpol('Base IPCA'!$C$3:$C$14,'Base IPCA'!$E$3:$E$14,AH1744,"Cubic","Extrapolate=Linear","MultiX=Average","Skip=True","Sort=True")</f>
        <v>#N/A Invalid Parameter: Interpolation value</v>
      </c>
      <c r="AJ1744" s="43" t="str">
        <f ca="1"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12"/>
        <v>#REF!</v>
      </c>
      <c r="AI1745" s="43" t="str">
        <f ca="1">_xll.BInterpol('Base IPCA'!$C$3:$C$14,'Base IPCA'!$E$3:$E$14,AH1745,"Cubic","Extrapolate=Linear","MultiX=Average","Skip=True","Sort=True")</f>
        <v>#N/A Invalid Parameter: Interpolation value</v>
      </c>
      <c r="AJ1745" s="43" t="str">
        <f ca="1"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12"/>
        <v>#REF!</v>
      </c>
      <c r="AI1746" s="43" t="str">
        <f ca="1">_xll.BInterpol('Base IPCA'!$C$3:$C$14,'Base IPCA'!$E$3:$E$14,AH1746,"Cubic","Extrapolate=Linear","MultiX=Average","Skip=True","Sort=True")</f>
        <v>#N/A Invalid Parameter: Interpolation value</v>
      </c>
      <c r="AJ1746" s="43" t="str">
        <f ca="1"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12"/>
        <v>#REF!</v>
      </c>
      <c r="AI1747" s="43" t="str">
        <f ca="1">_xll.BInterpol('Base IPCA'!$C$3:$C$14,'Base IPCA'!$E$3:$E$14,AH1747,"Cubic","Extrapolate=Linear","MultiX=Average","Skip=True","Sort=True")</f>
        <v>#N/A Invalid Parameter: Interpolation value</v>
      </c>
      <c r="AJ1747" s="43" t="str">
        <f ca="1"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12"/>
        <v>#REF!</v>
      </c>
      <c r="AI1748" s="43" t="str">
        <f ca="1">_xll.BInterpol('Base IPCA'!$C$3:$C$14,'Base IPCA'!$E$3:$E$14,AH1748,"Cubic","Extrapolate=Linear","MultiX=Average","Skip=True","Sort=True")</f>
        <v>#N/A Invalid Parameter: Interpolation value</v>
      </c>
      <c r="AJ1748" s="43" t="str">
        <f ca="1"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12"/>
        <v>#REF!</v>
      </c>
      <c r="AI1749" s="43" t="str">
        <f ca="1">_xll.BInterpol('Base IPCA'!$C$3:$C$14,'Base IPCA'!$E$3:$E$14,AH1749,"Cubic","Extrapolate=Linear","MultiX=Average","Skip=True","Sort=True")</f>
        <v>#N/A Invalid Parameter: Interpolation value</v>
      </c>
      <c r="AJ1749" s="43" t="str">
        <f ca="1"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12"/>
        <v>#REF!</v>
      </c>
      <c r="AI1750" s="43" t="str">
        <f ca="1">_xll.BInterpol('Base IPCA'!$C$3:$C$14,'Base IPCA'!$E$3:$E$14,AH1750,"Cubic","Extrapolate=Linear","MultiX=Average","Skip=True","Sort=True")</f>
        <v>#N/A Invalid Parameter: Interpolation value</v>
      </c>
      <c r="AJ1750" s="43" t="str">
        <f ca="1"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12"/>
        <v>#REF!</v>
      </c>
      <c r="AI1751" s="43" t="str">
        <f ca="1">_xll.BInterpol('Base IPCA'!$C$3:$C$14,'Base IPCA'!$E$3:$E$14,AH1751,"Cubic","Extrapolate=Linear","MultiX=Average","Skip=True","Sort=True")</f>
        <v>#N/A Invalid Parameter: Interpolation value</v>
      </c>
      <c r="AJ1751" s="43" t="str">
        <f ca="1"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12"/>
        <v>#REF!</v>
      </c>
      <c r="AI1752" s="43" t="str">
        <f ca="1">_xll.BInterpol('Base IPCA'!$C$3:$C$14,'Base IPCA'!$E$3:$E$14,AH1752,"Cubic","Extrapolate=Linear","MultiX=Average","Skip=True","Sort=True")</f>
        <v>#N/A Invalid Parameter: Interpolation value</v>
      </c>
      <c r="AJ1752" s="43" t="str">
        <f ca="1"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12"/>
        <v>#REF!</v>
      </c>
      <c r="AI1753" s="43" t="str">
        <f ca="1">_xll.BInterpol('Base IPCA'!$C$3:$C$14,'Base IPCA'!$E$3:$E$14,AH1753,"Cubic","Extrapolate=Linear","MultiX=Average","Skip=True","Sort=True")</f>
        <v>#N/A Invalid Parameter: Interpolation value</v>
      </c>
      <c r="AJ1753" s="43" t="str">
        <f ca="1"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12"/>
        <v>#REF!</v>
      </c>
      <c r="AI1754" s="43" t="str">
        <f ca="1">_xll.BInterpol('Base IPCA'!$C$3:$C$14,'Base IPCA'!$E$3:$E$14,AH1754,"Cubic","Extrapolate=Linear","MultiX=Average","Skip=True","Sort=True")</f>
        <v>#N/A Invalid Parameter: Interpolation value</v>
      </c>
      <c r="AJ1754" s="43" t="str">
        <f ca="1"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12"/>
        <v>#REF!</v>
      </c>
      <c r="AI1755" s="43" t="str">
        <f ca="1">_xll.BInterpol('Base IPCA'!$C$3:$C$14,'Base IPCA'!$E$3:$E$14,AH1755,"Cubic","Extrapolate=Linear","MultiX=Average","Skip=True","Sort=True")</f>
        <v>#N/A Invalid Parameter: Interpolation value</v>
      </c>
      <c r="AJ1755" s="43" t="str">
        <f ca="1"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12"/>
        <v>#REF!</v>
      </c>
      <c r="AI1756" s="43" t="str">
        <f ca="1">_xll.BInterpol('Base IPCA'!$C$3:$C$14,'Base IPCA'!$E$3:$E$14,AH1756,"Cubic","Extrapolate=Linear","MultiX=Average","Skip=True","Sort=True")</f>
        <v>#N/A Invalid Parameter: Interpolation value</v>
      </c>
      <c r="AJ1756" s="43" t="str">
        <f ca="1"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12"/>
        <v>#REF!</v>
      </c>
      <c r="AI1757" s="43" t="str">
        <f ca="1">_xll.BInterpol('Base IPCA'!$C$3:$C$14,'Base IPCA'!$E$3:$E$14,AH1757,"Cubic","Extrapolate=Linear","MultiX=Average","Skip=True","Sort=True")</f>
        <v>#N/A Invalid Parameter: Interpolation value</v>
      </c>
      <c r="AJ1757" s="43" t="str">
        <f ca="1"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12"/>
        <v>#REF!</v>
      </c>
      <c r="AI1758" s="43" t="str">
        <f ca="1">_xll.BInterpol('Base IPCA'!$C$3:$C$14,'Base IPCA'!$E$3:$E$14,AH1758,"Cubic","Extrapolate=Linear","MultiX=Average","Skip=True","Sort=True")</f>
        <v>#N/A Invalid Parameter: Interpolation value</v>
      </c>
      <c r="AJ1758" s="43" t="str">
        <f ca="1"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12"/>
        <v>#REF!</v>
      </c>
      <c r="AI1759" s="43" t="str">
        <f ca="1">_xll.BInterpol('Base IPCA'!$C$3:$C$14,'Base IPCA'!$E$3:$E$14,AH1759,"Cubic","Extrapolate=Linear","MultiX=Average","Skip=True","Sort=True")</f>
        <v>#N/A Invalid Parameter: Interpolation value</v>
      </c>
      <c r="AJ1759" s="43" t="str">
        <f ca="1"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12"/>
        <v>#REF!</v>
      </c>
      <c r="AI1760" s="43" t="str">
        <f ca="1">_xll.BInterpol('Base IPCA'!$C$3:$C$14,'Base IPCA'!$E$3:$E$14,AH1760,"Cubic","Extrapolate=Linear","MultiX=Average","Skip=True","Sort=True")</f>
        <v>#N/A Invalid Parameter: Interpolation value</v>
      </c>
      <c r="AJ1760" s="43" t="str">
        <f ca="1"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12"/>
        <v>#REF!</v>
      </c>
      <c r="AI1761" s="43" t="str">
        <f ca="1">_xll.BInterpol('Base IPCA'!$C$3:$C$14,'Base IPCA'!$E$3:$E$14,AH1761,"Cubic","Extrapolate=Linear","MultiX=Average","Skip=True","Sort=True")</f>
        <v>#N/A Invalid Parameter: Interpolation value</v>
      </c>
      <c r="AJ1761" s="43" t="str">
        <f ca="1"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12"/>
        <v>#REF!</v>
      </c>
      <c r="AI1762" s="43" t="str">
        <f ca="1">_xll.BInterpol('Base IPCA'!$C$3:$C$14,'Base IPCA'!$E$3:$E$14,AH1762,"Cubic","Extrapolate=Linear","MultiX=Average","Skip=True","Sort=True")</f>
        <v>#N/A Invalid Parameter: Interpolation value</v>
      </c>
      <c r="AJ1762" s="43" t="str">
        <f ca="1"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12"/>
        <v>#REF!</v>
      </c>
      <c r="AI1763" s="43" t="str">
        <f ca="1">_xll.BInterpol('Base IPCA'!$C$3:$C$14,'Base IPCA'!$E$3:$E$14,AH1763,"Cubic","Extrapolate=Linear","MultiX=Average","Skip=True","Sort=True")</f>
        <v>#N/A Invalid Parameter: Interpolation value</v>
      </c>
      <c r="AJ1763" s="43" t="str">
        <f ca="1"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12"/>
        <v>#REF!</v>
      </c>
      <c r="AI1764" s="43" t="str">
        <f ca="1">_xll.BInterpol('Base IPCA'!$C$3:$C$14,'Base IPCA'!$E$3:$E$14,AH1764,"Cubic","Extrapolate=Linear","MultiX=Average","Skip=True","Sort=True")</f>
        <v>#N/A Invalid Parameter: Interpolation value</v>
      </c>
      <c r="AJ1764" s="43" t="str">
        <f ca="1"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12"/>
        <v>#REF!</v>
      </c>
      <c r="AI1765" s="43" t="str">
        <f ca="1">_xll.BInterpol('Base IPCA'!$C$3:$C$14,'Base IPCA'!$E$3:$E$14,AH1765,"Cubic","Extrapolate=Linear","MultiX=Average","Skip=True","Sort=True")</f>
        <v>#N/A Invalid Parameter: Interpolation value</v>
      </c>
      <c r="AJ1765" s="43" t="str">
        <f ca="1"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12"/>
        <v>#REF!</v>
      </c>
      <c r="AI1766" s="43" t="str">
        <f ca="1">_xll.BInterpol('Base IPCA'!$C$3:$C$14,'Base IPCA'!$E$3:$E$14,AH1766,"Cubic","Extrapolate=Linear","MultiX=Average","Skip=True","Sort=True")</f>
        <v>#N/A Invalid Parameter: Interpolation value</v>
      </c>
      <c r="AJ1766" s="43" t="str">
        <f ca="1"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12"/>
        <v>#REF!</v>
      </c>
      <c r="AI1767" s="43" t="str">
        <f ca="1">_xll.BInterpol('Base IPCA'!$C$3:$C$14,'Base IPCA'!$E$3:$E$14,AH1767,"Cubic","Extrapolate=Linear","MultiX=Average","Skip=True","Sort=True")</f>
        <v>#N/A Invalid Parameter: Interpolation value</v>
      </c>
      <c r="AJ1767" s="43" t="str">
        <f ca="1"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12"/>
        <v>#REF!</v>
      </c>
      <c r="AI1768" s="43" t="str">
        <f ca="1">_xll.BInterpol('Base IPCA'!$C$3:$C$14,'Base IPCA'!$E$3:$E$14,AH1768,"Cubic","Extrapolate=Linear","MultiX=Average","Skip=True","Sort=True")</f>
        <v>#N/A Invalid Parameter: Interpolation value</v>
      </c>
      <c r="AJ1768" s="43" t="str">
        <f ca="1"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12"/>
        <v>#REF!</v>
      </c>
      <c r="AI1769" s="43" t="str">
        <f ca="1">_xll.BInterpol('Base IPCA'!$C$3:$C$14,'Base IPCA'!$E$3:$E$14,AH1769,"Cubic","Extrapolate=Linear","MultiX=Average","Skip=True","Sort=True")</f>
        <v>#N/A Invalid Parameter: Interpolation value</v>
      </c>
      <c r="AJ1769" s="43" t="str">
        <f ca="1"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12"/>
        <v>#REF!</v>
      </c>
      <c r="AI1770" s="43" t="str">
        <f ca="1">_xll.BInterpol('Base IPCA'!$C$3:$C$14,'Base IPCA'!$E$3:$E$14,AH1770,"Cubic","Extrapolate=Linear","MultiX=Average","Skip=True","Sort=True")</f>
        <v>#N/A Invalid Parameter: Interpolation value</v>
      </c>
      <c r="AJ1770" s="43" t="str">
        <f ca="1"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12"/>
        <v>#REF!</v>
      </c>
      <c r="AI1771" s="43" t="str">
        <f ca="1">_xll.BInterpol('Base IPCA'!$C$3:$C$14,'Base IPCA'!$E$3:$E$14,AH1771,"Cubic","Extrapolate=Linear","MultiX=Average","Skip=True","Sort=True")</f>
        <v>#N/A Invalid Parameter: Interpolation value</v>
      </c>
      <c r="AJ1771" s="43" t="str">
        <f ca="1"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12"/>
        <v>#REF!</v>
      </c>
      <c r="AI1772" s="43" t="str">
        <f ca="1">_xll.BInterpol('Base IPCA'!$C$3:$C$14,'Base IPCA'!$E$3:$E$14,AH1772,"Cubic","Extrapolate=Linear","MultiX=Average","Skip=True","Sort=True")</f>
        <v>#N/A Invalid Parameter: Interpolation value</v>
      </c>
      <c r="AJ1772" s="43" t="str">
        <f ca="1"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12"/>
        <v>#REF!</v>
      </c>
      <c r="AI1773" s="43" t="str">
        <f ca="1">_xll.BInterpol('Base IPCA'!$C$3:$C$14,'Base IPCA'!$E$3:$E$14,AH1773,"Cubic","Extrapolate=Linear","MultiX=Average","Skip=True","Sort=True")</f>
        <v>#N/A Invalid Parameter: Interpolation value</v>
      </c>
      <c r="AJ1773" s="43" t="str">
        <f ca="1"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12"/>
        <v>#REF!</v>
      </c>
      <c r="AI1774" s="43" t="str">
        <f ca="1">_xll.BInterpol('Base IPCA'!$C$3:$C$14,'Base IPCA'!$E$3:$E$14,AH1774,"Cubic","Extrapolate=Linear","MultiX=Average","Skip=True","Sort=True")</f>
        <v>#N/A Invalid Parameter: Interpolation value</v>
      </c>
      <c r="AJ1774" s="43" t="str">
        <f ca="1"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12"/>
        <v>#REF!</v>
      </c>
      <c r="AI1775" s="43" t="str">
        <f ca="1">_xll.BInterpol('Base IPCA'!$C$3:$C$14,'Base IPCA'!$E$3:$E$14,AH1775,"Cubic","Extrapolate=Linear","MultiX=Average","Skip=True","Sort=True")</f>
        <v>#N/A Invalid Parameter: Interpolation value</v>
      </c>
      <c r="AJ1775" s="43" t="str">
        <f ca="1"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12"/>
        <v>#REF!</v>
      </c>
      <c r="AI1776" s="43" t="str">
        <f ca="1">_xll.BInterpol('Base IPCA'!$C$3:$C$14,'Base IPCA'!$E$3:$E$14,AH1776,"Cubic","Extrapolate=Linear","MultiX=Average","Skip=True","Sort=True")</f>
        <v>#N/A Invalid Parameter: Interpolation value</v>
      </c>
      <c r="AJ1776" s="43" t="str">
        <f ca="1"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12"/>
        <v>#REF!</v>
      </c>
      <c r="AI1777" s="43" t="str">
        <f ca="1">_xll.BInterpol('Base IPCA'!$C$3:$C$14,'Base IPCA'!$E$3:$E$14,AH1777,"Cubic","Extrapolate=Linear","MultiX=Average","Skip=True","Sort=True")</f>
        <v>#N/A Invalid Parameter: Interpolation value</v>
      </c>
      <c r="AJ1777" s="43" t="str">
        <f ca="1"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12"/>
        <v>#REF!</v>
      </c>
      <c r="AI1778" s="43" t="str">
        <f ca="1">_xll.BInterpol('Base IPCA'!$C$3:$C$14,'Base IPCA'!$E$3:$E$14,AH1778,"Cubic","Extrapolate=Linear","MultiX=Average","Skip=True","Sort=True")</f>
        <v>#N/A Invalid Parameter: Interpolation value</v>
      </c>
      <c r="AJ1778" s="43" t="str">
        <f ca="1"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12"/>
        <v>#REF!</v>
      </c>
      <c r="AI1779" s="43" t="str">
        <f ca="1">_xll.BInterpol('Base IPCA'!$C$3:$C$14,'Base IPCA'!$E$3:$E$14,AH1779,"Cubic","Extrapolate=Linear","MultiX=Average","Skip=True","Sort=True")</f>
        <v>#N/A Invalid Parameter: Interpolation value</v>
      </c>
      <c r="AJ1779" s="43" t="str">
        <f ca="1"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12"/>
        <v>#REF!</v>
      </c>
      <c r="AI1780" s="43" t="str">
        <f ca="1">_xll.BInterpol('Base IPCA'!$C$3:$C$14,'Base IPCA'!$E$3:$E$14,AH1780,"Cubic","Extrapolate=Linear","MultiX=Average","Skip=True","Sort=True")</f>
        <v>#N/A Invalid Parameter: Interpolation value</v>
      </c>
      <c r="AJ1780" s="43" t="str">
        <f ca="1"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12"/>
        <v>#REF!</v>
      </c>
      <c r="AI1781" s="43" t="str">
        <f ca="1">_xll.BInterpol('Base IPCA'!$C$3:$C$14,'Base IPCA'!$E$3:$E$14,AH1781,"Cubic","Extrapolate=Linear","MultiX=Average","Skip=True","Sort=True")</f>
        <v>#N/A Invalid Parameter: Interpolation value</v>
      </c>
      <c r="AJ1781" s="43" t="str">
        <f ca="1"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12"/>
        <v>#REF!</v>
      </c>
      <c r="AI1782" s="43" t="str">
        <f ca="1">_xll.BInterpol('Base IPCA'!$C$3:$C$14,'Base IPCA'!$E$3:$E$14,AH1782,"Cubic","Extrapolate=Linear","MultiX=Average","Skip=True","Sort=True")</f>
        <v>#N/A Invalid Parameter: Interpolation value</v>
      </c>
      <c r="AJ1782" s="43" t="str">
        <f ca="1"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12"/>
        <v>#REF!</v>
      </c>
      <c r="AI1783" s="43" t="str">
        <f ca="1">_xll.BInterpol('Base IPCA'!$C$3:$C$14,'Base IPCA'!$E$3:$E$14,AH1783,"Cubic","Extrapolate=Linear","MultiX=Average","Skip=True","Sort=True")</f>
        <v>#N/A Invalid Parameter: Interpolation value</v>
      </c>
      <c r="AJ1783" s="43" t="str">
        <f ca="1"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12"/>
        <v>#REF!</v>
      </c>
      <c r="AI1784" s="43" t="str">
        <f ca="1">_xll.BInterpol('Base IPCA'!$C$3:$C$14,'Base IPCA'!$E$3:$E$14,AH1784,"Cubic","Extrapolate=Linear","MultiX=Average","Skip=True","Sort=True")</f>
        <v>#N/A Invalid Parameter: Interpolation value</v>
      </c>
      <c r="AJ1784" s="43" t="str">
        <f ca="1"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12"/>
        <v>#REF!</v>
      </c>
      <c r="AI1785" s="43" t="str">
        <f ca="1">_xll.BInterpol('Base IPCA'!$C$3:$C$14,'Base IPCA'!$E$3:$E$14,AH1785,"Cubic","Extrapolate=Linear","MultiX=Average","Skip=True","Sort=True")</f>
        <v>#N/A Invalid Parameter: Interpolation value</v>
      </c>
      <c r="AJ1785" s="43" t="str">
        <f ca="1"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12"/>
        <v>#REF!</v>
      </c>
      <c r="AI1786" s="43" t="str">
        <f ca="1">_xll.BInterpol('Base IPCA'!$C$3:$C$14,'Base IPCA'!$E$3:$E$14,AH1786,"Cubic","Extrapolate=Linear","MultiX=Average","Skip=True","Sort=True")</f>
        <v>#N/A Invalid Parameter: Interpolation value</v>
      </c>
      <c r="AJ1786" s="43" t="str">
        <f ca="1"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12"/>
        <v>#REF!</v>
      </c>
      <c r="AI1787" s="43" t="str">
        <f ca="1">_xll.BInterpol('Base IPCA'!$C$3:$C$14,'Base IPCA'!$E$3:$E$14,AH1787,"Cubic","Extrapolate=Linear","MultiX=Average","Skip=True","Sort=True")</f>
        <v>#N/A Invalid Parameter: Interpolation value</v>
      </c>
      <c r="AJ1787" s="43" t="str">
        <f ca="1"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12"/>
        <v>#REF!</v>
      </c>
      <c r="AI1788" s="43" t="str">
        <f ca="1">_xll.BInterpol('Base IPCA'!$C$3:$C$14,'Base IPCA'!$E$3:$E$14,AH1788,"Cubic","Extrapolate=Linear","MultiX=Average","Skip=True","Sort=True")</f>
        <v>#N/A Invalid Parameter: Interpolation value</v>
      </c>
      <c r="AJ1788" s="43" t="str">
        <f ca="1"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12"/>
        <v>#REF!</v>
      </c>
      <c r="AI1789" s="43" t="str">
        <f ca="1">_xll.BInterpol('Base IPCA'!$C$3:$C$14,'Base IPCA'!$E$3:$E$14,AH1789,"Cubic","Extrapolate=Linear","MultiX=Average","Skip=True","Sort=True")</f>
        <v>#N/A Invalid Parameter: Interpolation value</v>
      </c>
      <c r="AJ1789" s="43" t="str">
        <f ca="1"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12"/>
        <v>#REF!</v>
      </c>
      <c r="AI1790" s="43" t="str">
        <f ca="1">_xll.BInterpol('Base IPCA'!$C$3:$C$14,'Base IPCA'!$E$3:$E$14,AH1790,"Cubic","Extrapolate=Linear","MultiX=Average","Skip=True","Sort=True")</f>
        <v>#N/A Invalid Parameter: Interpolation value</v>
      </c>
      <c r="AJ1790" s="43" t="str">
        <f ca="1"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12"/>
        <v>#REF!</v>
      </c>
      <c r="AI1791" s="43" t="str">
        <f ca="1">_xll.BInterpol('Base IPCA'!$C$3:$C$14,'Base IPCA'!$E$3:$E$14,AH1791,"Cubic","Extrapolate=Linear","MultiX=Average","Skip=True","Sort=True")</f>
        <v>#N/A Invalid Parameter: Interpolation value</v>
      </c>
      <c r="AJ1791" s="43" t="str">
        <f ca="1"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12"/>
        <v>#REF!</v>
      </c>
      <c r="AI1792" s="43" t="str">
        <f ca="1">_xll.BInterpol('Base IPCA'!$C$3:$C$14,'Base IPCA'!$E$3:$E$14,AH1792,"Cubic","Extrapolate=Linear","MultiX=Average","Skip=True","Sort=True")</f>
        <v>#N/A Invalid Parameter: Interpolation value</v>
      </c>
      <c r="AJ1792" s="43" t="str">
        <f ca="1"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12"/>
        <v>#REF!</v>
      </c>
      <c r="AI1793" s="43" t="str">
        <f ca="1">_xll.BInterpol('Base IPCA'!$C$3:$C$14,'Base IPCA'!$E$3:$E$14,AH1793,"Cubic","Extrapolate=Linear","MultiX=Average","Skip=True","Sort=True")</f>
        <v>#N/A Invalid Parameter: Interpolation value</v>
      </c>
      <c r="AJ1793" s="43" t="str">
        <f ca="1"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12"/>
        <v>#REF!</v>
      </c>
      <c r="AI1794" s="43" t="str">
        <f ca="1">_xll.BInterpol('Base IPCA'!$C$3:$C$14,'Base IPCA'!$E$3:$E$14,AH1794,"Cubic","Extrapolate=Linear","MultiX=Average","Skip=True","Sort=True")</f>
        <v>#N/A Invalid Parameter: Interpolation value</v>
      </c>
      <c r="AJ1794" s="43" t="str">
        <f ca="1"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12"/>
        <v>#REF!</v>
      </c>
      <c r="AI1795" s="43" t="str">
        <f ca="1">_xll.BInterpol('Base IPCA'!$C$3:$C$14,'Base IPCA'!$E$3:$E$14,AH1795,"Cubic","Extrapolate=Linear","MultiX=Average","Skip=True","Sort=True")</f>
        <v>#N/A Invalid Parameter: Interpolation value</v>
      </c>
      <c r="AJ1795" s="43" t="str">
        <f ca="1"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12"/>
        <v>#REF!</v>
      </c>
      <c r="AI1796" s="43" t="str">
        <f ca="1">_xll.BInterpol('Base IPCA'!$C$3:$C$14,'Base IPCA'!$E$3:$E$14,AH1796,"Cubic","Extrapolate=Linear","MultiX=Average","Skip=True","Sort=True")</f>
        <v>#N/A Invalid Parameter: Interpolation value</v>
      </c>
      <c r="AJ1796" s="43" t="str">
        <f ca="1"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12"/>
        <v>#REF!</v>
      </c>
      <c r="AI1797" s="43" t="str">
        <f ca="1">_xll.BInterpol('Base IPCA'!$C$3:$C$14,'Base IPCA'!$E$3:$E$14,AH1797,"Cubic","Extrapolate=Linear","MultiX=Average","Skip=True","Sort=True")</f>
        <v>#N/A Invalid Parameter: Interpolation value</v>
      </c>
      <c r="AJ1797" s="43" t="str">
        <f ca="1"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13">AH1797+1</f>
        <v>#REF!</v>
      </c>
      <c r="AI1798" s="43" t="str">
        <f ca="1">_xll.BInterpol('Base IPCA'!$C$3:$C$14,'Base IPCA'!$E$3:$E$14,AH1798,"Cubic","Extrapolate=Linear","MultiX=Average","Skip=True","Sort=True")</f>
        <v>#N/A Invalid Parameter: Interpolation value</v>
      </c>
      <c r="AJ1798" s="43" t="str">
        <f ca="1"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13"/>
        <v>#REF!</v>
      </c>
      <c r="AI1799" s="43" t="str">
        <f ca="1">_xll.BInterpol('Base IPCA'!$C$3:$C$14,'Base IPCA'!$E$3:$E$14,AH1799,"Cubic","Extrapolate=Linear","MultiX=Average","Skip=True","Sort=True")</f>
        <v>#N/A Invalid Parameter: Interpolation value</v>
      </c>
      <c r="AJ1799" s="43" t="str">
        <f ca="1"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13"/>
        <v>#REF!</v>
      </c>
      <c r="AI1800" s="43" t="str">
        <f ca="1">_xll.BInterpol('Base IPCA'!$C$3:$C$14,'Base IPCA'!$E$3:$E$14,AH1800,"Cubic","Extrapolate=Linear","MultiX=Average","Skip=True","Sort=True")</f>
        <v>#N/A Invalid Parameter: Interpolation value</v>
      </c>
      <c r="AJ1800" s="43" t="str">
        <f ca="1"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13"/>
        <v>#REF!</v>
      </c>
      <c r="AI1801" s="43" t="str">
        <f ca="1">_xll.BInterpol('Base IPCA'!$C$3:$C$14,'Base IPCA'!$E$3:$E$14,AH1801,"Cubic","Extrapolate=Linear","MultiX=Average","Skip=True","Sort=True")</f>
        <v>#N/A Invalid Parameter: Interpolation value</v>
      </c>
      <c r="AJ1801" s="43" t="str">
        <f ca="1"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13"/>
        <v>#REF!</v>
      </c>
      <c r="AI1802" s="43" t="str">
        <f ca="1">_xll.BInterpol('Base IPCA'!$C$3:$C$14,'Base IPCA'!$E$3:$E$14,AH1802,"Cubic","Extrapolate=Linear","MultiX=Average","Skip=True","Sort=True")</f>
        <v>#N/A Invalid Parameter: Interpolation value</v>
      </c>
      <c r="AJ1802" s="43" t="str">
        <f ca="1"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13"/>
        <v>#REF!</v>
      </c>
      <c r="AI1803" s="43" t="str">
        <f ca="1">_xll.BInterpol('Base IPCA'!$C$3:$C$14,'Base IPCA'!$E$3:$E$14,AH1803,"Cubic","Extrapolate=Linear","MultiX=Average","Skip=True","Sort=True")</f>
        <v>#N/A Invalid Parameter: Interpolation value</v>
      </c>
      <c r="AJ1803" s="43" t="str">
        <f ca="1"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13"/>
        <v>#REF!</v>
      </c>
      <c r="AI1804" s="43" t="str">
        <f ca="1">_xll.BInterpol('Base IPCA'!$C$3:$C$14,'Base IPCA'!$E$3:$E$14,AH1804,"Cubic","Extrapolate=Linear","MultiX=Average","Skip=True","Sort=True")</f>
        <v>#N/A Invalid Parameter: Interpolation value</v>
      </c>
      <c r="AJ1804" s="43" t="str">
        <f ca="1"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13"/>
        <v>#REF!</v>
      </c>
      <c r="AI1805" s="43" t="str">
        <f ca="1">_xll.BInterpol('Base IPCA'!$C$3:$C$14,'Base IPCA'!$E$3:$E$14,AH1805,"Cubic","Extrapolate=Linear","MultiX=Average","Skip=True","Sort=True")</f>
        <v>#N/A Invalid Parameter: Interpolation value</v>
      </c>
      <c r="AJ1805" s="43" t="str">
        <f ca="1"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13"/>
        <v>#REF!</v>
      </c>
      <c r="AI1806" s="43" t="str">
        <f ca="1">_xll.BInterpol('Base IPCA'!$C$3:$C$14,'Base IPCA'!$E$3:$E$14,AH1806,"Cubic","Extrapolate=Linear","MultiX=Average","Skip=True","Sort=True")</f>
        <v>#N/A Invalid Parameter: Interpolation value</v>
      </c>
      <c r="AJ1806" s="43" t="str">
        <f ca="1"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13"/>
        <v>#REF!</v>
      </c>
      <c r="AI1807" s="43" t="str">
        <f ca="1">_xll.BInterpol('Base IPCA'!$C$3:$C$14,'Base IPCA'!$E$3:$E$14,AH1807,"Cubic","Extrapolate=Linear","MultiX=Average","Skip=True","Sort=True")</f>
        <v>#N/A Invalid Parameter: Interpolation value</v>
      </c>
      <c r="AJ1807" s="43" t="str">
        <f ca="1"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13"/>
        <v>#REF!</v>
      </c>
      <c r="AI1808" s="43" t="str">
        <f ca="1">_xll.BInterpol('Base IPCA'!$C$3:$C$14,'Base IPCA'!$E$3:$E$14,AH1808,"Cubic","Extrapolate=Linear","MultiX=Average","Skip=True","Sort=True")</f>
        <v>#N/A Invalid Parameter: Interpolation value</v>
      </c>
      <c r="AJ1808" s="43" t="str">
        <f ca="1"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13"/>
        <v>#REF!</v>
      </c>
      <c r="AI1809" s="43" t="str">
        <f ca="1">_xll.BInterpol('Base IPCA'!$C$3:$C$14,'Base IPCA'!$E$3:$E$14,AH1809,"Cubic","Extrapolate=Linear","MultiX=Average","Skip=True","Sort=True")</f>
        <v>#N/A Invalid Parameter: Interpolation value</v>
      </c>
      <c r="AJ1809" s="43" t="str">
        <f ca="1"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13"/>
        <v>#REF!</v>
      </c>
      <c r="AI1810" s="43" t="str">
        <f ca="1">_xll.BInterpol('Base IPCA'!$C$3:$C$14,'Base IPCA'!$E$3:$E$14,AH1810,"Cubic","Extrapolate=Linear","MultiX=Average","Skip=True","Sort=True")</f>
        <v>#N/A Invalid Parameter: Interpolation value</v>
      </c>
      <c r="AJ1810" s="43" t="str">
        <f ca="1"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13"/>
        <v>#REF!</v>
      </c>
      <c r="AI1811" s="43" t="str">
        <f ca="1">_xll.BInterpol('Base IPCA'!$C$3:$C$14,'Base IPCA'!$E$3:$E$14,AH1811,"Cubic","Extrapolate=Linear","MultiX=Average","Skip=True","Sort=True")</f>
        <v>#N/A Invalid Parameter: Interpolation value</v>
      </c>
      <c r="AJ1811" s="43" t="str">
        <f ca="1"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13"/>
        <v>#REF!</v>
      </c>
      <c r="AI1812" s="43" t="str">
        <f ca="1">_xll.BInterpol('Base IPCA'!$C$3:$C$14,'Base IPCA'!$E$3:$E$14,AH1812,"Cubic","Extrapolate=Linear","MultiX=Average","Skip=True","Sort=True")</f>
        <v>#N/A Invalid Parameter: Interpolation value</v>
      </c>
      <c r="AJ1812" s="43" t="str">
        <f ca="1"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13"/>
        <v>#REF!</v>
      </c>
      <c r="AI1813" s="43" t="str">
        <f ca="1">_xll.BInterpol('Base IPCA'!$C$3:$C$14,'Base IPCA'!$E$3:$E$14,AH1813,"Cubic","Extrapolate=Linear","MultiX=Average","Skip=True","Sort=True")</f>
        <v>#N/A Invalid Parameter: Interpolation value</v>
      </c>
      <c r="AJ1813" s="43" t="str">
        <f ca="1"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13"/>
        <v>#REF!</v>
      </c>
      <c r="AI1814" s="43" t="str">
        <f ca="1">_xll.BInterpol('Base IPCA'!$C$3:$C$14,'Base IPCA'!$E$3:$E$14,AH1814,"Cubic","Extrapolate=Linear","MultiX=Average","Skip=True","Sort=True")</f>
        <v>#N/A Invalid Parameter: Interpolation value</v>
      </c>
      <c r="AJ1814" s="43" t="str">
        <f ca="1"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13"/>
        <v>#REF!</v>
      </c>
      <c r="AI1815" s="43" t="str">
        <f ca="1">_xll.BInterpol('Base IPCA'!$C$3:$C$14,'Base IPCA'!$E$3:$E$14,AH1815,"Cubic","Extrapolate=Linear","MultiX=Average","Skip=True","Sort=True")</f>
        <v>#N/A Invalid Parameter: Interpolation value</v>
      </c>
      <c r="AJ1815" s="43" t="str">
        <f ca="1"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13"/>
        <v>#REF!</v>
      </c>
      <c r="AI1816" s="43" t="str">
        <f ca="1">_xll.BInterpol('Base IPCA'!$C$3:$C$14,'Base IPCA'!$E$3:$E$14,AH1816,"Cubic","Extrapolate=Linear","MultiX=Average","Skip=True","Sort=True")</f>
        <v>#N/A Invalid Parameter: Interpolation value</v>
      </c>
      <c r="AJ1816" s="43" t="str">
        <f ca="1"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13"/>
        <v>#REF!</v>
      </c>
      <c r="AI1817" s="43" t="str">
        <f ca="1">_xll.BInterpol('Base IPCA'!$C$3:$C$14,'Base IPCA'!$E$3:$E$14,AH1817,"Cubic","Extrapolate=Linear","MultiX=Average","Skip=True","Sort=True")</f>
        <v>#N/A Invalid Parameter: Interpolation value</v>
      </c>
      <c r="AJ1817" s="43" t="str">
        <f ca="1"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13"/>
        <v>#REF!</v>
      </c>
      <c r="AI1818" s="43" t="str">
        <f ca="1">_xll.BInterpol('Base IPCA'!$C$3:$C$14,'Base IPCA'!$E$3:$E$14,AH1818,"Cubic","Extrapolate=Linear","MultiX=Average","Skip=True","Sort=True")</f>
        <v>#N/A Invalid Parameter: Interpolation value</v>
      </c>
      <c r="AJ1818" s="43" t="str">
        <f ca="1"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13"/>
        <v>#REF!</v>
      </c>
      <c r="AI1819" s="43" t="str">
        <f ca="1">_xll.BInterpol('Base IPCA'!$C$3:$C$14,'Base IPCA'!$E$3:$E$14,AH1819,"Cubic","Extrapolate=Linear","MultiX=Average","Skip=True","Sort=True")</f>
        <v>#N/A Invalid Parameter: Interpolation value</v>
      </c>
      <c r="AJ1819" s="43" t="str">
        <f ca="1"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13"/>
        <v>#REF!</v>
      </c>
      <c r="AI1820" s="43" t="str">
        <f ca="1">_xll.BInterpol('Base IPCA'!$C$3:$C$14,'Base IPCA'!$E$3:$E$14,AH1820,"Cubic","Extrapolate=Linear","MultiX=Average","Skip=True","Sort=True")</f>
        <v>#N/A Invalid Parameter: Interpolation value</v>
      </c>
      <c r="AJ1820" s="43" t="str">
        <f ca="1"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13"/>
        <v>#REF!</v>
      </c>
      <c r="AI1821" s="43" t="str">
        <f ca="1">_xll.BInterpol('Base IPCA'!$C$3:$C$14,'Base IPCA'!$E$3:$E$14,AH1821,"Cubic","Extrapolate=Linear","MultiX=Average","Skip=True","Sort=True")</f>
        <v>#N/A Invalid Parameter: Interpolation value</v>
      </c>
      <c r="AJ1821" s="43" t="str">
        <f ca="1"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13"/>
        <v>#REF!</v>
      </c>
      <c r="AI1822" s="43" t="str">
        <f ca="1">_xll.BInterpol('Base IPCA'!$C$3:$C$14,'Base IPCA'!$E$3:$E$14,AH1822,"Cubic","Extrapolate=Linear","MultiX=Average","Skip=True","Sort=True")</f>
        <v>#N/A Invalid Parameter: Interpolation value</v>
      </c>
      <c r="AJ1822" s="43" t="str">
        <f ca="1"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13"/>
        <v>#REF!</v>
      </c>
      <c r="AI1823" s="43" t="str">
        <f ca="1">_xll.BInterpol('Base IPCA'!$C$3:$C$14,'Base IPCA'!$E$3:$E$14,AH1823,"Cubic","Extrapolate=Linear","MultiX=Average","Skip=True","Sort=True")</f>
        <v>#N/A Invalid Parameter: Interpolation value</v>
      </c>
      <c r="AJ1823" s="43" t="str">
        <f ca="1"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13"/>
        <v>#REF!</v>
      </c>
      <c r="AI1824" s="43" t="str">
        <f ca="1">_xll.BInterpol('Base IPCA'!$C$3:$C$14,'Base IPCA'!$E$3:$E$14,AH1824,"Cubic","Extrapolate=Linear","MultiX=Average","Skip=True","Sort=True")</f>
        <v>#N/A Invalid Parameter: Interpolation value</v>
      </c>
      <c r="AJ1824" s="43" t="str">
        <f ca="1"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13"/>
        <v>#REF!</v>
      </c>
      <c r="AI1825" s="43" t="str">
        <f ca="1">_xll.BInterpol('Base IPCA'!$C$3:$C$14,'Base IPCA'!$E$3:$E$14,AH1825,"Cubic","Extrapolate=Linear","MultiX=Average","Skip=True","Sort=True")</f>
        <v>#N/A Invalid Parameter: Interpolation value</v>
      </c>
      <c r="AJ1825" s="43" t="str">
        <f ca="1"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13"/>
        <v>#REF!</v>
      </c>
      <c r="AI1826" s="43" t="str">
        <f ca="1">_xll.BInterpol('Base IPCA'!$C$3:$C$14,'Base IPCA'!$E$3:$E$14,AH1826,"Cubic","Extrapolate=Linear","MultiX=Average","Skip=True","Sort=True")</f>
        <v>#N/A Invalid Parameter: Interpolation value</v>
      </c>
      <c r="AJ1826" s="43" t="str">
        <f ca="1"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13"/>
        <v>#REF!</v>
      </c>
      <c r="AI1827" s="43" t="str">
        <f ca="1">_xll.BInterpol('Base IPCA'!$C$3:$C$14,'Base IPCA'!$E$3:$E$14,AH1827,"Cubic","Extrapolate=Linear","MultiX=Average","Skip=True","Sort=True")</f>
        <v>#N/A Invalid Parameter: Interpolation value</v>
      </c>
      <c r="AJ1827" s="43" t="str">
        <f ca="1"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13"/>
        <v>#REF!</v>
      </c>
      <c r="AI1828" s="43" t="str">
        <f ca="1">_xll.BInterpol('Base IPCA'!$C$3:$C$14,'Base IPCA'!$E$3:$E$14,AH1828,"Cubic","Extrapolate=Linear","MultiX=Average","Skip=True","Sort=True")</f>
        <v>#N/A Invalid Parameter: Interpolation value</v>
      </c>
      <c r="AJ1828" s="43" t="str">
        <f ca="1"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13"/>
        <v>#REF!</v>
      </c>
      <c r="AI1829" s="43" t="str">
        <f ca="1">_xll.BInterpol('Base IPCA'!$C$3:$C$14,'Base IPCA'!$E$3:$E$14,AH1829,"Cubic","Extrapolate=Linear","MultiX=Average","Skip=True","Sort=True")</f>
        <v>#N/A Invalid Parameter: Interpolation value</v>
      </c>
      <c r="AJ1829" s="43" t="str">
        <f ca="1"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13"/>
        <v>#REF!</v>
      </c>
      <c r="AI1830" s="43" t="str">
        <f ca="1">_xll.BInterpol('Base IPCA'!$C$3:$C$14,'Base IPCA'!$E$3:$E$14,AH1830,"Cubic","Extrapolate=Linear","MultiX=Average","Skip=True","Sort=True")</f>
        <v>#N/A Invalid Parameter: Interpolation value</v>
      </c>
      <c r="AJ1830" s="43" t="str">
        <f ca="1"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13"/>
        <v>#REF!</v>
      </c>
      <c r="AI1831" s="43" t="str">
        <f ca="1">_xll.BInterpol('Base IPCA'!$C$3:$C$14,'Base IPCA'!$E$3:$E$14,AH1831,"Cubic","Extrapolate=Linear","MultiX=Average","Skip=True","Sort=True")</f>
        <v>#N/A Invalid Parameter: Interpolation value</v>
      </c>
      <c r="AJ1831" s="43" t="str">
        <f ca="1"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13"/>
        <v>#REF!</v>
      </c>
      <c r="AI1832" s="43" t="str">
        <f ca="1">_xll.BInterpol('Base IPCA'!$C$3:$C$14,'Base IPCA'!$E$3:$E$14,AH1832,"Cubic","Extrapolate=Linear","MultiX=Average","Skip=True","Sort=True")</f>
        <v>#N/A Invalid Parameter: Interpolation value</v>
      </c>
      <c r="AJ1832" s="43" t="str">
        <f ca="1"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13"/>
        <v>#REF!</v>
      </c>
      <c r="AI1833" s="43" t="str">
        <f ca="1">_xll.BInterpol('Base IPCA'!$C$3:$C$14,'Base IPCA'!$E$3:$E$14,AH1833,"Cubic","Extrapolate=Linear","MultiX=Average","Skip=True","Sort=True")</f>
        <v>#N/A Invalid Parameter: Interpolation value</v>
      </c>
      <c r="AJ1833" s="43" t="str">
        <f ca="1"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13"/>
        <v>#REF!</v>
      </c>
      <c r="AI1834" s="43" t="str">
        <f ca="1">_xll.BInterpol('Base IPCA'!$C$3:$C$14,'Base IPCA'!$E$3:$E$14,AH1834,"Cubic","Extrapolate=Linear","MultiX=Average","Skip=True","Sort=True")</f>
        <v>#N/A Invalid Parameter: Interpolation value</v>
      </c>
      <c r="AJ1834" s="43" t="str">
        <f ca="1"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13"/>
        <v>#REF!</v>
      </c>
      <c r="AI1835" s="43" t="str">
        <f ca="1">_xll.BInterpol('Base IPCA'!$C$3:$C$14,'Base IPCA'!$E$3:$E$14,AH1835,"Cubic","Extrapolate=Linear","MultiX=Average","Skip=True","Sort=True")</f>
        <v>#N/A Invalid Parameter: Interpolation value</v>
      </c>
      <c r="AJ1835" s="43" t="str">
        <f ca="1"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13"/>
        <v>#REF!</v>
      </c>
      <c r="AI1836" s="43" t="str">
        <f ca="1">_xll.BInterpol('Base IPCA'!$C$3:$C$14,'Base IPCA'!$E$3:$E$14,AH1836,"Cubic","Extrapolate=Linear","MultiX=Average","Skip=True","Sort=True")</f>
        <v>#N/A Invalid Parameter: Interpolation value</v>
      </c>
      <c r="AJ1836" s="43" t="str">
        <f ca="1"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13"/>
        <v>#REF!</v>
      </c>
      <c r="AI1837" s="43" t="str">
        <f ca="1">_xll.BInterpol('Base IPCA'!$C$3:$C$14,'Base IPCA'!$E$3:$E$14,AH1837,"Cubic","Extrapolate=Linear","MultiX=Average","Skip=True","Sort=True")</f>
        <v>#N/A Invalid Parameter: Interpolation value</v>
      </c>
      <c r="AJ1837" s="43" t="str">
        <f ca="1"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13"/>
        <v>#REF!</v>
      </c>
      <c r="AI1838" s="43" t="str">
        <f ca="1">_xll.BInterpol('Base IPCA'!$C$3:$C$14,'Base IPCA'!$E$3:$E$14,AH1838,"Cubic","Extrapolate=Linear","MultiX=Average","Skip=True","Sort=True")</f>
        <v>#N/A Invalid Parameter: Interpolation value</v>
      </c>
      <c r="AJ1838" s="43" t="str">
        <f ca="1"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13"/>
        <v>#REF!</v>
      </c>
      <c r="AI1839" s="43" t="str">
        <f ca="1">_xll.BInterpol('Base IPCA'!$C$3:$C$14,'Base IPCA'!$E$3:$E$14,AH1839,"Cubic","Extrapolate=Linear","MultiX=Average","Skip=True","Sort=True")</f>
        <v>#N/A Invalid Parameter: Interpolation value</v>
      </c>
      <c r="AJ1839" s="43" t="str">
        <f ca="1"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13"/>
        <v>#REF!</v>
      </c>
      <c r="AI1840" s="43" t="str">
        <f ca="1">_xll.BInterpol('Base IPCA'!$C$3:$C$14,'Base IPCA'!$E$3:$E$14,AH1840,"Cubic","Extrapolate=Linear","MultiX=Average","Skip=True","Sort=True")</f>
        <v>#N/A Invalid Parameter: Interpolation value</v>
      </c>
      <c r="AJ1840" s="43" t="str">
        <f ca="1"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13"/>
        <v>#REF!</v>
      </c>
      <c r="AI1841" s="43" t="str">
        <f ca="1">_xll.BInterpol('Base IPCA'!$C$3:$C$14,'Base IPCA'!$E$3:$E$14,AH1841,"Cubic","Extrapolate=Linear","MultiX=Average","Skip=True","Sort=True")</f>
        <v>#N/A Invalid Parameter: Interpolation value</v>
      </c>
      <c r="AJ1841" s="43" t="str">
        <f ca="1"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13"/>
        <v>#REF!</v>
      </c>
      <c r="AI1842" s="43" t="str">
        <f ca="1">_xll.BInterpol('Base IPCA'!$C$3:$C$14,'Base IPCA'!$E$3:$E$14,AH1842,"Cubic","Extrapolate=Linear","MultiX=Average","Skip=True","Sort=True")</f>
        <v>#N/A Invalid Parameter: Interpolation value</v>
      </c>
      <c r="AJ1842" s="43" t="str">
        <f ca="1"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13"/>
        <v>#REF!</v>
      </c>
      <c r="AI1843" s="43" t="str">
        <f ca="1">_xll.BInterpol('Base IPCA'!$C$3:$C$14,'Base IPCA'!$E$3:$E$14,AH1843,"Cubic","Extrapolate=Linear","MultiX=Average","Skip=True","Sort=True")</f>
        <v>#N/A Invalid Parameter: Interpolation value</v>
      </c>
      <c r="AJ1843" s="43" t="str">
        <f ca="1"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13"/>
        <v>#REF!</v>
      </c>
      <c r="AI1844" s="43" t="str">
        <f ca="1">_xll.BInterpol('Base IPCA'!$C$3:$C$14,'Base IPCA'!$E$3:$E$14,AH1844,"Cubic","Extrapolate=Linear","MultiX=Average","Skip=True","Sort=True")</f>
        <v>#N/A Invalid Parameter: Interpolation value</v>
      </c>
      <c r="AJ1844" s="43" t="str">
        <f ca="1"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13"/>
        <v>#REF!</v>
      </c>
      <c r="AI1845" s="43" t="str">
        <f ca="1">_xll.BInterpol('Base IPCA'!$C$3:$C$14,'Base IPCA'!$E$3:$E$14,AH1845,"Cubic","Extrapolate=Linear","MultiX=Average","Skip=True","Sort=True")</f>
        <v>#N/A Invalid Parameter: Interpolation value</v>
      </c>
      <c r="AJ1845" s="43" t="str">
        <f ca="1"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13"/>
        <v>#REF!</v>
      </c>
      <c r="AI1846" s="43" t="str">
        <f ca="1">_xll.BInterpol('Base IPCA'!$C$3:$C$14,'Base IPCA'!$E$3:$E$14,AH1846,"Cubic","Extrapolate=Linear","MultiX=Average","Skip=True","Sort=True")</f>
        <v>#N/A Invalid Parameter: Interpolation value</v>
      </c>
      <c r="AJ1846" s="43" t="str">
        <f ca="1"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13"/>
        <v>#REF!</v>
      </c>
      <c r="AI1847" s="43" t="str">
        <f ca="1">_xll.BInterpol('Base IPCA'!$C$3:$C$14,'Base IPCA'!$E$3:$E$14,AH1847,"Cubic","Extrapolate=Linear","MultiX=Average","Skip=True","Sort=True")</f>
        <v>#N/A Invalid Parameter: Interpolation value</v>
      </c>
      <c r="AJ1847" s="43" t="str">
        <f ca="1"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13"/>
        <v>#REF!</v>
      </c>
      <c r="AI1848" s="43" t="str">
        <f ca="1">_xll.BInterpol('Base IPCA'!$C$3:$C$14,'Base IPCA'!$E$3:$E$14,AH1848,"Cubic","Extrapolate=Linear","MultiX=Average","Skip=True","Sort=True")</f>
        <v>#N/A Invalid Parameter: Interpolation value</v>
      </c>
      <c r="AJ1848" s="43" t="str">
        <f ca="1"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13"/>
        <v>#REF!</v>
      </c>
      <c r="AI1849" s="43" t="str">
        <f ca="1">_xll.BInterpol('Base IPCA'!$C$3:$C$14,'Base IPCA'!$E$3:$E$14,AH1849,"Cubic","Extrapolate=Linear","MultiX=Average","Skip=True","Sort=True")</f>
        <v>#N/A Invalid Parameter: Interpolation value</v>
      </c>
      <c r="AJ1849" s="43" t="str">
        <f ca="1"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13"/>
        <v>#REF!</v>
      </c>
      <c r="AI1850" s="43" t="str">
        <f ca="1">_xll.BInterpol('Base IPCA'!$C$3:$C$14,'Base IPCA'!$E$3:$E$14,AH1850,"Cubic","Extrapolate=Linear","MultiX=Average","Skip=True","Sort=True")</f>
        <v>#N/A Invalid Parameter: Interpolation value</v>
      </c>
      <c r="AJ1850" s="43" t="str">
        <f ca="1"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13"/>
        <v>#REF!</v>
      </c>
      <c r="AI1851" s="43" t="str">
        <f ca="1">_xll.BInterpol('Base IPCA'!$C$3:$C$14,'Base IPCA'!$E$3:$E$14,AH1851,"Cubic","Extrapolate=Linear","MultiX=Average","Skip=True","Sort=True")</f>
        <v>#N/A Invalid Parameter: Interpolation value</v>
      </c>
      <c r="AJ1851" s="43" t="str">
        <f ca="1"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13"/>
        <v>#REF!</v>
      </c>
      <c r="AI1852" s="43" t="str">
        <f ca="1">_xll.BInterpol('Base IPCA'!$C$3:$C$14,'Base IPCA'!$E$3:$E$14,AH1852,"Cubic","Extrapolate=Linear","MultiX=Average","Skip=True","Sort=True")</f>
        <v>#N/A Invalid Parameter: Interpolation value</v>
      </c>
      <c r="AJ1852" s="43" t="str">
        <f ca="1"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13"/>
        <v>#REF!</v>
      </c>
      <c r="AI1853" s="43" t="str">
        <f ca="1">_xll.BInterpol('Base IPCA'!$C$3:$C$14,'Base IPCA'!$E$3:$E$14,AH1853,"Cubic","Extrapolate=Linear","MultiX=Average","Skip=True","Sort=True")</f>
        <v>#N/A Invalid Parameter: Interpolation value</v>
      </c>
      <c r="AJ1853" s="43" t="str">
        <f ca="1"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13"/>
        <v>#REF!</v>
      </c>
      <c r="AI1854" s="43" t="str">
        <f ca="1">_xll.BInterpol('Base IPCA'!$C$3:$C$14,'Base IPCA'!$E$3:$E$14,AH1854,"Cubic","Extrapolate=Linear","MultiX=Average","Skip=True","Sort=True")</f>
        <v>#N/A Invalid Parameter: Interpolation value</v>
      </c>
      <c r="AJ1854" s="43" t="str">
        <f ca="1"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13"/>
        <v>#REF!</v>
      </c>
      <c r="AI1855" s="43" t="str">
        <f ca="1">_xll.BInterpol('Base IPCA'!$C$3:$C$14,'Base IPCA'!$E$3:$E$14,AH1855,"Cubic","Extrapolate=Linear","MultiX=Average","Skip=True","Sort=True")</f>
        <v>#N/A Invalid Parameter: Interpolation value</v>
      </c>
      <c r="AJ1855" s="43" t="str">
        <f ca="1"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13"/>
        <v>#REF!</v>
      </c>
      <c r="AI1856" s="43" t="str">
        <f ca="1">_xll.BInterpol('Base IPCA'!$C$3:$C$14,'Base IPCA'!$E$3:$E$14,AH1856,"Cubic","Extrapolate=Linear","MultiX=Average","Skip=True","Sort=True")</f>
        <v>#N/A Invalid Parameter: Interpolation value</v>
      </c>
      <c r="AJ1856" s="43" t="str">
        <f ca="1"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13"/>
        <v>#REF!</v>
      </c>
      <c r="AI1857" s="43" t="str">
        <f ca="1">_xll.BInterpol('Base IPCA'!$C$3:$C$14,'Base IPCA'!$E$3:$E$14,AH1857,"Cubic","Extrapolate=Linear","MultiX=Average","Skip=True","Sort=True")</f>
        <v>#N/A Invalid Parameter: Interpolation value</v>
      </c>
      <c r="AJ1857" s="43" t="str">
        <f ca="1"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13"/>
        <v>#REF!</v>
      </c>
      <c r="AI1858" s="43" t="str">
        <f ca="1">_xll.BInterpol('Base IPCA'!$C$3:$C$14,'Base IPCA'!$E$3:$E$14,AH1858,"Cubic","Extrapolate=Linear","MultiX=Average","Skip=True","Sort=True")</f>
        <v>#N/A Invalid Parameter: Interpolation value</v>
      </c>
      <c r="AJ1858" s="43" t="str">
        <f ca="1"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13"/>
        <v>#REF!</v>
      </c>
      <c r="AI1859" s="43" t="str">
        <f ca="1">_xll.BInterpol('Base IPCA'!$C$3:$C$14,'Base IPCA'!$E$3:$E$14,AH1859,"Cubic","Extrapolate=Linear","MultiX=Average","Skip=True","Sort=True")</f>
        <v>#N/A Invalid Parameter: Interpolation value</v>
      </c>
      <c r="AJ1859" s="43" t="str">
        <f ca="1"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13"/>
        <v>#REF!</v>
      </c>
      <c r="AI1860" s="43" t="str">
        <f ca="1">_xll.BInterpol('Base IPCA'!$C$3:$C$14,'Base IPCA'!$E$3:$E$14,AH1860,"Cubic","Extrapolate=Linear","MultiX=Average","Skip=True","Sort=True")</f>
        <v>#N/A Invalid Parameter: Interpolation value</v>
      </c>
      <c r="AJ1860" s="43" t="str">
        <f ca="1"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13"/>
        <v>#REF!</v>
      </c>
      <c r="AI1861" s="43" t="str">
        <f ca="1">_xll.BInterpol('Base IPCA'!$C$3:$C$14,'Base IPCA'!$E$3:$E$14,AH1861,"Cubic","Extrapolate=Linear","MultiX=Average","Skip=True","Sort=True")</f>
        <v>#N/A Invalid Parameter: Interpolation value</v>
      </c>
      <c r="AJ1861" s="43" t="str">
        <f ca="1"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14">AH1861+1</f>
        <v>#REF!</v>
      </c>
      <c r="AI1862" s="43" t="str">
        <f ca="1">_xll.BInterpol('Base IPCA'!$C$3:$C$14,'Base IPCA'!$E$3:$E$14,AH1862,"Cubic","Extrapolate=Linear","MultiX=Average","Skip=True","Sort=True")</f>
        <v>#N/A Invalid Parameter: Interpolation value</v>
      </c>
      <c r="AJ1862" s="43" t="str">
        <f ca="1"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14"/>
        <v>#REF!</v>
      </c>
      <c r="AI1863" s="43" t="str">
        <f ca="1">_xll.BInterpol('Base IPCA'!$C$3:$C$14,'Base IPCA'!$E$3:$E$14,AH1863,"Cubic","Extrapolate=Linear","MultiX=Average","Skip=True","Sort=True")</f>
        <v>#N/A Invalid Parameter: Interpolation value</v>
      </c>
      <c r="AJ1863" s="43" t="str">
        <f ca="1"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14"/>
        <v>#REF!</v>
      </c>
      <c r="AI1864" s="43" t="str">
        <f ca="1">_xll.BInterpol('Base IPCA'!$C$3:$C$14,'Base IPCA'!$E$3:$E$14,AH1864,"Cubic","Extrapolate=Linear","MultiX=Average","Skip=True","Sort=True")</f>
        <v>#N/A Invalid Parameter: Interpolation value</v>
      </c>
      <c r="AJ1864" s="43" t="str">
        <f ca="1"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14"/>
        <v>#REF!</v>
      </c>
      <c r="AI1865" s="43" t="str">
        <f ca="1">_xll.BInterpol('Base IPCA'!$C$3:$C$14,'Base IPCA'!$E$3:$E$14,AH1865,"Cubic","Extrapolate=Linear","MultiX=Average","Skip=True","Sort=True")</f>
        <v>#N/A Invalid Parameter: Interpolation value</v>
      </c>
      <c r="AJ1865" s="43" t="str">
        <f ca="1"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14"/>
        <v>#REF!</v>
      </c>
      <c r="AI1866" s="43" t="str">
        <f ca="1">_xll.BInterpol('Base IPCA'!$C$3:$C$14,'Base IPCA'!$E$3:$E$14,AH1866,"Cubic","Extrapolate=Linear","MultiX=Average","Skip=True","Sort=True")</f>
        <v>#N/A Invalid Parameter: Interpolation value</v>
      </c>
      <c r="AJ1866" s="43" t="str">
        <f ca="1"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14"/>
        <v>#REF!</v>
      </c>
      <c r="AI1867" s="43" t="str">
        <f ca="1">_xll.BInterpol('Base IPCA'!$C$3:$C$14,'Base IPCA'!$E$3:$E$14,AH1867,"Cubic","Extrapolate=Linear","MultiX=Average","Skip=True","Sort=True")</f>
        <v>#N/A Invalid Parameter: Interpolation value</v>
      </c>
      <c r="AJ1867" s="43" t="str">
        <f ca="1"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14"/>
        <v>#REF!</v>
      </c>
      <c r="AI1868" s="43" t="str">
        <f ca="1">_xll.BInterpol('Base IPCA'!$C$3:$C$14,'Base IPCA'!$E$3:$E$14,AH1868,"Cubic","Extrapolate=Linear","MultiX=Average","Skip=True","Sort=True")</f>
        <v>#N/A Invalid Parameter: Interpolation value</v>
      </c>
      <c r="AJ1868" s="43" t="str">
        <f ca="1"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14"/>
        <v>#REF!</v>
      </c>
      <c r="AI1869" s="43" t="str">
        <f ca="1">_xll.BInterpol('Base IPCA'!$C$3:$C$14,'Base IPCA'!$E$3:$E$14,AH1869,"Cubic","Extrapolate=Linear","MultiX=Average","Skip=True","Sort=True")</f>
        <v>#N/A Invalid Parameter: Interpolation value</v>
      </c>
      <c r="AJ1869" s="43" t="str">
        <f ca="1"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14"/>
        <v>#REF!</v>
      </c>
      <c r="AI1870" s="43" t="str">
        <f ca="1">_xll.BInterpol('Base IPCA'!$C$3:$C$14,'Base IPCA'!$E$3:$E$14,AH1870,"Cubic","Extrapolate=Linear","MultiX=Average","Skip=True","Sort=True")</f>
        <v>#N/A Invalid Parameter: Interpolation value</v>
      </c>
      <c r="AJ1870" s="43" t="str">
        <f ca="1"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14"/>
        <v>#REF!</v>
      </c>
      <c r="AI1871" s="43" t="str">
        <f ca="1">_xll.BInterpol('Base IPCA'!$C$3:$C$14,'Base IPCA'!$E$3:$E$14,AH1871,"Cubic","Extrapolate=Linear","MultiX=Average","Skip=True","Sort=True")</f>
        <v>#N/A Invalid Parameter: Interpolation value</v>
      </c>
      <c r="AJ1871" s="43" t="str">
        <f ca="1"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14"/>
        <v>#REF!</v>
      </c>
      <c r="AI1872" s="43" t="str">
        <f ca="1">_xll.BInterpol('Base IPCA'!$C$3:$C$14,'Base IPCA'!$E$3:$E$14,AH1872,"Cubic","Extrapolate=Linear","MultiX=Average","Skip=True","Sort=True")</f>
        <v>#N/A Invalid Parameter: Interpolation value</v>
      </c>
      <c r="AJ1872" s="43" t="str">
        <f ca="1"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14"/>
        <v>#REF!</v>
      </c>
      <c r="AI1873" s="43" t="str">
        <f ca="1">_xll.BInterpol('Base IPCA'!$C$3:$C$14,'Base IPCA'!$E$3:$E$14,AH1873,"Cubic","Extrapolate=Linear","MultiX=Average","Skip=True","Sort=True")</f>
        <v>#N/A Invalid Parameter: Interpolation value</v>
      </c>
      <c r="AJ1873" s="43" t="str">
        <f ca="1"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14"/>
        <v>#REF!</v>
      </c>
      <c r="AI1874" s="43" t="str">
        <f ca="1">_xll.BInterpol('Base IPCA'!$C$3:$C$14,'Base IPCA'!$E$3:$E$14,AH1874,"Cubic","Extrapolate=Linear","MultiX=Average","Skip=True","Sort=True")</f>
        <v>#N/A Invalid Parameter: Interpolation value</v>
      </c>
      <c r="AJ1874" s="43" t="str">
        <f ca="1"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14"/>
        <v>#REF!</v>
      </c>
      <c r="AI1875" s="43" t="str">
        <f ca="1">_xll.BInterpol('Base IPCA'!$C$3:$C$14,'Base IPCA'!$E$3:$E$14,AH1875,"Cubic","Extrapolate=Linear","MultiX=Average","Skip=True","Sort=True")</f>
        <v>#N/A Invalid Parameter: Interpolation value</v>
      </c>
      <c r="AJ1875" s="43" t="str">
        <f ca="1"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14"/>
        <v>#REF!</v>
      </c>
      <c r="AI1876" s="43" t="str">
        <f ca="1">_xll.BInterpol('Base IPCA'!$C$3:$C$14,'Base IPCA'!$E$3:$E$14,AH1876,"Cubic","Extrapolate=Linear","MultiX=Average","Skip=True","Sort=True")</f>
        <v>#N/A Invalid Parameter: Interpolation value</v>
      </c>
      <c r="AJ1876" s="43" t="str">
        <f ca="1"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14"/>
        <v>#REF!</v>
      </c>
      <c r="AI1877" s="43" t="str">
        <f ca="1">_xll.BInterpol('Base IPCA'!$C$3:$C$14,'Base IPCA'!$E$3:$E$14,AH1877,"Cubic","Extrapolate=Linear","MultiX=Average","Skip=True","Sort=True")</f>
        <v>#N/A Invalid Parameter: Interpolation value</v>
      </c>
      <c r="AJ1877" s="43" t="str">
        <f ca="1"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14"/>
        <v>#REF!</v>
      </c>
      <c r="AI1878" s="43" t="str">
        <f ca="1">_xll.BInterpol('Base IPCA'!$C$3:$C$14,'Base IPCA'!$E$3:$E$14,AH1878,"Cubic","Extrapolate=Linear","MultiX=Average","Skip=True","Sort=True")</f>
        <v>#N/A Invalid Parameter: Interpolation value</v>
      </c>
      <c r="AJ1878" s="43" t="str">
        <f ca="1"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14"/>
        <v>#REF!</v>
      </c>
      <c r="AI1879" s="43" t="str">
        <f ca="1">_xll.BInterpol('Base IPCA'!$C$3:$C$14,'Base IPCA'!$E$3:$E$14,AH1879,"Cubic","Extrapolate=Linear","MultiX=Average","Skip=True","Sort=True")</f>
        <v>#N/A Invalid Parameter: Interpolation value</v>
      </c>
      <c r="AJ1879" s="43" t="str">
        <f ca="1"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14"/>
        <v>#REF!</v>
      </c>
      <c r="AI1880" s="43" t="str">
        <f ca="1">_xll.BInterpol('Base IPCA'!$C$3:$C$14,'Base IPCA'!$E$3:$E$14,AH1880,"Cubic","Extrapolate=Linear","MultiX=Average","Skip=True","Sort=True")</f>
        <v>#N/A Invalid Parameter: Interpolation value</v>
      </c>
      <c r="AJ1880" s="43" t="str">
        <f ca="1"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14"/>
        <v>#REF!</v>
      </c>
      <c r="AI1881" s="43" t="str">
        <f ca="1">_xll.BInterpol('Base IPCA'!$C$3:$C$14,'Base IPCA'!$E$3:$E$14,AH1881,"Cubic","Extrapolate=Linear","MultiX=Average","Skip=True","Sort=True")</f>
        <v>#N/A Invalid Parameter: Interpolation value</v>
      </c>
      <c r="AJ1881" s="43" t="str">
        <f ca="1"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14"/>
        <v>#REF!</v>
      </c>
      <c r="AI1882" s="43" t="str">
        <f ca="1">_xll.BInterpol('Base IPCA'!$C$3:$C$14,'Base IPCA'!$E$3:$E$14,AH1882,"Cubic","Extrapolate=Linear","MultiX=Average","Skip=True","Sort=True")</f>
        <v>#N/A Invalid Parameter: Interpolation value</v>
      </c>
      <c r="AJ1882" s="43" t="str">
        <f ca="1"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14"/>
        <v>#REF!</v>
      </c>
      <c r="AI1883" s="43" t="str">
        <f ca="1">_xll.BInterpol('Base IPCA'!$C$3:$C$14,'Base IPCA'!$E$3:$E$14,AH1883,"Cubic","Extrapolate=Linear","MultiX=Average","Skip=True","Sort=True")</f>
        <v>#N/A Invalid Parameter: Interpolation value</v>
      </c>
      <c r="AJ1883" s="43" t="str">
        <f ca="1"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14"/>
        <v>#REF!</v>
      </c>
      <c r="AI1884" s="43" t="str">
        <f ca="1">_xll.BInterpol('Base IPCA'!$C$3:$C$14,'Base IPCA'!$E$3:$E$14,AH1884,"Cubic","Extrapolate=Linear","MultiX=Average","Skip=True","Sort=True")</f>
        <v>#N/A Invalid Parameter: Interpolation value</v>
      </c>
      <c r="AJ1884" s="43" t="str">
        <f ca="1"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14"/>
        <v>#REF!</v>
      </c>
      <c r="AI1885" s="43" t="str">
        <f ca="1">_xll.BInterpol('Base IPCA'!$C$3:$C$14,'Base IPCA'!$E$3:$E$14,AH1885,"Cubic","Extrapolate=Linear","MultiX=Average","Skip=True","Sort=True")</f>
        <v>#N/A Invalid Parameter: Interpolation value</v>
      </c>
      <c r="AJ1885" s="43" t="str">
        <f ca="1"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14"/>
        <v>#REF!</v>
      </c>
      <c r="AI1886" s="43" t="str">
        <f ca="1">_xll.BInterpol('Base IPCA'!$C$3:$C$14,'Base IPCA'!$E$3:$E$14,AH1886,"Cubic","Extrapolate=Linear","MultiX=Average","Skip=True","Sort=True")</f>
        <v>#N/A Invalid Parameter: Interpolation value</v>
      </c>
      <c r="AJ1886" s="43" t="str">
        <f ca="1"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14"/>
        <v>#REF!</v>
      </c>
      <c r="AI1887" s="43" t="str">
        <f ca="1">_xll.BInterpol('Base IPCA'!$C$3:$C$14,'Base IPCA'!$E$3:$E$14,AH1887,"Cubic","Extrapolate=Linear","MultiX=Average","Skip=True","Sort=True")</f>
        <v>#N/A Invalid Parameter: Interpolation value</v>
      </c>
      <c r="AJ1887" s="43" t="str">
        <f ca="1"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14"/>
        <v>#REF!</v>
      </c>
      <c r="AI1888" s="43" t="str">
        <f ca="1">_xll.BInterpol('Base IPCA'!$C$3:$C$14,'Base IPCA'!$E$3:$E$14,AH1888,"Cubic","Extrapolate=Linear","MultiX=Average","Skip=True","Sort=True")</f>
        <v>#N/A Invalid Parameter: Interpolation value</v>
      </c>
      <c r="AJ1888" s="43" t="str">
        <f ca="1"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14"/>
        <v>#REF!</v>
      </c>
      <c r="AI1889" s="43" t="str">
        <f ca="1">_xll.BInterpol('Base IPCA'!$C$3:$C$14,'Base IPCA'!$E$3:$E$14,AH1889,"Cubic","Extrapolate=Linear","MultiX=Average","Skip=True","Sort=True")</f>
        <v>#N/A Invalid Parameter: Interpolation value</v>
      </c>
      <c r="AJ1889" s="43" t="str">
        <f ca="1"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14"/>
        <v>#REF!</v>
      </c>
      <c r="AI1890" s="43" t="str">
        <f ca="1">_xll.BInterpol('Base IPCA'!$C$3:$C$14,'Base IPCA'!$E$3:$E$14,AH1890,"Cubic","Extrapolate=Linear","MultiX=Average","Skip=True","Sort=True")</f>
        <v>#N/A Invalid Parameter: Interpolation value</v>
      </c>
      <c r="AJ1890" s="43" t="str">
        <f ca="1"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14"/>
        <v>#REF!</v>
      </c>
      <c r="AI1891" s="43" t="str">
        <f ca="1">_xll.BInterpol('Base IPCA'!$C$3:$C$14,'Base IPCA'!$E$3:$E$14,AH1891,"Cubic","Extrapolate=Linear","MultiX=Average","Skip=True","Sort=True")</f>
        <v>#N/A Invalid Parameter: Interpolation value</v>
      </c>
      <c r="AJ1891" s="43" t="str">
        <f ca="1"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14"/>
        <v>#REF!</v>
      </c>
      <c r="AI1892" s="43" t="str">
        <f ca="1">_xll.BInterpol('Base IPCA'!$C$3:$C$14,'Base IPCA'!$E$3:$E$14,AH1892,"Cubic","Extrapolate=Linear","MultiX=Average","Skip=True","Sort=True")</f>
        <v>#N/A Invalid Parameter: Interpolation value</v>
      </c>
      <c r="AJ1892" s="43" t="str">
        <f ca="1"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14"/>
        <v>#REF!</v>
      </c>
      <c r="AI1893" s="43" t="str">
        <f ca="1">_xll.BInterpol('Base IPCA'!$C$3:$C$14,'Base IPCA'!$E$3:$E$14,AH1893,"Cubic","Extrapolate=Linear","MultiX=Average","Skip=True","Sort=True")</f>
        <v>#N/A Invalid Parameter: Interpolation value</v>
      </c>
      <c r="AJ1893" s="43" t="str">
        <f ca="1"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14"/>
        <v>#REF!</v>
      </c>
      <c r="AI1894" s="43" t="str">
        <f ca="1">_xll.BInterpol('Base IPCA'!$C$3:$C$14,'Base IPCA'!$E$3:$E$14,AH1894,"Cubic","Extrapolate=Linear","MultiX=Average","Skip=True","Sort=True")</f>
        <v>#N/A Invalid Parameter: Interpolation value</v>
      </c>
      <c r="AJ1894" s="43" t="str">
        <f ca="1"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14"/>
        <v>#REF!</v>
      </c>
      <c r="AI1895" s="43" t="str">
        <f ca="1">_xll.BInterpol('Base IPCA'!$C$3:$C$14,'Base IPCA'!$E$3:$E$14,AH1895,"Cubic","Extrapolate=Linear","MultiX=Average","Skip=True","Sort=True")</f>
        <v>#N/A Invalid Parameter: Interpolation value</v>
      </c>
      <c r="AJ1895" s="43" t="str">
        <f ca="1"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14"/>
        <v>#REF!</v>
      </c>
      <c r="AI1896" s="43" t="str">
        <f ca="1">_xll.BInterpol('Base IPCA'!$C$3:$C$14,'Base IPCA'!$E$3:$E$14,AH1896,"Cubic","Extrapolate=Linear","MultiX=Average","Skip=True","Sort=True")</f>
        <v>#N/A Invalid Parameter: Interpolation value</v>
      </c>
      <c r="AJ1896" s="43" t="str">
        <f ca="1"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14"/>
        <v>#REF!</v>
      </c>
      <c r="AI1897" s="43" t="str">
        <f ca="1">_xll.BInterpol('Base IPCA'!$C$3:$C$14,'Base IPCA'!$E$3:$E$14,AH1897,"Cubic","Extrapolate=Linear","MultiX=Average","Skip=True","Sort=True")</f>
        <v>#N/A Invalid Parameter: Interpolation value</v>
      </c>
      <c r="AJ1897" s="43" t="str">
        <f ca="1"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14"/>
        <v>#REF!</v>
      </c>
      <c r="AI1898" s="43" t="str">
        <f ca="1">_xll.BInterpol('Base IPCA'!$C$3:$C$14,'Base IPCA'!$E$3:$E$14,AH1898,"Cubic","Extrapolate=Linear","MultiX=Average","Skip=True","Sort=True")</f>
        <v>#N/A Invalid Parameter: Interpolation value</v>
      </c>
      <c r="AJ1898" s="43" t="str">
        <f ca="1"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14"/>
        <v>#REF!</v>
      </c>
      <c r="AI1899" s="43" t="str">
        <f ca="1">_xll.BInterpol('Base IPCA'!$C$3:$C$14,'Base IPCA'!$E$3:$E$14,AH1899,"Cubic","Extrapolate=Linear","MultiX=Average","Skip=True","Sort=True")</f>
        <v>#N/A Invalid Parameter: Interpolation value</v>
      </c>
      <c r="AJ1899" s="43" t="str">
        <f ca="1"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14"/>
        <v>#REF!</v>
      </c>
      <c r="AI1900" s="43" t="str">
        <f ca="1">_xll.BInterpol('Base IPCA'!$C$3:$C$14,'Base IPCA'!$E$3:$E$14,AH1900,"Cubic","Extrapolate=Linear","MultiX=Average","Skip=True","Sort=True")</f>
        <v>#N/A Invalid Parameter: Interpolation value</v>
      </c>
      <c r="AJ1900" s="43" t="str">
        <f ca="1"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14"/>
        <v>#REF!</v>
      </c>
      <c r="AI1901" s="43" t="str">
        <f ca="1">_xll.BInterpol('Base IPCA'!$C$3:$C$14,'Base IPCA'!$E$3:$E$14,AH1901,"Cubic","Extrapolate=Linear","MultiX=Average","Skip=True","Sort=True")</f>
        <v>#N/A Invalid Parameter: Interpolation value</v>
      </c>
      <c r="AJ1901" s="43" t="str">
        <f ca="1"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14"/>
        <v>#REF!</v>
      </c>
      <c r="AI1902" s="43" t="str">
        <f ca="1">_xll.BInterpol('Base IPCA'!$C$3:$C$14,'Base IPCA'!$E$3:$E$14,AH1902,"Cubic","Extrapolate=Linear","MultiX=Average","Skip=True","Sort=True")</f>
        <v>#N/A Invalid Parameter: Interpolation value</v>
      </c>
      <c r="AJ1902" s="43" t="str">
        <f ca="1"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14"/>
        <v>#REF!</v>
      </c>
      <c r="AI1903" s="43" t="str">
        <f ca="1">_xll.BInterpol('Base IPCA'!$C$3:$C$14,'Base IPCA'!$E$3:$E$14,AH1903,"Cubic","Extrapolate=Linear","MultiX=Average","Skip=True","Sort=True")</f>
        <v>#N/A Invalid Parameter: Interpolation value</v>
      </c>
      <c r="AJ1903" s="43" t="str">
        <f ca="1"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14"/>
        <v>#REF!</v>
      </c>
      <c r="AI1904" s="43" t="str">
        <f ca="1">_xll.BInterpol('Base IPCA'!$C$3:$C$14,'Base IPCA'!$E$3:$E$14,AH1904,"Cubic","Extrapolate=Linear","MultiX=Average","Skip=True","Sort=True")</f>
        <v>#N/A Invalid Parameter: Interpolation value</v>
      </c>
      <c r="AJ1904" s="43" t="str">
        <f ca="1"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14"/>
        <v>#REF!</v>
      </c>
      <c r="AI1905" s="43" t="str">
        <f ca="1">_xll.BInterpol('Base IPCA'!$C$3:$C$14,'Base IPCA'!$E$3:$E$14,AH1905,"Cubic","Extrapolate=Linear","MultiX=Average","Skip=True","Sort=True")</f>
        <v>#N/A Invalid Parameter: Interpolation value</v>
      </c>
      <c r="AJ1905" s="43" t="str">
        <f ca="1"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14"/>
        <v>#REF!</v>
      </c>
      <c r="AI1906" s="43" t="str">
        <f ca="1">_xll.BInterpol('Base IPCA'!$C$3:$C$14,'Base IPCA'!$E$3:$E$14,AH1906,"Cubic","Extrapolate=Linear","MultiX=Average","Skip=True","Sort=True")</f>
        <v>#N/A Invalid Parameter: Interpolation value</v>
      </c>
      <c r="AJ1906" s="43" t="str">
        <f ca="1"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14"/>
        <v>#REF!</v>
      </c>
      <c r="AI1907" s="43" t="str">
        <f ca="1">_xll.BInterpol('Base IPCA'!$C$3:$C$14,'Base IPCA'!$E$3:$E$14,AH1907,"Cubic","Extrapolate=Linear","MultiX=Average","Skip=True","Sort=True")</f>
        <v>#N/A Invalid Parameter: Interpolation value</v>
      </c>
      <c r="AJ1907" s="43" t="str">
        <f ca="1"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14"/>
        <v>#REF!</v>
      </c>
      <c r="AI1908" s="43" t="str">
        <f ca="1">_xll.BInterpol('Base IPCA'!$C$3:$C$14,'Base IPCA'!$E$3:$E$14,AH1908,"Cubic","Extrapolate=Linear","MultiX=Average","Skip=True","Sort=True")</f>
        <v>#N/A Invalid Parameter: Interpolation value</v>
      </c>
      <c r="AJ1908" s="43" t="str">
        <f ca="1"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14"/>
        <v>#REF!</v>
      </c>
      <c r="AI1909" s="43" t="str">
        <f ca="1">_xll.BInterpol('Base IPCA'!$C$3:$C$14,'Base IPCA'!$E$3:$E$14,AH1909,"Cubic","Extrapolate=Linear","MultiX=Average","Skip=True","Sort=True")</f>
        <v>#N/A Invalid Parameter: Interpolation value</v>
      </c>
      <c r="AJ1909" s="43" t="str">
        <f ca="1"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14"/>
        <v>#REF!</v>
      </c>
      <c r="AI1910" s="43" t="str">
        <f ca="1">_xll.BInterpol('Base IPCA'!$C$3:$C$14,'Base IPCA'!$E$3:$E$14,AH1910,"Cubic","Extrapolate=Linear","MultiX=Average","Skip=True","Sort=True")</f>
        <v>#N/A Invalid Parameter: Interpolation value</v>
      </c>
      <c r="AJ1910" s="43" t="str">
        <f ca="1"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14"/>
        <v>#REF!</v>
      </c>
      <c r="AI1911" s="43" t="str">
        <f ca="1">_xll.BInterpol('Base IPCA'!$C$3:$C$14,'Base IPCA'!$E$3:$E$14,AH1911,"Cubic","Extrapolate=Linear","MultiX=Average","Skip=True","Sort=True")</f>
        <v>#N/A Invalid Parameter: Interpolation value</v>
      </c>
      <c r="AJ1911" s="43" t="str">
        <f ca="1"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14"/>
        <v>#REF!</v>
      </c>
      <c r="AI1912" s="43" t="str">
        <f ca="1">_xll.BInterpol('Base IPCA'!$C$3:$C$14,'Base IPCA'!$E$3:$E$14,AH1912,"Cubic","Extrapolate=Linear","MultiX=Average","Skip=True","Sort=True")</f>
        <v>#N/A Invalid Parameter: Interpolation value</v>
      </c>
      <c r="AJ1912" s="43" t="str">
        <f ca="1"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14"/>
        <v>#REF!</v>
      </c>
      <c r="AI1913" s="43" t="str">
        <f ca="1">_xll.BInterpol('Base IPCA'!$C$3:$C$14,'Base IPCA'!$E$3:$E$14,AH1913,"Cubic","Extrapolate=Linear","MultiX=Average","Skip=True","Sort=True")</f>
        <v>#N/A Invalid Parameter: Interpolation value</v>
      </c>
      <c r="AJ1913" s="43" t="str">
        <f ca="1"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14"/>
        <v>#REF!</v>
      </c>
      <c r="AI1914" s="43" t="str">
        <f ca="1">_xll.BInterpol('Base IPCA'!$C$3:$C$14,'Base IPCA'!$E$3:$E$14,AH1914,"Cubic","Extrapolate=Linear","MultiX=Average","Skip=True","Sort=True")</f>
        <v>#N/A Invalid Parameter: Interpolation value</v>
      </c>
      <c r="AJ1914" s="43" t="str">
        <f ca="1"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14"/>
        <v>#REF!</v>
      </c>
      <c r="AI1915" s="43" t="str">
        <f ca="1">_xll.BInterpol('Base IPCA'!$C$3:$C$14,'Base IPCA'!$E$3:$E$14,AH1915,"Cubic","Extrapolate=Linear","MultiX=Average","Skip=True","Sort=True")</f>
        <v>#N/A Invalid Parameter: Interpolation value</v>
      </c>
      <c r="AJ1915" s="43" t="str">
        <f ca="1"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14"/>
        <v>#REF!</v>
      </c>
      <c r="AI1916" s="43" t="str">
        <f ca="1">_xll.BInterpol('Base IPCA'!$C$3:$C$14,'Base IPCA'!$E$3:$E$14,AH1916,"Cubic","Extrapolate=Linear","MultiX=Average","Skip=True","Sort=True")</f>
        <v>#N/A Invalid Parameter: Interpolation value</v>
      </c>
      <c r="AJ1916" s="43" t="str">
        <f ca="1"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14"/>
        <v>#REF!</v>
      </c>
      <c r="AI1917" s="43" t="str">
        <f ca="1">_xll.BInterpol('Base IPCA'!$C$3:$C$14,'Base IPCA'!$E$3:$E$14,AH1917,"Cubic","Extrapolate=Linear","MultiX=Average","Skip=True","Sort=True")</f>
        <v>#N/A Invalid Parameter: Interpolation value</v>
      </c>
      <c r="AJ1917" s="43" t="str">
        <f ca="1"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14"/>
        <v>#REF!</v>
      </c>
      <c r="AI1918" s="43" t="str">
        <f ca="1">_xll.BInterpol('Base IPCA'!$C$3:$C$14,'Base IPCA'!$E$3:$E$14,AH1918,"Cubic","Extrapolate=Linear","MultiX=Average","Skip=True","Sort=True")</f>
        <v>#N/A Invalid Parameter: Interpolation value</v>
      </c>
      <c r="AJ1918" s="43" t="str">
        <f ca="1"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14"/>
        <v>#REF!</v>
      </c>
      <c r="AI1919" s="43" t="str">
        <f ca="1">_xll.BInterpol('Base IPCA'!$C$3:$C$14,'Base IPCA'!$E$3:$E$14,AH1919,"Cubic","Extrapolate=Linear","MultiX=Average","Skip=True","Sort=True")</f>
        <v>#N/A Invalid Parameter: Interpolation value</v>
      </c>
      <c r="AJ1919" s="43" t="str">
        <f ca="1"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14"/>
        <v>#REF!</v>
      </c>
      <c r="AI1920" s="43" t="str">
        <f ca="1">_xll.BInterpol('Base IPCA'!$C$3:$C$14,'Base IPCA'!$E$3:$E$14,AH1920,"Cubic","Extrapolate=Linear","MultiX=Average","Skip=True","Sort=True")</f>
        <v>#N/A Invalid Parameter: Interpolation value</v>
      </c>
      <c r="AJ1920" s="43" t="str">
        <f ca="1"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14"/>
        <v>#REF!</v>
      </c>
      <c r="AI1921" s="43" t="str">
        <f ca="1">_xll.BInterpol('Base IPCA'!$C$3:$C$14,'Base IPCA'!$E$3:$E$14,AH1921,"Cubic","Extrapolate=Linear","MultiX=Average","Skip=True","Sort=True")</f>
        <v>#N/A Invalid Parameter: Interpolation value</v>
      </c>
      <c r="AJ1921" s="43" t="str">
        <f ca="1"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14"/>
        <v>#REF!</v>
      </c>
      <c r="AI1922" s="43" t="str">
        <f ca="1">_xll.BInterpol('Base IPCA'!$C$3:$C$14,'Base IPCA'!$E$3:$E$14,AH1922,"Cubic","Extrapolate=Linear","MultiX=Average","Skip=True","Sort=True")</f>
        <v>#N/A Invalid Parameter: Interpolation value</v>
      </c>
      <c r="AJ1922" s="43" t="str">
        <f ca="1"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14"/>
        <v>#REF!</v>
      </c>
      <c r="AI1923" s="43" t="str">
        <f ca="1">_xll.BInterpol('Base IPCA'!$C$3:$C$14,'Base IPCA'!$E$3:$E$14,AH1923,"Cubic","Extrapolate=Linear","MultiX=Average","Skip=True","Sort=True")</f>
        <v>#N/A Invalid Parameter: Interpolation value</v>
      </c>
      <c r="AJ1923" s="43" t="str">
        <f ca="1"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14"/>
        <v>#REF!</v>
      </c>
      <c r="AI1924" s="43" t="str">
        <f ca="1">_xll.BInterpol('Base IPCA'!$C$3:$C$14,'Base IPCA'!$E$3:$E$14,AH1924,"Cubic","Extrapolate=Linear","MultiX=Average","Skip=True","Sort=True")</f>
        <v>#N/A Invalid Parameter: Interpolation value</v>
      </c>
      <c r="AJ1924" s="43" t="str">
        <f ca="1"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14"/>
        <v>#REF!</v>
      </c>
      <c r="AI1925" s="43" t="str">
        <f ca="1">_xll.BInterpol('Base IPCA'!$C$3:$C$14,'Base IPCA'!$E$3:$E$14,AH1925,"Cubic","Extrapolate=Linear","MultiX=Average","Skip=True","Sort=True")</f>
        <v>#N/A Invalid Parameter: Interpolation value</v>
      </c>
      <c r="AJ1925" s="43" t="str">
        <f ca="1"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15">AH1925+1</f>
        <v>#REF!</v>
      </c>
      <c r="AI1926" s="43" t="str">
        <f ca="1">_xll.BInterpol('Base IPCA'!$C$3:$C$14,'Base IPCA'!$E$3:$E$14,AH1926,"Cubic","Extrapolate=Linear","MultiX=Average","Skip=True","Sort=True")</f>
        <v>#N/A Invalid Parameter: Interpolation value</v>
      </c>
      <c r="AJ1926" s="43" t="str">
        <f ca="1"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15"/>
        <v>#REF!</v>
      </c>
      <c r="AI1927" s="43" t="str">
        <f ca="1">_xll.BInterpol('Base IPCA'!$C$3:$C$14,'Base IPCA'!$E$3:$E$14,AH1927,"Cubic","Extrapolate=Linear","MultiX=Average","Skip=True","Sort=True")</f>
        <v>#N/A Invalid Parameter: Interpolation value</v>
      </c>
      <c r="AJ1927" s="43" t="str">
        <f ca="1"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15"/>
        <v>#REF!</v>
      </c>
      <c r="AI1928" s="43" t="str">
        <f ca="1">_xll.BInterpol('Base IPCA'!$C$3:$C$14,'Base IPCA'!$E$3:$E$14,AH1928,"Cubic","Extrapolate=Linear","MultiX=Average","Skip=True","Sort=True")</f>
        <v>#N/A Invalid Parameter: Interpolation value</v>
      </c>
      <c r="AJ1928" s="43" t="str">
        <f ca="1"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15"/>
        <v>#REF!</v>
      </c>
      <c r="AI1929" s="43" t="str">
        <f ca="1">_xll.BInterpol('Base IPCA'!$C$3:$C$14,'Base IPCA'!$E$3:$E$14,AH1929,"Cubic","Extrapolate=Linear","MultiX=Average","Skip=True","Sort=True")</f>
        <v>#N/A Invalid Parameter: Interpolation value</v>
      </c>
      <c r="AJ1929" s="43" t="str">
        <f ca="1"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15"/>
        <v>#REF!</v>
      </c>
      <c r="AI1930" s="43" t="str">
        <f ca="1">_xll.BInterpol('Base IPCA'!$C$3:$C$14,'Base IPCA'!$E$3:$E$14,AH1930,"Cubic","Extrapolate=Linear","MultiX=Average","Skip=True","Sort=True")</f>
        <v>#N/A Invalid Parameter: Interpolation value</v>
      </c>
      <c r="AJ1930" s="43" t="str">
        <f ca="1"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15"/>
        <v>#REF!</v>
      </c>
      <c r="AI1931" s="43" t="str">
        <f ca="1">_xll.BInterpol('Base IPCA'!$C$3:$C$14,'Base IPCA'!$E$3:$E$14,AH1931,"Cubic","Extrapolate=Linear","MultiX=Average","Skip=True","Sort=True")</f>
        <v>#N/A Invalid Parameter: Interpolation value</v>
      </c>
      <c r="AJ1931" s="43" t="str">
        <f ca="1"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15"/>
        <v>#REF!</v>
      </c>
      <c r="AI1932" s="43" t="str">
        <f ca="1">_xll.BInterpol('Base IPCA'!$C$3:$C$14,'Base IPCA'!$E$3:$E$14,AH1932,"Cubic","Extrapolate=Linear","MultiX=Average","Skip=True","Sort=True")</f>
        <v>#N/A Invalid Parameter: Interpolation value</v>
      </c>
      <c r="AJ1932" s="43" t="str">
        <f ca="1"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15"/>
        <v>#REF!</v>
      </c>
      <c r="AI1933" s="43" t="str">
        <f ca="1">_xll.BInterpol('Base IPCA'!$C$3:$C$14,'Base IPCA'!$E$3:$E$14,AH1933,"Cubic","Extrapolate=Linear","MultiX=Average","Skip=True","Sort=True")</f>
        <v>#N/A Invalid Parameter: Interpolation value</v>
      </c>
      <c r="AJ1933" s="43" t="str">
        <f ca="1"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15"/>
        <v>#REF!</v>
      </c>
      <c r="AI1934" s="43" t="str">
        <f ca="1">_xll.BInterpol('Base IPCA'!$C$3:$C$14,'Base IPCA'!$E$3:$E$14,AH1934,"Cubic","Extrapolate=Linear","MultiX=Average","Skip=True","Sort=True")</f>
        <v>#N/A Invalid Parameter: Interpolation value</v>
      </c>
      <c r="AJ1934" s="43" t="str">
        <f ca="1"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15"/>
        <v>#REF!</v>
      </c>
      <c r="AI1935" s="43" t="str">
        <f ca="1">_xll.BInterpol('Base IPCA'!$C$3:$C$14,'Base IPCA'!$E$3:$E$14,AH1935,"Cubic","Extrapolate=Linear","MultiX=Average","Skip=True","Sort=True")</f>
        <v>#N/A Invalid Parameter: Interpolation value</v>
      </c>
      <c r="AJ1935" s="43" t="str">
        <f ca="1"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15"/>
        <v>#REF!</v>
      </c>
      <c r="AI1936" s="43" t="str">
        <f ca="1">_xll.BInterpol('Base IPCA'!$C$3:$C$14,'Base IPCA'!$E$3:$E$14,AH1936,"Cubic","Extrapolate=Linear","MultiX=Average","Skip=True","Sort=True")</f>
        <v>#N/A Invalid Parameter: Interpolation value</v>
      </c>
      <c r="AJ1936" s="43" t="str">
        <f ca="1"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15"/>
        <v>#REF!</v>
      </c>
      <c r="AI1937" s="43" t="str">
        <f ca="1">_xll.BInterpol('Base IPCA'!$C$3:$C$14,'Base IPCA'!$E$3:$E$14,AH1937,"Cubic","Extrapolate=Linear","MultiX=Average","Skip=True","Sort=True")</f>
        <v>#N/A Invalid Parameter: Interpolation value</v>
      </c>
      <c r="AJ1937" s="43" t="str">
        <f ca="1"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15"/>
        <v>#REF!</v>
      </c>
      <c r="AI1938" s="43" t="str">
        <f ca="1">_xll.BInterpol('Base IPCA'!$C$3:$C$14,'Base IPCA'!$E$3:$E$14,AH1938,"Cubic","Extrapolate=Linear","MultiX=Average","Skip=True","Sort=True")</f>
        <v>#N/A Invalid Parameter: Interpolation value</v>
      </c>
      <c r="AJ1938" s="43" t="str">
        <f ca="1"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15"/>
        <v>#REF!</v>
      </c>
      <c r="AI1939" s="43" t="str">
        <f ca="1">_xll.BInterpol('Base IPCA'!$C$3:$C$14,'Base IPCA'!$E$3:$E$14,AH1939,"Cubic","Extrapolate=Linear","MultiX=Average","Skip=True","Sort=True")</f>
        <v>#N/A Invalid Parameter: Interpolation value</v>
      </c>
      <c r="AJ1939" s="43" t="str">
        <f ca="1"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15"/>
        <v>#REF!</v>
      </c>
      <c r="AI1940" s="43" t="str">
        <f ca="1">_xll.BInterpol('Base IPCA'!$C$3:$C$14,'Base IPCA'!$E$3:$E$14,AH1940,"Cubic","Extrapolate=Linear","MultiX=Average","Skip=True","Sort=True")</f>
        <v>#N/A Invalid Parameter: Interpolation value</v>
      </c>
      <c r="AJ1940" s="43" t="str">
        <f ca="1"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15"/>
        <v>#REF!</v>
      </c>
      <c r="AI1941" s="43" t="str">
        <f ca="1">_xll.BInterpol('Base IPCA'!$C$3:$C$14,'Base IPCA'!$E$3:$E$14,AH1941,"Cubic","Extrapolate=Linear","MultiX=Average","Skip=True","Sort=True")</f>
        <v>#N/A Invalid Parameter: Interpolation value</v>
      </c>
      <c r="AJ1941" s="43" t="str">
        <f ca="1"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15"/>
        <v>#REF!</v>
      </c>
      <c r="AI1942" s="43" t="str">
        <f ca="1">_xll.BInterpol('Base IPCA'!$C$3:$C$14,'Base IPCA'!$E$3:$E$14,AH1942,"Cubic","Extrapolate=Linear","MultiX=Average","Skip=True","Sort=True")</f>
        <v>#N/A Invalid Parameter: Interpolation value</v>
      </c>
      <c r="AJ1942" s="43" t="str">
        <f ca="1"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15"/>
        <v>#REF!</v>
      </c>
      <c r="AI1943" s="43" t="str">
        <f ca="1">_xll.BInterpol('Base IPCA'!$C$3:$C$14,'Base IPCA'!$E$3:$E$14,AH1943,"Cubic","Extrapolate=Linear","MultiX=Average","Skip=True","Sort=True")</f>
        <v>#N/A Invalid Parameter: Interpolation value</v>
      </c>
      <c r="AJ1943" s="43" t="str">
        <f ca="1"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15"/>
        <v>#REF!</v>
      </c>
      <c r="AI1944" s="43" t="str">
        <f ca="1">_xll.BInterpol('Base IPCA'!$C$3:$C$14,'Base IPCA'!$E$3:$E$14,AH1944,"Cubic","Extrapolate=Linear","MultiX=Average","Skip=True","Sort=True")</f>
        <v>#N/A Invalid Parameter: Interpolation value</v>
      </c>
      <c r="AJ1944" s="43" t="str">
        <f ca="1"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15"/>
        <v>#REF!</v>
      </c>
      <c r="AI1945" s="43" t="str">
        <f ca="1">_xll.BInterpol('Base IPCA'!$C$3:$C$14,'Base IPCA'!$E$3:$E$14,AH1945,"Cubic","Extrapolate=Linear","MultiX=Average","Skip=True","Sort=True")</f>
        <v>#N/A Invalid Parameter: Interpolation value</v>
      </c>
      <c r="AJ1945" s="43" t="str">
        <f ca="1"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15"/>
        <v>#REF!</v>
      </c>
      <c r="AI1946" s="43" t="str">
        <f ca="1">_xll.BInterpol('Base IPCA'!$C$3:$C$14,'Base IPCA'!$E$3:$E$14,AH1946,"Cubic","Extrapolate=Linear","MultiX=Average","Skip=True","Sort=True")</f>
        <v>#N/A Invalid Parameter: Interpolation value</v>
      </c>
      <c r="AJ1946" s="43" t="str">
        <f ca="1"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15"/>
        <v>#REF!</v>
      </c>
      <c r="AI1947" s="43" t="str">
        <f ca="1">_xll.BInterpol('Base IPCA'!$C$3:$C$14,'Base IPCA'!$E$3:$E$14,AH1947,"Cubic","Extrapolate=Linear","MultiX=Average","Skip=True","Sort=True")</f>
        <v>#N/A Invalid Parameter: Interpolation value</v>
      </c>
      <c r="AJ1947" s="43" t="str">
        <f ca="1"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15"/>
        <v>#REF!</v>
      </c>
      <c r="AI1948" s="43" t="str">
        <f ca="1">_xll.BInterpol('Base IPCA'!$C$3:$C$14,'Base IPCA'!$E$3:$E$14,AH1948,"Cubic","Extrapolate=Linear","MultiX=Average","Skip=True","Sort=True")</f>
        <v>#N/A Invalid Parameter: Interpolation value</v>
      </c>
      <c r="AJ1948" s="43" t="str">
        <f ca="1"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15"/>
        <v>#REF!</v>
      </c>
      <c r="AI1949" s="43" t="str">
        <f ca="1">_xll.BInterpol('Base IPCA'!$C$3:$C$14,'Base IPCA'!$E$3:$E$14,AH1949,"Cubic","Extrapolate=Linear","MultiX=Average","Skip=True","Sort=True")</f>
        <v>#N/A Invalid Parameter: Interpolation value</v>
      </c>
      <c r="AJ1949" s="43" t="str">
        <f ca="1"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15"/>
        <v>#REF!</v>
      </c>
      <c r="AI1950" s="43" t="str">
        <f ca="1">_xll.BInterpol('Base IPCA'!$C$3:$C$14,'Base IPCA'!$E$3:$E$14,AH1950,"Cubic","Extrapolate=Linear","MultiX=Average","Skip=True","Sort=True")</f>
        <v>#N/A Invalid Parameter: Interpolation value</v>
      </c>
      <c r="AJ1950" s="43" t="str">
        <f ca="1"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15"/>
        <v>#REF!</v>
      </c>
      <c r="AI1951" s="43" t="str">
        <f ca="1">_xll.BInterpol('Base IPCA'!$C$3:$C$14,'Base IPCA'!$E$3:$E$14,AH1951,"Cubic","Extrapolate=Linear","MultiX=Average","Skip=True","Sort=True")</f>
        <v>#N/A Invalid Parameter: Interpolation value</v>
      </c>
      <c r="AJ1951" s="43" t="str">
        <f ca="1"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15"/>
        <v>#REF!</v>
      </c>
      <c r="AI1952" s="43" t="str">
        <f ca="1">_xll.BInterpol('Base IPCA'!$C$3:$C$14,'Base IPCA'!$E$3:$E$14,AH1952,"Cubic","Extrapolate=Linear","MultiX=Average","Skip=True","Sort=True")</f>
        <v>#N/A Invalid Parameter: Interpolation value</v>
      </c>
      <c r="AJ1952" s="43" t="str">
        <f ca="1"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15"/>
        <v>#REF!</v>
      </c>
      <c r="AI1953" s="43" t="str">
        <f ca="1">_xll.BInterpol('Base IPCA'!$C$3:$C$14,'Base IPCA'!$E$3:$E$14,AH1953,"Cubic","Extrapolate=Linear","MultiX=Average","Skip=True","Sort=True")</f>
        <v>#N/A Invalid Parameter: Interpolation value</v>
      </c>
      <c r="AJ1953" s="43" t="str">
        <f ca="1"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15"/>
        <v>#REF!</v>
      </c>
      <c r="AI1954" s="43" t="str">
        <f ca="1">_xll.BInterpol('Base IPCA'!$C$3:$C$14,'Base IPCA'!$E$3:$E$14,AH1954,"Cubic","Extrapolate=Linear","MultiX=Average","Skip=True","Sort=True")</f>
        <v>#N/A Invalid Parameter: Interpolation value</v>
      </c>
      <c r="AJ1954" s="43" t="str">
        <f ca="1"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15"/>
        <v>#REF!</v>
      </c>
      <c r="AI1955" s="43" t="str">
        <f ca="1">_xll.BInterpol('Base IPCA'!$C$3:$C$14,'Base IPCA'!$E$3:$E$14,AH1955,"Cubic","Extrapolate=Linear","MultiX=Average","Skip=True","Sort=True")</f>
        <v>#N/A Invalid Parameter: Interpolation value</v>
      </c>
      <c r="AJ1955" s="43" t="str">
        <f ca="1"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15"/>
        <v>#REF!</v>
      </c>
      <c r="AI1956" s="43" t="str">
        <f ca="1">_xll.BInterpol('Base IPCA'!$C$3:$C$14,'Base IPCA'!$E$3:$E$14,AH1956,"Cubic","Extrapolate=Linear","MultiX=Average","Skip=True","Sort=True")</f>
        <v>#N/A Invalid Parameter: Interpolation value</v>
      </c>
      <c r="AJ1956" s="43" t="str">
        <f ca="1"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15"/>
        <v>#REF!</v>
      </c>
      <c r="AI1957" s="43" t="str">
        <f ca="1">_xll.BInterpol('Base IPCA'!$C$3:$C$14,'Base IPCA'!$E$3:$E$14,AH1957,"Cubic","Extrapolate=Linear","MultiX=Average","Skip=True","Sort=True")</f>
        <v>#N/A Invalid Parameter: Interpolation value</v>
      </c>
      <c r="AJ1957" s="43" t="str">
        <f ca="1"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15"/>
        <v>#REF!</v>
      </c>
      <c r="AI1958" s="43" t="str">
        <f ca="1">_xll.BInterpol('Base IPCA'!$C$3:$C$14,'Base IPCA'!$E$3:$E$14,AH1958,"Cubic","Extrapolate=Linear","MultiX=Average","Skip=True","Sort=True")</f>
        <v>#N/A Invalid Parameter: Interpolation value</v>
      </c>
      <c r="AJ1958" s="43" t="str">
        <f ca="1"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15"/>
        <v>#REF!</v>
      </c>
      <c r="AI1959" s="43" t="str">
        <f ca="1">_xll.BInterpol('Base IPCA'!$C$3:$C$14,'Base IPCA'!$E$3:$E$14,AH1959,"Cubic","Extrapolate=Linear","MultiX=Average","Skip=True","Sort=True")</f>
        <v>#N/A Invalid Parameter: Interpolation value</v>
      </c>
      <c r="AJ1959" s="43" t="str">
        <f ca="1"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15"/>
        <v>#REF!</v>
      </c>
      <c r="AI1960" s="43" t="str">
        <f ca="1">_xll.BInterpol('Base IPCA'!$C$3:$C$14,'Base IPCA'!$E$3:$E$14,AH1960,"Cubic","Extrapolate=Linear","MultiX=Average","Skip=True","Sort=True")</f>
        <v>#N/A Invalid Parameter: Interpolation value</v>
      </c>
      <c r="AJ1960" s="43" t="str">
        <f ca="1"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15"/>
        <v>#REF!</v>
      </c>
      <c r="AI1961" s="43" t="str">
        <f ca="1">_xll.BInterpol('Base IPCA'!$C$3:$C$14,'Base IPCA'!$E$3:$E$14,AH1961,"Cubic","Extrapolate=Linear","MultiX=Average","Skip=True","Sort=True")</f>
        <v>#N/A Invalid Parameter: Interpolation value</v>
      </c>
      <c r="AJ1961" s="43" t="str">
        <f ca="1"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15"/>
        <v>#REF!</v>
      </c>
      <c r="AI1962" s="43" t="str">
        <f ca="1">_xll.BInterpol('Base IPCA'!$C$3:$C$14,'Base IPCA'!$E$3:$E$14,AH1962,"Cubic","Extrapolate=Linear","MultiX=Average","Skip=True","Sort=True")</f>
        <v>#N/A Invalid Parameter: Interpolation value</v>
      </c>
      <c r="AJ1962" s="43" t="str">
        <f ca="1"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15"/>
        <v>#REF!</v>
      </c>
      <c r="AI1963" s="43" t="str">
        <f ca="1">_xll.BInterpol('Base IPCA'!$C$3:$C$14,'Base IPCA'!$E$3:$E$14,AH1963,"Cubic","Extrapolate=Linear","MultiX=Average","Skip=True","Sort=True")</f>
        <v>#N/A Invalid Parameter: Interpolation value</v>
      </c>
      <c r="AJ1963" s="43" t="str">
        <f ca="1"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15"/>
        <v>#REF!</v>
      </c>
      <c r="AI1964" s="43" t="str">
        <f ca="1">_xll.BInterpol('Base IPCA'!$C$3:$C$14,'Base IPCA'!$E$3:$E$14,AH1964,"Cubic","Extrapolate=Linear","MultiX=Average","Skip=True","Sort=True")</f>
        <v>#N/A Invalid Parameter: Interpolation value</v>
      </c>
      <c r="AJ1964" s="43" t="str">
        <f ca="1"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15"/>
        <v>#REF!</v>
      </c>
      <c r="AI1965" s="43" t="str">
        <f ca="1">_xll.BInterpol('Base IPCA'!$C$3:$C$14,'Base IPCA'!$E$3:$E$14,AH1965,"Cubic","Extrapolate=Linear","MultiX=Average","Skip=True","Sort=True")</f>
        <v>#N/A Invalid Parameter: Interpolation value</v>
      </c>
      <c r="AJ1965" s="43" t="str">
        <f ca="1"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15"/>
        <v>#REF!</v>
      </c>
      <c r="AI1966" s="43" t="str">
        <f ca="1">_xll.BInterpol('Base IPCA'!$C$3:$C$14,'Base IPCA'!$E$3:$E$14,AH1966,"Cubic","Extrapolate=Linear","MultiX=Average","Skip=True","Sort=True")</f>
        <v>#N/A Invalid Parameter: Interpolation value</v>
      </c>
      <c r="AJ1966" s="43" t="str">
        <f ca="1"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15"/>
        <v>#REF!</v>
      </c>
      <c r="AI1967" s="43" t="str">
        <f ca="1">_xll.BInterpol('Base IPCA'!$C$3:$C$14,'Base IPCA'!$E$3:$E$14,AH1967,"Cubic","Extrapolate=Linear","MultiX=Average","Skip=True","Sort=True")</f>
        <v>#N/A Invalid Parameter: Interpolation value</v>
      </c>
      <c r="AJ1967" s="43" t="str">
        <f ca="1"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15"/>
        <v>#REF!</v>
      </c>
      <c r="AI1968" s="43" t="str">
        <f ca="1">_xll.BInterpol('Base IPCA'!$C$3:$C$14,'Base IPCA'!$E$3:$E$14,AH1968,"Cubic","Extrapolate=Linear","MultiX=Average","Skip=True","Sort=True")</f>
        <v>#N/A Invalid Parameter: Interpolation value</v>
      </c>
      <c r="AJ1968" s="43" t="str">
        <f ca="1"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15"/>
        <v>#REF!</v>
      </c>
      <c r="AI1969" s="43" t="str">
        <f ca="1">_xll.BInterpol('Base IPCA'!$C$3:$C$14,'Base IPCA'!$E$3:$E$14,AH1969,"Cubic","Extrapolate=Linear","MultiX=Average","Skip=True","Sort=True")</f>
        <v>#N/A Invalid Parameter: Interpolation value</v>
      </c>
      <c r="AJ1969" s="43" t="str">
        <f ca="1"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15"/>
        <v>#REF!</v>
      </c>
      <c r="AI1970" s="43" t="str">
        <f ca="1">_xll.BInterpol('Base IPCA'!$C$3:$C$14,'Base IPCA'!$E$3:$E$14,AH1970,"Cubic","Extrapolate=Linear","MultiX=Average","Skip=True","Sort=True")</f>
        <v>#N/A Invalid Parameter: Interpolation value</v>
      </c>
      <c r="AJ1970" s="43" t="str">
        <f ca="1"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15"/>
        <v>#REF!</v>
      </c>
      <c r="AI1971" s="43" t="str">
        <f ca="1">_xll.BInterpol('Base IPCA'!$C$3:$C$14,'Base IPCA'!$E$3:$E$14,AH1971,"Cubic","Extrapolate=Linear","MultiX=Average","Skip=True","Sort=True")</f>
        <v>#N/A Invalid Parameter: Interpolation value</v>
      </c>
      <c r="AJ1971" s="43" t="str">
        <f ca="1"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15"/>
        <v>#REF!</v>
      </c>
      <c r="AI1972" s="43" t="str">
        <f ca="1">_xll.BInterpol('Base IPCA'!$C$3:$C$14,'Base IPCA'!$E$3:$E$14,AH1972,"Cubic","Extrapolate=Linear","MultiX=Average","Skip=True","Sort=True")</f>
        <v>#N/A Invalid Parameter: Interpolation value</v>
      </c>
      <c r="AJ1972" s="43" t="str">
        <f ca="1"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15"/>
        <v>#REF!</v>
      </c>
      <c r="AI1973" s="43" t="str">
        <f ca="1">_xll.BInterpol('Base IPCA'!$C$3:$C$14,'Base IPCA'!$E$3:$E$14,AH1973,"Cubic","Extrapolate=Linear","MultiX=Average","Skip=True","Sort=True")</f>
        <v>#N/A Invalid Parameter: Interpolation value</v>
      </c>
      <c r="AJ1973" s="43" t="str">
        <f ca="1"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15"/>
        <v>#REF!</v>
      </c>
      <c r="AI1974" s="43" t="str">
        <f ca="1">_xll.BInterpol('Base IPCA'!$C$3:$C$14,'Base IPCA'!$E$3:$E$14,AH1974,"Cubic","Extrapolate=Linear","MultiX=Average","Skip=True","Sort=True")</f>
        <v>#N/A Invalid Parameter: Interpolation value</v>
      </c>
      <c r="AJ1974" s="43" t="str">
        <f ca="1"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15"/>
        <v>#REF!</v>
      </c>
      <c r="AI1975" s="43" t="str">
        <f ca="1">_xll.BInterpol('Base IPCA'!$C$3:$C$14,'Base IPCA'!$E$3:$E$14,AH1975,"Cubic","Extrapolate=Linear","MultiX=Average","Skip=True","Sort=True")</f>
        <v>#N/A Invalid Parameter: Interpolation value</v>
      </c>
      <c r="AJ1975" s="43" t="str">
        <f ca="1"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15"/>
        <v>#REF!</v>
      </c>
      <c r="AI1976" s="43" t="str">
        <f ca="1">_xll.BInterpol('Base IPCA'!$C$3:$C$14,'Base IPCA'!$E$3:$E$14,AH1976,"Cubic","Extrapolate=Linear","MultiX=Average","Skip=True","Sort=True")</f>
        <v>#N/A Invalid Parameter: Interpolation value</v>
      </c>
      <c r="AJ1976" s="43" t="str">
        <f ca="1"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15"/>
        <v>#REF!</v>
      </c>
      <c r="AI1977" s="43" t="str">
        <f ca="1">_xll.BInterpol('Base IPCA'!$C$3:$C$14,'Base IPCA'!$E$3:$E$14,AH1977,"Cubic","Extrapolate=Linear","MultiX=Average","Skip=True","Sort=True")</f>
        <v>#N/A Invalid Parameter: Interpolation value</v>
      </c>
      <c r="AJ1977" s="43" t="str">
        <f ca="1"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15"/>
        <v>#REF!</v>
      </c>
      <c r="AI1978" s="43" t="str">
        <f ca="1">_xll.BInterpol('Base IPCA'!$C$3:$C$14,'Base IPCA'!$E$3:$E$14,AH1978,"Cubic","Extrapolate=Linear","MultiX=Average","Skip=True","Sort=True")</f>
        <v>#N/A Invalid Parameter: Interpolation value</v>
      </c>
      <c r="AJ1978" s="43" t="str">
        <f ca="1"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15"/>
        <v>#REF!</v>
      </c>
      <c r="AI1979" s="43" t="str">
        <f ca="1">_xll.BInterpol('Base IPCA'!$C$3:$C$14,'Base IPCA'!$E$3:$E$14,AH1979,"Cubic","Extrapolate=Linear","MultiX=Average","Skip=True","Sort=True")</f>
        <v>#N/A Invalid Parameter: Interpolation value</v>
      </c>
      <c r="AJ1979" s="43" t="str">
        <f ca="1"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15"/>
        <v>#REF!</v>
      </c>
      <c r="AI1980" s="43" t="str">
        <f ca="1">_xll.BInterpol('Base IPCA'!$C$3:$C$14,'Base IPCA'!$E$3:$E$14,AH1980,"Cubic","Extrapolate=Linear","MultiX=Average","Skip=True","Sort=True")</f>
        <v>#N/A Invalid Parameter: Interpolation value</v>
      </c>
      <c r="AJ1980" s="43" t="str">
        <f ca="1"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15"/>
        <v>#REF!</v>
      </c>
      <c r="AI1981" s="43" t="str">
        <f ca="1">_xll.BInterpol('Base IPCA'!$C$3:$C$14,'Base IPCA'!$E$3:$E$14,AH1981,"Cubic","Extrapolate=Linear","MultiX=Average","Skip=True","Sort=True")</f>
        <v>#N/A Invalid Parameter: Interpolation value</v>
      </c>
      <c r="AJ1981" s="43" t="str">
        <f ca="1"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15"/>
        <v>#REF!</v>
      </c>
      <c r="AI1982" s="43" t="str">
        <f ca="1">_xll.BInterpol('Base IPCA'!$C$3:$C$14,'Base IPCA'!$E$3:$E$14,AH1982,"Cubic","Extrapolate=Linear","MultiX=Average","Skip=True","Sort=True")</f>
        <v>#N/A Invalid Parameter: Interpolation value</v>
      </c>
      <c r="AJ1982" s="43" t="str">
        <f ca="1"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15"/>
        <v>#REF!</v>
      </c>
      <c r="AI1983" s="43" t="str">
        <f ca="1">_xll.BInterpol('Base IPCA'!$C$3:$C$14,'Base IPCA'!$E$3:$E$14,AH1983,"Cubic","Extrapolate=Linear","MultiX=Average","Skip=True","Sort=True")</f>
        <v>#N/A Invalid Parameter: Interpolation value</v>
      </c>
      <c r="AJ1983" s="43" t="str">
        <f ca="1"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15"/>
        <v>#REF!</v>
      </c>
      <c r="AI1984" s="43" t="str">
        <f ca="1">_xll.BInterpol('Base IPCA'!$C$3:$C$14,'Base IPCA'!$E$3:$E$14,AH1984,"Cubic","Extrapolate=Linear","MultiX=Average","Skip=True","Sort=True")</f>
        <v>#N/A Invalid Parameter: Interpolation value</v>
      </c>
      <c r="AJ1984" s="43" t="str">
        <f ca="1"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15"/>
        <v>#REF!</v>
      </c>
      <c r="AI1985" s="43" t="str">
        <f ca="1">_xll.BInterpol('Base IPCA'!$C$3:$C$14,'Base IPCA'!$E$3:$E$14,AH1985,"Cubic","Extrapolate=Linear","MultiX=Average","Skip=True","Sort=True")</f>
        <v>#N/A Invalid Parameter: Interpolation value</v>
      </c>
      <c r="AJ1985" s="43" t="str">
        <f ca="1"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15"/>
        <v>#REF!</v>
      </c>
      <c r="AI1986" s="43" t="str">
        <f ca="1">_xll.BInterpol('Base IPCA'!$C$3:$C$14,'Base IPCA'!$E$3:$E$14,AH1986,"Cubic","Extrapolate=Linear","MultiX=Average","Skip=True","Sort=True")</f>
        <v>#N/A Invalid Parameter: Interpolation value</v>
      </c>
      <c r="AJ1986" s="43" t="str">
        <f ca="1"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15"/>
        <v>#REF!</v>
      </c>
      <c r="AI1987" s="43" t="str">
        <f ca="1">_xll.BInterpol('Base IPCA'!$C$3:$C$14,'Base IPCA'!$E$3:$E$14,AH1987,"Cubic","Extrapolate=Linear","MultiX=Average","Skip=True","Sort=True")</f>
        <v>#N/A Invalid Parameter: Interpolation value</v>
      </c>
      <c r="AJ1987" s="43" t="str">
        <f ca="1"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15"/>
        <v>#REF!</v>
      </c>
      <c r="AI1988" s="43" t="str">
        <f ca="1">_xll.BInterpol('Base IPCA'!$C$3:$C$14,'Base IPCA'!$E$3:$E$14,AH1988,"Cubic","Extrapolate=Linear","MultiX=Average","Skip=True","Sort=True")</f>
        <v>#N/A Invalid Parameter: Interpolation value</v>
      </c>
      <c r="AJ1988" s="43" t="str">
        <f ca="1"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15"/>
        <v>#REF!</v>
      </c>
      <c r="AI1989" s="43" t="str">
        <f ca="1">_xll.BInterpol('Base IPCA'!$C$3:$C$14,'Base IPCA'!$E$3:$E$14,AH1989,"Cubic","Extrapolate=Linear","MultiX=Average","Skip=True","Sort=True")</f>
        <v>#N/A Invalid Parameter: Interpolation value</v>
      </c>
      <c r="AJ1989" s="43" t="str">
        <f ca="1"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16">AH1989+1</f>
        <v>#REF!</v>
      </c>
      <c r="AI1990" s="43" t="str">
        <f ca="1">_xll.BInterpol('Base IPCA'!$C$3:$C$14,'Base IPCA'!$E$3:$E$14,AH1990,"Cubic","Extrapolate=Linear","MultiX=Average","Skip=True","Sort=True")</f>
        <v>#N/A Invalid Parameter: Interpolation value</v>
      </c>
      <c r="AJ1990" s="43" t="str">
        <f ca="1"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16"/>
        <v>#REF!</v>
      </c>
      <c r="AI1991" s="43" t="str">
        <f ca="1">_xll.BInterpol('Base IPCA'!$C$3:$C$14,'Base IPCA'!$E$3:$E$14,AH1991,"Cubic","Extrapolate=Linear","MultiX=Average","Skip=True","Sort=True")</f>
        <v>#N/A Invalid Parameter: Interpolation value</v>
      </c>
      <c r="AJ1991" s="43" t="str">
        <f ca="1"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16"/>
        <v>#REF!</v>
      </c>
      <c r="AI1992" s="43" t="str">
        <f ca="1">_xll.BInterpol('Base IPCA'!$C$3:$C$14,'Base IPCA'!$E$3:$E$14,AH1992,"Cubic","Extrapolate=Linear","MultiX=Average","Skip=True","Sort=True")</f>
        <v>#N/A Invalid Parameter: Interpolation value</v>
      </c>
      <c r="AJ1992" s="43" t="str">
        <f ca="1"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16"/>
        <v>#REF!</v>
      </c>
      <c r="AI1993" s="43" t="str">
        <f ca="1">_xll.BInterpol('Base IPCA'!$C$3:$C$14,'Base IPCA'!$E$3:$E$14,AH1993,"Cubic","Extrapolate=Linear","MultiX=Average","Skip=True","Sort=True")</f>
        <v>#N/A Invalid Parameter: Interpolation value</v>
      </c>
      <c r="AJ1993" s="43" t="str">
        <f ca="1"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16"/>
        <v>#REF!</v>
      </c>
      <c r="AI1994" s="43" t="str">
        <f ca="1">_xll.BInterpol('Base IPCA'!$C$3:$C$14,'Base IPCA'!$E$3:$E$14,AH1994,"Cubic","Extrapolate=Linear","MultiX=Average","Skip=True","Sort=True")</f>
        <v>#N/A Invalid Parameter: Interpolation value</v>
      </c>
      <c r="AJ1994" s="43" t="str">
        <f ca="1"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16"/>
        <v>#REF!</v>
      </c>
      <c r="AI1995" s="43" t="str">
        <f ca="1">_xll.BInterpol('Base IPCA'!$C$3:$C$14,'Base IPCA'!$E$3:$E$14,AH1995,"Cubic","Extrapolate=Linear","MultiX=Average","Skip=True","Sort=True")</f>
        <v>#N/A Invalid Parameter: Interpolation value</v>
      </c>
      <c r="AJ1995" s="43" t="str">
        <f ca="1"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16"/>
        <v>#REF!</v>
      </c>
      <c r="AI1996" s="43" t="str">
        <f ca="1">_xll.BInterpol('Base IPCA'!$C$3:$C$14,'Base IPCA'!$E$3:$E$14,AH1996,"Cubic","Extrapolate=Linear","MultiX=Average","Skip=True","Sort=True")</f>
        <v>#N/A Invalid Parameter: Interpolation value</v>
      </c>
      <c r="AJ1996" s="43" t="str">
        <f ca="1"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16"/>
        <v>#REF!</v>
      </c>
      <c r="AI1997" s="43" t="str">
        <f ca="1">_xll.BInterpol('Base IPCA'!$C$3:$C$14,'Base IPCA'!$E$3:$E$14,AH1997,"Cubic","Extrapolate=Linear","MultiX=Average","Skip=True","Sort=True")</f>
        <v>#N/A Invalid Parameter: Interpolation value</v>
      </c>
      <c r="AJ1997" s="43" t="str">
        <f ca="1"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16"/>
        <v>#REF!</v>
      </c>
      <c r="AI1998" s="43" t="str">
        <f ca="1">_xll.BInterpol('Base IPCA'!$C$3:$C$14,'Base IPCA'!$E$3:$E$14,AH1998,"Cubic","Extrapolate=Linear","MultiX=Average","Skip=True","Sort=True")</f>
        <v>#N/A Invalid Parameter: Interpolation value</v>
      </c>
      <c r="AJ1998" s="43" t="str">
        <f ca="1"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16"/>
        <v>#REF!</v>
      </c>
      <c r="AI1999" s="43" t="str">
        <f ca="1">_xll.BInterpol('Base IPCA'!$C$3:$C$14,'Base IPCA'!$E$3:$E$14,AH1999,"Cubic","Extrapolate=Linear","MultiX=Average","Skip=True","Sort=True")</f>
        <v>#N/A Invalid Parameter: Interpolation value</v>
      </c>
      <c r="AJ1999" s="43" t="str">
        <f ca="1"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16"/>
        <v>#REF!</v>
      </c>
      <c r="AI2000" s="43" t="str">
        <f ca="1">_xll.BInterpol('Base IPCA'!$C$3:$C$14,'Base IPCA'!$E$3:$E$14,AH2000,"Cubic","Extrapolate=Linear","MultiX=Average","Skip=True","Sort=True")</f>
        <v>#N/A Invalid Parameter: Interpolation value</v>
      </c>
      <c r="AJ2000" s="43" t="str">
        <f ca="1"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16"/>
        <v>#REF!</v>
      </c>
      <c r="AI2001" s="43" t="str">
        <f ca="1">_xll.BInterpol('Base IPCA'!$C$3:$C$14,'Base IPCA'!$E$3:$E$14,AH2001,"Cubic","Extrapolate=Linear","MultiX=Average","Skip=True","Sort=True")</f>
        <v>#N/A Invalid Parameter: Interpolation value</v>
      </c>
      <c r="AJ2001" s="43" t="str">
        <f ca="1"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16"/>
        <v>#REF!</v>
      </c>
      <c r="AI2002" s="43" t="str">
        <f ca="1">_xll.BInterpol('Base IPCA'!$C$3:$C$14,'Base IPCA'!$E$3:$E$14,AH2002,"Cubic","Extrapolate=Linear","MultiX=Average","Skip=True","Sort=True")</f>
        <v>#N/A Invalid Parameter: Interpolation value</v>
      </c>
      <c r="AJ2002" s="43" t="str">
        <f ca="1"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16"/>
        <v>#REF!</v>
      </c>
      <c r="AI2003" s="43" t="str">
        <f ca="1">_xll.BInterpol('Base IPCA'!$C$3:$C$14,'Base IPCA'!$E$3:$E$14,AH2003,"Cubic","Extrapolate=Linear","MultiX=Average","Skip=True","Sort=True")</f>
        <v>#N/A Invalid Parameter: Interpolation value</v>
      </c>
      <c r="AJ2003" s="43" t="str">
        <f ca="1"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16"/>
        <v>#REF!</v>
      </c>
      <c r="AI2004" s="43" t="str">
        <f ca="1">_xll.BInterpol('Base IPCA'!$C$3:$C$14,'Base IPCA'!$E$3:$E$14,AH2004,"Cubic","Extrapolate=Linear","MultiX=Average","Skip=True","Sort=True")</f>
        <v>#N/A Invalid Parameter: Interpolation value</v>
      </c>
      <c r="AJ2004" s="43" t="str">
        <f ca="1"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16"/>
        <v>#REF!</v>
      </c>
      <c r="AI2005" s="43" t="str">
        <f ca="1">_xll.BInterpol('Base IPCA'!$C$3:$C$14,'Base IPCA'!$E$3:$E$14,AH2005,"Cubic","Extrapolate=Linear","MultiX=Average","Skip=True","Sort=True")</f>
        <v>#N/A Invalid Parameter: Interpolation value</v>
      </c>
      <c r="AJ2005" s="43" t="str">
        <f ca="1"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16"/>
        <v>#REF!</v>
      </c>
      <c r="AI2006" s="43" t="str">
        <f ca="1">_xll.BInterpol('Base IPCA'!$C$3:$C$14,'Base IPCA'!$E$3:$E$14,AH2006,"Cubic","Extrapolate=Linear","MultiX=Average","Skip=True","Sort=True")</f>
        <v>#N/A Invalid Parameter: Interpolation value</v>
      </c>
      <c r="AJ2006" s="43" t="str">
        <f ca="1"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16"/>
        <v>#REF!</v>
      </c>
      <c r="AI2007" s="43" t="str">
        <f ca="1">_xll.BInterpol('Base IPCA'!$C$3:$C$14,'Base IPCA'!$E$3:$E$14,AH2007,"Cubic","Extrapolate=Linear","MultiX=Average","Skip=True","Sort=True")</f>
        <v>#N/A Invalid Parameter: Interpolation value</v>
      </c>
      <c r="AJ2007" s="43" t="str">
        <f ca="1"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16"/>
        <v>#REF!</v>
      </c>
      <c r="AI2008" s="43" t="str">
        <f ca="1">_xll.BInterpol('Base IPCA'!$C$3:$C$14,'Base IPCA'!$E$3:$E$14,AH2008,"Cubic","Extrapolate=Linear","MultiX=Average","Skip=True","Sort=True")</f>
        <v>#N/A Invalid Parameter: Interpolation value</v>
      </c>
      <c r="AJ2008" s="43" t="str">
        <f ca="1"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16"/>
        <v>#REF!</v>
      </c>
      <c r="AI2009" s="43" t="str">
        <f ca="1">_xll.BInterpol('Base IPCA'!$C$3:$C$14,'Base IPCA'!$E$3:$E$14,AH2009,"Cubic","Extrapolate=Linear","MultiX=Average","Skip=True","Sort=True")</f>
        <v>#N/A Invalid Parameter: Interpolation value</v>
      </c>
      <c r="AJ2009" s="43" t="str">
        <f ca="1"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16"/>
        <v>#REF!</v>
      </c>
      <c r="AI2010" s="43" t="str">
        <f ca="1">_xll.BInterpol('Base IPCA'!$C$3:$C$14,'Base IPCA'!$E$3:$E$14,AH2010,"Cubic","Extrapolate=Linear","MultiX=Average","Skip=True","Sort=True")</f>
        <v>#N/A Invalid Parameter: Interpolation value</v>
      </c>
      <c r="AJ2010" s="43" t="str">
        <f ca="1"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16"/>
        <v>#REF!</v>
      </c>
      <c r="AI2011" s="43" t="str">
        <f ca="1">_xll.BInterpol('Base IPCA'!$C$3:$C$14,'Base IPCA'!$E$3:$E$14,AH2011,"Cubic","Extrapolate=Linear","MultiX=Average","Skip=True","Sort=True")</f>
        <v>#N/A Invalid Parameter: Interpolation value</v>
      </c>
      <c r="AJ2011" s="43" t="str">
        <f ca="1"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16"/>
        <v>#REF!</v>
      </c>
      <c r="AI2012" s="43" t="str">
        <f ca="1">_xll.BInterpol('Base IPCA'!$C$3:$C$14,'Base IPCA'!$E$3:$E$14,AH2012,"Cubic","Extrapolate=Linear","MultiX=Average","Skip=True","Sort=True")</f>
        <v>#N/A Invalid Parameter: Interpolation value</v>
      </c>
      <c r="AJ2012" s="43" t="str">
        <f ca="1"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16"/>
        <v>#REF!</v>
      </c>
      <c r="AI2013" s="43" t="str">
        <f ca="1">_xll.BInterpol('Base IPCA'!$C$3:$C$14,'Base IPCA'!$E$3:$E$14,AH2013,"Cubic","Extrapolate=Linear","MultiX=Average","Skip=True","Sort=True")</f>
        <v>#N/A Invalid Parameter: Interpolation value</v>
      </c>
      <c r="AJ2013" s="43" t="str">
        <f ca="1"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16"/>
        <v>#REF!</v>
      </c>
      <c r="AI2014" s="43" t="str">
        <f ca="1">_xll.BInterpol('Base IPCA'!$C$3:$C$14,'Base IPCA'!$E$3:$E$14,AH2014,"Cubic","Extrapolate=Linear","MultiX=Average","Skip=True","Sort=True")</f>
        <v>#N/A Invalid Parameter: Interpolation value</v>
      </c>
      <c r="AJ2014" s="43" t="str">
        <f ca="1"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16"/>
        <v>#REF!</v>
      </c>
      <c r="AI2015" s="43" t="str">
        <f ca="1">_xll.BInterpol('Base IPCA'!$C$3:$C$14,'Base IPCA'!$E$3:$E$14,AH2015,"Cubic","Extrapolate=Linear","MultiX=Average","Skip=True","Sort=True")</f>
        <v>#N/A Invalid Parameter: Interpolation value</v>
      </c>
      <c r="AJ2015" s="43" t="str">
        <f ca="1"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16"/>
        <v>#REF!</v>
      </c>
      <c r="AI2016" s="43" t="str">
        <f ca="1">_xll.BInterpol('Base IPCA'!$C$3:$C$14,'Base IPCA'!$E$3:$E$14,AH2016,"Cubic","Extrapolate=Linear","MultiX=Average","Skip=True","Sort=True")</f>
        <v>#N/A Invalid Parameter: Interpolation value</v>
      </c>
      <c r="AJ2016" s="43" t="str">
        <f ca="1"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16"/>
        <v>#REF!</v>
      </c>
      <c r="AI2017" s="43" t="str">
        <f ca="1">_xll.BInterpol('Base IPCA'!$C$3:$C$14,'Base IPCA'!$E$3:$E$14,AH2017,"Cubic","Extrapolate=Linear","MultiX=Average","Skip=True","Sort=True")</f>
        <v>#N/A Invalid Parameter: Interpolation value</v>
      </c>
      <c r="AJ2017" s="43" t="str">
        <f ca="1"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16"/>
        <v>#REF!</v>
      </c>
      <c r="AI2018" s="43" t="str">
        <f ca="1">_xll.BInterpol('Base IPCA'!$C$3:$C$14,'Base IPCA'!$E$3:$E$14,AH2018,"Cubic","Extrapolate=Linear","MultiX=Average","Skip=True","Sort=True")</f>
        <v>#N/A Invalid Parameter: Interpolation value</v>
      </c>
      <c r="AJ2018" s="43" t="str">
        <f ca="1"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16"/>
        <v>#REF!</v>
      </c>
      <c r="AI2019" s="43" t="str">
        <f ca="1">_xll.BInterpol('Base IPCA'!$C$3:$C$14,'Base IPCA'!$E$3:$E$14,AH2019,"Cubic","Extrapolate=Linear","MultiX=Average","Skip=True","Sort=True")</f>
        <v>#N/A Invalid Parameter: Interpolation value</v>
      </c>
      <c r="AJ2019" s="43" t="str">
        <f ca="1"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16"/>
        <v>#REF!</v>
      </c>
      <c r="AI2020" s="43" t="str">
        <f ca="1">_xll.BInterpol('Base IPCA'!$C$3:$C$14,'Base IPCA'!$E$3:$E$14,AH2020,"Cubic","Extrapolate=Linear","MultiX=Average","Skip=True","Sort=True")</f>
        <v>#N/A Invalid Parameter: Interpolation value</v>
      </c>
      <c r="AJ2020" s="43" t="str">
        <f ca="1"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16"/>
        <v>#REF!</v>
      </c>
      <c r="AI2021" s="43" t="str">
        <f ca="1">_xll.BInterpol('Base IPCA'!$C$3:$C$14,'Base IPCA'!$E$3:$E$14,AH2021,"Cubic","Extrapolate=Linear","MultiX=Average","Skip=True","Sort=True")</f>
        <v>#N/A Invalid Parameter: Interpolation value</v>
      </c>
      <c r="AJ2021" s="43" t="str">
        <f ca="1"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16"/>
        <v>#REF!</v>
      </c>
      <c r="AI2022" s="43" t="str">
        <f ca="1">_xll.BInterpol('Base IPCA'!$C$3:$C$14,'Base IPCA'!$E$3:$E$14,AH2022,"Cubic","Extrapolate=Linear","MultiX=Average","Skip=True","Sort=True")</f>
        <v>#N/A Invalid Parameter: Interpolation value</v>
      </c>
      <c r="AJ2022" s="43" t="str">
        <f ca="1"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16"/>
        <v>#REF!</v>
      </c>
      <c r="AI2023" s="43" t="str">
        <f ca="1">_xll.BInterpol('Base IPCA'!$C$3:$C$14,'Base IPCA'!$E$3:$E$14,AH2023,"Cubic","Extrapolate=Linear","MultiX=Average","Skip=True","Sort=True")</f>
        <v>#N/A Invalid Parameter: Interpolation value</v>
      </c>
      <c r="AJ2023" s="43" t="str">
        <f ca="1"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16"/>
        <v>#REF!</v>
      </c>
      <c r="AI2024" s="43" t="str">
        <f ca="1">_xll.BInterpol('Base IPCA'!$C$3:$C$14,'Base IPCA'!$E$3:$E$14,AH2024,"Cubic","Extrapolate=Linear","MultiX=Average","Skip=True","Sort=True")</f>
        <v>#N/A Invalid Parameter: Interpolation value</v>
      </c>
      <c r="AJ2024" s="43" t="str">
        <f ca="1"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16"/>
        <v>#REF!</v>
      </c>
      <c r="AI2025" s="43" t="str">
        <f ca="1">_xll.BInterpol('Base IPCA'!$C$3:$C$14,'Base IPCA'!$E$3:$E$14,AH2025,"Cubic","Extrapolate=Linear","MultiX=Average","Skip=True","Sort=True")</f>
        <v>#N/A Invalid Parameter: Interpolation value</v>
      </c>
      <c r="AJ2025" s="43" t="str">
        <f ca="1"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16"/>
        <v>#REF!</v>
      </c>
      <c r="AI2026" s="43" t="str">
        <f ca="1">_xll.BInterpol('Base IPCA'!$C$3:$C$14,'Base IPCA'!$E$3:$E$14,AH2026,"Cubic","Extrapolate=Linear","MultiX=Average","Skip=True","Sort=True")</f>
        <v>#N/A Invalid Parameter: Interpolation value</v>
      </c>
      <c r="AJ2026" s="43" t="str">
        <f ca="1"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16"/>
        <v>#REF!</v>
      </c>
      <c r="AI2027" s="43" t="str">
        <f ca="1">_xll.BInterpol('Base IPCA'!$C$3:$C$14,'Base IPCA'!$E$3:$E$14,AH2027,"Cubic","Extrapolate=Linear","MultiX=Average","Skip=True","Sort=True")</f>
        <v>#N/A Invalid Parameter: Interpolation value</v>
      </c>
      <c r="AJ2027" s="43" t="str">
        <f ca="1"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16"/>
        <v>#REF!</v>
      </c>
      <c r="AI2028" s="43" t="str">
        <f ca="1">_xll.BInterpol('Base IPCA'!$C$3:$C$14,'Base IPCA'!$E$3:$E$14,AH2028,"Cubic","Extrapolate=Linear","MultiX=Average","Skip=True","Sort=True")</f>
        <v>#N/A Invalid Parameter: Interpolation value</v>
      </c>
      <c r="AJ2028" s="43" t="str">
        <f ca="1"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16"/>
        <v>#REF!</v>
      </c>
      <c r="AI2029" s="43" t="str">
        <f ca="1">_xll.BInterpol('Base IPCA'!$C$3:$C$14,'Base IPCA'!$E$3:$E$14,AH2029,"Cubic","Extrapolate=Linear","MultiX=Average","Skip=True","Sort=True")</f>
        <v>#N/A Invalid Parameter: Interpolation value</v>
      </c>
      <c r="AJ2029" s="43" t="str">
        <f ca="1"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16"/>
        <v>#REF!</v>
      </c>
      <c r="AI2030" s="43" t="str">
        <f ca="1">_xll.BInterpol('Base IPCA'!$C$3:$C$14,'Base IPCA'!$E$3:$E$14,AH2030,"Cubic","Extrapolate=Linear","MultiX=Average","Skip=True","Sort=True")</f>
        <v>#N/A Invalid Parameter: Interpolation value</v>
      </c>
      <c r="AJ2030" s="43" t="str">
        <f ca="1"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16"/>
        <v>#REF!</v>
      </c>
      <c r="AI2031" s="43" t="str">
        <f ca="1">_xll.BInterpol('Base IPCA'!$C$3:$C$14,'Base IPCA'!$E$3:$E$14,AH2031,"Cubic","Extrapolate=Linear","MultiX=Average","Skip=True","Sort=True")</f>
        <v>#N/A Invalid Parameter: Interpolation value</v>
      </c>
      <c r="AJ2031" s="43" t="str">
        <f ca="1"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16"/>
        <v>#REF!</v>
      </c>
      <c r="AI2032" s="43" t="str">
        <f ca="1">_xll.BInterpol('Base IPCA'!$C$3:$C$14,'Base IPCA'!$E$3:$E$14,AH2032,"Cubic","Extrapolate=Linear","MultiX=Average","Skip=True","Sort=True")</f>
        <v>#N/A Invalid Parameter: Interpolation value</v>
      </c>
      <c r="AJ2032" s="43" t="str">
        <f ca="1"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16"/>
        <v>#REF!</v>
      </c>
      <c r="AI2033" s="43" t="str">
        <f ca="1">_xll.BInterpol('Base IPCA'!$C$3:$C$14,'Base IPCA'!$E$3:$E$14,AH2033,"Cubic","Extrapolate=Linear","MultiX=Average","Skip=True","Sort=True")</f>
        <v>#N/A Invalid Parameter: Interpolation value</v>
      </c>
      <c r="AJ2033" s="43" t="str">
        <f ca="1"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16"/>
        <v>#REF!</v>
      </c>
      <c r="AI2034" s="43" t="str">
        <f ca="1">_xll.BInterpol('Base IPCA'!$C$3:$C$14,'Base IPCA'!$E$3:$E$14,AH2034,"Cubic","Extrapolate=Linear","MultiX=Average","Skip=True","Sort=True")</f>
        <v>#N/A Invalid Parameter: Interpolation value</v>
      </c>
      <c r="AJ2034" s="43" t="str">
        <f ca="1"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16"/>
        <v>#REF!</v>
      </c>
      <c r="AI2035" s="43" t="str">
        <f ca="1">_xll.BInterpol('Base IPCA'!$C$3:$C$14,'Base IPCA'!$E$3:$E$14,AH2035,"Cubic","Extrapolate=Linear","MultiX=Average","Skip=True","Sort=True")</f>
        <v>#N/A Invalid Parameter: Interpolation value</v>
      </c>
      <c r="AJ2035" s="43" t="str">
        <f ca="1"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16"/>
        <v>#REF!</v>
      </c>
      <c r="AI2036" s="43" t="str">
        <f ca="1">_xll.BInterpol('Base IPCA'!$C$3:$C$14,'Base IPCA'!$E$3:$E$14,AH2036,"Cubic","Extrapolate=Linear","MultiX=Average","Skip=True","Sort=True")</f>
        <v>#N/A Invalid Parameter: Interpolation value</v>
      </c>
      <c r="AJ2036" s="43" t="str">
        <f ca="1"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16"/>
        <v>#REF!</v>
      </c>
      <c r="AI2037" s="43" t="str">
        <f ca="1">_xll.BInterpol('Base IPCA'!$C$3:$C$14,'Base IPCA'!$E$3:$E$14,AH2037,"Cubic","Extrapolate=Linear","MultiX=Average","Skip=True","Sort=True")</f>
        <v>#N/A Invalid Parameter: Interpolation value</v>
      </c>
      <c r="AJ2037" s="43" t="str">
        <f ca="1"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16"/>
        <v>#REF!</v>
      </c>
      <c r="AI2038" s="43" t="str">
        <f ca="1">_xll.BInterpol('Base IPCA'!$C$3:$C$14,'Base IPCA'!$E$3:$E$14,AH2038,"Cubic","Extrapolate=Linear","MultiX=Average","Skip=True","Sort=True")</f>
        <v>#N/A Invalid Parameter: Interpolation value</v>
      </c>
      <c r="AJ2038" s="43" t="str">
        <f ca="1"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16"/>
        <v>#REF!</v>
      </c>
      <c r="AI2039" s="43" t="str">
        <f ca="1">_xll.BInterpol('Base IPCA'!$C$3:$C$14,'Base IPCA'!$E$3:$E$14,AH2039,"Cubic","Extrapolate=Linear","MultiX=Average","Skip=True","Sort=True")</f>
        <v>#N/A Invalid Parameter: Interpolation value</v>
      </c>
      <c r="AJ2039" s="43" t="str">
        <f ca="1"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16"/>
        <v>#REF!</v>
      </c>
      <c r="AI2040" s="43" t="str">
        <f ca="1">_xll.BInterpol('Base IPCA'!$C$3:$C$14,'Base IPCA'!$E$3:$E$14,AH2040,"Cubic","Extrapolate=Linear","MultiX=Average","Skip=True","Sort=True")</f>
        <v>#N/A Invalid Parameter: Interpolation value</v>
      </c>
      <c r="AJ2040" s="43" t="str">
        <f ca="1"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16"/>
        <v>#REF!</v>
      </c>
      <c r="AI2041" s="43" t="str">
        <f ca="1">_xll.BInterpol('Base IPCA'!$C$3:$C$14,'Base IPCA'!$E$3:$E$14,AH2041,"Cubic","Extrapolate=Linear","MultiX=Average","Skip=True","Sort=True")</f>
        <v>#N/A Invalid Parameter: Interpolation value</v>
      </c>
      <c r="AJ2041" s="43" t="str">
        <f ca="1"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16"/>
        <v>#REF!</v>
      </c>
      <c r="AI2042" s="43" t="str">
        <f ca="1">_xll.BInterpol('Base IPCA'!$C$3:$C$14,'Base IPCA'!$E$3:$E$14,AH2042,"Cubic","Extrapolate=Linear","MultiX=Average","Skip=True","Sort=True")</f>
        <v>#N/A Invalid Parameter: Interpolation value</v>
      </c>
      <c r="AJ2042" s="43" t="str">
        <f ca="1"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16"/>
        <v>#REF!</v>
      </c>
      <c r="AI2043" s="43" t="str">
        <f ca="1">_xll.BInterpol('Base IPCA'!$C$3:$C$14,'Base IPCA'!$E$3:$E$14,AH2043,"Cubic","Extrapolate=Linear","MultiX=Average","Skip=True","Sort=True")</f>
        <v>#N/A Invalid Parameter: Interpolation value</v>
      </c>
      <c r="AJ2043" s="43" t="str">
        <f ca="1"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16"/>
        <v>#REF!</v>
      </c>
      <c r="AI2044" s="43" t="str">
        <f ca="1">_xll.BInterpol('Base IPCA'!$C$3:$C$14,'Base IPCA'!$E$3:$E$14,AH2044,"Cubic","Extrapolate=Linear","MultiX=Average","Skip=True","Sort=True")</f>
        <v>#N/A Invalid Parameter: Interpolation value</v>
      </c>
      <c r="AJ2044" s="43" t="str">
        <f ca="1"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16"/>
        <v>#REF!</v>
      </c>
      <c r="AI2045" s="43" t="str">
        <f ca="1">_xll.BInterpol('Base IPCA'!$C$3:$C$14,'Base IPCA'!$E$3:$E$14,AH2045,"Cubic","Extrapolate=Linear","MultiX=Average","Skip=True","Sort=True")</f>
        <v>#N/A Invalid Parameter: Interpolation value</v>
      </c>
      <c r="AJ2045" s="43" t="str">
        <f ca="1"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16"/>
        <v>#REF!</v>
      </c>
      <c r="AI2046" s="43" t="str">
        <f ca="1">_xll.BInterpol('Base IPCA'!$C$3:$C$14,'Base IPCA'!$E$3:$E$14,AH2046,"Cubic","Extrapolate=Linear","MultiX=Average","Skip=True","Sort=True")</f>
        <v>#N/A Invalid Parameter: Interpolation value</v>
      </c>
      <c r="AJ2046" s="43" t="str">
        <f ca="1"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16"/>
        <v>#REF!</v>
      </c>
      <c r="AI2047" s="43" t="str">
        <f ca="1">_xll.BInterpol('Base IPCA'!$C$3:$C$14,'Base IPCA'!$E$3:$E$14,AH2047,"Cubic","Extrapolate=Linear","MultiX=Average","Skip=True","Sort=True")</f>
        <v>#N/A Invalid Parameter: Interpolation value</v>
      </c>
      <c r="AJ2047" s="43" t="str">
        <f ca="1"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16"/>
        <v>#REF!</v>
      </c>
      <c r="AI2048" s="43" t="str">
        <f ca="1">_xll.BInterpol('Base IPCA'!$C$3:$C$14,'Base IPCA'!$E$3:$E$14,AH2048,"Cubic","Extrapolate=Linear","MultiX=Average","Skip=True","Sort=True")</f>
        <v>#N/A Invalid Parameter: Interpolation value</v>
      </c>
      <c r="AJ2048" s="43" t="str">
        <f ca="1"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16"/>
        <v>#REF!</v>
      </c>
      <c r="AI2049" s="43" t="str">
        <f ca="1">_xll.BInterpol('Base IPCA'!$C$3:$C$14,'Base IPCA'!$E$3:$E$14,AH2049,"Cubic","Extrapolate=Linear","MultiX=Average","Skip=True","Sort=True")</f>
        <v>#N/A Invalid Parameter: Interpolation value</v>
      </c>
      <c r="AJ2049" s="43" t="str">
        <f ca="1"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16"/>
        <v>#REF!</v>
      </c>
      <c r="AI2050" s="43" t="str">
        <f ca="1">_xll.BInterpol('Base IPCA'!$C$3:$C$14,'Base IPCA'!$E$3:$E$14,AH2050,"Cubic","Extrapolate=Linear","MultiX=Average","Skip=True","Sort=True")</f>
        <v>#N/A Invalid Parameter: Interpolation value</v>
      </c>
      <c r="AJ2050" s="43" t="str">
        <f ca="1"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16"/>
        <v>#REF!</v>
      </c>
      <c r="AI2051" s="43" t="str">
        <f ca="1">_xll.BInterpol('Base IPCA'!$C$3:$C$14,'Base IPCA'!$E$3:$E$14,AH2051,"Cubic","Extrapolate=Linear","MultiX=Average","Skip=True","Sort=True")</f>
        <v>#N/A Invalid Parameter: Interpolation value</v>
      </c>
      <c r="AJ2051" s="43" t="str">
        <f ca="1"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16"/>
        <v>#REF!</v>
      </c>
      <c r="AI2052" s="43" t="str">
        <f ca="1">_xll.BInterpol('Base IPCA'!$C$3:$C$14,'Base IPCA'!$E$3:$E$14,AH2052,"Cubic","Extrapolate=Linear","MultiX=Average","Skip=True","Sort=True")</f>
        <v>#N/A Invalid Parameter: Interpolation value</v>
      </c>
      <c r="AJ2052" s="43" t="str">
        <f ca="1"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16"/>
        <v>#REF!</v>
      </c>
      <c r="AI2053" s="43" t="str">
        <f ca="1">_xll.BInterpol('Base IPCA'!$C$3:$C$14,'Base IPCA'!$E$3:$E$14,AH2053,"Cubic","Extrapolate=Linear","MultiX=Average","Skip=True","Sort=True")</f>
        <v>#N/A Invalid Parameter: Interpolation value</v>
      </c>
      <c r="AJ2053" s="43" t="str">
        <f ca="1"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17">AH2053+1</f>
        <v>#REF!</v>
      </c>
      <c r="AI2054" s="43" t="str">
        <f ca="1">_xll.BInterpol('Base IPCA'!$C$3:$C$14,'Base IPCA'!$E$3:$E$14,AH2054,"Cubic","Extrapolate=Linear","MultiX=Average","Skip=True","Sort=True")</f>
        <v>#N/A Invalid Parameter: Interpolation value</v>
      </c>
      <c r="AJ2054" s="43" t="str">
        <f ca="1"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17"/>
        <v>#REF!</v>
      </c>
      <c r="AI2055" s="43" t="str">
        <f ca="1">_xll.BInterpol('Base IPCA'!$C$3:$C$14,'Base IPCA'!$E$3:$E$14,AH2055,"Cubic","Extrapolate=Linear","MultiX=Average","Skip=True","Sort=True")</f>
        <v>#N/A Invalid Parameter: Interpolation value</v>
      </c>
      <c r="AJ2055" s="43" t="str">
        <f ca="1"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17"/>
        <v>#REF!</v>
      </c>
      <c r="AI2056" s="43" t="str">
        <f ca="1">_xll.BInterpol('Base IPCA'!$C$3:$C$14,'Base IPCA'!$E$3:$E$14,AH2056,"Cubic","Extrapolate=Linear","MultiX=Average","Skip=True","Sort=True")</f>
        <v>#N/A Invalid Parameter: Interpolation value</v>
      </c>
      <c r="AJ2056" s="43" t="str">
        <f ca="1"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17"/>
        <v>#REF!</v>
      </c>
      <c r="AI2057" s="43" t="str">
        <f ca="1">_xll.BInterpol('Base IPCA'!$C$3:$C$14,'Base IPCA'!$E$3:$E$14,AH2057,"Cubic","Extrapolate=Linear","MultiX=Average","Skip=True","Sort=True")</f>
        <v>#N/A Invalid Parameter: Interpolation value</v>
      </c>
      <c r="AJ2057" s="43" t="str">
        <f ca="1"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17"/>
        <v>#REF!</v>
      </c>
      <c r="AI2058" s="43" t="str">
        <f ca="1">_xll.BInterpol('Base IPCA'!$C$3:$C$14,'Base IPCA'!$E$3:$E$14,AH2058,"Cubic","Extrapolate=Linear","MultiX=Average","Skip=True","Sort=True")</f>
        <v>#N/A Invalid Parameter: Interpolation value</v>
      </c>
      <c r="AJ2058" s="43" t="str">
        <f ca="1"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17"/>
        <v>#REF!</v>
      </c>
      <c r="AI2059" s="43" t="str">
        <f ca="1">_xll.BInterpol('Base IPCA'!$C$3:$C$14,'Base IPCA'!$E$3:$E$14,AH2059,"Cubic","Extrapolate=Linear","MultiX=Average","Skip=True","Sort=True")</f>
        <v>#N/A Invalid Parameter: Interpolation value</v>
      </c>
      <c r="AJ2059" s="43" t="str">
        <f ca="1"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17"/>
        <v>#REF!</v>
      </c>
      <c r="AI2060" s="43" t="str">
        <f ca="1">_xll.BInterpol('Base IPCA'!$C$3:$C$14,'Base IPCA'!$E$3:$E$14,AH2060,"Cubic","Extrapolate=Linear","MultiX=Average","Skip=True","Sort=True")</f>
        <v>#N/A Invalid Parameter: Interpolation value</v>
      </c>
      <c r="AJ2060" s="43" t="str">
        <f ca="1"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17"/>
        <v>#REF!</v>
      </c>
      <c r="AI2061" s="43" t="str">
        <f ca="1">_xll.BInterpol('Base IPCA'!$C$3:$C$14,'Base IPCA'!$E$3:$E$14,AH2061,"Cubic","Extrapolate=Linear","MultiX=Average","Skip=True","Sort=True")</f>
        <v>#N/A Invalid Parameter: Interpolation value</v>
      </c>
      <c r="AJ2061" s="43" t="str">
        <f ca="1"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17"/>
        <v>#REF!</v>
      </c>
      <c r="AI2062" s="43" t="str">
        <f ca="1">_xll.BInterpol('Base IPCA'!$C$3:$C$14,'Base IPCA'!$E$3:$E$14,AH2062,"Cubic","Extrapolate=Linear","MultiX=Average","Skip=True","Sort=True")</f>
        <v>#N/A Invalid Parameter: Interpolation value</v>
      </c>
      <c r="AJ2062" s="43" t="str">
        <f ca="1"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17"/>
        <v>#REF!</v>
      </c>
      <c r="AI2063" s="43" t="str">
        <f ca="1">_xll.BInterpol('Base IPCA'!$C$3:$C$14,'Base IPCA'!$E$3:$E$14,AH2063,"Cubic","Extrapolate=Linear","MultiX=Average","Skip=True","Sort=True")</f>
        <v>#N/A Invalid Parameter: Interpolation value</v>
      </c>
      <c r="AJ2063" s="43" t="str">
        <f ca="1"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17"/>
        <v>#REF!</v>
      </c>
      <c r="AI2064" s="43" t="str">
        <f ca="1">_xll.BInterpol('Base IPCA'!$C$3:$C$14,'Base IPCA'!$E$3:$E$14,AH2064,"Cubic","Extrapolate=Linear","MultiX=Average","Skip=True","Sort=True")</f>
        <v>#N/A Invalid Parameter: Interpolation value</v>
      </c>
      <c r="AJ2064" s="43" t="str">
        <f ca="1"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17"/>
        <v>#REF!</v>
      </c>
      <c r="AI2065" s="43" t="str">
        <f ca="1">_xll.BInterpol('Base IPCA'!$C$3:$C$14,'Base IPCA'!$E$3:$E$14,AH2065,"Cubic","Extrapolate=Linear","MultiX=Average","Skip=True","Sort=True")</f>
        <v>#N/A Invalid Parameter: Interpolation value</v>
      </c>
      <c r="AJ2065" s="43" t="str">
        <f ca="1"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17"/>
        <v>#REF!</v>
      </c>
      <c r="AI2066" s="43" t="str">
        <f ca="1">_xll.BInterpol('Base IPCA'!$C$3:$C$14,'Base IPCA'!$E$3:$E$14,AH2066,"Cubic","Extrapolate=Linear","MultiX=Average","Skip=True","Sort=True")</f>
        <v>#N/A Invalid Parameter: Interpolation value</v>
      </c>
      <c r="AJ2066" s="43" t="str">
        <f ca="1"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17"/>
        <v>#REF!</v>
      </c>
      <c r="AI2067" s="43" t="str">
        <f ca="1">_xll.BInterpol('Base IPCA'!$C$3:$C$14,'Base IPCA'!$E$3:$E$14,AH2067,"Cubic","Extrapolate=Linear","MultiX=Average","Skip=True","Sort=True")</f>
        <v>#N/A Invalid Parameter: Interpolation value</v>
      </c>
      <c r="AJ2067" s="43" t="str">
        <f ca="1"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17"/>
        <v>#REF!</v>
      </c>
      <c r="AI2068" s="43" t="str">
        <f ca="1">_xll.BInterpol('Base IPCA'!$C$3:$C$14,'Base IPCA'!$E$3:$E$14,AH2068,"Cubic","Extrapolate=Linear","MultiX=Average","Skip=True","Sort=True")</f>
        <v>#N/A Invalid Parameter: Interpolation value</v>
      </c>
      <c r="AJ2068" s="43" t="str">
        <f ca="1"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17"/>
        <v>#REF!</v>
      </c>
      <c r="AI2069" s="43" t="str">
        <f ca="1">_xll.BInterpol('Base IPCA'!$C$3:$C$14,'Base IPCA'!$E$3:$E$14,AH2069,"Cubic","Extrapolate=Linear","MultiX=Average","Skip=True","Sort=True")</f>
        <v>#N/A Invalid Parameter: Interpolation value</v>
      </c>
      <c r="AJ2069" s="43" t="str">
        <f ca="1"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17"/>
        <v>#REF!</v>
      </c>
      <c r="AI2070" s="43" t="str">
        <f ca="1">_xll.BInterpol('Base IPCA'!$C$3:$C$14,'Base IPCA'!$E$3:$E$14,AH2070,"Cubic","Extrapolate=Linear","MultiX=Average","Skip=True","Sort=True")</f>
        <v>#N/A Invalid Parameter: Interpolation value</v>
      </c>
      <c r="AJ2070" s="43" t="str">
        <f ca="1"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17"/>
        <v>#REF!</v>
      </c>
      <c r="AI2071" s="43" t="str">
        <f ca="1">_xll.BInterpol('Base IPCA'!$C$3:$C$14,'Base IPCA'!$E$3:$E$14,AH2071,"Cubic","Extrapolate=Linear","MultiX=Average","Skip=True","Sort=True")</f>
        <v>#N/A Invalid Parameter: Interpolation value</v>
      </c>
      <c r="AJ2071" s="43" t="str">
        <f ca="1"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17"/>
        <v>#REF!</v>
      </c>
      <c r="AI2072" s="43" t="str">
        <f ca="1">_xll.BInterpol('Base IPCA'!$C$3:$C$14,'Base IPCA'!$E$3:$E$14,AH2072,"Cubic","Extrapolate=Linear","MultiX=Average","Skip=True","Sort=True")</f>
        <v>#N/A Invalid Parameter: Interpolation value</v>
      </c>
      <c r="AJ2072" s="43" t="str">
        <f ca="1"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17"/>
        <v>#REF!</v>
      </c>
      <c r="AI2073" s="43" t="str">
        <f ca="1">_xll.BInterpol('Base IPCA'!$C$3:$C$14,'Base IPCA'!$E$3:$E$14,AH2073,"Cubic","Extrapolate=Linear","MultiX=Average","Skip=True","Sort=True")</f>
        <v>#N/A Invalid Parameter: Interpolation value</v>
      </c>
      <c r="AJ2073" s="43" t="str">
        <f ca="1"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17"/>
        <v>#REF!</v>
      </c>
      <c r="AI2074" s="43" t="str">
        <f ca="1">_xll.BInterpol('Base IPCA'!$C$3:$C$14,'Base IPCA'!$E$3:$E$14,AH2074,"Cubic","Extrapolate=Linear","MultiX=Average","Skip=True","Sort=True")</f>
        <v>#N/A Invalid Parameter: Interpolation value</v>
      </c>
      <c r="AJ2074" s="43" t="str">
        <f ca="1"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17"/>
        <v>#REF!</v>
      </c>
      <c r="AI2075" s="43" t="str">
        <f ca="1">_xll.BInterpol('Base IPCA'!$C$3:$C$14,'Base IPCA'!$E$3:$E$14,AH2075,"Cubic","Extrapolate=Linear","MultiX=Average","Skip=True","Sort=True")</f>
        <v>#N/A Invalid Parameter: Interpolation value</v>
      </c>
      <c r="AJ2075" s="43" t="str">
        <f ca="1"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17"/>
        <v>#REF!</v>
      </c>
      <c r="AI2076" s="43" t="str">
        <f ca="1">_xll.BInterpol('Base IPCA'!$C$3:$C$14,'Base IPCA'!$E$3:$E$14,AH2076,"Cubic","Extrapolate=Linear","MultiX=Average","Skip=True","Sort=True")</f>
        <v>#N/A Invalid Parameter: Interpolation value</v>
      </c>
      <c r="AJ2076" s="43" t="str">
        <f ca="1"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17"/>
        <v>#REF!</v>
      </c>
      <c r="AI2077" s="43" t="str">
        <f ca="1">_xll.BInterpol('Base IPCA'!$C$3:$C$14,'Base IPCA'!$E$3:$E$14,AH2077,"Cubic","Extrapolate=Linear","MultiX=Average","Skip=True","Sort=True")</f>
        <v>#N/A Invalid Parameter: Interpolation value</v>
      </c>
      <c r="AJ2077" s="43" t="str">
        <f ca="1"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17"/>
        <v>#REF!</v>
      </c>
      <c r="AI2078" s="43" t="str">
        <f ca="1">_xll.BInterpol('Base IPCA'!$C$3:$C$14,'Base IPCA'!$E$3:$E$14,AH2078,"Cubic","Extrapolate=Linear","MultiX=Average","Skip=True","Sort=True")</f>
        <v>#N/A Invalid Parameter: Interpolation value</v>
      </c>
      <c r="AJ2078" s="43" t="str">
        <f ca="1"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17"/>
        <v>#REF!</v>
      </c>
      <c r="AI2079" s="43" t="str">
        <f ca="1">_xll.BInterpol('Base IPCA'!$C$3:$C$14,'Base IPCA'!$E$3:$E$14,AH2079,"Cubic","Extrapolate=Linear","MultiX=Average","Skip=True","Sort=True")</f>
        <v>#N/A Invalid Parameter: Interpolation value</v>
      </c>
      <c r="AJ2079" s="43" t="str">
        <f ca="1"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17"/>
        <v>#REF!</v>
      </c>
      <c r="AI2080" s="43" t="str">
        <f ca="1">_xll.BInterpol('Base IPCA'!$C$3:$C$14,'Base IPCA'!$E$3:$E$14,AH2080,"Cubic","Extrapolate=Linear","MultiX=Average","Skip=True","Sort=True")</f>
        <v>#N/A Invalid Parameter: Interpolation value</v>
      </c>
      <c r="AJ2080" s="43" t="str">
        <f ca="1"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17"/>
        <v>#REF!</v>
      </c>
      <c r="AI2081" s="43" t="str">
        <f ca="1">_xll.BInterpol('Base IPCA'!$C$3:$C$14,'Base IPCA'!$E$3:$E$14,AH2081,"Cubic","Extrapolate=Linear","MultiX=Average","Skip=True","Sort=True")</f>
        <v>#N/A Invalid Parameter: Interpolation value</v>
      </c>
      <c r="AJ2081" s="43" t="str">
        <f ca="1"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17"/>
        <v>#REF!</v>
      </c>
      <c r="AI2082" s="43" t="str">
        <f ca="1">_xll.BInterpol('Base IPCA'!$C$3:$C$14,'Base IPCA'!$E$3:$E$14,AH2082,"Cubic","Extrapolate=Linear","MultiX=Average","Skip=True","Sort=True")</f>
        <v>#N/A Invalid Parameter: Interpolation value</v>
      </c>
      <c r="AJ2082" s="43" t="str">
        <f ca="1"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17"/>
        <v>#REF!</v>
      </c>
      <c r="AI2083" s="43" t="str">
        <f ca="1">_xll.BInterpol('Base IPCA'!$C$3:$C$14,'Base IPCA'!$E$3:$E$14,AH2083,"Cubic","Extrapolate=Linear","MultiX=Average","Skip=True","Sort=True")</f>
        <v>#N/A Invalid Parameter: Interpolation value</v>
      </c>
      <c r="AJ2083" s="43" t="str">
        <f ca="1"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17"/>
        <v>#REF!</v>
      </c>
      <c r="AI2084" s="43" t="str">
        <f ca="1">_xll.BInterpol('Base IPCA'!$C$3:$C$14,'Base IPCA'!$E$3:$E$14,AH2084,"Cubic","Extrapolate=Linear","MultiX=Average","Skip=True","Sort=True")</f>
        <v>#N/A Invalid Parameter: Interpolation value</v>
      </c>
      <c r="AJ2084" s="43" t="str">
        <f ca="1"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17"/>
        <v>#REF!</v>
      </c>
      <c r="AI2085" s="43" t="str">
        <f ca="1">_xll.BInterpol('Base IPCA'!$C$3:$C$14,'Base IPCA'!$E$3:$E$14,AH2085,"Cubic","Extrapolate=Linear","MultiX=Average","Skip=True","Sort=True")</f>
        <v>#N/A Invalid Parameter: Interpolation value</v>
      </c>
      <c r="AJ2085" s="43" t="str">
        <f ca="1"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17"/>
        <v>#REF!</v>
      </c>
      <c r="AI2086" s="43" t="str">
        <f ca="1">_xll.BInterpol('Base IPCA'!$C$3:$C$14,'Base IPCA'!$E$3:$E$14,AH2086,"Cubic","Extrapolate=Linear","MultiX=Average","Skip=True","Sort=True")</f>
        <v>#N/A Invalid Parameter: Interpolation value</v>
      </c>
      <c r="AJ2086" s="43" t="str">
        <f ca="1"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17"/>
        <v>#REF!</v>
      </c>
      <c r="AI2087" s="43" t="str">
        <f ca="1">_xll.BInterpol('Base IPCA'!$C$3:$C$14,'Base IPCA'!$E$3:$E$14,AH2087,"Cubic","Extrapolate=Linear","MultiX=Average","Skip=True","Sort=True")</f>
        <v>#N/A Invalid Parameter: Interpolation value</v>
      </c>
      <c r="AJ2087" s="43" t="str">
        <f ca="1"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17"/>
        <v>#REF!</v>
      </c>
      <c r="AI2088" s="43" t="str">
        <f ca="1">_xll.BInterpol('Base IPCA'!$C$3:$C$14,'Base IPCA'!$E$3:$E$14,AH2088,"Cubic","Extrapolate=Linear","MultiX=Average","Skip=True","Sort=True")</f>
        <v>#N/A Invalid Parameter: Interpolation value</v>
      </c>
      <c r="AJ2088" s="43" t="str">
        <f ca="1"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17"/>
        <v>#REF!</v>
      </c>
      <c r="AI2089" s="43" t="str">
        <f ca="1">_xll.BInterpol('Base IPCA'!$C$3:$C$14,'Base IPCA'!$E$3:$E$14,AH2089,"Cubic","Extrapolate=Linear","MultiX=Average","Skip=True","Sort=True")</f>
        <v>#N/A Invalid Parameter: Interpolation value</v>
      </c>
      <c r="AJ2089" s="43" t="str">
        <f ca="1"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17"/>
        <v>#REF!</v>
      </c>
      <c r="AI2090" s="43" t="str">
        <f ca="1">_xll.BInterpol('Base IPCA'!$C$3:$C$14,'Base IPCA'!$E$3:$E$14,AH2090,"Cubic","Extrapolate=Linear","MultiX=Average","Skip=True","Sort=True")</f>
        <v>#N/A Invalid Parameter: Interpolation value</v>
      </c>
      <c r="AJ2090" s="43" t="str">
        <f ca="1"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17"/>
        <v>#REF!</v>
      </c>
      <c r="AI2091" s="43" t="str">
        <f ca="1">_xll.BInterpol('Base IPCA'!$C$3:$C$14,'Base IPCA'!$E$3:$E$14,AH2091,"Cubic","Extrapolate=Linear","MultiX=Average","Skip=True","Sort=True")</f>
        <v>#N/A Invalid Parameter: Interpolation value</v>
      </c>
      <c r="AJ2091" s="43" t="str">
        <f ca="1"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17"/>
        <v>#REF!</v>
      </c>
      <c r="AI2092" s="43" t="str">
        <f ca="1">_xll.BInterpol('Base IPCA'!$C$3:$C$14,'Base IPCA'!$E$3:$E$14,AH2092,"Cubic","Extrapolate=Linear","MultiX=Average","Skip=True","Sort=True")</f>
        <v>#N/A Invalid Parameter: Interpolation value</v>
      </c>
      <c r="AJ2092" s="43" t="str">
        <f ca="1"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17"/>
        <v>#REF!</v>
      </c>
      <c r="AI2093" s="43" t="str">
        <f ca="1">_xll.BInterpol('Base IPCA'!$C$3:$C$14,'Base IPCA'!$E$3:$E$14,AH2093,"Cubic","Extrapolate=Linear","MultiX=Average","Skip=True","Sort=True")</f>
        <v>#N/A Invalid Parameter: Interpolation value</v>
      </c>
      <c r="AJ2093" s="43" t="str">
        <f ca="1"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17"/>
        <v>#REF!</v>
      </c>
      <c r="AI2094" s="43" t="str">
        <f ca="1">_xll.BInterpol('Base IPCA'!$C$3:$C$14,'Base IPCA'!$E$3:$E$14,AH2094,"Cubic","Extrapolate=Linear","MultiX=Average","Skip=True","Sort=True")</f>
        <v>#N/A Invalid Parameter: Interpolation value</v>
      </c>
      <c r="AJ2094" s="43" t="str">
        <f ca="1"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17"/>
        <v>#REF!</v>
      </c>
      <c r="AI2095" s="43" t="str">
        <f ca="1">_xll.BInterpol('Base IPCA'!$C$3:$C$14,'Base IPCA'!$E$3:$E$14,AH2095,"Cubic","Extrapolate=Linear","MultiX=Average","Skip=True","Sort=True")</f>
        <v>#N/A Invalid Parameter: Interpolation value</v>
      </c>
      <c r="AJ2095" s="43" t="str">
        <f ca="1"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17"/>
        <v>#REF!</v>
      </c>
      <c r="AI2096" s="43" t="str">
        <f ca="1">_xll.BInterpol('Base IPCA'!$C$3:$C$14,'Base IPCA'!$E$3:$E$14,AH2096,"Cubic","Extrapolate=Linear","MultiX=Average","Skip=True","Sort=True")</f>
        <v>#N/A Invalid Parameter: Interpolation value</v>
      </c>
      <c r="AJ2096" s="43" t="str">
        <f ca="1"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17"/>
        <v>#REF!</v>
      </c>
      <c r="AI2097" s="43" t="str">
        <f ca="1">_xll.BInterpol('Base IPCA'!$C$3:$C$14,'Base IPCA'!$E$3:$E$14,AH2097,"Cubic","Extrapolate=Linear","MultiX=Average","Skip=True","Sort=True")</f>
        <v>#N/A Invalid Parameter: Interpolation value</v>
      </c>
      <c r="AJ2097" s="43" t="str">
        <f ca="1"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17"/>
        <v>#REF!</v>
      </c>
      <c r="AI2098" s="43" t="str">
        <f ca="1">_xll.BInterpol('Base IPCA'!$C$3:$C$14,'Base IPCA'!$E$3:$E$14,AH2098,"Cubic","Extrapolate=Linear","MultiX=Average","Skip=True","Sort=True")</f>
        <v>#N/A Invalid Parameter: Interpolation value</v>
      </c>
      <c r="AJ2098" s="43" t="str">
        <f ca="1"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17"/>
        <v>#REF!</v>
      </c>
      <c r="AI2099" s="43" t="str">
        <f ca="1">_xll.BInterpol('Base IPCA'!$C$3:$C$14,'Base IPCA'!$E$3:$E$14,AH2099,"Cubic","Extrapolate=Linear","MultiX=Average","Skip=True","Sort=True")</f>
        <v>#N/A Invalid Parameter: Interpolation value</v>
      </c>
      <c r="AJ2099" s="43" t="str">
        <f ca="1"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17"/>
        <v>#REF!</v>
      </c>
      <c r="AI2100" s="43" t="str">
        <f ca="1">_xll.BInterpol('Base IPCA'!$C$3:$C$14,'Base IPCA'!$E$3:$E$14,AH2100,"Cubic","Extrapolate=Linear","MultiX=Average","Skip=True","Sort=True")</f>
        <v>#N/A Invalid Parameter: Interpolation value</v>
      </c>
      <c r="AJ2100" s="43" t="str">
        <f ca="1"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17"/>
        <v>#REF!</v>
      </c>
      <c r="AI2101" s="43" t="str">
        <f ca="1">_xll.BInterpol('Base IPCA'!$C$3:$C$14,'Base IPCA'!$E$3:$E$14,AH2101,"Cubic","Extrapolate=Linear","MultiX=Average","Skip=True","Sort=True")</f>
        <v>#N/A Invalid Parameter: Interpolation value</v>
      </c>
      <c r="AJ2101" s="43" t="str">
        <f ca="1"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17"/>
        <v>#REF!</v>
      </c>
      <c r="AI2102" s="43" t="str">
        <f ca="1">_xll.BInterpol('Base IPCA'!$C$3:$C$14,'Base IPCA'!$E$3:$E$14,AH2102,"Cubic","Extrapolate=Linear","MultiX=Average","Skip=True","Sort=True")</f>
        <v>#N/A Invalid Parameter: Interpolation value</v>
      </c>
      <c r="AJ2102" s="43" t="str">
        <f ca="1"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17"/>
        <v>#REF!</v>
      </c>
      <c r="AI2103" s="43" t="str">
        <f ca="1">_xll.BInterpol('Base IPCA'!$C$3:$C$14,'Base IPCA'!$E$3:$E$14,AH2103,"Cubic","Extrapolate=Linear","MultiX=Average","Skip=True","Sort=True")</f>
        <v>#N/A Invalid Parameter: Interpolation value</v>
      </c>
      <c r="AJ2103" s="43" t="str">
        <f ca="1"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17"/>
        <v>#REF!</v>
      </c>
      <c r="AI2104" s="43" t="str">
        <f ca="1">_xll.BInterpol('Base IPCA'!$C$3:$C$14,'Base IPCA'!$E$3:$E$14,AH2104,"Cubic","Extrapolate=Linear","MultiX=Average","Skip=True","Sort=True")</f>
        <v>#N/A Invalid Parameter: Interpolation value</v>
      </c>
      <c r="AJ2104" s="43" t="str">
        <f ca="1"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17"/>
        <v>#REF!</v>
      </c>
      <c r="AI2105" s="43" t="str">
        <f ca="1">_xll.BInterpol('Base IPCA'!$C$3:$C$14,'Base IPCA'!$E$3:$E$14,AH2105,"Cubic","Extrapolate=Linear","MultiX=Average","Skip=True","Sort=True")</f>
        <v>#N/A Invalid Parameter: Interpolation value</v>
      </c>
      <c r="AJ2105" s="43" t="str">
        <f ca="1"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17"/>
        <v>#REF!</v>
      </c>
      <c r="AI2106" s="43" t="str">
        <f ca="1">_xll.BInterpol('Base IPCA'!$C$3:$C$14,'Base IPCA'!$E$3:$E$14,AH2106,"Cubic","Extrapolate=Linear","MultiX=Average","Skip=True","Sort=True")</f>
        <v>#N/A Invalid Parameter: Interpolation value</v>
      </c>
      <c r="AJ2106" s="43" t="str">
        <f ca="1"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17"/>
        <v>#REF!</v>
      </c>
      <c r="AI2107" s="43" t="str">
        <f ca="1">_xll.BInterpol('Base IPCA'!$C$3:$C$14,'Base IPCA'!$E$3:$E$14,AH2107,"Cubic","Extrapolate=Linear","MultiX=Average","Skip=True","Sort=True")</f>
        <v>#N/A Invalid Parameter: Interpolation value</v>
      </c>
      <c r="AJ2107" s="43" t="str">
        <f ca="1"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17"/>
        <v>#REF!</v>
      </c>
      <c r="AI2108" s="43" t="str">
        <f ca="1">_xll.BInterpol('Base IPCA'!$C$3:$C$14,'Base IPCA'!$E$3:$E$14,AH2108,"Cubic","Extrapolate=Linear","MultiX=Average","Skip=True","Sort=True")</f>
        <v>#N/A Invalid Parameter: Interpolation value</v>
      </c>
      <c r="AJ2108" s="43" t="str">
        <f ca="1"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17"/>
        <v>#REF!</v>
      </c>
      <c r="AI2109" s="43" t="str">
        <f ca="1">_xll.BInterpol('Base IPCA'!$C$3:$C$14,'Base IPCA'!$E$3:$E$14,AH2109,"Cubic","Extrapolate=Linear","MultiX=Average","Skip=True","Sort=True")</f>
        <v>#N/A Invalid Parameter: Interpolation value</v>
      </c>
      <c r="AJ2109" s="43" t="str">
        <f ca="1"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17"/>
        <v>#REF!</v>
      </c>
      <c r="AI2110" s="43" t="str">
        <f ca="1">_xll.BInterpol('Base IPCA'!$C$3:$C$14,'Base IPCA'!$E$3:$E$14,AH2110,"Cubic","Extrapolate=Linear","MultiX=Average","Skip=True","Sort=True")</f>
        <v>#N/A Invalid Parameter: Interpolation value</v>
      </c>
      <c r="AJ2110" s="43" t="str">
        <f ca="1"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17"/>
        <v>#REF!</v>
      </c>
      <c r="AI2111" s="43" t="str">
        <f ca="1">_xll.BInterpol('Base IPCA'!$C$3:$C$14,'Base IPCA'!$E$3:$E$14,AH2111,"Cubic","Extrapolate=Linear","MultiX=Average","Skip=True","Sort=True")</f>
        <v>#N/A Invalid Parameter: Interpolation value</v>
      </c>
      <c r="AJ2111" s="43" t="str">
        <f ca="1"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17"/>
        <v>#REF!</v>
      </c>
      <c r="AI2112" s="43" t="str">
        <f ca="1">_xll.BInterpol('Base IPCA'!$C$3:$C$14,'Base IPCA'!$E$3:$E$14,AH2112,"Cubic","Extrapolate=Linear","MultiX=Average","Skip=True","Sort=True")</f>
        <v>#N/A Invalid Parameter: Interpolation value</v>
      </c>
      <c r="AJ2112" s="43" t="str">
        <f ca="1"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17"/>
        <v>#REF!</v>
      </c>
      <c r="AI2113" s="43" t="str">
        <f ca="1">_xll.BInterpol('Base IPCA'!$C$3:$C$14,'Base IPCA'!$E$3:$E$14,AH2113,"Cubic","Extrapolate=Linear","MultiX=Average","Skip=True","Sort=True")</f>
        <v>#N/A Invalid Parameter: Interpolation value</v>
      </c>
      <c r="AJ2113" s="43" t="str">
        <f ca="1"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17"/>
        <v>#REF!</v>
      </c>
      <c r="AI2114" s="43" t="str">
        <f ca="1">_xll.BInterpol('Base IPCA'!$C$3:$C$14,'Base IPCA'!$E$3:$E$14,AH2114,"Cubic","Extrapolate=Linear","MultiX=Average","Skip=True","Sort=True")</f>
        <v>#N/A Invalid Parameter: Interpolation value</v>
      </c>
      <c r="AJ2114" s="43" t="str">
        <f ca="1"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17"/>
        <v>#REF!</v>
      </c>
      <c r="AI2115" s="43" t="str">
        <f ca="1">_xll.BInterpol('Base IPCA'!$C$3:$C$14,'Base IPCA'!$E$3:$E$14,AH2115,"Cubic","Extrapolate=Linear","MultiX=Average","Skip=True","Sort=True")</f>
        <v>#N/A Invalid Parameter: Interpolation value</v>
      </c>
      <c r="AJ2115" s="43" t="str">
        <f ca="1"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17"/>
        <v>#REF!</v>
      </c>
      <c r="AI2116" s="43" t="str">
        <f ca="1">_xll.BInterpol('Base IPCA'!$C$3:$C$14,'Base IPCA'!$E$3:$E$14,AH2116,"Cubic","Extrapolate=Linear","MultiX=Average","Skip=True","Sort=True")</f>
        <v>#N/A Invalid Parameter: Interpolation value</v>
      </c>
      <c r="AJ2116" s="43" t="str">
        <f ca="1"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17"/>
        <v>#REF!</v>
      </c>
      <c r="AI2117" s="43" t="str">
        <f ca="1">_xll.BInterpol('Base IPCA'!$C$3:$C$14,'Base IPCA'!$E$3:$E$14,AH2117,"Cubic","Extrapolate=Linear","MultiX=Average","Skip=True","Sort=True")</f>
        <v>#N/A Invalid Parameter: Interpolation value</v>
      </c>
      <c r="AJ2117" s="43" t="str">
        <f ca="1"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18">AH2117+1</f>
        <v>#REF!</v>
      </c>
      <c r="AI2118" s="43" t="str">
        <f ca="1">_xll.BInterpol('Base IPCA'!$C$3:$C$14,'Base IPCA'!$E$3:$E$14,AH2118,"Cubic","Extrapolate=Linear","MultiX=Average","Skip=True","Sort=True")</f>
        <v>#N/A Invalid Parameter: Interpolation value</v>
      </c>
      <c r="AJ2118" s="43" t="str">
        <f ca="1"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18"/>
        <v>#REF!</v>
      </c>
      <c r="AI2119" s="43" t="str">
        <f ca="1">_xll.BInterpol('Base IPCA'!$C$3:$C$14,'Base IPCA'!$E$3:$E$14,AH2119,"Cubic","Extrapolate=Linear","MultiX=Average","Skip=True","Sort=True")</f>
        <v>#N/A Invalid Parameter: Interpolation value</v>
      </c>
      <c r="AJ2119" s="43" t="str">
        <f ca="1"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18"/>
        <v>#REF!</v>
      </c>
      <c r="AI2120" s="43" t="str">
        <f ca="1">_xll.BInterpol('Base IPCA'!$C$3:$C$14,'Base IPCA'!$E$3:$E$14,AH2120,"Cubic","Extrapolate=Linear","MultiX=Average","Skip=True","Sort=True")</f>
        <v>#N/A Invalid Parameter: Interpolation value</v>
      </c>
      <c r="AJ2120" s="43" t="str">
        <f ca="1"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18"/>
        <v>#REF!</v>
      </c>
      <c r="AI2121" s="43" t="str">
        <f ca="1">_xll.BInterpol('Base IPCA'!$C$3:$C$14,'Base IPCA'!$E$3:$E$14,AH2121,"Cubic","Extrapolate=Linear","MultiX=Average","Skip=True","Sort=True")</f>
        <v>#N/A Invalid Parameter: Interpolation value</v>
      </c>
      <c r="AJ2121" s="43" t="str">
        <f ca="1"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18"/>
        <v>#REF!</v>
      </c>
      <c r="AI2122" s="43" t="str">
        <f ca="1">_xll.BInterpol('Base IPCA'!$C$3:$C$14,'Base IPCA'!$E$3:$E$14,AH2122,"Cubic","Extrapolate=Linear","MultiX=Average","Skip=True","Sort=True")</f>
        <v>#N/A Invalid Parameter: Interpolation value</v>
      </c>
      <c r="AJ2122" s="43" t="str">
        <f ca="1"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18"/>
        <v>#REF!</v>
      </c>
      <c r="AI2123" s="43" t="str">
        <f ca="1">_xll.BInterpol('Base IPCA'!$C$3:$C$14,'Base IPCA'!$E$3:$E$14,AH2123,"Cubic","Extrapolate=Linear","MultiX=Average","Skip=True","Sort=True")</f>
        <v>#N/A Invalid Parameter: Interpolation value</v>
      </c>
      <c r="AJ2123" s="43" t="str">
        <f ca="1"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18"/>
        <v>#REF!</v>
      </c>
      <c r="AI2124" s="43" t="str">
        <f ca="1">_xll.BInterpol('Base IPCA'!$C$3:$C$14,'Base IPCA'!$E$3:$E$14,AH2124,"Cubic","Extrapolate=Linear","MultiX=Average","Skip=True","Sort=True")</f>
        <v>#N/A Invalid Parameter: Interpolation value</v>
      </c>
      <c r="AJ2124" s="43" t="str">
        <f ca="1"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18"/>
        <v>#REF!</v>
      </c>
      <c r="AI2125" s="43" t="str">
        <f ca="1">_xll.BInterpol('Base IPCA'!$C$3:$C$14,'Base IPCA'!$E$3:$E$14,AH2125,"Cubic","Extrapolate=Linear","MultiX=Average","Skip=True","Sort=True")</f>
        <v>#N/A Invalid Parameter: Interpolation value</v>
      </c>
      <c r="AJ2125" s="43" t="str">
        <f ca="1"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18"/>
        <v>#REF!</v>
      </c>
      <c r="AI2126" s="43" t="str">
        <f ca="1">_xll.BInterpol('Base IPCA'!$C$3:$C$14,'Base IPCA'!$E$3:$E$14,AH2126,"Cubic","Extrapolate=Linear","MultiX=Average","Skip=True","Sort=True")</f>
        <v>#N/A Invalid Parameter: Interpolation value</v>
      </c>
      <c r="AJ2126" s="43" t="str">
        <f ca="1"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18"/>
        <v>#REF!</v>
      </c>
      <c r="AI2127" s="43" t="str">
        <f ca="1">_xll.BInterpol('Base IPCA'!$C$3:$C$14,'Base IPCA'!$E$3:$E$14,AH2127,"Cubic","Extrapolate=Linear","MultiX=Average","Skip=True","Sort=True")</f>
        <v>#N/A Invalid Parameter: Interpolation value</v>
      </c>
      <c r="AJ2127" s="43" t="str">
        <f ca="1"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18"/>
        <v>#REF!</v>
      </c>
      <c r="AI2128" s="43" t="str">
        <f ca="1">_xll.BInterpol('Base IPCA'!$C$3:$C$14,'Base IPCA'!$E$3:$E$14,AH2128,"Cubic","Extrapolate=Linear","MultiX=Average","Skip=True","Sort=True")</f>
        <v>#N/A Invalid Parameter: Interpolation value</v>
      </c>
      <c r="AJ2128" s="43" t="str">
        <f ca="1"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18"/>
        <v>#REF!</v>
      </c>
      <c r="AI2129" s="43" t="str">
        <f ca="1">_xll.BInterpol('Base IPCA'!$C$3:$C$14,'Base IPCA'!$E$3:$E$14,AH2129,"Cubic","Extrapolate=Linear","MultiX=Average","Skip=True","Sort=True")</f>
        <v>#N/A Invalid Parameter: Interpolation value</v>
      </c>
      <c r="AJ2129" s="43" t="str">
        <f ca="1"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18"/>
        <v>#REF!</v>
      </c>
      <c r="AI2130" s="43" t="str">
        <f ca="1">_xll.BInterpol('Base IPCA'!$C$3:$C$14,'Base IPCA'!$E$3:$E$14,AH2130,"Cubic","Extrapolate=Linear","MultiX=Average","Skip=True","Sort=True")</f>
        <v>#N/A Invalid Parameter: Interpolation value</v>
      </c>
      <c r="AJ2130" s="43" t="str">
        <f ca="1"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18"/>
        <v>#REF!</v>
      </c>
      <c r="AI2131" s="43" t="str">
        <f ca="1">_xll.BInterpol('Base IPCA'!$C$3:$C$14,'Base IPCA'!$E$3:$E$14,AH2131,"Cubic","Extrapolate=Linear","MultiX=Average","Skip=True","Sort=True")</f>
        <v>#N/A Invalid Parameter: Interpolation value</v>
      </c>
      <c r="AJ2131" s="43" t="str">
        <f ca="1"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18"/>
        <v>#REF!</v>
      </c>
      <c r="AI2132" s="43" t="str">
        <f ca="1">_xll.BInterpol('Base IPCA'!$C$3:$C$14,'Base IPCA'!$E$3:$E$14,AH2132,"Cubic","Extrapolate=Linear","MultiX=Average","Skip=True","Sort=True")</f>
        <v>#N/A Invalid Parameter: Interpolation value</v>
      </c>
      <c r="AJ2132" s="43" t="str">
        <f ca="1"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18"/>
        <v>#REF!</v>
      </c>
      <c r="AI2133" s="43" t="str">
        <f ca="1">_xll.BInterpol('Base IPCA'!$C$3:$C$14,'Base IPCA'!$E$3:$E$14,AH2133,"Cubic","Extrapolate=Linear","MultiX=Average","Skip=True","Sort=True")</f>
        <v>#N/A Invalid Parameter: Interpolation value</v>
      </c>
      <c r="AJ2133" s="43" t="str">
        <f ca="1"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18"/>
        <v>#REF!</v>
      </c>
      <c r="AI2134" s="43" t="str">
        <f ca="1">_xll.BInterpol('Base IPCA'!$C$3:$C$14,'Base IPCA'!$E$3:$E$14,AH2134,"Cubic","Extrapolate=Linear","MultiX=Average","Skip=True","Sort=True")</f>
        <v>#N/A Invalid Parameter: Interpolation value</v>
      </c>
      <c r="AJ2134" s="43" t="str">
        <f ca="1"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18"/>
        <v>#REF!</v>
      </c>
      <c r="AI2135" s="43" t="str">
        <f ca="1">_xll.BInterpol('Base IPCA'!$C$3:$C$14,'Base IPCA'!$E$3:$E$14,AH2135,"Cubic","Extrapolate=Linear","MultiX=Average","Skip=True","Sort=True")</f>
        <v>#N/A Invalid Parameter: Interpolation value</v>
      </c>
      <c r="AJ2135" s="43" t="str">
        <f ca="1"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18"/>
        <v>#REF!</v>
      </c>
      <c r="AI2136" s="43" t="str">
        <f ca="1">_xll.BInterpol('Base IPCA'!$C$3:$C$14,'Base IPCA'!$E$3:$E$14,AH2136,"Cubic","Extrapolate=Linear","MultiX=Average","Skip=True","Sort=True")</f>
        <v>#N/A Invalid Parameter: Interpolation value</v>
      </c>
      <c r="AJ2136" s="43" t="str">
        <f ca="1"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18"/>
        <v>#REF!</v>
      </c>
      <c r="AI2137" s="43" t="str">
        <f ca="1">_xll.BInterpol('Base IPCA'!$C$3:$C$14,'Base IPCA'!$E$3:$E$14,AH2137,"Cubic","Extrapolate=Linear","MultiX=Average","Skip=True","Sort=True")</f>
        <v>#N/A Invalid Parameter: Interpolation value</v>
      </c>
      <c r="AJ2137" s="43" t="str">
        <f ca="1"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18"/>
        <v>#REF!</v>
      </c>
      <c r="AI2138" s="43" t="str">
        <f ca="1">_xll.BInterpol('Base IPCA'!$C$3:$C$14,'Base IPCA'!$E$3:$E$14,AH2138,"Cubic","Extrapolate=Linear","MultiX=Average","Skip=True","Sort=True")</f>
        <v>#N/A Invalid Parameter: Interpolation value</v>
      </c>
      <c r="AJ2138" s="43" t="str">
        <f ca="1"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18"/>
        <v>#REF!</v>
      </c>
      <c r="AI2139" s="43" t="str">
        <f ca="1">_xll.BInterpol('Base IPCA'!$C$3:$C$14,'Base IPCA'!$E$3:$E$14,AH2139,"Cubic","Extrapolate=Linear","MultiX=Average","Skip=True","Sort=True")</f>
        <v>#N/A Invalid Parameter: Interpolation value</v>
      </c>
      <c r="AJ2139" s="43" t="str">
        <f ca="1"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18"/>
        <v>#REF!</v>
      </c>
      <c r="AI2140" s="43" t="str">
        <f ca="1">_xll.BInterpol('Base IPCA'!$C$3:$C$14,'Base IPCA'!$E$3:$E$14,AH2140,"Cubic","Extrapolate=Linear","MultiX=Average","Skip=True","Sort=True")</f>
        <v>#N/A Invalid Parameter: Interpolation value</v>
      </c>
      <c r="AJ2140" s="43" t="str">
        <f ca="1"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18"/>
        <v>#REF!</v>
      </c>
      <c r="AI2141" s="43" t="str">
        <f ca="1">_xll.BInterpol('Base IPCA'!$C$3:$C$14,'Base IPCA'!$E$3:$E$14,AH2141,"Cubic","Extrapolate=Linear","MultiX=Average","Skip=True","Sort=True")</f>
        <v>#N/A Invalid Parameter: Interpolation value</v>
      </c>
      <c r="AJ2141" s="43" t="str">
        <f ca="1"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18"/>
        <v>#REF!</v>
      </c>
      <c r="AI2142" s="43" t="str">
        <f ca="1">_xll.BInterpol('Base IPCA'!$C$3:$C$14,'Base IPCA'!$E$3:$E$14,AH2142,"Cubic","Extrapolate=Linear","MultiX=Average","Skip=True","Sort=True")</f>
        <v>#N/A Invalid Parameter: Interpolation value</v>
      </c>
      <c r="AJ2142" s="43" t="str">
        <f ca="1"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18"/>
        <v>#REF!</v>
      </c>
      <c r="AI2143" s="43" t="str">
        <f ca="1">_xll.BInterpol('Base IPCA'!$C$3:$C$14,'Base IPCA'!$E$3:$E$14,AH2143,"Cubic","Extrapolate=Linear","MultiX=Average","Skip=True","Sort=True")</f>
        <v>#N/A Invalid Parameter: Interpolation value</v>
      </c>
      <c r="AJ2143" s="43" t="str">
        <f ca="1"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18"/>
        <v>#REF!</v>
      </c>
      <c r="AI2144" s="43" t="str">
        <f ca="1">_xll.BInterpol('Base IPCA'!$C$3:$C$14,'Base IPCA'!$E$3:$E$14,AH2144,"Cubic","Extrapolate=Linear","MultiX=Average","Skip=True","Sort=True")</f>
        <v>#N/A Invalid Parameter: Interpolation value</v>
      </c>
      <c r="AJ2144" s="43" t="str">
        <f ca="1"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18"/>
        <v>#REF!</v>
      </c>
      <c r="AI2145" s="43" t="str">
        <f ca="1">_xll.BInterpol('Base IPCA'!$C$3:$C$14,'Base IPCA'!$E$3:$E$14,AH2145,"Cubic","Extrapolate=Linear","MultiX=Average","Skip=True","Sort=True")</f>
        <v>#N/A Invalid Parameter: Interpolation value</v>
      </c>
      <c r="AJ2145" s="43" t="str">
        <f ca="1"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18"/>
        <v>#REF!</v>
      </c>
      <c r="AI2146" s="43" t="str">
        <f ca="1">_xll.BInterpol('Base IPCA'!$C$3:$C$14,'Base IPCA'!$E$3:$E$14,AH2146,"Cubic","Extrapolate=Linear","MultiX=Average","Skip=True","Sort=True")</f>
        <v>#N/A Invalid Parameter: Interpolation value</v>
      </c>
      <c r="AJ2146" s="43" t="str">
        <f ca="1"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18"/>
        <v>#REF!</v>
      </c>
      <c r="AI2147" s="43" t="str">
        <f ca="1">_xll.BInterpol('Base IPCA'!$C$3:$C$14,'Base IPCA'!$E$3:$E$14,AH2147,"Cubic","Extrapolate=Linear","MultiX=Average","Skip=True","Sort=True")</f>
        <v>#N/A Invalid Parameter: Interpolation value</v>
      </c>
      <c r="AJ2147" s="43" t="str">
        <f ca="1"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18"/>
        <v>#REF!</v>
      </c>
      <c r="AI2148" s="43" t="str">
        <f ca="1">_xll.BInterpol('Base IPCA'!$C$3:$C$14,'Base IPCA'!$E$3:$E$14,AH2148,"Cubic","Extrapolate=Linear","MultiX=Average","Skip=True","Sort=True")</f>
        <v>#N/A Invalid Parameter: Interpolation value</v>
      </c>
      <c r="AJ2148" s="43" t="str">
        <f ca="1"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18"/>
        <v>#REF!</v>
      </c>
      <c r="AI2149" s="43" t="str">
        <f ca="1">_xll.BInterpol('Base IPCA'!$C$3:$C$14,'Base IPCA'!$E$3:$E$14,AH2149,"Cubic","Extrapolate=Linear","MultiX=Average","Skip=True","Sort=True")</f>
        <v>#N/A Invalid Parameter: Interpolation value</v>
      </c>
      <c r="AJ2149" s="43" t="str">
        <f ca="1"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18"/>
        <v>#REF!</v>
      </c>
      <c r="AI2150" s="43" t="str">
        <f ca="1">_xll.BInterpol('Base IPCA'!$C$3:$C$14,'Base IPCA'!$E$3:$E$14,AH2150,"Cubic","Extrapolate=Linear","MultiX=Average","Skip=True","Sort=True")</f>
        <v>#N/A Invalid Parameter: Interpolation value</v>
      </c>
      <c r="AJ2150" s="43" t="str">
        <f ca="1"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18"/>
        <v>#REF!</v>
      </c>
      <c r="AI2151" s="43" t="str">
        <f ca="1">_xll.BInterpol('Base IPCA'!$C$3:$C$14,'Base IPCA'!$E$3:$E$14,AH2151,"Cubic","Extrapolate=Linear","MultiX=Average","Skip=True","Sort=True")</f>
        <v>#N/A Invalid Parameter: Interpolation value</v>
      </c>
      <c r="AJ2151" s="43" t="str">
        <f ca="1"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18"/>
        <v>#REF!</v>
      </c>
      <c r="AI2152" s="43" t="str">
        <f ca="1">_xll.BInterpol('Base IPCA'!$C$3:$C$14,'Base IPCA'!$E$3:$E$14,AH2152,"Cubic","Extrapolate=Linear","MultiX=Average","Skip=True","Sort=True")</f>
        <v>#N/A Invalid Parameter: Interpolation value</v>
      </c>
      <c r="AJ2152" s="43" t="str">
        <f ca="1"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18"/>
        <v>#REF!</v>
      </c>
      <c r="AI2153" s="43" t="str">
        <f ca="1">_xll.BInterpol('Base IPCA'!$C$3:$C$14,'Base IPCA'!$E$3:$E$14,AH2153,"Cubic","Extrapolate=Linear","MultiX=Average","Skip=True","Sort=True")</f>
        <v>#N/A Invalid Parameter: Interpolation value</v>
      </c>
      <c r="AJ2153" s="43" t="str">
        <f ca="1"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18"/>
        <v>#REF!</v>
      </c>
      <c r="AI2154" s="43" t="str">
        <f ca="1">_xll.BInterpol('Base IPCA'!$C$3:$C$14,'Base IPCA'!$E$3:$E$14,AH2154,"Cubic","Extrapolate=Linear","MultiX=Average","Skip=True","Sort=True")</f>
        <v>#N/A Invalid Parameter: Interpolation value</v>
      </c>
      <c r="AJ2154" s="43" t="str">
        <f ca="1"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18"/>
        <v>#REF!</v>
      </c>
      <c r="AI2155" s="43" t="str">
        <f ca="1">_xll.BInterpol('Base IPCA'!$C$3:$C$14,'Base IPCA'!$E$3:$E$14,AH2155,"Cubic","Extrapolate=Linear","MultiX=Average","Skip=True","Sort=True")</f>
        <v>#N/A Invalid Parameter: Interpolation value</v>
      </c>
      <c r="AJ2155" s="43" t="str">
        <f ca="1"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18"/>
        <v>#REF!</v>
      </c>
      <c r="AI2156" s="43" t="str">
        <f ca="1">_xll.BInterpol('Base IPCA'!$C$3:$C$14,'Base IPCA'!$E$3:$E$14,AH2156,"Cubic","Extrapolate=Linear","MultiX=Average","Skip=True","Sort=True")</f>
        <v>#N/A Invalid Parameter: Interpolation value</v>
      </c>
      <c r="AJ2156" s="43" t="str">
        <f ca="1"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18"/>
        <v>#REF!</v>
      </c>
      <c r="AI2157" s="43" t="str">
        <f ca="1">_xll.BInterpol('Base IPCA'!$C$3:$C$14,'Base IPCA'!$E$3:$E$14,AH2157,"Cubic","Extrapolate=Linear","MultiX=Average","Skip=True","Sort=True")</f>
        <v>#N/A Invalid Parameter: Interpolation value</v>
      </c>
      <c r="AJ2157" s="43" t="str">
        <f ca="1"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18"/>
        <v>#REF!</v>
      </c>
      <c r="AI2158" s="43" t="str">
        <f ca="1">_xll.BInterpol('Base IPCA'!$C$3:$C$14,'Base IPCA'!$E$3:$E$14,AH2158,"Cubic","Extrapolate=Linear","MultiX=Average","Skip=True","Sort=True")</f>
        <v>#N/A Invalid Parameter: Interpolation value</v>
      </c>
      <c r="AJ2158" s="43" t="str">
        <f ca="1"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18"/>
        <v>#REF!</v>
      </c>
      <c r="AI2159" s="43" t="str">
        <f ca="1">_xll.BInterpol('Base IPCA'!$C$3:$C$14,'Base IPCA'!$E$3:$E$14,AH2159,"Cubic","Extrapolate=Linear","MultiX=Average","Skip=True","Sort=True")</f>
        <v>#N/A Invalid Parameter: Interpolation value</v>
      </c>
      <c r="AJ2159" s="43" t="str">
        <f ca="1"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18"/>
        <v>#REF!</v>
      </c>
      <c r="AI2160" s="43" t="str">
        <f ca="1">_xll.BInterpol('Base IPCA'!$C$3:$C$14,'Base IPCA'!$E$3:$E$14,AH2160,"Cubic","Extrapolate=Linear","MultiX=Average","Skip=True","Sort=True")</f>
        <v>#N/A Invalid Parameter: Interpolation value</v>
      </c>
      <c r="AJ2160" s="43" t="str">
        <f ca="1"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18"/>
        <v>#REF!</v>
      </c>
      <c r="AI2161" s="43" t="str">
        <f ca="1">_xll.BInterpol('Base IPCA'!$C$3:$C$14,'Base IPCA'!$E$3:$E$14,AH2161,"Cubic","Extrapolate=Linear","MultiX=Average","Skip=True","Sort=True")</f>
        <v>#N/A Invalid Parameter: Interpolation value</v>
      </c>
      <c r="AJ2161" s="43" t="str">
        <f ca="1"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18"/>
        <v>#REF!</v>
      </c>
      <c r="AI2162" s="43" t="str">
        <f ca="1">_xll.BInterpol('Base IPCA'!$C$3:$C$14,'Base IPCA'!$E$3:$E$14,AH2162,"Cubic","Extrapolate=Linear","MultiX=Average","Skip=True","Sort=True")</f>
        <v>#N/A Invalid Parameter: Interpolation value</v>
      </c>
      <c r="AJ2162" s="43" t="str">
        <f ca="1"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18"/>
        <v>#REF!</v>
      </c>
      <c r="AI2163" s="43" t="str">
        <f ca="1">_xll.BInterpol('Base IPCA'!$C$3:$C$14,'Base IPCA'!$E$3:$E$14,AH2163,"Cubic","Extrapolate=Linear","MultiX=Average","Skip=True","Sort=True")</f>
        <v>#N/A Invalid Parameter: Interpolation value</v>
      </c>
      <c r="AJ2163" s="43" t="str">
        <f ca="1"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18"/>
        <v>#REF!</v>
      </c>
      <c r="AI2164" s="43" t="str">
        <f ca="1">_xll.BInterpol('Base IPCA'!$C$3:$C$14,'Base IPCA'!$E$3:$E$14,AH2164,"Cubic","Extrapolate=Linear","MultiX=Average","Skip=True","Sort=True")</f>
        <v>#N/A Invalid Parameter: Interpolation value</v>
      </c>
      <c r="AJ2164" s="43" t="str">
        <f ca="1"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18"/>
        <v>#REF!</v>
      </c>
      <c r="AI2165" s="43" t="str">
        <f ca="1">_xll.BInterpol('Base IPCA'!$C$3:$C$14,'Base IPCA'!$E$3:$E$14,AH2165,"Cubic","Extrapolate=Linear","MultiX=Average","Skip=True","Sort=True")</f>
        <v>#N/A Invalid Parameter: Interpolation value</v>
      </c>
      <c r="AJ2165" s="43" t="str">
        <f ca="1"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18"/>
        <v>#REF!</v>
      </c>
      <c r="AI2166" s="43" t="str">
        <f ca="1">_xll.BInterpol('Base IPCA'!$C$3:$C$14,'Base IPCA'!$E$3:$E$14,AH2166,"Cubic","Extrapolate=Linear","MultiX=Average","Skip=True","Sort=True")</f>
        <v>#N/A Invalid Parameter: Interpolation value</v>
      </c>
      <c r="AJ2166" s="43" t="str">
        <f ca="1"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18"/>
        <v>#REF!</v>
      </c>
      <c r="AI2167" s="43" t="str">
        <f ca="1">_xll.BInterpol('Base IPCA'!$C$3:$C$14,'Base IPCA'!$E$3:$E$14,AH2167,"Cubic","Extrapolate=Linear","MultiX=Average","Skip=True","Sort=True")</f>
        <v>#N/A Invalid Parameter: Interpolation value</v>
      </c>
      <c r="AJ2167" s="43" t="str">
        <f ca="1"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18"/>
        <v>#REF!</v>
      </c>
      <c r="AI2168" s="43" t="str">
        <f ca="1">_xll.BInterpol('Base IPCA'!$C$3:$C$14,'Base IPCA'!$E$3:$E$14,AH2168,"Cubic","Extrapolate=Linear","MultiX=Average","Skip=True","Sort=True")</f>
        <v>#N/A Invalid Parameter: Interpolation value</v>
      </c>
      <c r="AJ2168" s="43" t="str">
        <f ca="1"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18"/>
        <v>#REF!</v>
      </c>
      <c r="AI2169" s="43" t="str">
        <f ca="1">_xll.BInterpol('Base IPCA'!$C$3:$C$14,'Base IPCA'!$E$3:$E$14,AH2169,"Cubic","Extrapolate=Linear","MultiX=Average","Skip=True","Sort=True")</f>
        <v>#N/A Invalid Parameter: Interpolation value</v>
      </c>
      <c r="AJ2169" s="43" t="str">
        <f ca="1"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18"/>
        <v>#REF!</v>
      </c>
      <c r="AI2170" s="43" t="str">
        <f ca="1">_xll.BInterpol('Base IPCA'!$C$3:$C$14,'Base IPCA'!$E$3:$E$14,AH2170,"Cubic","Extrapolate=Linear","MultiX=Average","Skip=True","Sort=True")</f>
        <v>#N/A Invalid Parameter: Interpolation value</v>
      </c>
      <c r="AJ2170" s="43" t="str">
        <f ca="1"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18"/>
        <v>#REF!</v>
      </c>
      <c r="AI2171" s="43" t="str">
        <f ca="1">_xll.BInterpol('Base IPCA'!$C$3:$C$14,'Base IPCA'!$E$3:$E$14,AH2171,"Cubic","Extrapolate=Linear","MultiX=Average","Skip=True","Sort=True")</f>
        <v>#N/A Invalid Parameter: Interpolation value</v>
      </c>
      <c r="AJ2171" s="43" t="str">
        <f ca="1"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18"/>
        <v>#REF!</v>
      </c>
      <c r="AI2172" s="43" t="str">
        <f ca="1">_xll.BInterpol('Base IPCA'!$C$3:$C$14,'Base IPCA'!$E$3:$E$14,AH2172,"Cubic","Extrapolate=Linear","MultiX=Average","Skip=True","Sort=True")</f>
        <v>#N/A Invalid Parameter: Interpolation value</v>
      </c>
      <c r="AJ2172" s="43" t="str">
        <f ca="1"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18"/>
        <v>#REF!</v>
      </c>
      <c r="AI2173" s="43" t="str">
        <f ca="1">_xll.BInterpol('Base IPCA'!$C$3:$C$14,'Base IPCA'!$E$3:$E$14,AH2173,"Cubic","Extrapolate=Linear","MultiX=Average","Skip=True","Sort=True")</f>
        <v>#N/A Invalid Parameter: Interpolation value</v>
      </c>
      <c r="AJ2173" s="43" t="str">
        <f ca="1"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18"/>
        <v>#REF!</v>
      </c>
      <c r="AI2174" s="43" t="str">
        <f ca="1">_xll.BInterpol('Base IPCA'!$C$3:$C$14,'Base IPCA'!$E$3:$E$14,AH2174,"Cubic","Extrapolate=Linear","MultiX=Average","Skip=True","Sort=True")</f>
        <v>#N/A Invalid Parameter: Interpolation value</v>
      </c>
      <c r="AJ2174" s="43" t="str">
        <f ca="1"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18"/>
        <v>#REF!</v>
      </c>
      <c r="AI2175" s="43" t="str">
        <f ca="1">_xll.BInterpol('Base IPCA'!$C$3:$C$14,'Base IPCA'!$E$3:$E$14,AH2175,"Cubic","Extrapolate=Linear","MultiX=Average","Skip=True","Sort=True")</f>
        <v>#N/A Invalid Parameter: Interpolation value</v>
      </c>
      <c r="AJ2175" s="43" t="str">
        <f ca="1"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18"/>
        <v>#REF!</v>
      </c>
      <c r="AI2176" s="43" t="str">
        <f ca="1">_xll.BInterpol('Base IPCA'!$C$3:$C$14,'Base IPCA'!$E$3:$E$14,AH2176,"Cubic","Extrapolate=Linear","MultiX=Average","Skip=True","Sort=True")</f>
        <v>#N/A Invalid Parameter: Interpolation value</v>
      </c>
      <c r="AJ2176" s="43" t="str">
        <f ca="1"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18"/>
        <v>#REF!</v>
      </c>
      <c r="AI2177" s="43" t="str">
        <f ca="1">_xll.BInterpol('Base IPCA'!$C$3:$C$14,'Base IPCA'!$E$3:$E$14,AH2177,"Cubic","Extrapolate=Linear","MultiX=Average","Skip=True","Sort=True")</f>
        <v>#N/A Invalid Parameter: Interpolation value</v>
      </c>
      <c r="AJ2177" s="43" t="str">
        <f ca="1"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18"/>
        <v>#REF!</v>
      </c>
      <c r="AI2178" s="43" t="str">
        <f ca="1">_xll.BInterpol('Base IPCA'!$C$3:$C$14,'Base IPCA'!$E$3:$E$14,AH2178,"Cubic","Extrapolate=Linear","MultiX=Average","Skip=True","Sort=True")</f>
        <v>#N/A Invalid Parameter: Interpolation value</v>
      </c>
      <c r="AJ2178" s="43" t="str">
        <f ca="1"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18"/>
        <v>#REF!</v>
      </c>
      <c r="AI2179" s="43" t="str">
        <f ca="1">_xll.BInterpol('Base IPCA'!$C$3:$C$14,'Base IPCA'!$E$3:$E$14,AH2179,"Cubic","Extrapolate=Linear","MultiX=Average","Skip=True","Sort=True")</f>
        <v>#N/A Invalid Parameter: Interpolation value</v>
      </c>
      <c r="AJ2179" s="43" t="str">
        <f ca="1"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18"/>
        <v>#REF!</v>
      </c>
      <c r="AI2180" s="43" t="str">
        <f ca="1">_xll.BInterpol('Base IPCA'!$C$3:$C$14,'Base IPCA'!$E$3:$E$14,AH2180,"Cubic","Extrapolate=Linear","MultiX=Average","Skip=True","Sort=True")</f>
        <v>#N/A Invalid Parameter: Interpolation value</v>
      </c>
      <c r="AJ2180" s="43" t="str">
        <f ca="1"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18"/>
        <v>#REF!</v>
      </c>
      <c r="AI2181" s="43" t="str">
        <f ca="1">_xll.BInterpol('Base IPCA'!$C$3:$C$14,'Base IPCA'!$E$3:$E$14,AH2181,"Cubic","Extrapolate=Linear","MultiX=Average","Skip=True","Sort=True")</f>
        <v>#N/A Invalid Parameter: Interpolation value</v>
      </c>
      <c r="AJ2181" s="43" t="str">
        <f ca="1"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19">AH2181+1</f>
        <v>#REF!</v>
      </c>
      <c r="AI2182" s="43" t="str">
        <f ca="1">_xll.BInterpol('Base IPCA'!$C$3:$C$14,'Base IPCA'!$E$3:$E$14,AH2182,"Cubic","Extrapolate=Linear","MultiX=Average","Skip=True","Sort=True")</f>
        <v>#N/A Invalid Parameter: Interpolation value</v>
      </c>
      <c r="AJ2182" s="43" t="str">
        <f ca="1"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19"/>
        <v>#REF!</v>
      </c>
      <c r="AI2183" s="43" t="str">
        <f ca="1">_xll.BInterpol('Base IPCA'!$C$3:$C$14,'Base IPCA'!$E$3:$E$14,AH2183,"Cubic","Extrapolate=Linear","MultiX=Average","Skip=True","Sort=True")</f>
        <v>#N/A Invalid Parameter: Interpolation value</v>
      </c>
      <c r="AJ2183" s="43" t="str">
        <f ca="1"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19"/>
        <v>#REF!</v>
      </c>
      <c r="AI2184" s="43" t="str">
        <f ca="1">_xll.BInterpol('Base IPCA'!$C$3:$C$14,'Base IPCA'!$E$3:$E$14,AH2184,"Cubic","Extrapolate=Linear","MultiX=Average","Skip=True","Sort=True")</f>
        <v>#N/A Invalid Parameter: Interpolation value</v>
      </c>
      <c r="AJ2184" s="43" t="str">
        <f ca="1"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19"/>
        <v>#REF!</v>
      </c>
      <c r="AI2185" s="43" t="str">
        <f ca="1">_xll.BInterpol('Base IPCA'!$C$3:$C$14,'Base IPCA'!$E$3:$E$14,AH2185,"Cubic","Extrapolate=Linear","MultiX=Average","Skip=True","Sort=True")</f>
        <v>#N/A Invalid Parameter: Interpolation value</v>
      </c>
      <c r="AJ2185" s="43" t="str">
        <f ca="1"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19"/>
        <v>#REF!</v>
      </c>
      <c r="AI2186" s="43" t="str">
        <f ca="1">_xll.BInterpol('Base IPCA'!$C$3:$C$14,'Base IPCA'!$E$3:$E$14,AH2186,"Cubic","Extrapolate=Linear","MultiX=Average","Skip=True","Sort=True")</f>
        <v>#N/A Invalid Parameter: Interpolation value</v>
      </c>
      <c r="AJ2186" s="43" t="str">
        <f ca="1"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19"/>
        <v>#REF!</v>
      </c>
      <c r="AI2187" s="43" t="str">
        <f ca="1">_xll.BInterpol('Base IPCA'!$C$3:$C$14,'Base IPCA'!$E$3:$E$14,AH2187,"Cubic","Extrapolate=Linear","MultiX=Average","Skip=True","Sort=True")</f>
        <v>#N/A Invalid Parameter: Interpolation value</v>
      </c>
      <c r="AJ2187" s="43" t="str">
        <f ca="1"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19"/>
        <v>#REF!</v>
      </c>
      <c r="AI2188" s="43" t="str">
        <f ca="1">_xll.BInterpol('Base IPCA'!$C$3:$C$14,'Base IPCA'!$E$3:$E$14,AH2188,"Cubic","Extrapolate=Linear","MultiX=Average","Skip=True","Sort=True")</f>
        <v>#N/A Invalid Parameter: Interpolation value</v>
      </c>
      <c r="AJ2188" s="43" t="str">
        <f ca="1"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19"/>
        <v>#REF!</v>
      </c>
      <c r="AI2189" s="43" t="str">
        <f ca="1">_xll.BInterpol('Base IPCA'!$C$3:$C$14,'Base IPCA'!$E$3:$E$14,AH2189,"Cubic","Extrapolate=Linear","MultiX=Average","Skip=True","Sort=True")</f>
        <v>#N/A Invalid Parameter: Interpolation value</v>
      </c>
      <c r="AJ2189" s="43" t="str">
        <f ca="1"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19"/>
        <v>#REF!</v>
      </c>
      <c r="AI2190" s="43" t="str">
        <f ca="1">_xll.BInterpol('Base IPCA'!$C$3:$C$14,'Base IPCA'!$E$3:$E$14,AH2190,"Cubic","Extrapolate=Linear","MultiX=Average","Skip=True","Sort=True")</f>
        <v>#N/A Invalid Parameter: Interpolation value</v>
      </c>
      <c r="AJ2190" s="43" t="str">
        <f ca="1"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19"/>
        <v>#REF!</v>
      </c>
      <c r="AI2191" s="43" t="str">
        <f ca="1">_xll.BInterpol('Base IPCA'!$C$3:$C$14,'Base IPCA'!$E$3:$E$14,AH2191,"Cubic","Extrapolate=Linear","MultiX=Average","Skip=True","Sort=True")</f>
        <v>#N/A Invalid Parameter: Interpolation value</v>
      </c>
      <c r="AJ2191" s="43" t="str">
        <f ca="1"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19"/>
        <v>#REF!</v>
      </c>
      <c r="AI2192" s="43" t="str">
        <f ca="1">_xll.BInterpol('Base IPCA'!$C$3:$C$14,'Base IPCA'!$E$3:$E$14,AH2192,"Cubic","Extrapolate=Linear","MultiX=Average","Skip=True","Sort=True")</f>
        <v>#N/A Invalid Parameter: Interpolation value</v>
      </c>
      <c r="AJ2192" s="43" t="str">
        <f ca="1"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19"/>
        <v>#REF!</v>
      </c>
      <c r="AI2193" s="43" t="str">
        <f ca="1">_xll.BInterpol('Base IPCA'!$C$3:$C$14,'Base IPCA'!$E$3:$E$14,AH2193,"Cubic","Extrapolate=Linear","MultiX=Average","Skip=True","Sort=True")</f>
        <v>#N/A Invalid Parameter: Interpolation value</v>
      </c>
      <c r="AJ2193" s="43" t="str">
        <f ca="1"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19"/>
        <v>#REF!</v>
      </c>
      <c r="AI2194" s="43" t="str">
        <f ca="1">_xll.BInterpol('Base IPCA'!$C$3:$C$14,'Base IPCA'!$E$3:$E$14,AH2194,"Cubic","Extrapolate=Linear","MultiX=Average","Skip=True","Sort=True")</f>
        <v>#N/A Invalid Parameter: Interpolation value</v>
      </c>
      <c r="AJ2194" s="43" t="str">
        <f ca="1"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19"/>
        <v>#REF!</v>
      </c>
      <c r="AI2195" s="43" t="str">
        <f ca="1">_xll.BInterpol('Base IPCA'!$C$3:$C$14,'Base IPCA'!$E$3:$E$14,AH2195,"Cubic","Extrapolate=Linear","MultiX=Average","Skip=True","Sort=True")</f>
        <v>#N/A Invalid Parameter: Interpolation value</v>
      </c>
      <c r="AJ2195" s="43" t="str">
        <f ca="1"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19"/>
        <v>#REF!</v>
      </c>
      <c r="AI2196" s="43" t="str">
        <f ca="1">_xll.BInterpol('Base IPCA'!$C$3:$C$14,'Base IPCA'!$E$3:$E$14,AH2196,"Cubic","Extrapolate=Linear","MultiX=Average","Skip=True","Sort=True")</f>
        <v>#N/A Invalid Parameter: Interpolation value</v>
      </c>
      <c r="AJ2196" s="43" t="str">
        <f ca="1"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19"/>
        <v>#REF!</v>
      </c>
      <c r="AI2197" s="43" t="str">
        <f ca="1">_xll.BInterpol('Base IPCA'!$C$3:$C$14,'Base IPCA'!$E$3:$E$14,AH2197,"Cubic","Extrapolate=Linear","MultiX=Average","Skip=True","Sort=True")</f>
        <v>#N/A Invalid Parameter: Interpolation value</v>
      </c>
      <c r="AJ2197" s="43" t="str">
        <f ca="1"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19"/>
        <v>#REF!</v>
      </c>
      <c r="AI2198" s="43" t="str">
        <f ca="1">_xll.BInterpol('Base IPCA'!$C$3:$C$14,'Base IPCA'!$E$3:$E$14,AH2198,"Cubic","Extrapolate=Linear","MultiX=Average","Skip=True","Sort=True")</f>
        <v>#N/A Invalid Parameter: Interpolation value</v>
      </c>
      <c r="AJ2198" s="43" t="str">
        <f ca="1"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19"/>
        <v>#REF!</v>
      </c>
      <c r="AI2199" s="43" t="str">
        <f ca="1">_xll.BInterpol('Base IPCA'!$C$3:$C$14,'Base IPCA'!$E$3:$E$14,AH2199,"Cubic","Extrapolate=Linear","MultiX=Average","Skip=True","Sort=True")</f>
        <v>#N/A Invalid Parameter: Interpolation value</v>
      </c>
      <c r="AJ2199" s="43" t="str">
        <f ca="1"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19"/>
        <v>#REF!</v>
      </c>
      <c r="AI2200" s="43" t="str">
        <f ca="1">_xll.BInterpol('Base IPCA'!$C$3:$C$14,'Base IPCA'!$E$3:$E$14,AH2200,"Cubic","Extrapolate=Linear","MultiX=Average","Skip=True","Sort=True")</f>
        <v>#N/A Invalid Parameter: Interpolation value</v>
      </c>
      <c r="AJ2200" s="43" t="str">
        <f ca="1"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19"/>
        <v>#REF!</v>
      </c>
      <c r="AI2201" s="43" t="str">
        <f ca="1">_xll.BInterpol('Base IPCA'!$C$3:$C$14,'Base IPCA'!$E$3:$E$14,AH2201,"Cubic","Extrapolate=Linear","MultiX=Average","Skip=True","Sort=True")</f>
        <v>#N/A Invalid Parameter: Interpolation value</v>
      </c>
      <c r="AJ2201" s="43" t="str">
        <f ca="1"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19"/>
        <v>#REF!</v>
      </c>
      <c r="AI2202" s="43" t="str">
        <f ca="1">_xll.BInterpol('Base IPCA'!$C$3:$C$14,'Base IPCA'!$E$3:$E$14,AH2202,"Cubic","Extrapolate=Linear","MultiX=Average","Skip=True","Sort=True")</f>
        <v>#N/A Invalid Parameter: Interpolation value</v>
      </c>
      <c r="AJ2202" s="43" t="str">
        <f ca="1"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19"/>
        <v>#REF!</v>
      </c>
      <c r="AI2203" s="43" t="str">
        <f ca="1">_xll.BInterpol('Base IPCA'!$C$3:$C$14,'Base IPCA'!$E$3:$E$14,AH2203,"Cubic","Extrapolate=Linear","MultiX=Average","Skip=True","Sort=True")</f>
        <v>#N/A Invalid Parameter: Interpolation value</v>
      </c>
      <c r="AJ2203" s="43" t="str">
        <f ca="1"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19"/>
        <v>#REF!</v>
      </c>
      <c r="AI2204" s="43" t="str">
        <f ca="1">_xll.BInterpol('Base IPCA'!$C$3:$C$14,'Base IPCA'!$E$3:$E$14,AH2204,"Cubic","Extrapolate=Linear","MultiX=Average","Skip=True","Sort=True")</f>
        <v>#N/A Invalid Parameter: Interpolation value</v>
      </c>
      <c r="AJ2204" s="43" t="str">
        <f ca="1"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19"/>
        <v>#REF!</v>
      </c>
      <c r="AI2205" s="43" t="str">
        <f ca="1">_xll.BInterpol('Base IPCA'!$C$3:$C$14,'Base IPCA'!$E$3:$E$14,AH2205,"Cubic","Extrapolate=Linear","MultiX=Average","Skip=True","Sort=True")</f>
        <v>#N/A Invalid Parameter: Interpolation value</v>
      </c>
      <c r="AJ2205" s="43" t="str">
        <f ca="1"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19"/>
        <v>#REF!</v>
      </c>
      <c r="AI2206" s="43" t="str">
        <f ca="1">_xll.BInterpol('Base IPCA'!$C$3:$C$14,'Base IPCA'!$E$3:$E$14,AH2206,"Cubic","Extrapolate=Linear","MultiX=Average","Skip=True","Sort=True")</f>
        <v>#N/A Invalid Parameter: Interpolation value</v>
      </c>
      <c r="AJ2206" s="43" t="str">
        <f ca="1"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19"/>
        <v>#REF!</v>
      </c>
      <c r="AI2207" s="43" t="str">
        <f ca="1">_xll.BInterpol('Base IPCA'!$C$3:$C$14,'Base IPCA'!$E$3:$E$14,AH2207,"Cubic","Extrapolate=Linear","MultiX=Average","Skip=True","Sort=True")</f>
        <v>#N/A Invalid Parameter: Interpolation value</v>
      </c>
      <c r="AJ2207" s="43" t="str">
        <f ca="1"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19"/>
        <v>#REF!</v>
      </c>
      <c r="AI2208" s="43" t="str">
        <f ca="1">_xll.BInterpol('Base IPCA'!$C$3:$C$14,'Base IPCA'!$E$3:$E$14,AH2208,"Cubic","Extrapolate=Linear","MultiX=Average","Skip=True","Sort=True")</f>
        <v>#N/A Invalid Parameter: Interpolation value</v>
      </c>
      <c r="AJ2208" s="43" t="str">
        <f ca="1"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19"/>
        <v>#REF!</v>
      </c>
      <c r="AI2209" s="43" t="str">
        <f ca="1">_xll.BInterpol('Base IPCA'!$C$3:$C$14,'Base IPCA'!$E$3:$E$14,AH2209,"Cubic","Extrapolate=Linear","MultiX=Average","Skip=True","Sort=True")</f>
        <v>#N/A Invalid Parameter: Interpolation value</v>
      </c>
      <c r="AJ2209" s="43" t="str">
        <f ca="1"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19"/>
        <v>#REF!</v>
      </c>
      <c r="AI2210" s="43" t="str">
        <f ca="1">_xll.BInterpol('Base IPCA'!$C$3:$C$14,'Base IPCA'!$E$3:$E$14,AH2210,"Cubic","Extrapolate=Linear","MultiX=Average","Skip=True","Sort=True")</f>
        <v>#N/A Invalid Parameter: Interpolation value</v>
      </c>
      <c r="AJ2210" s="43" t="str">
        <f ca="1"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19"/>
        <v>#REF!</v>
      </c>
      <c r="AI2211" s="43" t="str">
        <f ca="1">_xll.BInterpol('Base IPCA'!$C$3:$C$14,'Base IPCA'!$E$3:$E$14,AH2211,"Cubic","Extrapolate=Linear","MultiX=Average","Skip=True","Sort=True")</f>
        <v>#N/A Invalid Parameter: Interpolation value</v>
      </c>
      <c r="AJ2211" s="43" t="str">
        <f ca="1"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19"/>
        <v>#REF!</v>
      </c>
      <c r="AI2212" s="43" t="str">
        <f ca="1">_xll.BInterpol('Base IPCA'!$C$3:$C$14,'Base IPCA'!$E$3:$E$14,AH2212,"Cubic","Extrapolate=Linear","MultiX=Average","Skip=True","Sort=True")</f>
        <v>#N/A Invalid Parameter: Interpolation value</v>
      </c>
      <c r="AJ2212" s="43" t="str">
        <f ca="1"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19"/>
        <v>#REF!</v>
      </c>
      <c r="AI2213" s="43" t="str">
        <f ca="1">_xll.BInterpol('Base IPCA'!$C$3:$C$14,'Base IPCA'!$E$3:$E$14,AH2213,"Cubic","Extrapolate=Linear","MultiX=Average","Skip=True","Sort=True")</f>
        <v>#N/A Invalid Parameter: Interpolation value</v>
      </c>
      <c r="AJ2213" s="43" t="str">
        <f ca="1"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19"/>
        <v>#REF!</v>
      </c>
      <c r="AI2214" s="43" t="str">
        <f ca="1">_xll.BInterpol('Base IPCA'!$C$3:$C$14,'Base IPCA'!$E$3:$E$14,AH2214,"Cubic","Extrapolate=Linear","MultiX=Average","Skip=True","Sort=True")</f>
        <v>#N/A Invalid Parameter: Interpolation value</v>
      </c>
      <c r="AJ2214" s="43" t="str">
        <f ca="1"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19"/>
        <v>#REF!</v>
      </c>
      <c r="AI2215" s="43" t="str">
        <f ca="1">_xll.BInterpol('Base IPCA'!$C$3:$C$14,'Base IPCA'!$E$3:$E$14,AH2215,"Cubic","Extrapolate=Linear","MultiX=Average","Skip=True","Sort=True")</f>
        <v>#N/A Invalid Parameter: Interpolation value</v>
      </c>
      <c r="AJ2215" s="43" t="str">
        <f ca="1"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19"/>
        <v>#REF!</v>
      </c>
      <c r="AI2216" s="43" t="str">
        <f ca="1">_xll.BInterpol('Base IPCA'!$C$3:$C$14,'Base IPCA'!$E$3:$E$14,AH2216,"Cubic","Extrapolate=Linear","MultiX=Average","Skip=True","Sort=True")</f>
        <v>#N/A Invalid Parameter: Interpolation value</v>
      </c>
      <c r="AJ2216" s="43" t="str">
        <f ca="1"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19"/>
        <v>#REF!</v>
      </c>
      <c r="AI2217" s="43" t="str">
        <f ca="1">_xll.BInterpol('Base IPCA'!$C$3:$C$14,'Base IPCA'!$E$3:$E$14,AH2217,"Cubic","Extrapolate=Linear","MultiX=Average","Skip=True","Sort=True")</f>
        <v>#N/A Invalid Parameter: Interpolation value</v>
      </c>
      <c r="AJ2217" s="43" t="str">
        <f ca="1"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19"/>
        <v>#REF!</v>
      </c>
      <c r="AI2218" s="43" t="str">
        <f ca="1">_xll.BInterpol('Base IPCA'!$C$3:$C$14,'Base IPCA'!$E$3:$E$14,AH2218,"Cubic","Extrapolate=Linear","MultiX=Average","Skip=True","Sort=True")</f>
        <v>#N/A Invalid Parameter: Interpolation value</v>
      </c>
      <c r="AJ2218" s="43" t="str">
        <f ca="1"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19"/>
        <v>#REF!</v>
      </c>
      <c r="AI2219" s="43" t="str">
        <f ca="1">_xll.BInterpol('Base IPCA'!$C$3:$C$14,'Base IPCA'!$E$3:$E$14,AH2219,"Cubic","Extrapolate=Linear","MultiX=Average","Skip=True","Sort=True")</f>
        <v>#N/A Invalid Parameter: Interpolation value</v>
      </c>
      <c r="AJ2219" s="43" t="str">
        <f ca="1"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19"/>
        <v>#REF!</v>
      </c>
      <c r="AI2220" s="43" t="str">
        <f ca="1">_xll.BInterpol('Base IPCA'!$C$3:$C$14,'Base IPCA'!$E$3:$E$14,AH2220,"Cubic","Extrapolate=Linear","MultiX=Average","Skip=True","Sort=True")</f>
        <v>#N/A Invalid Parameter: Interpolation value</v>
      </c>
      <c r="AJ2220" s="43" t="str">
        <f ca="1"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19"/>
        <v>#REF!</v>
      </c>
      <c r="AI2221" s="43" t="str">
        <f ca="1">_xll.BInterpol('Base IPCA'!$C$3:$C$14,'Base IPCA'!$E$3:$E$14,AH2221,"Cubic","Extrapolate=Linear","MultiX=Average","Skip=True","Sort=True")</f>
        <v>#N/A Invalid Parameter: Interpolation value</v>
      </c>
      <c r="AJ2221" s="43" t="str">
        <f ca="1"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19"/>
        <v>#REF!</v>
      </c>
      <c r="AI2222" s="43" t="str">
        <f ca="1">_xll.BInterpol('Base IPCA'!$C$3:$C$14,'Base IPCA'!$E$3:$E$14,AH2222,"Cubic","Extrapolate=Linear","MultiX=Average","Skip=True","Sort=True")</f>
        <v>#N/A Invalid Parameter: Interpolation value</v>
      </c>
      <c r="AJ2222" s="43" t="str">
        <f ca="1"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19"/>
        <v>#REF!</v>
      </c>
      <c r="AI2223" s="43" t="str">
        <f ca="1">_xll.BInterpol('Base IPCA'!$C$3:$C$14,'Base IPCA'!$E$3:$E$14,AH2223,"Cubic","Extrapolate=Linear","MultiX=Average","Skip=True","Sort=True")</f>
        <v>#N/A Invalid Parameter: Interpolation value</v>
      </c>
      <c r="AJ2223" s="43" t="str">
        <f ca="1"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19"/>
        <v>#REF!</v>
      </c>
      <c r="AI2224" s="43" t="str">
        <f ca="1">_xll.BInterpol('Base IPCA'!$C$3:$C$14,'Base IPCA'!$E$3:$E$14,AH2224,"Cubic","Extrapolate=Linear","MultiX=Average","Skip=True","Sort=True")</f>
        <v>#N/A Invalid Parameter: Interpolation value</v>
      </c>
      <c r="AJ2224" s="43" t="str">
        <f ca="1"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19"/>
        <v>#REF!</v>
      </c>
      <c r="AI2225" s="43" t="str">
        <f ca="1">_xll.BInterpol('Base IPCA'!$C$3:$C$14,'Base IPCA'!$E$3:$E$14,AH2225,"Cubic","Extrapolate=Linear","MultiX=Average","Skip=True","Sort=True")</f>
        <v>#N/A Invalid Parameter: Interpolation value</v>
      </c>
      <c r="AJ2225" s="43" t="str">
        <f ca="1"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19"/>
        <v>#REF!</v>
      </c>
      <c r="AI2226" s="43" t="str">
        <f ca="1">_xll.BInterpol('Base IPCA'!$C$3:$C$14,'Base IPCA'!$E$3:$E$14,AH2226,"Cubic","Extrapolate=Linear","MultiX=Average","Skip=True","Sort=True")</f>
        <v>#N/A Invalid Parameter: Interpolation value</v>
      </c>
      <c r="AJ2226" s="43" t="str">
        <f ca="1"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19"/>
        <v>#REF!</v>
      </c>
      <c r="AI2227" s="43" t="str">
        <f ca="1">_xll.BInterpol('Base IPCA'!$C$3:$C$14,'Base IPCA'!$E$3:$E$14,AH2227,"Cubic","Extrapolate=Linear","MultiX=Average","Skip=True","Sort=True")</f>
        <v>#N/A Invalid Parameter: Interpolation value</v>
      </c>
      <c r="AJ2227" s="43" t="str">
        <f ca="1"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19"/>
        <v>#REF!</v>
      </c>
      <c r="AI2228" s="43" t="str">
        <f ca="1">_xll.BInterpol('Base IPCA'!$C$3:$C$14,'Base IPCA'!$E$3:$E$14,AH2228,"Cubic","Extrapolate=Linear","MultiX=Average","Skip=True","Sort=True")</f>
        <v>#N/A Invalid Parameter: Interpolation value</v>
      </c>
      <c r="AJ2228" s="43" t="str">
        <f ca="1"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19"/>
        <v>#REF!</v>
      </c>
      <c r="AI2229" s="43" t="str">
        <f ca="1">_xll.BInterpol('Base IPCA'!$C$3:$C$14,'Base IPCA'!$E$3:$E$14,AH2229,"Cubic","Extrapolate=Linear","MultiX=Average","Skip=True","Sort=True")</f>
        <v>#N/A Invalid Parameter: Interpolation value</v>
      </c>
      <c r="AJ2229" s="43" t="str">
        <f ca="1"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19"/>
        <v>#REF!</v>
      </c>
      <c r="AI2230" s="43" t="str">
        <f ca="1">_xll.BInterpol('Base IPCA'!$C$3:$C$14,'Base IPCA'!$E$3:$E$14,AH2230,"Cubic","Extrapolate=Linear","MultiX=Average","Skip=True","Sort=True")</f>
        <v>#N/A Invalid Parameter: Interpolation value</v>
      </c>
      <c r="AJ2230" s="43" t="str">
        <f ca="1"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19"/>
        <v>#REF!</v>
      </c>
      <c r="AI2231" s="43" t="str">
        <f ca="1">_xll.BInterpol('Base IPCA'!$C$3:$C$14,'Base IPCA'!$E$3:$E$14,AH2231,"Cubic","Extrapolate=Linear","MultiX=Average","Skip=True","Sort=True")</f>
        <v>#N/A Invalid Parameter: Interpolation value</v>
      </c>
      <c r="AJ2231" s="43" t="str">
        <f ca="1"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19"/>
        <v>#REF!</v>
      </c>
      <c r="AI2232" s="43" t="str">
        <f ca="1">_xll.BInterpol('Base IPCA'!$C$3:$C$14,'Base IPCA'!$E$3:$E$14,AH2232,"Cubic","Extrapolate=Linear","MultiX=Average","Skip=True","Sort=True")</f>
        <v>#N/A Invalid Parameter: Interpolation value</v>
      </c>
      <c r="AJ2232" s="43" t="str">
        <f ca="1"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19"/>
        <v>#REF!</v>
      </c>
      <c r="AI2233" s="43" t="str">
        <f ca="1">_xll.BInterpol('Base IPCA'!$C$3:$C$14,'Base IPCA'!$E$3:$E$14,AH2233,"Cubic","Extrapolate=Linear","MultiX=Average","Skip=True","Sort=True")</f>
        <v>#N/A Invalid Parameter: Interpolation value</v>
      </c>
      <c r="AJ2233" s="43" t="str">
        <f ca="1"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19"/>
        <v>#REF!</v>
      </c>
      <c r="AI2234" s="43" t="str">
        <f ca="1">_xll.BInterpol('Base IPCA'!$C$3:$C$14,'Base IPCA'!$E$3:$E$14,AH2234,"Cubic","Extrapolate=Linear","MultiX=Average","Skip=True","Sort=True")</f>
        <v>#N/A Invalid Parameter: Interpolation value</v>
      </c>
      <c r="AJ2234" s="43" t="str">
        <f ca="1"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19"/>
        <v>#REF!</v>
      </c>
      <c r="AI2235" s="43" t="str">
        <f ca="1">_xll.BInterpol('Base IPCA'!$C$3:$C$14,'Base IPCA'!$E$3:$E$14,AH2235,"Cubic","Extrapolate=Linear","MultiX=Average","Skip=True","Sort=True")</f>
        <v>#N/A Invalid Parameter: Interpolation value</v>
      </c>
      <c r="AJ2235" s="43" t="str">
        <f ca="1"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19"/>
        <v>#REF!</v>
      </c>
      <c r="AI2236" s="43" t="str">
        <f ca="1">_xll.BInterpol('Base IPCA'!$C$3:$C$14,'Base IPCA'!$E$3:$E$14,AH2236,"Cubic","Extrapolate=Linear","MultiX=Average","Skip=True","Sort=True")</f>
        <v>#N/A Invalid Parameter: Interpolation value</v>
      </c>
      <c r="AJ2236" s="43" t="str">
        <f ca="1"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19"/>
        <v>#REF!</v>
      </c>
      <c r="AI2237" s="43" t="str">
        <f ca="1">_xll.BInterpol('Base IPCA'!$C$3:$C$14,'Base IPCA'!$E$3:$E$14,AH2237,"Cubic","Extrapolate=Linear","MultiX=Average","Skip=True","Sort=True")</f>
        <v>#N/A Invalid Parameter: Interpolation value</v>
      </c>
      <c r="AJ2237" s="43" t="str">
        <f ca="1"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19"/>
        <v>#REF!</v>
      </c>
      <c r="AI2238" s="43" t="str">
        <f ca="1">_xll.BInterpol('Base IPCA'!$C$3:$C$14,'Base IPCA'!$E$3:$E$14,AH2238,"Cubic","Extrapolate=Linear","MultiX=Average","Skip=True","Sort=True")</f>
        <v>#N/A Invalid Parameter: Interpolation value</v>
      </c>
      <c r="AJ2238" s="43" t="str">
        <f ca="1"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19"/>
        <v>#REF!</v>
      </c>
      <c r="AI2239" s="43" t="str">
        <f ca="1">_xll.BInterpol('Base IPCA'!$C$3:$C$14,'Base IPCA'!$E$3:$E$14,AH2239,"Cubic","Extrapolate=Linear","MultiX=Average","Skip=True","Sort=True")</f>
        <v>#N/A Invalid Parameter: Interpolation value</v>
      </c>
      <c r="AJ2239" s="43" t="str">
        <f ca="1"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19"/>
        <v>#REF!</v>
      </c>
      <c r="AI2240" s="43" t="str">
        <f ca="1">_xll.BInterpol('Base IPCA'!$C$3:$C$14,'Base IPCA'!$E$3:$E$14,AH2240,"Cubic","Extrapolate=Linear","MultiX=Average","Skip=True","Sort=True")</f>
        <v>#N/A Invalid Parameter: Interpolation value</v>
      </c>
      <c r="AJ2240" s="43" t="str">
        <f ca="1"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19"/>
        <v>#REF!</v>
      </c>
      <c r="AI2241" s="43" t="str">
        <f ca="1">_xll.BInterpol('Base IPCA'!$C$3:$C$14,'Base IPCA'!$E$3:$E$14,AH2241,"Cubic","Extrapolate=Linear","MultiX=Average","Skip=True","Sort=True")</f>
        <v>#N/A Invalid Parameter: Interpolation value</v>
      </c>
      <c r="AJ2241" s="43" t="str">
        <f ca="1"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19"/>
        <v>#REF!</v>
      </c>
      <c r="AI2242" s="43" t="str">
        <f ca="1">_xll.BInterpol('Base IPCA'!$C$3:$C$14,'Base IPCA'!$E$3:$E$14,AH2242,"Cubic","Extrapolate=Linear","MultiX=Average","Skip=True","Sort=True")</f>
        <v>#N/A Invalid Parameter: Interpolation value</v>
      </c>
      <c r="AJ2242" s="43" t="str">
        <f ca="1"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19"/>
        <v>#REF!</v>
      </c>
      <c r="AI2243" s="43" t="str">
        <f ca="1">_xll.BInterpol('Base IPCA'!$C$3:$C$14,'Base IPCA'!$E$3:$E$14,AH2243,"Cubic","Extrapolate=Linear","MultiX=Average","Skip=True","Sort=True")</f>
        <v>#N/A Invalid Parameter: Interpolation value</v>
      </c>
      <c r="AJ2243" s="43" t="str">
        <f ca="1"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19"/>
        <v>#REF!</v>
      </c>
      <c r="AI2244" s="43" t="str">
        <f ca="1">_xll.BInterpol('Base IPCA'!$C$3:$C$14,'Base IPCA'!$E$3:$E$14,AH2244,"Cubic","Extrapolate=Linear","MultiX=Average","Skip=True","Sort=True")</f>
        <v>#N/A Invalid Parameter: Interpolation value</v>
      </c>
      <c r="AJ2244" s="43" t="str">
        <f ca="1"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19"/>
        <v>#REF!</v>
      </c>
      <c r="AI2245" s="43" t="str">
        <f ca="1">_xll.BInterpol('Base IPCA'!$C$3:$C$14,'Base IPCA'!$E$3:$E$14,AH2245,"Cubic","Extrapolate=Linear","MultiX=Average","Skip=True","Sort=True")</f>
        <v>#N/A Invalid Parameter: Interpolation value</v>
      </c>
      <c r="AJ2245" s="43" t="str">
        <f ca="1"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0">AH2245+1</f>
        <v>#REF!</v>
      </c>
      <c r="AI2246" s="43" t="str">
        <f ca="1">_xll.BInterpol('Base IPCA'!$C$3:$C$14,'Base IPCA'!$E$3:$E$14,AH2246,"Cubic","Extrapolate=Linear","MultiX=Average","Skip=True","Sort=True")</f>
        <v>#N/A Invalid Parameter: Interpolation value</v>
      </c>
      <c r="AJ2246" s="43" t="str">
        <f ca="1"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0"/>
        <v>#REF!</v>
      </c>
      <c r="AI2247" s="43" t="str">
        <f ca="1">_xll.BInterpol('Base IPCA'!$C$3:$C$14,'Base IPCA'!$E$3:$E$14,AH2247,"Cubic","Extrapolate=Linear","MultiX=Average","Skip=True","Sort=True")</f>
        <v>#N/A Invalid Parameter: Interpolation value</v>
      </c>
      <c r="AJ2247" s="43" t="str">
        <f ca="1"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0"/>
        <v>#REF!</v>
      </c>
      <c r="AI2248" s="43" t="str">
        <f ca="1">_xll.BInterpol('Base IPCA'!$C$3:$C$14,'Base IPCA'!$E$3:$E$14,AH2248,"Cubic","Extrapolate=Linear","MultiX=Average","Skip=True","Sort=True")</f>
        <v>#N/A Invalid Parameter: Interpolation value</v>
      </c>
      <c r="AJ2248" s="43" t="str">
        <f ca="1"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0"/>
        <v>#REF!</v>
      </c>
      <c r="AI2249" s="43" t="str">
        <f ca="1">_xll.BInterpol('Base IPCA'!$C$3:$C$14,'Base IPCA'!$E$3:$E$14,AH2249,"Cubic","Extrapolate=Linear","MultiX=Average","Skip=True","Sort=True")</f>
        <v>#N/A Invalid Parameter: Interpolation value</v>
      </c>
      <c r="AJ2249" s="43" t="str">
        <f ca="1"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0"/>
        <v>#REF!</v>
      </c>
      <c r="AI2250" s="43" t="str">
        <f ca="1">_xll.BInterpol('Base IPCA'!$C$3:$C$14,'Base IPCA'!$E$3:$E$14,AH2250,"Cubic","Extrapolate=Linear","MultiX=Average","Skip=True","Sort=True")</f>
        <v>#N/A Invalid Parameter: Interpolation value</v>
      </c>
      <c r="AJ2250" s="43" t="str">
        <f ca="1"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0"/>
        <v>#REF!</v>
      </c>
      <c r="AI2251" s="43" t="str">
        <f ca="1">_xll.BInterpol('Base IPCA'!$C$3:$C$14,'Base IPCA'!$E$3:$E$14,AH2251,"Cubic","Extrapolate=Linear","MultiX=Average","Skip=True","Sort=True")</f>
        <v>#N/A Invalid Parameter: Interpolation value</v>
      </c>
      <c r="AJ2251" s="43" t="str">
        <f ca="1"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0"/>
        <v>#REF!</v>
      </c>
      <c r="AI2252" s="43" t="str">
        <f ca="1">_xll.BInterpol('Base IPCA'!$C$3:$C$14,'Base IPCA'!$E$3:$E$14,AH2252,"Cubic","Extrapolate=Linear","MultiX=Average","Skip=True","Sort=True")</f>
        <v>#N/A Invalid Parameter: Interpolation value</v>
      </c>
      <c r="AJ2252" s="43" t="str">
        <f ca="1"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0"/>
        <v>#REF!</v>
      </c>
      <c r="AI2253" s="43" t="str">
        <f ca="1">_xll.BInterpol('Base IPCA'!$C$3:$C$14,'Base IPCA'!$E$3:$E$14,AH2253,"Cubic","Extrapolate=Linear","MultiX=Average","Skip=True","Sort=True")</f>
        <v>#N/A Invalid Parameter: Interpolation value</v>
      </c>
      <c r="AJ2253" s="43" t="str">
        <f ca="1"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0"/>
        <v>#REF!</v>
      </c>
      <c r="AI2254" s="43" t="str">
        <f ca="1">_xll.BInterpol('Base IPCA'!$C$3:$C$14,'Base IPCA'!$E$3:$E$14,AH2254,"Cubic","Extrapolate=Linear","MultiX=Average","Skip=True","Sort=True")</f>
        <v>#N/A Invalid Parameter: Interpolation value</v>
      </c>
      <c r="AJ2254" s="43" t="str">
        <f ca="1"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0"/>
        <v>#REF!</v>
      </c>
      <c r="AI2255" s="43" t="str">
        <f ca="1">_xll.BInterpol('Base IPCA'!$C$3:$C$14,'Base IPCA'!$E$3:$E$14,AH2255,"Cubic","Extrapolate=Linear","MultiX=Average","Skip=True","Sort=True")</f>
        <v>#N/A Invalid Parameter: Interpolation value</v>
      </c>
      <c r="AJ2255" s="43" t="str">
        <f ca="1"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0"/>
        <v>#REF!</v>
      </c>
      <c r="AI2256" s="43" t="str">
        <f ca="1">_xll.BInterpol('Base IPCA'!$C$3:$C$14,'Base IPCA'!$E$3:$E$14,AH2256,"Cubic","Extrapolate=Linear","MultiX=Average","Skip=True","Sort=True")</f>
        <v>#N/A Invalid Parameter: Interpolation value</v>
      </c>
      <c r="AJ2256" s="43" t="str">
        <f ca="1"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0"/>
        <v>#REF!</v>
      </c>
      <c r="AI2257" s="43" t="str">
        <f ca="1">_xll.BInterpol('Base IPCA'!$C$3:$C$14,'Base IPCA'!$E$3:$E$14,AH2257,"Cubic","Extrapolate=Linear","MultiX=Average","Skip=True","Sort=True")</f>
        <v>#N/A Invalid Parameter: Interpolation value</v>
      </c>
      <c r="AJ2257" s="43" t="str">
        <f ca="1"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0"/>
        <v>#REF!</v>
      </c>
      <c r="AI2258" s="43" t="str">
        <f ca="1">_xll.BInterpol('Base IPCA'!$C$3:$C$14,'Base IPCA'!$E$3:$E$14,AH2258,"Cubic","Extrapolate=Linear","MultiX=Average","Skip=True","Sort=True")</f>
        <v>#N/A Invalid Parameter: Interpolation value</v>
      </c>
      <c r="AJ2258" s="43" t="str">
        <f ca="1"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0"/>
        <v>#REF!</v>
      </c>
      <c r="AI2259" s="43" t="str">
        <f ca="1">_xll.BInterpol('Base IPCA'!$C$3:$C$14,'Base IPCA'!$E$3:$E$14,AH2259,"Cubic","Extrapolate=Linear","MultiX=Average","Skip=True","Sort=True")</f>
        <v>#N/A Invalid Parameter: Interpolation value</v>
      </c>
      <c r="AJ2259" s="43" t="str">
        <f ca="1"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0"/>
        <v>#REF!</v>
      </c>
      <c r="AI2260" s="43" t="str">
        <f ca="1">_xll.BInterpol('Base IPCA'!$C$3:$C$14,'Base IPCA'!$E$3:$E$14,AH2260,"Cubic","Extrapolate=Linear","MultiX=Average","Skip=True","Sort=True")</f>
        <v>#N/A Invalid Parameter: Interpolation value</v>
      </c>
      <c r="AJ2260" s="43" t="str">
        <f ca="1"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0"/>
        <v>#REF!</v>
      </c>
      <c r="AI2261" s="43" t="str">
        <f ca="1">_xll.BInterpol('Base IPCA'!$C$3:$C$14,'Base IPCA'!$E$3:$E$14,AH2261,"Cubic","Extrapolate=Linear","MultiX=Average","Skip=True","Sort=True")</f>
        <v>#N/A Invalid Parameter: Interpolation value</v>
      </c>
      <c r="AJ2261" s="43" t="str">
        <f ca="1"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0"/>
        <v>#REF!</v>
      </c>
      <c r="AI2262" s="43" t="str">
        <f ca="1">_xll.BInterpol('Base IPCA'!$C$3:$C$14,'Base IPCA'!$E$3:$E$14,AH2262,"Cubic","Extrapolate=Linear","MultiX=Average","Skip=True","Sort=True")</f>
        <v>#N/A Invalid Parameter: Interpolation value</v>
      </c>
      <c r="AJ2262" s="43" t="str">
        <f ca="1"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0"/>
        <v>#REF!</v>
      </c>
      <c r="AI2263" s="43" t="str">
        <f ca="1">_xll.BInterpol('Base IPCA'!$C$3:$C$14,'Base IPCA'!$E$3:$E$14,AH2263,"Cubic","Extrapolate=Linear","MultiX=Average","Skip=True","Sort=True")</f>
        <v>#N/A Invalid Parameter: Interpolation value</v>
      </c>
      <c r="AJ2263" s="43" t="str">
        <f ca="1"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0"/>
        <v>#REF!</v>
      </c>
      <c r="AI2264" s="43" t="str">
        <f ca="1">_xll.BInterpol('Base IPCA'!$C$3:$C$14,'Base IPCA'!$E$3:$E$14,AH2264,"Cubic","Extrapolate=Linear","MultiX=Average","Skip=True","Sort=True")</f>
        <v>#N/A Invalid Parameter: Interpolation value</v>
      </c>
      <c r="AJ2264" s="43" t="str">
        <f ca="1"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0"/>
        <v>#REF!</v>
      </c>
      <c r="AI2265" s="43" t="str">
        <f ca="1">_xll.BInterpol('Base IPCA'!$C$3:$C$14,'Base IPCA'!$E$3:$E$14,AH2265,"Cubic","Extrapolate=Linear","MultiX=Average","Skip=True","Sort=True")</f>
        <v>#N/A Invalid Parameter: Interpolation value</v>
      </c>
      <c r="AJ2265" s="43" t="str">
        <f ca="1"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0"/>
        <v>#REF!</v>
      </c>
      <c r="AI2266" s="43" t="str">
        <f ca="1">_xll.BInterpol('Base IPCA'!$C$3:$C$14,'Base IPCA'!$E$3:$E$14,AH2266,"Cubic","Extrapolate=Linear","MultiX=Average","Skip=True","Sort=True")</f>
        <v>#N/A Invalid Parameter: Interpolation value</v>
      </c>
      <c r="AJ2266" s="43" t="str">
        <f ca="1"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0"/>
        <v>#REF!</v>
      </c>
      <c r="AI2267" s="43" t="str">
        <f ca="1">_xll.BInterpol('Base IPCA'!$C$3:$C$14,'Base IPCA'!$E$3:$E$14,AH2267,"Cubic","Extrapolate=Linear","MultiX=Average","Skip=True","Sort=True")</f>
        <v>#N/A Invalid Parameter: Interpolation value</v>
      </c>
      <c r="AJ2267" s="43" t="str">
        <f ca="1"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0"/>
        <v>#REF!</v>
      </c>
      <c r="AI2268" s="43" t="str">
        <f ca="1">_xll.BInterpol('Base IPCA'!$C$3:$C$14,'Base IPCA'!$E$3:$E$14,AH2268,"Cubic","Extrapolate=Linear","MultiX=Average","Skip=True","Sort=True")</f>
        <v>#N/A Invalid Parameter: Interpolation value</v>
      </c>
      <c r="AJ2268" s="43" t="str">
        <f ca="1"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0"/>
        <v>#REF!</v>
      </c>
      <c r="AI2269" s="43" t="str">
        <f ca="1">_xll.BInterpol('Base IPCA'!$C$3:$C$14,'Base IPCA'!$E$3:$E$14,AH2269,"Cubic","Extrapolate=Linear","MultiX=Average","Skip=True","Sort=True")</f>
        <v>#N/A Invalid Parameter: Interpolation value</v>
      </c>
      <c r="AJ2269" s="43" t="str">
        <f ca="1"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0"/>
        <v>#REF!</v>
      </c>
      <c r="AI2270" s="43" t="str">
        <f ca="1">_xll.BInterpol('Base IPCA'!$C$3:$C$14,'Base IPCA'!$E$3:$E$14,AH2270,"Cubic","Extrapolate=Linear","MultiX=Average","Skip=True","Sort=True")</f>
        <v>#N/A Invalid Parameter: Interpolation value</v>
      </c>
      <c r="AJ2270" s="43" t="str">
        <f ca="1"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0"/>
        <v>#REF!</v>
      </c>
      <c r="AI2271" s="43" t="str">
        <f ca="1">_xll.BInterpol('Base IPCA'!$C$3:$C$14,'Base IPCA'!$E$3:$E$14,AH2271,"Cubic","Extrapolate=Linear","MultiX=Average","Skip=True","Sort=True")</f>
        <v>#N/A Invalid Parameter: Interpolation value</v>
      </c>
      <c r="AJ2271" s="43" t="str">
        <f ca="1"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0"/>
        <v>#REF!</v>
      </c>
      <c r="AI2272" s="43" t="str">
        <f ca="1">_xll.BInterpol('Base IPCA'!$C$3:$C$14,'Base IPCA'!$E$3:$E$14,AH2272,"Cubic","Extrapolate=Linear","MultiX=Average","Skip=True","Sort=True")</f>
        <v>#N/A Invalid Parameter: Interpolation value</v>
      </c>
      <c r="AJ2272" s="43" t="str">
        <f ca="1"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0"/>
        <v>#REF!</v>
      </c>
      <c r="AI2273" s="43" t="str">
        <f ca="1">_xll.BInterpol('Base IPCA'!$C$3:$C$14,'Base IPCA'!$E$3:$E$14,AH2273,"Cubic","Extrapolate=Linear","MultiX=Average","Skip=True","Sort=True")</f>
        <v>#N/A Invalid Parameter: Interpolation value</v>
      </c>
      <c r="AJ2273" s="43" t="str">
        <f ca="1"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0"/>
        <v>#REF!</v>
      </c>
      <c r="AI2274" s="43" t="str">
        <f ca="1">_xll.BInterpol('Base IPCA'!$C$3:$C$14,'Base IPCA'!$E$3:$E$14,AH2274,"Cubic","Extrapolate=Linear","MultiX=Average","Skip=True","Sort=True")</f>
        <v>#N/A Invalid Parameter: Interpolation value</v>
      </c>
      <c r="AJ2274" s="43" t="str">
        <f ca="1"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0"/>
        <v>#REF!</v>
      </c>
      <c r="AI2275" s="43" t="str">
        <f ca="1">_xll.BInterpol('Base IPCA'!$C$3:$C$14,'Base IPCA'!$E$3:$E$14,AH2275,"Cubic","Extrapolate=Linear","MultiX=Average","Skip=True","Sort=True")</f>
        <v>#N/A Invalid Parameter: Interpolation value</v>
      </c>
      <c r="AJ2275" s="43" t="str">
        <f ca="1"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0"/>
        <v>#REF!</v>
      </c>
      <c r="AI2276" s="43" t="str">
        <f ca="1">_xll.BInterpol('Base IPCA'!$C$3:$C$14,'Base IPCA'!$E$3:$E$14,AH2276,"Cubic","Extrapolate=Linear","MultiX=Average","Skip=True","Sort=True")</f>
        <v>#N/A Invalid Parameter: Interpolation value</v>
      </c>
      <c r="AJ2276" s="43" t="str">
        <f ca="1"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0"/>
        <v>#REF!</v>
      </c>
      <c r="AI2277" s="43" t="str">
        <f ca="1">_xll.BInterpol('Base IPCA'!$C$3:$C$14,'Base IPCA'!$E$3:$E$14,AH2277,"Cubic","Extrapolate=Linear","MultiX=Average","Skip=True","Sort=True")</f>
        <v>#N/A Invalid Parameter: Interpolation value</v>
      </c>
      <c r="AJ2277" s="43" t="str">
        <f ca="1"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0"/>
        <v>#REF!</v>
      </c>
      <c r="AI2278" s="43" t="str">
        <f ca="1">_xll.BInterpol('Base IPCA'!$C$3:$C$14,'Base IPCA'!$E$3:$E$14,AH2278,"Cubic","Extrapolate=Linear","MultiX=Average","Skip=True","Sort=True")</f>
        <v>#N/A Invalid Parameter: Interpolation value</v>
      </c>
      <c r="AJ2278" s="43" t="str">
        <f ca="1"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0"/>
        <v>#REF!</v>
      </c>
      <c r="AI2279" s="43" t="str">
        <f ca="1">_xll.BInterpol('Base IPCA'!$C$3:$C$14,'Base IPCA'!$E$3:$E$14,AH2279,"Cubic","Extrapolate=Linear","MultiX=Average","Skip=True","Sort=True")</f>
        <v>#N/A Invalid Parameter: Interpolation value</v>
      </c>
      <c r="AJ2279" s="43" t="str">
        <f ca="1"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0"/>
        <v>#REF!</v>
      </c>
      <c r="AI2280" s="43" t="str">
        <f ca="1">_xll.BInterpol('Base IPCA'!$C$3:$C$14,'Base IPCA'!$E$3:$E$14,AH2280,"Cubic","Extrapolate=Linear","MultiX=Average","Skip=True","Sort=True")</f>
        <v>#N/A Invalid Parameter: Interpolation value</v>
      </c>
      <c r="AJ2280" s="43" t="str">
        <f ca="1"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0"/>
        <v>#REF!</v>
      </c>
      <c r="AI2281" s="43" t="str">
        <f ca="1">_xll.BInterpol('Base IPCA'!$C$3:$C$14,'Base IPCA'!$E$3:$E$14,AH2281,"Cubic","Extrapolate=Linear","MultiX=Average","Skip=True","Sort=True")</f>
        <v>#N/A Invalid Parameter: Interpolation value</v>
      </c>
      <c r="AJ2281" s="43" t="str">
        <f ca="1"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0"/>
        <v>#REF!</v>
      </c>
      <c r="AI2282" s="43" t="str">
        <f ca="1">_xll.BInterpol('Base IPCA'!$C$3:$C$14,'Base IPCA'!$E$3:$E$14,AH2282,"Cubic","Extrapolate=Linear","MultiX=Average","Skip=True","Sort=True")</f>
        <v>#N/A Invalid Parameter: Interpolation value</v>
      </c>
      <c r="AJ2282" s="43" t="str">
        <f ca="1"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0"/>
        <v>#REF!</v>
      </c>
      <c r="AI2283" s="43" t="str">
        <f ca="1">_xll.BInterpol('Base IPCA'!$C$3:$C$14,'Base IPCA'!$E$3:$E$14,AH2283,"Cubic","Extrapolate=Linear","MultiX=Average","Skip=True","Sort=True")</f>
        <v>#N/A Invalid Parameter: Interpolation value</v>
      </c>
      <c r="AJ2283" s="43" t="str">
        <f ca="1"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0"/>
        <v>#REF!</v>
      </c>
      <c r="AI2284" s="43" t="str">
        <f ca="1">_xll.BInterpol('Base IPCA'!$C$3:$C$14,'Base IPCA'!$E$3:$E$14,AH2284,"Cubic","Extrapolate=Linear","MultiX=Average","Skip=True","Sort=True")</f>
        <v>#N/A Invalid Parameter: Interpolation value</v>
      </c>
      <c r="AJ2284" s="43" t="str">
        <f ca="1"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0"/>
        <v>#REF!</v>
      </c>
      <c r="AI2285" s="43" t="str">
        <f ca="1">_xll.BInterpol('Base IPCA'!$C$3:$C$14,'Base IPCA'!$E$3:$E$14,AH2285,"Cubic","Extrapolate=Linear","MultiX=Average","Skip=True","Sort=True")</f>
        <v>#N/A Invalid Parameter: Interpolation value</v>
      </c>
      <c r="AJ2285" s="43" t="str">
        <f ca="1"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0"/>
        <v>#REF!</v>
      </c>
      <c r="AI2286" s="43" t="str">
        <f ca="1">_xll.BInterpol('Base IPCA'!$C$3:$C$14,'Base IPCA'!$E$3:$E$14,AH2286,"Cubic","Extrapolate=Linear","MultiX=Average","Skip=True","Sort=True")</f>
        <v>#N/A Invalid Parameter: Interpolation value</v>
      </c>
      <c r="AJ2286" s="43" t="str">
        <f ca="1"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0"/>
        <v>#REF!</v>
      </c>
      <c r="AI2287" s="43" t="str">
        <f ca="1">_xll.BInterpol('Base IPCA'!$C$3:$C$14,'Base IPCA'!$E$3:$E$14,AH2287,"Cubic","Extrapolate=Linear","MultiX=Average","Skip=True","Sort=True")</f>
        <v>#N/A Invalid Parameter: Interpolation value</v>
      </c>
      <c r="AJ2287" s="43" t="str">
        <f ca="1"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0"/>
        <v>#REF!</v>
      </c>
      <c r="AI2288" s="43" t="str">
        <f ca="1">_xll.BInterpol('Base IPCA'!$C$3:$C$14,'Base IPCA'!$E$3:$E$14,AH2288,"Cubic","Extrapolate=Linear","MultiX=Average","Skip=True","Sort=True")</f>
        <v>#N/A Invalid Parameter: Interpolation value</v>
      </c>
      <c r="AJ2288" s="43" t="str">
        <f ca="1"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0"/>
        <v>#REF!</v>
      </c>
      <c r="AI2289" s="43" t="str">
        <f ca="1">_xll.BInterpol('Base IPCA'!$C$3:$C$14,'Base IPCA'!$E$3:$E$14,AH2289,"Cubic","Extrapolate=Linear","MultiX=Average","Skip=True","Sort=True")</f>
        <v>#N/A Invalid Parameter: Interpolation value</v>
      </c>
      <c r="AJ2289" s="43" t="str">
        <f ca="1"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0"/>
        <v>#REF!</v>
      </c>
      <c r="AI2290" s="43" t="str">
        <f ca="1">_xll.BInterpol('Base IPCA'!$C$3:$C$14,'Base IPCA'!$E$3:$E$14,AH2290,"Cubic","Extrapolate=Linear","MultiX=Average","Skip=True","Sort=True")</f>
        <v>#N/A Invalid Parameter: Interpolation value</v>
      </c>
      <c r="AJ2290" s="43" t="str">
        <f ca="1"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0"/>
        <v>#REF!</v>
      </c>
      <c r="AI2291" s="43" t="str">
        <f ca="1">_xll.BInterpol('Base IPCA'!$C$3:$C$14,'Base IPCA'!$E$3:$E$14,AH2291,"Cubic","Extrapolate=Linear","MultiX=Average","Skip=True","Sort=True")</f>
        <v>#N/A Invalid Parameter: Interpolation value</v>
      </c>
      <c r="AJ2291" s="43" t="str">
        <f ca="1"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0"/>
        <v>#REF!</v>
      </c>
      <c r="AI2292" s="43" t="str">
        <f ca="1">_xll.BInterpol('Base IPCA'!$C$3:$C$14,'Base IPCA'!$E$3:$E$14,AH2292,"Cubic","Extrapolate=Linear","MultiX=Average","Skip=True","Sort=True")</f>
        <v>#N/A Invalid Parameter: Interpolation value</v>
      </c>
      <c r="AJ2292" s="43" t="str">
        <f ca="1"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0"/>
        <v>#REF!</v>
      </c>
      <c r="AI2293" s="43" t="str">
        <f ca="1">_xll.BInterpol('Base IPCA'!$C$3:$C$14,'Base IPCA'!$E$3:$E$14,AH2293,"Cubic","Extrapolate=Linear","MultiX=Average","Skip=True","Sort=True")</f>
        <v>#N/A Invalid Parameter: Interpolation value</v>
      </c>
      <c r="AJ2293" s="43" t="str">
        <f ca="1"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0"/>
        <v>#REF!</v>
      </c>
      <c r="AI2294" s="43" t="str">
        <f ca="1">_xll.BInterpol('Base IPCA'!$C$3:$C$14,'Base IPCA'!$E$3:$E$14,AH2294,"Cubic","Extrapolate=Linear","MultiX=Average","Skip=True","Sort=True")</f>
        <v>#N/A Invalid Parameter: Interpolation value</v>
      </c>
      <c r="AJ2294" s="43" t="str">
        <f ca="1"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0"/>
        <v>#REF!</v>
      </c>
      <c r="AI2295" s="43" t="str">
        <f ca="1">_xll.BInterpol('Base IPCA'!$C$3:$C$14,'Base IPCA'!$E$3:$E$14,AH2295,"Cubic","Extrapolate=Linear","MultiX=Average","Skip=True","Sort=True")</f>
        <v>#N/A Invalid Parameter: Interpolation value</v>
      </c>
      <c r="AJ2295" s="43" t="str">
        <f ca="1"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0"/>
        <v>#REF!</v>
      </c>
      <c r="AI2296" s="43" t="str">
        <f ca="1">_xll.BInterpol('Base IPCA'!$C$3:$C$14,'Base IPCA'!$E$3:$E$14,AH2296,"Cubic","Extrapolate=Linear","MultiX=Average","Skip=True","Sort=True")</f>
        <v>#N/A Invalid Parameter: Interpolation value</v>
      </c>
      <c r="AJ2296" s="43" t="str">
        <f ca="1"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0"/>
        <v>#REF!</v>
      </c>
      <c r="AI2297" s="43" t="str">
        <f ca="1">_xll.BInterpol('Base IPCA'!$C$3:$C$14,'Base IPCA'!$E$3:$E$14,AH2297,"Cubic","Extrapolate=Linear","MultiX=Average","Skip=True","Sort=True")</f>
        <v>#N/A Invalid Parameter: Interpolation value</v>
      </c>
      <c r="AJ2297" s="43" t="str">
        <f ca="1"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0"/>
        <v>#REF!</v>
      </c>
      <c r="AI2298" s="43" t="str">
        <f ca="1">_xll.BInterpol('Base IPCA'!$C$3:$C$14,'Base IPCA'!$E$3:$E$14,AH2298,"Cubic","Extrapolate=Linear","MultiX=Average","Skip=True","Sort=True")</f>
        <v>#N/A Invalid Parameter: Interpolation value</v>
      </c>
      <c r="AJ2298" s="43" t="str">
        <f ca="1"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0"/>
        <v>#REF!</v>
      </c>
      <c r="AI2299" s="43" t="str">
        <f ca="1">_xll.BInterpol('Base IPCA'!$C$3:$C$14,'Base IPCA'!$E$3:$E$14,AH2299,"Cubic","Extrapolate=Linear","MultiX=Average","Skip=True","Sort=True")</f>
        <v>#N/A Invalid Parameter: Interpolation value</v>
      </c>
      <c r="AJ2299" s="43" t="str">
        <f ca="1"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0"/>
        <v>#REF!</v>
      </c>
      <c r="AI2300" s="43" t="str">
        <f ca="1">_xll.BInterpol('Base IPCA'!$C$3:$C$14,'Base IPCA'!$E$3:$E$14,AH2300,"Cubic","Extrapolate=Linear","MultiX=Average","Skip=True","Sort=True")</f>
        <v>#N/A Invalid Parameter: Interpolation value</v>
      </c>
      <c r="AJ2300" s="43" t="str">
        <f ca="1"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0"/>
        <v>#REF!</v>
      </c>
      <c r="AI2301" s="43" t="str">
        <f ca="1">_xll.BInterpol('Base IPCA'!$C$3:$C$14,'Base IPCA'!$E$3:$E$14,AH2301,"Cubic","Extrapolate=Linear","MultiX=Average","Skip=True","Sort=True")</f>
        <v>#N/A Invalid Parameter: Interpolation value</v>
      </c>
      <c r="AJ2301" s="43" t="str">
        <f ca="1"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0"/>
        <v>#REF!</v>
      </c>
      <c r="AI2302" s="43" t="str">
        <f ca="1">_xll.BInterpol('Base IPCA'!$C$3:$C$14,'Base IPCA'!$E$3:$E$14,AH2302,"Cubic","Extrapolate=Linear","MultiX=Average","Skip=True","Sort=True")</f>
        <v>#N/A Invalid Parameter: Interpolation value</v>
      </c>
      <c r="AJ2302" s="43" t="str">
        <f ca="1"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0"/>
        <v>#REF!</v>
      </c>
      <c r="AI2303" s="43" t="str">
        <f ca="1">_xll.BInterpol('Base IPCA'!$C$3:$C$14,'Base IPCA'!$E$3:$E$14,AH2303,"Cubic","Extrapolate=Linear","MultiX=Average","Skip=True","Sort=True")</f>
        <v>#N/A Invalid Parameter: Interpolation value</v>
      </c>
      <c r="AJ2303" s="43" t="str">
        <f ca="1"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0"/>
        <v>#REF!</v>
      </c>
      <c r="AI2304" s="43" t="str">
        <f ca="1">_xll.BInterpol('Base IPCA'!$C$3:$C$14,'Base IPCA'!$E$3:$E$14,AH2304,"Cubic","Extrapolate=Linear","MultiX=Average","Skip=True","Sort=True")</f>
        <v>#N/A Invalid Parameter: Interpolation value</v>
      </c>
      <c r="AJ2304" s="43" t="str">
        <f ca="1"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0"/>
        <v>#REF!</v>
      </c>
      <c r="AI2305" s="43" t="str">
        <f ca="1">_xll.BInterpol('Base IPCA'!$C$3:$C$14,'Base IPCA'!$E$3:$E$14,AH2305,"Cubic","Extrapolate=Linear","MultiX=Average","Skip=True","Sort=True")</f>
        <v>#N/A Invalid Parameter: Interpolation value</v>
      </c>
      <c r="AJ2305" s="43" t="str">
        <f ca="1"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0"/>
        <v>#REF!</v>
      </c>
      <c r="AI2306" s="43" t="str">
        <f ca="1">_xll.BInterpol('Base IPCA'!$C$3:$C$14,'Base IPCA'!$E$3:$E$14,AH2306,"Cubic","Extrapolate=Linear","MultiX=Average","Skip=True","Sort=True")</f>
        <v>#N/A Invalid Parameter: Interpolation value</v>
      </c>
      <c r="AJ2306" s="43" t="str">
        <f ca="1"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0"/>
        <v>#REF!</v>
      </c>
      <c r="AI2307" s="43" t="str">
        <f ca="1">_xll.BInterpol('Base IPCA'!$C$3:$C$14,'Base IPCA'!$E$3:$E$14,AH2307,"Cubic","Extrapolate=Linear","MultiX=Average","Skip=True","Sort=True")</f>
        <v>#N/A Invalid Parameter: Interpolation value</v>
      </c>
      <c r="AJ2307" s="43" t="str">
        <f ca="1"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0"/>
        <v>#REF!</v>
      </c>
      <c r="AI2308" s="43" t="str">
        <f ca="1">_xll.BInterpol('Base IPCA'!$C$3:$C$14,'Base IPCA'!$E$3:$E$14,AH2308,"Cubic","Extrapolate=Linear","MultiX=Average","Skip=True","Sort=True")</f>
        <v>#N/A Invalid Parameter: Interpolation value</v>
      </c>
      <c r="AJ2308" s="43" t="str">
        <f ca="1"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0"/>
        <v>#REF!</v>
      </c>
      <c r="AI2309" s="43" t="str">
        <f ca="1">_xll.BInterpol('Base IPCA'!$C$3:$C$14,'Base IPCA'!$E$3:$E$14,AH2309,"Cubic","Extrapolate=Linear","MultiX=Average","Skip=True","Sort=True")</f>
        <v>#N/A Invalid Parameter: Interpolation value</v>
      </c>
      <c r="AJ2309" s="43" t="str">
        <f ca="1"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1">AH2309+1</f>
        <v>#REF!</v>
      </c>
      <c r="AI2310" s="43" t="str">
        <f ca="1">_xll.BInterpol('Base IPCA'!$C$3:$C$14,'Base IPCA'!$E$3:$E$14,AH2310,"Cubic","Extrapolate=Linear","MultiX=Average","Skip=True","Sort=True")</f>
        <v>#N/A Invalid Parameter: Interpolation value</v>
      </c>
      <c r="AJ2310" s="43" t="str">
        <f ca="1"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1"/>
        <v>#REF!</v>
      </c>
      <c r="AI2311" s="43" t="str">
        <f ca="1">_xll.BInterpol('Base IPCA'!$C$3:$C$14,'Base IPCA'!$E$3:$E$14,AH2311,"Cubic","Extrapolate=Linear","MultiX=Average","Skip=True","Sort=True")</f>
        <v>#N/A Invalid Parameter: Interpolation value</v>
      </c>
      <c r="AJ2311" s="43" t="str">
        <f ca="1"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1"/>
        <v>#REF!</v>
      </c>
      <c r="AI2312" s="43" t="str">
        <f ca="1">_xll.BInterpol('Base IPCA'!$C$3:$C$14,'Base IPCA'!$E$3:$E$14,AH2312,"Cubic","Extrapolate=Linear","MultiX=Average","Skip=True","Sort=True")</f>
        <v>#N/A Invalid Parameter: Interpolation value</v>
      </c>
      <c r="AJ2312" s="43" t="str">
        <f ca="1"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1"/>
        <v>#REF!</v>
      </c>
      <c r="AI2313" s="43" t="str">
        <f ca="1">_xll.BInterpol('Base IPCA'!$C$3:$C$14,'Base IPCA'!$E$3:$E$14,AH2313,"Cubic","Extrapolate=Linear","MultiX=Average","Skip=True","Sort=True")</f>
        <v>#N/A Invalid Parameter: Interpolation value</v>
      </c>
      <c r="AJ2313" s="43" t="str">
        <f ca="1"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1"/>
        <v>#REF!</v>
      </c>
      <c r="AI2314" s="43" t="str">
        <f ca="1">_xll.BInterpol('Base IPCA'!$C$3:$C$14,'Base IPCA'!$E$3:$E$14,AH2314,"Cubic","Extrapolate=Linear","MultiX=Average","Skip=True","Sort=True")</f>
        <v>#N/A Invalid Parameter: Interpolation value</v>
      </c>
      <c r="AJ2314" s="43" t="str">
        <f ca="1"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1"/>
        <v>#REF!</v>
      </c>
      <c r="AI2315" s="43" t="str">
        <f ca="1">_xll.BInterpol('Base IPCA'!$C$3:$C$14,'Base IPCA'!$E$3:$E$14,AH2315,"Cubic","Extrapolate=Linear","MultiX=Average","Skip=True","Sort=True")</f>
        <v>#N/A Invalid Parameter: Interpolation value</v>
      </c>
      <c r="AJ2315" s="43" t="str">
        <f ca="1"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1"/>
        <v>#REF!</v>
      </c>
      <c r="AI2316" s="43" t="str">
        <f ca="1">_xll.BInterpol('Base IPCA'!$C$3:$C$14,'Base IPCA'!$E$3:$E$14,AH2316,"Cubic","Extrapolate=Linear","MultiX=Average","Skip=True","Sort=True")</f>
        <v>#N/A Invalid Parameter: Interpolation value</v>
      </c>
      <c r="AJ2316" s="43" t="str">
        <f ca="1"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1"/>
        <v>#REF!</v>
      </c>
      <c r="AI2317" s="43" t="str">
        <f ca="1">_xll.BInterpol('Base IPCA'!$C$3:$C$14,'Base IPCA'!$E$3:$E$14,AH2317,"Cubic","Extrapolate=Linear","MultiX=Average","Skip=True","Sort=True")</f>
        <v>#N/A Invalid Parameter: Interpolation value</v>
      </c>
      <c r="AJ2317" s="43" t="str">
        <f ca="1"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1"/>
        <v>#REF!</v>
      </c>
      <c r="AI2318" s="43" t="str">
        <f ca="1">_xll.BInterpol('Base IPCA'!$C$3:$C$14,'Base IPCA'!$E$3:$E$14,AH2318,"Cubic","Extrapolate=Linear","MultiX=Average","Skip=True","Sort=True")</f>
        <v>#N/A Invalid Parameter: Interpolation value</v>
      </c>
      <c r="AJ2318" s="43" t="str">
        <f ca="1"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1"/>
        <v>#REF!</v>
      </c>
      <c r="AI2319" s="43" t="str">
        <f ca="1">_xll.BInterpol('Base IPCA'!$C$3:$C$14,'Base IPCA'!$E$3:$E$14,AH2319,"Cubic","Extrapolate=Linear","MultiX=Average","Skip=True","Sort=True")</f>
        <v>#N/A Invalid Parameter: Interpolation value</v>
      </c>
      <c r="AJ2319" s="43" t="str">
        <f ca="1"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1"/>
        <v>#REF!</v>
      </c>
      <c r="AI2320" s="43" t="str">
        <f ca="1">_xll.BInterpol('Base IPCA'!$C$3:$C$14,'Base IPCA'!$E$3:$E$14,AH2320,"Cubic","Extrapolate=Linear","MultiX=Average","Skip=True","Sort=True")</f>
        <v>#N/A Invalid Parameter: Interpolation value</v>
      </c>
      <c r="AJ2320" s="43" t="str">
        <f ca="1"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1"/>
        <v>#REF!</v>
      </c>
      <c r="AI2321" s="43" t="str">
        <f ca="1">_xll.BInterpol('Base IPCA'!$C$3:$C$14,'Base IPCA'!$E$3:$E$14,AH2321,"Cubic","Extrapolate=Linear","MultiX=Average","Skip=True","Sort=True")</f>
        <v>#N/A Invalid Parameter: Interpolation value</v>
      </c>
      <c r="AJ2321" s="43" t="str">
        <f ca="1"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1"/>
        <v>#REF!</v>
      </c>
      <c r="AI2322" s="43" t="str">
        <f ca="1">_xll.BInterpol('Base IPCA'!$C$3:$C$14,'Base IPCA'!$E$3:$E$14,AH2322,"Cubic","Extrapolate=Linear","MultiX=Average","Skip=True","Sort=True")</f>
        <v>#N/A Invalid Parameter: Interpolation value</v>
      </c>
      <c r="AJ2322" s="43" t="str">
        <f ca="1"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1"/>
        <v>#REF!</v>
      </c>
      <c r="AI2323" s="43" t="str">
        <f ca="1">_xll.BInterpol('Base IPCA'!$C$3:$C$14,'Base IPCA'!$E$3:$E$14,AH2323,"Cubic","Extrapolate=Linear","MultiX=Average","Skip=True","Sort=True")</f>
        <v>#N/A Invalid Parameter: Interpolation value</v>
      </c>
      <c r="AJ2323" s="43" t="str">
        <f ca="1"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1"/>
        <v>#REF!</v>
      </c>
      <c r="AI2324" s="43" t="str">
        <f ca="1">_xll.BInterpol('Base IPCA'!$C$3:$C$14,'Base IPCA'!$E$3:$E$14,AH2324,"Cubic","Extrapolate=Linear","MultiX=Average","Skip=True","Sort=True")</f>
        <v>#N/A Invalid Parameter: Interpolation value</v>
      </c>
      <c r="AJ2324" s="43" t="str">
        <f ca="1"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1"/>
        <v>#REF!</v>
      </c>
      <c r="AI2325" s="43" t="str">
        <f ca="1">_xll.BInterpol('Base IPCA'!$C$3:$C$14,'Base IPCA'!$E$3:$E$14,AH2325,"Cubic","Extrapolate=Linear","MultiX=Average","Skip=True","Sort=True")</f>
        <v>#N/A Invalid Parameter: Interpolation value</v>
      </c>
      <c r="AJ2325" s="43" t="str">
        <f ca="1"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1"/>
        <v>#REF!</v>
      </c>
      <c r="AI2326" s="43" t="str">
        <f ca="1">_xll.BInterpol('Base IPCA'!$C$3:$C$14,'Base IPCA'!$E$3:$E$14,AH2326,"Cubic","Extrapolate=Linear","MultiX=Average","Skip=True","Sort=True")</f>
        <v>#N/A Invalid Parameter: Interpolation value</v>
      </c>
      <c r="AJ2326" s="43" t="str">
        <f ca="1"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1"/>
        <v>#REF!</v>
      </c>
      <c r="AI2327" s="43" t="str">
        <f ca="1">_xll.BInterpol('Base IPCA'!$C$3:$C$14,'Base IPCA'!$E$3:$E$14,AH2327,"Cubic","Extrapolate=Linear","MultiX=Average","Skip=True","Sort=True")</f>
        <v>#N/A Invalid Parameter: Interpolation value</v>
      </c>
      <c r="AJ2327" s="43" t="str">
        <f ca="1"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1"/>
        <v>#REF!</v>
      </c>
      <c r="AI2328" s="43" t="str">
        <f ca="1">_xll.BInterpol('Base IPCA'!$C$3:$C$14,'Base IPCA'!$E$3:$E$14,AH2328,"Cubic","Extrapolate=Linear","MultiX=Average","Skip=True","Sort=True")</f>
        <v>#N/A Invalid Parameter: Interpolation value</v>
      </c>
      <c r="AJ2328" s="43" t="str">
        <f ca="1"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1"/>
        <v>#REF!</v>
      </c>
      <c r="AI2329" s="43" t="str">
        <f ca="1">_xll.BInterpol('Base IPCA'!$C$3:$C$14,'Base IPCA'!$E$3:$E$14,AH2329,"Cubic","Extrapolate=Linear","MultiX=Average","Skip=True","Sort=True")</f>
        <v>#N/A Invalid Parameter: Interpolation value</v>
      </c>
      <c r="AJ2329" s="43" t="str">
        <f ca="1"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1"/>
        <v>#REF!</v>
      </c>
      <c r="AI2330" s="43" t="str">
        <f ca="1">_xll.BInterpol('Base IPCA'!$C$3:$C$14,'Base IPCA'!$E$3:$E$14,AH2330,"Cubic","Extrapolate=Linear","MultiX=Average","Skip=True","Sort=True")</f>
        <v>#N/A Invalid Parameter: Interpolation value</v>
      </c>
      <c r="AJ2330" s="43" t="str">
        <f ca="1"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1"/>
        <v>#REF!</v>
      </c>
      <c r="AI2331" s="43" t="str">
        <f ca="1">_xll.BInterpol('Base IPCA'!$C$3:$C$14,'Base IPCA'!$E$3:$E$14,AH2331,"Cubic","Extrapolate=Linear","MultiX=Average","Skip=True","Sort=True")</f>
        <v>#N/A Invalid Parameter: Interpolation value</v>
      </c>
      <c r="AJ2331" s="43" t="str">
        <f ca="1"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1"/>
        <v>#REF!</v>
      </c>
      <c r="AI2332" s="43" t="str">
        <f ca="1">_xll.BInterpol('Base IPCA'!$C$3:$C$14,'Base IPCA'!$E$3:$E$14,AH2332,"Cubic","Extrapolate=Linear","MultiX=Average","Skip=True","Sort=True")</f>
        <v>#N/A Invalid Parameter: Interpolation value</v>
      </c>
      <c r="AJ2332" s="43" t="str">
        <f ca="1"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1"/>
        <v>#REF!</v>
      </c>
      <c r="AI2333" s="43" t="str">
        <f ca="1">_xll.BInterpol('Base IPCA'!$C$3:$C$14,'Base IPCA'!$E$3:$E$14,AH2333,"Cubic","Extrapolate=Linear","MultiX=Average","Skip=True","Sort=True")</f>
        <v>#N/A Invalid Parameter: Interpolation value</v>
      </c>
      <c r="AJ2333" s="43" t="str">
        <f ca="1"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1"/>
        <v>#REF!</v>
      </c>
      <c r="AI2334" s="43" t="str">
        <f ca="1">_xll.BInterpol('Base IPCA'!$C$3:$C$14,'Base IPCA'!$E$3:$E$14,AH2334,"Cubic","Extrapolate=Linear","MultiX=Average","Skip=True","Sort=True")</f>
        <v>#N/A Invalid Parameter: Interpolation value</v>
      </c>
      <c r="AJ2334" s="43" t="str">
        <f ca="1"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1"/>
        <v>#REF!</v>
      </c>
      <c r="AI2335" s="43" t="str">
        <f ca="1">_xll.BInterpol('Base IPCA'!$C$3:$C$14,'Base IPCA'!$E$3:$E$14,AH2335,"Cubic","Extrapolate=Linear","MultiX=Average","Skip=True","Sort=True")</f>
        <v>#N/A Invalid Parameter: Interpolation value</v>
      </c>
      <c r="AJ2335" s="43" t="str">
        <f ca="1"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1"/>
        <v>#REF!</v>
      </c>
      <c r="AI2336" s="43" t="str">
        <f ca="1">_xll.BInterpol('Base IPCA'!$C$3:$C$14,'Base IPCA'!$E$3:$E$14,AH2336,"Cubic","Extrapolate=Linear","MultiX=Average","Skip=True","Sort=True")</f>
        <v>#N/A Invalid Parameter: Interpolation value</v>
      </c>
      <c r="AJ2336" s="43" t="str">
        <f ca="1"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1"/>
        <v>#REF!</v>
      </c>
      <c r="AI2337" s="43" t="str">
        <f ca="1">_xll.BInterpol('Base IPCA'!$C$3:$C$14,'Base IPCA'!$E$3:$E$14,AH2337,"Cubic","Extrapolate=Linear","MultiX=Average","Skip=True","Sort=True")</f>
        <v>#N/A Invalid Parameter: Interpolation value</v>
      </c>
      <c r="AJ2337" s="43" t="str">
        <f ca="1"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1"/>
        <v>#REF!</v>
      </c>
      <c r="AI2338" s="43" t="str">
        <f ca="1">_xll.BInterpol('Base IPCA'!$C$3:$C$14,'Base IPCA'!$E$3:$E$14,AH2338,"Cubic","Extrapolate=Linear","MultiX=Average","Skip=True","Sort=True")</f>
        <v>#N/A Invalid Parameter: Interpolation value</v>
      </c>
      <c r="AJ2338" s="43" t="str">
        <f ca="1"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1"/>
        <v>#REF!</v>
      </c>
      <c r="AI2339" s="43" t="str">
        <f ca="1">_xll.BInterpol('Base IPCA'!$C$3:$C$14,'Base IPCA'!$E$3:$E$14,AH2339,"Cubic","Extrapolate=Linear","MultiX=Average","Skip=True","Sort=True")</f>
        <v>#N/A Invalid Parameter: Interpolation value</v>
      </c>
      <c r="AJ2339" s="43" t="str">
        <f ca="1"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1"/>
        <v>#REF!</v>
      </c>
      <c r="AI2340" s="43" t="str">
        <f ca="1">_xll.BInterpol('Base IPCA'!$C$3:$C$14,'Base IPCA'!$E$3:$E$14,AH2340,"Cubic","Extrapolate=Linear","MultiX=Average","Skip=True","Sort=True")</f>
        <v>#N/A Invalid Parameter: Interpolation value</v>
      </c>
      <c r="AJ2340" s="43" t="str">
        <f ca="1"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1"/>
        <v>#REF!</v>
      </c>
      <c r="AI2341" s="43" t="str">
        <f ca="1">_xll.BInterpol('Base IPCA'!$C$3:$C$14,'Base IPCA'!$E$3:$E$14,AH2341,"Cubic","Extrapolate=Linear","MultiX=Average","Skip=True","Sort=True")</f>
        <v>#N/A Invalid Parameter: Interpolation value</v>
      </c>
      <c r="AJ2341" s="43" t="str">
        <f ca="1"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1"/>
        <v>#REF!</v>
      </c>
      <c r="AI2342" s="43" t="str">
        <f ca="1">_xll.BInterpol('Base IPCA'!$C$3:$C$14,'Base IPCA'!$E$3:$E$14,AH2342,"Cubic","Extrapolate=Linear","MultiX=Average","Skip=True","Sort=True")</f>
        <v>#N/A Invalid Parameter: Interpolation value</v>
      </c>
      <c r="AJ2342" s="43" t="str">
        <f ca="1"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1"/>
        <v>#REF!</v>
      </c>
      <c r="AI2343" s="43" t="str">
        <f ca="1">_xll.BInterpol('Base IPCA'!$C$3:$C$14,'Base IPCA'!$E$3:$E$14,AH2343,"Cubic","Extrapolate=Linear","MultiX=Average","Skip=True","Sort=True")</f>
        <v>#N/A Invalid Parameter: Interpolation value</v>
      </c>
      <c r="AJ2343" s="43" t="str">
        <f ca="1"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1"/>
        <v>#REF!</v>
      </c>
      <c r="AI2344" s="43" t="str">
        <f ca="1">_xll.BInterpol('Base IPCA'!$C$3:$C$14,'Base IPCA'!$E$3:$E$14,AH2344,"Cubic","Extrapolate=Linear","MultiX=Average","Skip=True","Sort=True")</f>
        <v>#N/A Invalid Parameter: Interpolation value</v>
      </c>
      <c r="AJ2344" s="43" t="str">
        <f ca="1"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1"/>
        <v>#REF!</v>
      </c>
      <c r="AI2345" s="43" t="str">
        <f ca="1">_xll.BInterpol('Base IPCA'!$C$3:$C$14,'Base IPCA'!$E$3:$E$14,AH2345,"Cubic","Extrapolate=Linear","MultiX=Average","Skip=True","Sort=True")</f>
        <v>#N/A Invalid Parameter: Interpolation value</v>
      </c>
      <c r="AJ2345" s="43" t="str">
        <f ca="1"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1"/>
        <v>#REF!</v>
      </c>
      <c r="AI2346" s="43" t="str">
        <f ca="1">_xll.BInterpol('Base IPCA'!$C$3:$C$14,'Base IPCA'!$E$3:$E$14,AH2346,"Cubic","Extrapolate=Linear","MultiX=Average","Skip=True","Sort=True")</f>
        <v>#N/A Invalid Parameter: Interpolation value</v>
      </c>
      <c r="AJ2346" s="43" t="str">
        <f ca="1"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1"/>
        <v>#REF!</v>
      </c>
      <c r="AI2347" s="43" t="str">
        <f ca="1">_xll.BInterpol('Base IPCA'!$C$3:$C$14,'Base IPCA'!$E$3:$E$14,AH2347,"Cubic","Extrapolate=Linear","MultiX=Average","Skip=True","Sort=True")</f>
        <v>#N/A Invalid Parameter: Interpolation value</v>
      </c>
      <c r="AJ2347" s="43" t="str">
        <f ca="1"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1"/>
        <v>#REF!</v>
      </c>
      <c r="AI2348" s="43" t="str">
        <f ca="1">_xll.BInterpol('Base IPCA'!$C$3:$C$14,'Base IPCA'!$E$3:$E$14,AH2348,"Cubic","Extrapolate=Linear","MultiX=Average","Skip=True","Sort=True")</f>
        <v>#N/A Invalid Parameter: Interpolation value</v>
      </c>
      <c r="AJ2348" s="43" t="str">
        <f ca="1"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1"/>
        <v>#REF!</v>
      </c>
      <c r="AI2349" s="43" t="str">
        <f ca="1">_xll.BInterpol('Base IPCA'!$C$3:$C$14,'Base IPCA'!$E$3:$E$14,AH2349,"Cubic","Extrapolate=Linear","MultiX=Average","Skip=True","Sort=True")</f>
        <v>#N/A Invalid Parameter: Interpolation value</v>
      </c>
      <c r="AJ2349" s="43" t="str">
        <f ca="1"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1"/>
        <v>#REF!</v>
      </c>
      <c r="AI2350" s="43" t="str">
        <f ca="1">_xll.BInterpol('Base IPCA'!$C$3:$C$14,'Base IPCA'!$E$3:$E$14,AH2350,"Cubic","Extrapolate=Linear","MultiX=Average","Skip=True","Sort=True")</f>
        <v>#N/A Invalid Parameter: Interpolation value</v>
      </c>
      <c r="AJ2350" s="43" t="str">
        <f ca="1"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1"/>
        <v>#REF!</v>
      </c>
      <c r="AI2351" s="43" t="str">
        <f ca="1">_xll.BInterpol('Base IPCA'!$C$3:$C$14,'Base IPCA'!$E$3:$E$14,AH2351,"Cubic","Extrapolate=Linear","MultiX=Average","Skip=True","Sort=True")</f>
        <v>#N/A Invalid Parameter: Interpolation value</v>
      </c>
      <c r="AJ2351" s="43" t="str">
        <f ca="1"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1"/>
        <v>#REF!</v>
      </c>
      <c r="AI2352" s="43" t="str">
        <f ca="1">_xll.BInterpol('Base IPCA'!$C$3:$C$14,'Base IPCA'!$E$3:$E$14,AH2352,"Cubic","Extrapolate=Linear","MultiX=Average","Skip=True","Sort=True")</f>
        <v>#N/A Invalid Parameter: Interpolation value</v>
      </c>
      <c r="AJ2352" s="43" t="str">
        <f ca="1"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1"/>
        <v>#REF!</v>
      </c>
      <c r="AI2353" s="43" t="str">
        <f ca="1">_xll.BInterpol('Base IPCA'!$C$3:$C$14,'Base IPCA'!$E$3:$E$14,AH2353,"Cubic","Extrapolate=Linear","MultiX=Average","Skip=True","Sort=True")</f>
        <v>#N/A Invalid Parameter: Interpolation value</v>
      </c>
      <c r="AJ2353" s="43" t="str">
        <f ca="1"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1"/>
        <v>#REF!</v>
      </c>
      <c r="AI2354" s="43" t="str">
        <f ca="1">_xll.BInterpol('Base IPCA'!$C$3:$C$14,'Base IPCA'!$E$3:$E$14,AH2354,"Cubic","Extrapolate=Linear","MultiX=Average","Skip=True","Sort=True")</f>
        <v>#N/A Invalid Parameter: Interpolation value</v>
      </c>
      <c r="AJ2354" s="43" t="str">
        <f ca="1"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1"/>
        <v>#REF!</v>
      </c>
      <c r="AI2355" s="43" t="str">
        <f ca="1">_xll.BInterpol('Base IPCA'!$C$3:$C$14,'Base IPCA'!$E$3:$E$14,AH2355,"Cubic","Extrapolate=Linear","MultiX=Average","Skip=True","Sort=True")</f>
        <v>#N/A Invalid Parameter: Interpolation value</v>
      </c>
      <c r="AJ2355" s="43" t="str">
        <f ca="1"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1"/>
        <v>#REF!</v>
      </c>
      <c r="AI2356" s="43" t="str">
        <f ca="1">_xll.BInterpol('Base IPCA'!$C$3:$C$14,'Base IPCA'!$E$3:$E$14,AH2356,"Cubic","Extrapolate=Linear","MultiX=Average","Skip=True","Sort=True")</f>
        <v>#N/A Invalid Parameter: Interpolation value</v>
      </c>
      <c r="AJ2356" s="43" t="str">
        <f ca="1"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1"/>
        <v>#REF!</v>
      </c>
      <c r="AI2357" s="43" t="str">
        <f ca="1">_xll.BInterpol('Base IPCA'!$C$3:$C$14,'Base IPCA'!$E$3:$E$14,AH2357,"Cubic","Extrapolate=Linear","MultiX=Average","Skip=True","Sort=True")</f>
        <v>#N/A Invalid Parameter: Interpolation value</v>
      </c>
      <c r="AJ2357" s="43" t="str">
        <f ca="1"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1"/>
        <v>#REF!</v>
      </c>
      <c r="AI2358" s="43" t="str">
        <f ca="1">_xll.BInterpol('Base IPCA'!$C$3:$C$14,'Base IPCA'!$E$3:$E$14,AH2358,"Cubic","Extrapolate=Linear","MultiX=Average","Skip=True","Sort=True")</f>
        <v>#N/A Invalid Parameter: Interpolation value</v>
      </c>
      <c r="AJ2358" s="43" t="str">
        <f ca="1"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1"/>
        <v>#REF!</v>
      </c>
      <c r="AI2359" s="43" t="str">
        <f ca="1">_xll.BInterpol('Base IPCA'!$C$3:$C$14,'Base IPCA'!$E$3:$E$14,AH2359,"Cubic","Extrapolate=Linear","MultiX=Average","Skip=True","Sort=True")</f>
        <v>#N/A Invalid Parameter: Interpolation value</v>
      </c>
      <c r="AJ2359" s="43" t="str">
        <f ca="1"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1"/>
        <v>#REF!</v>
      </c>
      <c r="AI2360" s="43" t="str">
        <f ca="1">_xll.BInterpol('Base IPCA'!$C$3:$C$14,'Base IPCA'!$E$3:$E$14,AH2360,"Cubic","Extrapolate=Linear","MultiX=Average","Skip=True","Sort=True")</f>
        <v>#N/A Invalid Parameter: Interpolation value</v>
      </c>
      <c r="AJ2360" s="43" t="str">
        <f ca="1"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1"/>
        <v>#REF!</v>
      </c>
      <c r="AI2361" s="43" t="str">
        <f ca="1">_xll.BInterpol('Base IPCA'!$C$3:$C$14,'Base IPCA'!$E$3:$E$14,AH2361,"Cubic","Extrapolate=Linear","MultiX=Average","Skip=True","Sort=True")</f>
        <v>#N/A Invalid Parameter: Interpolation value</v>
      </c>
      <c r="AJ2361" s="43" t="str">
        <f ca="1"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1"/>
        <v>#REF!</v>
      </c>
      <c r="AI2362" s="43" t="str">
        <f ca="1">_xll.BInterpol('Base IPCA'!$C$3:$C$14,'Base IPCA'!$E$3:$E$14,AH2362,"Cubic","Extrapolate=Linear","MultiX=Average","Skip=True","Sort=True")</f>
        <v>#N/A Invalid Parameter: Interpolation value</v>
      </c>
      <c r="AJ2362" s="43" t="str">
        <f ca="1"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1"/>
        <v>#REF!</v>
      </c>
      <c r="AI2363" s="43" t="str">
        <f ca="1">_xll.BInterpol('Base IPCA'!$C$3:$C$14,'Base IPCA'!$E$3:$E$14,AH2363,"Cubic","Extrapolate=Linear","MultiX=Average","Skip=True","Sort=True")</f>
        <v>#N/A Invalid Parameter: Interpolation value</v>
      </c>
      <c r="AJ2363" s="43" t="str">
        <f ca="1"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1"/>
        <v>#REF!</v>
      </c>
      <c r="AI2364" s="43" t="str">
        <f ca="1">_xll.BInterpol('Base IPCA'!$C$3:$C$14,'Base IPCA'!$E$3:$E$14,AH2364,"Cubic","Extrapolate=Linear","MultiX=Average","Skip=True","Sort=True")</f>
        <v>#N/A Invalid Parameter: Interpolation value</v>
      </c>
      <c r="AJ2364" s="43" t="str">
        <f ca="1"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1"/>
        <v>#REF!</v>
      </c>
      <c r="AI2365" s="43" t="str">
        <f ca="1">_xll.BInterpol('Base IPCA'!$C$3:$C$14,'Base IPCA'!$E$3:$E$14,AH2365,"Cubic","Extrapolate=Linear","MultiX=Average","Skip=True","Sort=True")</f>
        <v>#N/A Invalid Parameter: Interpolation value</v>
      </c>
      <c r="AJ2365" s="43" t="str">
        <f ca="1"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1"/>
        <v>#REF!</v>
      </c>
      <c r="AI2366" s="43" t="str">
        <f ca="1">_xll.BInterpol('Base IPCA'!$C$3:$C$14,'Base IPCA'!$E$3:$E$14,AH2366,"Cubic","Extrapolate=Linear","MultiX=Average","Skip=True","Sort=True")</f>
        <v>#N/A Invalid Parameter: Interpolation value</v>
      </c>
      <c r="AJ2366" s="43" t="str">
        <f ca="1"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1"/>
        <v>#REF!</v>
      </c>
      <c r="AI2367" s="43" t="str">
        <f ca="1">_xll.BInterpol('Base IPCA'!$C$3:$C$14,'Base IPCA'!$E$3:$E$14,AH2367,"Cubic","Extrapolate=Linear","MultiX=Average","Skip=True","Sort=True")</f>
        <v>#N/A Invalid Parameter: Interpolation value</v>
      </c>
      <c r="AJ2367" s="43" t="str">
        <f ca="1"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1"/>
        <v>#REF!</v>
      </c>
      <c r="AI2368" s="43" t="str">
        <f ca="1">_xll.BInterpol('Base IPCA'!$C$3:$C$14,'Base IPCA'!$E$3:$E$14,AH2368,"Cubic","Extrapolate=Linear","MultiX=Average","Skip=True","Sort=True")</f>
        <v>#N/A Invalid Parameter: Interpolation value</v>
      </c>
      <c r="AJ2368" s="43" t="str">
        <f ca="1"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1"/>
        <v>#REF!</v>
      </c>
      <c r="AI2369" s="43" t="str">
        <f ca="1">_xll.BInterpol('Base IPCA'!$C$3:$C$14,'Base IPCA'!$E$3:$E$14,AH2369,"Cubic","Extrapolate=Linear","MultiX=Average","Skip=True","Sort=True")</f>
        <v>#N/A Invalid Parameter: Interpolation value</v>
      </c>
      <c r="AJ2369" s="43" t="str">
        <f ca="1"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1"/>
        <v>#REF!</v>
      </c>
      <c r="AI2370" s="43" t="str">
        <f ca="1">_xll.BInterpol('Base IPCA'!$C$3:$C$14,'Base IPCA'!$E$3:$E$14,AH2370,"Cubic","Extrapolate=Linear","MultiX=Average","Skip=True","Sort=True")</f>
        <v>#N/A Invalid Parameter: Interpolation value</v>
      </c>
      <c r="AJ2370" s="43" t="str">
        <f ca="1"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1"/>
        <v>#REF!</v>
      </c>
      <c r="AI2371" s="43" t="str">
        <f ca="1">_xll.BInterpol('Base IPCA'!$C$3:$C$14,'Base IPCA'!$E$3:$E$14,AH2371,"Cubic","Extrapolate=Linear","MultiX=Average","Skip=True","Sort=True")</f>
        <v>#N/A Invalid Parameter: Interpolation value</v>
      </c>
      <c r="AJ2371" s="43" t="str">
        <f ca="1"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1"/>
        <v>#REF!</v>
      </c>
      <c r="AI2372" s="43" t="str">
        <f ca="1">_xll.BInterpol('Base IPCA'!$C$3:$C$14,'Base IPCA'!$E$3:$E$14,AH2372,"Cubic","Extrapolate=Linear","MultiX=Average","Skip=True","Sort=True")</f>
        <v>#N/A Invalid Parameter: Interpolation value</v>
      </c>
      <c r="AJ2372" s="43" t="str">
        <f ca="1"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1"/>
        <v>#REF!</v>
      </c>
      <c r="AI2373" s="43" t="str">
        <f ca="1">_xll.BInterpol('Base IPCA'!$C$3:$C$14,'Base IPCA'!$E$3:$E$14,AH2373,"Cubic","Extrapolate=Linear","MultiX=Average","Skip=True","Sort=True")</f>
        <v>#N/A Invalid Parameter: Interpolation value</v>
      </c>
      <c r="AJ2373" s="43" t="str">
        <f ca="1"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22">AH2373+1</f>
        <v>#REF!</v>
      </c>
      <c r="AI2374" s="43" t="str">
        <f ca="1">_xll.BInterpol('Base IPCA'!$C$3:$C$14,'Base IPCA'!$E$3:$E$14,AH2374,"Cubic","Extrapolate=Linear","MultiX=Average","Skip=True","Sort=True")</f>
        <v>#N/A Invalid Parameter: Interpolation value</v>
      </c>
      <c r="AJ2374" s="43" t="str">
        <f ca="1"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22"/>
        <v>#REF!</v>
      </c>
      <c r="AI2375" s="43" t="str">
        <f ca="1">_xll.BInterpol('Base IPCA'!$C$3:$C$14,'Base IPCA'!$E$3:$E$14,AH2375,"Cubic","Extrapolate=Linear","MultiX=Average","Skip=True","Sort=True")</f>
        <v>#N/A Invalid Parameter: Interpolation value</v>
      </c>
      <c r="AJ2375" s="43" t="str">
        <f ca="1"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22"/>
        <v>#REF!</v>
      </c>
      <c r="AI2376" s="43" t="str">
        <f ca="1">_xll.BInterpol('Base IPCA'!$C$3:$C$14,'Base IPCA'!$E$3:$E$14,AH2376,"Cubic","Extrapolate=Linear","MultiX=Average","Skip=True","Sort=True")</f>
        <v>#N/A Invalid Parameter: Interpolation value</v>
      </c>
      <c r="AJ2376" s="43" t="str">
        <f ca="1"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22"/>
        <v>#REF!</v>
      </c>
      <c r="AI2377" s="43" t="str">
        <f ca="1">_xll.BInterpol('Base IPCA'!$C$3:$C$14,'Base IPCA'!$E$3:$E$14,AH2377,"Cubic","Extrapolate=Linear","MultiX=Average","Skip=True","Sort=True")</f>
        <v>#N/A Invalid Parameter: Interpolation value</v>
      </c>
      <c r="AJ2377" s="43" t="str">
        <f ca="1"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22"/>
        <v>#REF!</v>
      </c>
      <c r="AI2378" s="43" t="str">
        <f ca="1">_xll.BInterpol('Base IPCA'!$C$3:$C$14,'Base IPCA'!$E$3:$E$14,AH2378,"Cubic","Extrapolate=Linear","MultiX=Average","Skip=True","Sort=True")</f>
        <v>#N/A Invalid Parameter: Interpolation value</v>
      </c>
      <c r="AJ2378" s="43" t="str">
        <f ca="1"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22"/>
        <v>#REF!</v>
      </c>
      <c r="AI2379" s="43" t="str">
        <f ca="1">_xll.BInterpol('Base IPCA'!$C$3:$C$14,'Base IPCA'!$E$3:$E$14,AH2379,"Cubic","Extrapolate=Linear","MultiX=Average","Skip=True","Sort=True")</f>
        <v>#N/A Invalid Parameter: Interpolation value</v>
      </c>
      <c r="AJ2379" s="43" t="str">
        <f ca="1"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22"/>
        <v>#REF!</v>
      </c>
      <c r="AI2380" s="43" t="str">
        <f ca="1">_xll.BInterpol('Base IPCA'!$C$3:$C$14,'Base IPCA'!$E$3:$E$14,AH2380,"Cubic","Extrapolate=Linear","MultiX=Average","Skip=True","Sort=True")</f>
        <v>#N/A Invalid Parameter: Interpolation value</v>
      </c>
      <c r="AJ2380" s="43" t="str">
        <f ca="1"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22"/>
        <v>#REF!</v>
      </c>
      <c r="AI2381" s="43" t="str">
        <f ca="1">_xll.BInterpol('Base IPCA'!$C$3:$C$14,'Base IPCA'!$E$3:$E$14,AH2381,"Cubic","Extrapolate=Linear","MultiX=Average","Skip=True","Sort=True")</f>
        <v>#N/A Invalid Parameter: Interpolation value</v>
      </c>
      <c r="AJ2381" s="43" t="str">
        <f ca="1"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22"/>
        <v>#REF!</v>
      </c>
      <c r="AI2382" s="43" t="str">
        <f ca="1">_xll.BInterpol('Base IPCA'!$C$3:$C$14,'Base IPCA'!$E$3:$E$14,AH2382,"Cubic","Extrapolate=Linear","MultiX=Average","Skip=True","Sort=True")</f>
        <v>#N/A Invalid Parameter: Interpolation value</v>
      </c>
      <c r="AJ2382" s="43" t="str">
        <f ca="1"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22"/>
        <v>#REF!</v>
      </c>
      <c r="AI2383" s="43" t="str">
        <f ca="1">_xll.BInterpol('Base IPCA'!$C$3:$C$14,'Base IPCA'!$E$3:$E$14,AH2383,"Cubic","Extrapolate=Linear","MultiX=Average","Skip=True","Sort=True")</f>
        <v>#N/A Invalid Parameter: Interpolation value</v>
      </c>
      <c r="AJ2383" s="43" t="str">
        <f ca="1"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22"/>
        <v>#REF!</v>
      </c>
      <c r="AI2384" s="43" t="str">
        <f ca="1">_xll.BInterpol('Base IPCA'!$C$3:$C$14,'Base IPCA'!$E$3:$E$14,AH2384,"Cubic","Extrapolate=Linear","MultiX=Average","Skip=True","Sort=True")</f>
        <v>#N/A Invalid Parameter: Interpolation value</v>
      </c>
      <c r="AJ2384" s="43" t="str">
        <f ca="1"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22"/>
        <v>#REF!</v>
      </c>
      <c r="AI2385" s="43" t="str">
        <f ca="1">_xll.BInterpol('Base IPCA'!$C$3:$C$14,'Base IPCA'!$E$3:$E$14,AH2385,"Cubic","Extrapolate=Linear","MultiX=Average","Skip=True","Sort=True")</f>
        <v>#N/A Invalid Parameter: Interpolation value</v>
      </c>
      <c r="AJ2385" s="43" t="str">
        <f ca="1"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22"/>
        <v>#REF!</v>
      </c>
      <c r="AI2386" s="43" t="str">
        <f ca="1">_xll.BInterpol('Base IPCA'!$C$3:$C$14,'Base IPCA'!$E$3:$E$14,AH2386,"Cubic","Extrapolate=Linear","MultiX=Average","Skip=True","Sort=True")</f>
        <v>#N/A Invalid Parameter: Interpolation value</v>
      </c>
      <c r="AJ2386" s="43" t="str">
        <f ca="1"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22"/>
        <v>#REF!</v>
      </c>
      <c r="AI2387" s="43" t="str">
        <f ca="1">_xll.BInterpol('Base IPCA'!$C$3:$C$14,'Base IPCA'!$E$3:$E$14,AH2387,"Cubic","Extrapolate=Linear","MultiX=Average","Skip=True","Sort=True")</f>
        <v>#N/A Invalid Parameter: Interpolation value</v>
      </c>
      <c r="AJ2387" s="43" t="str">
        <f ca="1"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22"/>
        <v>#REF!</v>
      </c>
      <c r="AI2388" s="43" t="str">
        <f ca="1">_xll.BInterpol('Base IPCA'!$C$3:$C$14,'Base IPCA'!$E$3:$E$14,AH2388,"Cubic","Extrapolate=Linear","MultiX=Average","Skip=True","Sort=True")</f>
        <v>#N/A Invalid Parameter: Interpolation value</v>
      </c>
      <c r="AJ2388" s="43" t="str">
        <f ca="1"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22"/>
        <v>#REF!</v>
      </c>
      <c r="AI2389" s="43" t="str">
        <f ca="1">_xll.BInterpol('Base IPCA'!$C$3:$C$14,'Base IPCA'!$E$3:$E$14,AH2389,"Cubic","Extrapolate=Linear","MultiX=Average","Skip=True","Sort=True")</f>
        <v>#N/A Invalid Parameter: Interpolation value</v>
      </c>
      <c r="AJ2389" s="43" t="str">
        <f ca="1"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22"/>
        <v>#REF!</v>
      </c>
      <c r="AI2390" s="43" t="str">
        <f ca="1">_xll.BInterpol('Base IPCA'!$C$3:$C$14,'Base IPCA'!$E$3:$E$14,AH2390,"Cubic","Extrapolate=Linear","MultiX=Average","Skip=True","Sort=True")</f>
        <v>#N/A Invalid Parameter: Interpolation value</v>
      </c>
      <c r="AJ2390" s="43" t="str">
        <f ca="1"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22"/>
        <v>#REF!</v>
      </c>
      <c r="AI2391" s="43" t="str">
        <f ca="1">_xll.BInterpol('Base IPCA'!$C$3:$C$14,'Base IPCA'!$E$3:$E$14,AH2391,"Cubic","Extrapolate=Linear","MultiX=Average","Skip=True","Sort=True")</f>
        <v>#N/A Invalid Parameter: Interpolation value</v>
      </c>
      <c r="AJ2391" s="43" t="str">
        <f ca="1"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22"/>
        <v>#REF!</v>
      </c>
      <c r="AI2392" s="43" t="str">
        <f ca="1">_xll.BInterpol('Base IPCA'!$C$3:$C$14,'Base IPCA'!$E$3:$E$14,AH2392,"Cubic","Extrapolate=Linear","MultiX=Average","Skip=True","Sort=True")</f>
        <v>#N/A Invalid Parameter: Interpolation value</v>
      </c>
      <c r="AJ2392" s="43" t="str">
        <f ca="1"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22"/>
        <v>#REF!</v>
      </c>
      <c r="AI2393" s="43" t="str">
        <f ca="1">_xll.BInterpol('Base IPCA'!$C$3:$C$14,'Base IPCA'!$E$3:$E$14,AH2393,"Cubic","Extrapolate=Linear","MultiX=Average","Skip=True","Sort=True")</f>
        <v>#N/A Invalid Parameter: Interpolation value</v>
      </c>
      <c r="AJ2393" s="43" t="str">
        <f ca="1"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22"/>
        <v>#REF!</v>
      </c>
      <c r="AI2394" s="43" t="str">
        <f ca="1">_xll.BInterpol('Base IPCA'!$C$3:$C$14,'Base IPCA'!$E$3:$E$14,AH2394,"Cubic","Extrapolate=Linear","MultiX=Average","Skip=True","Sort=True")</f>
        <v>#N/A Invalid Parameter: Interpolation value</v>
      </c>
      <c r="AJ2394" s="43" t="str">
        <f ca="1"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22"/>
        <v>#REF!</v>
      </c>
      <c r="AI2395" s="43" t="str">
        <f ca="1">_xll.BInterpol('Base IPCA'!$C$3:$C$14,'Base IPCA'!$E$3:$E$14,AH2395,"Cubic","Extrapolate=Linear","MultiX=Average","Skip=True","Sort=True")</f>
        <v>#N/A Invalid Parameter: Interpolation value</v>
      </c>
      <c r="AJ2395" s="43" t="str">
        <f ca="1"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22"/>
        <v>#REF!</v>
      </c>
      <c r="AI2396" s="43" t="str">
        <f ca="1">_xll.BInterpol('Base IPCA'!$C$3:$C$14,'Base IPCA'!$E$3:$E$14,AH2396,"Cubic","Extrapolate=Linear","MultiX=Average","Skip=True","Sort=True")</f>
        <v>#N/A Invalid Parameter: Interpolation value</v>
      </c>
      <c r="AJ2396" s="43" t="str">
        <f ca="1"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22"/>
        <v>#REF!</v>
      </c>
      <c r="AI2397" s="43" t="str">
        <f ca="1">_xll.BInterpol('Base IPCA'!$C$3:$C$14,'Base IPCA'!$E$3:$E$14,AH2397,"Cubic","Extrapolate=Linear","MultiX=Average","Skip=True","Sort=True")</f>
        <v>#N/A Invalid Parameter: Interpolation value</v>
      </c>
      <c r="AJ2397" s="43" t="str">
        <f ca="1"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22"/>
        <v>#REF!</v>
      </c>
      <c r="AI2398" s="43" t="str">
        <f ca="1">_xll.BInterpol('Base IPCA'!$C$3:$C$14,'Base IPCA'!$E$3:$E$14,AH2398,"Cubic","Extrapolate=Linear","MultiX=Average","Skip=True","Sort=True")</f>
        <v>#N/A Invalid Parameter: Interpolation value</v>
      </c>
      <c r="AJ2398" s="43" t="str">
        <f ca="1"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22"/>
        <v>#REF!</v>
      </c>
      <c r="AI2399" s="43" t="str">
        <f ca="1">_xll.BInterpol('Base IPCA'!$C$3:$C$14,'Base IPCA'!$E$3:$E$14,AH2399,"Cubic","Extrapolate=Linear","MultiX=Average","Skip=True","Sort=True")</f>
        <v>#N/A Invalid Parameter: Interpolation value</v>
      </c>
      <c r="AJ2399" s="43" t="str">
        <f ca="1"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22"/>
        <v>#REF!</v>
      </c>
      <c r="AI2400" s="43" t="str">
        <f ca="1">_xll.BInterpol('Base IPCA'!$C$3:$C$14,'Base IPCA'!$E$3:$E$14,AH2400,"Cubic","Extrapolate=Linear","MultiX=Average","Skip=True","Sort=True")</f>
        <v>#N/A Invalid Parameter: Interpolation value</v>
      </c>
      <c r="AJ2400" s="43" t="str">
        <f ca="1"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22"/>
        <v>#REF!</v>
      </c>
      <c r="AI2401" s="43" t="str">
        <f ca="1">_xll.BInterpol('Base IPCA'!$C$3:$C$14,'Base IPCA'!$E$3:$E$14,AH2401,"Cubic","Extrapolate=Linear","MultiX=Average","Skip=True","Sort=True")</f>
        <v>#N/A Invalid Parameter: Interpolation value</v>
      </c>
      <c r="AJ2401" s="43" t="str">
        <f ca="1"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22"/>
        <v>#REF!</v>
      </c>
      <c r="AI2402" s="43" t="str">
        <f ca="1">_xll.BInterpol('Base IPCA'!$C$3:$C$14,'Base IPCA'!$E$3:$E$14,AH2402,"Cubic","Extrapolate=Linear","MultiX=Average","Skip=True","Sort=True")</f>
        <v>#N/A Invalid Parameter: Interpolation value</v>
      </c>
      <c r="AJ2402" s="43" t="str">
        <f ca="1"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22"/>
        <v>#REF!</v>
      </c>
      <c r="AI2403" s="43" t="str">
        <f ca="1">_xll.BInterpol('Base IPCA'!$C$3:$C$14,'Base IPCA'!$E$3:$E$14,AH2403,"Cubic","Extrapolate=Linear","MultiX=Average","Skip=True","Sort=True")</f>
        <v>#N/A Invalid Parameter: Interpolation value</v>
      </c>
      <c r="AJ2403" s="43" t="str">
        <f ca="1"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22"/>
        <v>#REF!</v>
      </c>
      <c r="AI2404" s="43" t="str">
        <f ca="1">_xll.BInterpol('Base IPCA'!$C$3:$C$14,'Base IPCA'!$E$3:$E$14,AH2404,"Cubic","Extrapolate=Linear","MultiX=Average","Skip=True","Sort=True")</f>
        <v>#N/A Invalid Parameter: Interpolation value</v>
      </c>
      <c r="AJ2404" s="43" t="str">
        <f ca="1"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22"/>
        <v>#REF!</v>
      </c>
      <c r="AI2405" s="43" t="str">
        <f ca="1">_xll.BInterpol('Base IPCA'!$C$3:$C$14,'Base IPCA'!$E$3:$E$14,AH2405,"Cubic","Extrapolate=Linear","MultiX=Average","Skip=True","Sort=True")</f>
        <v>#N/A Invalid Parameter: Interpolation value</v>
      </c>
      <c r="AJ2405" s="43" t="str">
        <f ca="1"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22"/>
        <v>#REF!</v>
      </c>
      <c r="AI2406" s="43" t="str">
        <f ca="1">_xll.BInterpol('Base IPCA'!$C$3:$C$14,'Base IPCA'!$E$3:$E$14,AH2406,"Cubic","Extrapolate=Linear","MultiX=Average","Skip=True","Sort=True")</f>
        <v>#N/A Invalid Parameter: Interpolation value</v>
      </c>
      <c r="AJ2406" s="43" t="str">
        <f ca="1"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22"/>
        <v>#REF!</v>
      </c>
      <c r="AI2407" s="43" t="str">
        <f ca="1">_xll.BInterpol('Base IPCA'!$C$3:$C$14,'Base IPCA'!$E$3:$E$14,AH2407,"Cubic","Extrapolate=Linear","MultiX=Average","Skip=True","Sort=True")</f>
        <v>#N/A Invalid Parameter: Interpolation value</v>
      </c>
      <c r="AJ2407" s="43" t="str">
        <f ca="1"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22"/>
        <v>#REF!</v>
      </c>
      <c r="AI2408" s="43" t="str">
        <f ca="1">_xll.BInterpol('Base IPCA'!$C$3:$C$14,'Base IPCA'!$E$3:$E$14,AH2408,"Cubic","Extrapolate=Linear","MultiX=Average","Skip=True","Sort=True")</f>
        <v>#N/A Invalid Parameter: Interpolation value</v>
      </c>
      <c r="AJ2408" s="43" t="str">
        <f ca="1"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22"/>
        <v>#REF!</v>
      </c>
      <c r="AI2409" s="43" t="str">
        <f ca="1">_xll.BInterpol('Base IPCA'!$C$3:$C$14,'Base IPCA'!$E$3:$E$14,AH2409,"Cubic","Extrapolate=Linear","MultiX=Average","Skip=True","Sort=True")</f>
        <v>#N/A Invalid Parameter: Interpolation value</v>
      </c>
      <c r="AJ2409" s="43" t="str">
        <f ca="1"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22"/>
        <v>#REF!</v>
      </c>
      <c r="AI2410" s="43" t="str">
        <f ca="1">_xll.BInterpol('Base IPCA'!$C$3:$C$14,'Base IPCA'!$E$3:$E$14,AH2410,"Cubic","Extrapolate=Linear","MultiX=Average","Skip=True","Sort=True")</f>
        <v>#N/A Invalid Parameter: Interpolation value</v>
      </c>
      <c r="AJ2410" s="43" t="str">
        <f ca="1"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22"/>
        <v>#REF!</v>
      </c>
      <c r="AI2411" s="43" t="str">
        <f ca="1">_xll.BInterpol('Base IPCA'!$C$3:$C$14,'Base IPCA'!$E$3:$E$14,AH2411,"Cubic","Extrapolate=Linear","MultiX=Average","Skip=True","Sort=True")</f>
        <v>#N/A Invalid Parameter: Interpolation value</v>
      </c>
      <c r="AJ2411" s="43" t="str">
        <f ca="1"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22"/>
        <v>#REF!</v>
      </c>
      <c r="AI2412" s="43" t="str">
        <f ca="1">_xll.BInterpol('Base IPCA'!$C$3:$C$14,'Base IPCA'!$E$3:$E$14,AH2412,"Cubic","Extrapolate=Linear","MultiX=Average","Skip=True","Sort=True")</f>
        <v>#N/A Invalid Parameter: Interpolation value</v>
      </c>
      <c r="AJ2412" s="43" t="str">
        <f ca="1"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22"/>
        <v>#REF!</v>
      </c>
      <c r="AI2413" s="43" t="str">
        <f ca="1">_xll.BInterpol('Base IPCA'!$C$3:$C$14,'Base IPCA'!$E$3:$E$14,AH2413,"Cubic","Extrapolate=Linear","MultiX=Average","Skip=True","Sort=True")</f>
        <v>#N/A Invalid Parameter: Interpolation value</v>
      </c>
      <c r="AJ2413" s="43" t="str">
        <f ca="1"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22"/>
        <v>#REF!</v>
      </c>
      <c r="AI2414" s="43" t="str">
        <f ca="1">_xll.BInterpol('Base IPCA'!$C$3:$C$14,'Base IPCA'!$E$3:$E$14,AH2414,"Cubic","Extrapolate=Linear","MultiX=Average","Skip=True","Sort=True")</f>
        <v>#N/A Invalid Parameter: Interpolation value</v>
      </c>
      <c r="AJ2414" s="43" t="str">
        <f ca="1"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22"/>
        <v>#REF!</v>
      </c>
      <c r="AI2415" s="43" t="str">
        <f ca="1">_xll.BInterpol('Base IPCA'!$C$3:$C$14,'Base IPCA'!$E$3:$E$14,AH2415,"Cubic","Extrapolate=Linear","MultiX=Average","Skip=True","Sort=True")</f>
        <v>#N/A Invalid Parameter: Interpolation value</v>
      </c>
      <c r="AJ2415" s="43" t="str">
        <f ca="1"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22"/>
        <v>#REF!</v>
      </c>
      <c r="AI2416" s="43" t="str">
        <f ca="1">_xll.BInterpol('Base IPCA'!$C$3:$C$14,'Base IPCA'!$E$3:$E$14,AH2416,"Cubic","Extrapolate=Linear","MultiX=Average","Skip=True","Sort=True")</f>
        <v>#N/A Invalid Parameter: Interpolation value</v>
      </c>
      <c r="AJ2416" s="43" t="str">
        <f ca="1"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22"/>
        <v>#REF!</v>
      </c>
      <c r="AI2417" s="43" t="str">
        <f ca="1">_xll.BInterpol('Base IPCA'!$C$3:$C$14,'Base IPCA'!$E$3:$E$14,AH2417,"Cubic","Extrapolate=Linear","MultiX=Average","Skip=True","Sort=True")</f>
        <v>#N/A Invalid Parameter: Interpolation value</v>
      </c>
      <c r="AJ2417" s="43" t="str">
        <f ca="1"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22"/>
        <v>#REF!</v>
      </c>
      <c r="AI2418" s="43" t="str">
        <f ca="1">_xll.BInterpol('Base IPCA'!$C$3:$C$14,'Base IPCA'!$E$3:$E$14,AH2418,"Cubic","Extrapolate=Linear","MultiX=Average","Skip=True","Sort=True")</f>
        <v>#N/A Invalid Parameter: Interpolation value</v>
      </c>
      <c r="AJ2418" s="43" t="str">
        <f ca="1"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22"/>
        <v>#REF!</v>
      </c>
      <c r="AI2419" s="43" t="str">
        <f ca="1">_xll.BInterpol('Base IPCA'!$C$3:$C$14,'Base IPCA'!$E$3:$E$14,AH2419,"Cubic","Extrapolate=Linear","MultiX=Average","Skip=True","Sort=True")</f>
        <v>#N/A Invalid Parameter: Interpolation value</v>
      </c>
      <c r="AJ2419" s="43" t="str">
        <f ca="1"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22"/>
        <v>#REF!</v>
      </c>
      <c r="AI2420" s="43" t="str">
        <f ca="1">_xll.BInterpol('Base IPCA'!$C$3:$C$14,'Base IPCA'!$E$3:$E$14,AH2420,"Cubic","Extrapolate=Linear","MultiX=Average","Skip=True","Sort=True")</f>
        <v>#N/A Invalid Parameter: Interpolation value</v>
      </c>
      <c r="AJ2420" s="43" t="str">
        <f ca="1"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22"/>
        <v>#REF!</v>
      </c>
      <c r="AI2421" s="43" t="str">
        <f ca="1">_xll.BInterpol('Base IPCA'!$C$3:$C$14,'Base IPCA'!$E$3:$E$14,AH2421,"Cubic","Extrapolate=Linear","MultiX=Average","Skip=True","Sort=True")</f>
        <v>#N/A Invalid Parameter: Interpolation value</v>
      </c>
      <c r="AJ2421" s="43" t="str">
        <f ca="1"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22"/>
        <v>#REF!</v>
      </c>
      <c r="AI2422" s="43" t="str">
        <f ca="1">_xll.BInterpol('Base IPCA'!$C$3:$C$14,'Base IPCA'!$E$3:$E$14,AH2422,"Cubic","Extrapolate=Linear","MultiX=Average","Skip=True","Sort=True")</f>
        <v>#N/A Invalid Parameter: Interpolation value</v>
      </c>
      <c r="AJ2422" s="43" t="str">
        <f ca="1"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22"/>
        <v>#REF!</v>
      </c>
      <c r="AI2423" s="43" t="str">
        <f ca="1">_xll.BInterpol('Base IPCA'!$C$3:$C$14,'Base IPCA'!$E$3:$E$14,AH2423,"Cubic","Extrapolate=Linear","MultiX=Average","Skip=True","Sort=True")</f>
        <v>#N/A Invalid Parameter: Interpolation value</v>
      </c>
      <c r="AJ2423" s="43" t="str">
        <f ca="1"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22"/>
        <v>#REF!</v>
      </c>
      <c r="AI2424" s="43" t="str">
        <f ca="1">_xll.BInterpol('Base IPCA'!$C$3:$C$14,'Base IPCA'!$E$3:$E$14,AH2424,"Cubic","Extrapolate=Linear","MultiX=Average","Skip=True","Sort=True")</f>
        <v>#N/A Invalid Parameter: Interpolation value</v>
      </c>
      <c r="AJ2424" s="43" t="str">
        <f ca="1"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22"/>
        <v>#REF!</v>
      </c>
      <c r="AI2425" s="43" t="str">
        <f ca="1">_xll.BInterpol('Base IPCA'!$C$3:$C$14,'Base IPCA'!$E$3:$E$14,AH2425,"Cubic","Extrapolate=Linear","MultiX=Average","Skip=True","Sort=True")</f>
        <v>#N/A Invalid Parameter: Interpolation value</v>
      </c>
      <c r="AJ2425" s="43" t="str">
        <f ca="1"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22"/>
        <v>#REF!</v>
      </c>
      <c r="AI2426" s="43" t="str">
        <f ca="1">_xll.BInterpol('Base IPCA'!$C$3:$C$14,'Base IPCA'!$E$3:$E$14,AH2426,"Cubic","Extrapolate=Linear","MultiX=Average","Skip=True","Sort=True")</f>
        <v>#N/A Invalid Parameter: Interpolation value</v>
      </c>
      <c r="AJ2426" s="43" t="str">
        <f ca="1"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22"/>
        <v>#REF!</v>
      </c>
      <c r="AI2427" s="43" t="str">
        <f ca="1">_xll.BInterpol('Base IPCA'!$C$3:$C$14,'Base IPCA'!$E$3:$E$14,AH2427,"Cubic","Extrapolate=Linear","MultiX=Average","Skip=True","Sort=True")</f>
        <v>#N/A Invalid Parameter: Interpolation value</v>
      </c>
      <c r="AJ2427" s="43" t="str">
        <f ca="1"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22"/>
        <v>#REF!</v>
      </c>
      <c r="AI2428" s="43" t="str">
        <f ca="1">_xll.BInterpol('Base IPCA'!$C$3:$C$14,'Base IPCA'!$E$3:$E$14,AH2428,"Cubic","Extrapolate=Linear","MultiX=Average","Skip=True","Sort=True")</f>
        <v>#N/A Invalid Parameter: Interpolation value</v>
      </c>
      <c r="AJ2428" s="43" t="str">
        <f ca="1"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22"/>
        <v>#REF!</v>
      </c>
      <c r="AI2429" s="43" t="str">
        <f ca="1">_xll.BInterpol('Base IPCA'!$C$3:$C$14,'Base IPCA'!$E$3:$E$14,AH2429,"Cubic","Extrapolate=Linear","MultiX=Average","Skip=True","Sort=True")</f>
        <v>#N/A Invalid Parameter: Interpolation value</v>
      </c>
      <c r="AJ2429" s="43" t="str">
        <f ca="1"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22"/>
        <v>#REF!</v>
      </c>
      <c r="AI2430" s="43" t="str">
        <f ca="1">_xll.BInterpol('Base IPCA'!$C$3:$C$14,'Base IPCA'!$E$3:$E$14,AH2430,"Cubic","Extrapolate=Linear","MultiX=Average","Skip=True","Sort=True")</f>
        <v>#N/A Invalid Parameter: Interpolation value</v>
      </c>
      <c r="AJ2430" s="43" t="str">
        <f ca="1"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22"/>
        <v>#REF!</v>
      </c>
      <c r="AI2431" s="43" t="str">
        <f ca="1">_xll.BInterpol('Base IPCA'!$C$3:$C$14,'Base IPCA'!$E$3:$E$14,AH2431,"Cubic","Extrapolate=Linear","MultiX=Average","Skip=True","Sort=True")</f>
        <v>#N/A Invalid Parameter: Interpolation value</v>
      </c>
      <c r="AJ2431" s="43" t="str">
        <f ca="1"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22"/>
        <v>#REF!</v>
      </c>
      <c r="AI2432" s="43" t="str">
        <f ca="1">_xll.BInterpol('Base IPCA'!$C$3:$C$14,'Base IPCA'!$E$3:$E$14,AH2432,"Cubic","Extrapolate=Linear","MultiX=Average","Skip=True","Sort=True")</f>
        <v>#N/A Invalid Parameter: Interpolation value</v>
      </c>
      <c r="AJ2432" s="43" t="str">
        <f ca="1"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22"/>
        <v>#REF!</v>
      </c>
      <c r="AI2433" s="43" t="str">
        <f ca="1">_xll.BInterpol('Base IPCA'!$C$3:$C$14,'Base IPCA'!$E$3:$E$14,AH2433,"Cubic","Extrapolate=Linear","MultiX=Average","Skip=True","Sort=True")</f>
        <v>#N/A Invalid Parameter: Interpolation value</v>
      </c>
      <c r="AJ2433" s="43" t="str">
        <f ca="1"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22"/>
        <v>#REF!</v>
      </c>
      <c r="AI2434" s="43" t="str">
        <f ca="1">_xll.BInterpol('Base IPCA'!$C$3:$C$14,'Base IPCA'!$E$3:$E$14,AH2434,"Cubic","Extrapolate=Linear","MultiX=Average","Skip=True","Sort=True")</f>
        <v>#N/A Invalid Parameter: Interpolation value</v>
      </c>
      <c r="AJ2434" s="43" t="str">
        <f ca="1"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22"/>
        <v>#REF!</v>
      </c>
      <c r="AI2435" s="43" t="str">
        <f ca="1">_xll.BInterpol('Base IPCA'!$C$3:$C$14,'Base IPCA'!$E$3:$E$14,AH2435,"Cubic","Extrapolate=Linear","MultiX=Average","Skip=True","Sort=True")</f>
        <v>#N/A Invalid Parameter: Interpolation value</v>
      </c>
      <c r="AJ2435" s="43" t="str">
        <f ca="1"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22"/>
        <v>#REF!</v>
      </c>
      <c r="AI2436" s="43" t="str">
        <f ca="1">_xll.BInterpol('Base IPCA'!$C$3:$C$14,'Base IPCA'!$E$3:$E$14,AH2436,"Cubic","Extrapolate=Linear","MultiX=Average","Skip=True","Sort=True")</f>
        <v>#N/A Invalid Parameter: Interpolation value</v>
      </c>
      <c r="AJ2436" s="43" t="str">
        <f ca="1"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22"/>
        <v>#REF!</v>
      </c>
      <c r="AI2437" s="43" t="str">
        <f ca="1">_xll.BInterpol('Base IPCA'!$C$3:$C$14,'Base IPCA'!$E$3:$E$14,AH2437,"Cubic","Extrapolate=Linear","MultiX=Average","Skip=True","Sort=True")</f>
        <v>#N/A Invalid Parameter: Interpolation value</v>
      </c>
      <c r="AJ2437" s="43" t="str">
        <f ca="1"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23">AH2437+1</f>
        <v>#REF!</v>
      </c>
      <c r="AI2438" s="43" t="str">
        <f ca="1">_xll.BInterpol('Base IPCA'!$C$3:$C$14,'Base IPCA'!$E$3:$E$14,AH2438,"Cubic","Extrapolate=Linear","MultiX=Average","Skip=True","Sort=True")</f>
        <v>#N/A Invalid Parameter: Interpolation value</v>
      </c>
      <c r="AJ2438" s="43" t="str">
        <f ca="1"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23"/>
        <v>#REF!</v>
      </c>
      <c r="AI2439" s="43" t="str">
        <f ca="1">_xll.BInterpol('Base IPCA'!$C$3:$C$14,'Base IPCA'!$E$3:$E$14,AH2439,"Cubic","Extrapolate=Linear","MultiX=Average","Skip=True","Sort=True")</f>
        <v>#N/A Invalid Parameter: Interpolation value</v>
      </c>
      <c r="AJ2439" s="43" t="str">
        <f ca="1"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23"/>
        <v>#REF!</v>
      </c>
      <c r="AI2440" s="43" t="str">
        <f ca="1">_xll.BInterpol('Base IPCA'!$C$3:$C$14,'Base IPCA'!$E$3:$E$14,AH2440,"Cubic","Extrapolate=Linear","MultiX=Average","Skip=True","Sort=True")</f>
        <v>#N/A Invalid Parameter: Interpolation value</v>
      </c>
      <c r="AJ2440" s="43" t="str">
        <f ca="1"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23"/>
        <v>#REF!</v>
      </c>
      <c r="AI2441" s="43" t="str">
        <f ca="1">_xll.BInterpol('Base IPCA'!$C$3:$C$14,'Base IPCA'!$E$3:$E$14,AH2441,"Cubic","Extrapolate=Linear","MultiX=Average","Skip=True","Sort=True")</f>
        <v>#N/A Invalid Parameter: Interpolation value</v>
      </c>
      <c r="AJ2441" s="43" t="str">
        <f ca="1"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23"/>
        <v>#REF!</v>
      </c>
      <c r="AI2442" s="43" t="str">
        <f ca="1">_xll.BInterpol('Base IPCA'!$C$3:$C$14,'Base IPCA'!$E$3:$E$14,AH2442,"Cubic","Extrapolate=Linear","MultiX=Average","Skip=True","Sort=True")</f>
        <v>#N/A Invalid Parameter: Interpolation value</v>
      </c>
      <c r="AJ2442" s="43" t="str">
        <f ca="1"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23"/>
        <v>#REF!</v>
      </c>
      <c r="AI2443" s="43" t="str">
        <f ca="1">_xll.BInterpol('Base IPCA'!$C$3:$C$14,'Base IPCA'!$E$3:$E$14,AH2443,"Cubic","Extrapolate=Linear","MultiX=Average","Skip=True","Sort=True")</f>
        <v>#N/A Invalid Parameter: Interpolation value</v>
      </c>
      <c r="AJ2443" s="43" t="str">
        <f ca="1"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23"/>
        <v>#REF!</v>
      </c>
      <c r="AI2444" s="43" t="str">
        <f ca="1">_xll.BInterpol('Base IPCA'!$C$3:$C$14,'Base IPCA'!$E$3:$E$14,AH2444,"Cubic","Extrapolate=Linear","MultiX=Average","Skip=True","Sort=True")</f>
        <v>#N/A Invalid Parameter: Interpolation value</v>
      </c>
      <c r="AJ2444" s="43" t="str">
        <f ca="1"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23"/>
        <v>#REF!</v>
      </c>
      <c r="AI2445" s="43" t="str">
        <f ca="1">_xll.BInterpol('Base IPCA'!$C$3:$C$14,'Base IPCA'!$E$3:$E$14,AH2445,"Cubic","Extrapolate=Linear","MultiX=Average","Skip=True","Sort=True")</f>
        <v>#N/A Invalid Parameter: Interpolation value</v>
      </c>
      <c r="AJ2445" s="43" t="str">
        <f ca="1"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23"/>
        <v>#REF!</v>
      </c>
      <c r="AI2446" s="43" t="str">
        <f ca="1">_xll.BInterpol('Base IPCA'!$C$3:$C$14,'Base IPCA'!$E$3:$E$14,AH2446,"Cubic","Extrapolate=Linear","MultiX=Average","Skip=True","Sort=True")</f>
        <v>#N/A Invalid Parameter: Interpolation value</v>
      </c>
      <c r="AJ2446" s="43" t="str">
        <f ca="1"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23"/>
        <v>#REF!</v>
      </c>
      <c r="AI2447" s="43" t="str">
        <f ca="1">_xll.BInterpol('Base IPCA'!$C$3:$C$14,'Base IPCA'!$E$3:$E$14,AH2447,"Cubic","Extrapolate=Linear","MultiX=Average","Skip=True","Sort=True")</f>
        <v>#N/A Invalid Parameter: Interpolation value</v>
      </c>
      <c r="AJ2447" s="43" t="str">
        <f ca="1"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23"/>
        <v>#REF!</v>
      </c>
      <c r="AI2448" s="43" t="str">
        <f ca="1">_xll.BInterpol('Base IPCA'!$C$3:$C$14,'Base IPCA'!$E$3:$E$14,AH2448,"Cubic","Extrapolate=Linear","MultiX=Average","Skip=True","Sort=True")</f>
        <v>#N/A Invalid Parameter: Interpolation value</v>
      </c>
      <c r="AJ2448" s="43" t="str">
        <f ca="1"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23"/>
        <v>#REF!</v>
      </c>
      <c r="AI2449" s="43" t="str">
        <f ca="1">_xll.BInterpol('Base IPCA'!$C$3:$C$14,'Base IPCA'!$E$3:$E$14,AH2449,"Cubic","Extrapolate=Linear","MultiX=Average","Skip=True","Sort=True")</f>
        <v>#N/A Invalid Parameter: Interpolation value</v>
      </c>
      <c r="AJ2449" s="43" t="str">
        <f ca="1"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23"/>
        <v>#REF!</v>
      </c>
      <c r="AI2450" s="43" t="str">
        <f ca="1">_xll.BInterpol('Base IPCA'!$C$3:$C$14,'Base IPCA'!$E$3:$E$14,AH2450,"Cubic","Extrapolate=Linear","MultiX=Average","Skip=True","Sort=True")</f>
        <v>#N/A Invalid Parameter: Interpolation value</v>
      </c>
      <c r="AJ2450" s="43" t="str">
        <f ca="1"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23"/>
        <v>#REF!</v>
      </c>
      <c r="AI2451" s="43" t="str">
        <f ca="1">_xll.BInterpol('Base IPCA'!$C$3:$C$14,'Base IPCA'!$E$3:$E$14,AH2451,"Cubic","Extrapolate=Linear","MultiX=Average","Skip=True","Sort=True")</f>
        <v>#N/A Invalid Parameter: Interpolation value</v>
      </c>
      <c r="AJ2451" s="43" t="str">
        <f ca="1"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23"/>
        <v>#REF!</v>
      </c>
      <c r="AI2452" s="43" t="str">
        <f ca="1">_xll.BInterpol('Base IPCA'!$C$3:$C$14,'Base IPCA'!$E$3:$E$14,AH2452,"Cubic","Extrapolate=Linear","MultiX=Average","Skip=True","Sort=True")</f>
        <v>#N/A Invalid Parameter: Interpolation value</v>
      </c>
      <c r="AJ2452" s="43" t="str">
        <f ca="1"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23"/>
        <v>#REF!</v>
      </c>
      <c r="AI2453" s="43" t="str">
        <f ca="1">_xll.BInterpol('Base IPCA'!$C$3:$C$14,'Base IPCA'!$E$3:$E$14,AH2453,"Cubic","Extrapolate=Linear","MultiX=Average","Skip=True","Sort=True")</f>
        <v>#N/A Invalid Parameter: Interpolation value</v>
      </c>
      <c r="AJ2453" s="43" t="str">
        <f ca="1"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23"/>
        <v>#REF!</v>
      </c>
      <c r="AI2454" s="43" t="str">
        <f ca="1">_xll.BInterpol('Base IPCA'!$C$3:$C$14,'Base IPCA'!$E$3:$E$14,AH2454,"Cubic","Extrapolate=Linear","MultiX=Average","Skip=True","Sort=True")</f>
        <v>#N/A Invalid Parameter: Interpolation value</v>
      </c>
      <c r="AJ2454" s="43" t="str">
        <f ca="1"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23"/>
        <v>#REF!</v>
      </c>
      <c r="AI2455" s="43" t="str">
        <f ca="1">_xll.BInterpol('Base IPCA'!$C$3:$C$14,'Base IPCA'!$E$3:$E$14,AH2455,"Cubic","Extrapolate=Linear","MultiX=Average","Skip=True","Sort=True")</f>
        <v>#N/A Invalid Parameter: Interpolation value</v>
      </c>
      <c r="AJ2455" s="43" t="str">
        <f ca="1"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23"/>
        <v>#REF!</v>
      </c>
      <c r="AI2456" s="43" t="str">
        <f ca="1">_xll.BInterpol('Base IPCA'!$C$3:$C$14,'Base IPCA'!$E$3:$E$14,AH2456,"Cubic","Extrapolate=Linear","MultiX=Average","Skip=True","Sort=True")</f>
        <v>#N/A Invalid Parameter: Interpolation value</v>
      </c>
      <c r="AJ2456" s="43" t="str">
        <f ca="1"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23"/>
        <v>#REF!</v>
      </c>
      <c r="AI2457" s="43" t="str">
        <f ca="1">_xll.BInterpol('Base IPCA'!$C$3:$C$14,'Base IPCA'!$E$3:$E$14,AH2457,"Cubic","Extrapolate=Linear","MultiX=Average","Skip=True","Sort=True")</f>
        <v>#N/A Invalid Parameter: Interpolation value</v>
      </c>
      <c r="AJ2457" s="43" t="str">
        <f ca="1"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23"/>
        <v>#REF!</v>
      </c>
      <c r="AI2458" s="43" t="str">
        <f ca="1">_xll.BInterpol('Base IPCA'!$C$3:$C$14,'Base IPCA'!$E$3:$E$14,AH2458,"Cubic","Extrapolate=Linear","MultiX=Average","Skip=True","Sort=True")</f>
        <v>#N/A Invalid Parameter: Interpolation value</v>
      </c>
      <c r="AJ2458" s="43" t="str">
        <f ca="1"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23"/>
        <v>#REF!</v>
      </c>
      <c r="AI2459" s="43" t="str">
        <f ca="1">_xll.BInterpol('Base IPCA'!$C$3:$C$14,'Base IPCA'!$E$3:$E$14,AH2459,"Cubic","Extrapolate=Linear","MultiX=Average","Skip=True","Sort=True")</f>
        <v>#N/A Invalid Parameter: Interpolation value</v>
      </c>
      <c r="AJ2459" s="43" t="str">
        <f ca="1"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23"/>
        <v>#REF!</v>
      </c>
      <c r="AI2460" s="43" t="str">
        <f ca="1">_xll.BInterpol('Base IPCA'!$C$3:$C$14,'Base IPCA'!$E$3:$E$14,AH2460,"Cubic","Extrapolate=Linear","MultiX=Average","Skip=True","Sort=True")</f>
        <v>#N/A Invalid Parameter: Interpolation value</v>
      </c>
      <c r="AJ2460" s="43" t="str">
        <f ca="1"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23"/>
        <v>#REF!</v>
      </c>
      <c r="AI2461" s="43" t="str">
        <f ca="1">_xll.BInterpol('Base IPCA'!$C$3:$C$14,'Base IPCA'!$E$3:$E$14,AH2461,"Cubic","Extrapolate=Linear","MultiX=Average","Skip=True","Sort=True")</f>
        <v>#N/A Invalid Parameter: Interpolation value</v>
      </c>
      <c r="AJ2461" s="43" t="str">
        <f ca="1"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23"/>
        <v>#REF!</v>
      </c>
      <c r="AI2462" s="43" t="str">
        <f ca="1">_xll.BInterpol('Base IPCA'!$C$3:$C$14,'Base IPCA'!$E$3:$E$14,AH2462,"Cubic","Extrapolate=Linear","MultiX=Average","Skip=True","Sort=True")</f>
        <v>#N/A Invalid Parameter: Interpolation value</v>
      </c>
      <c r="AJ2462" s="43" t="str">
        <f ca="1"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23"/>
        <v>#REF!</v>
      </c>
      <c r="AI2463" s="43" t="str">
        <f ca="1">_xll.BInterpol('Base IPCA'!$C$3:$C$14,'Base IPCA'!$E$3:$E$14,AH2463,"Cubic","Extrapolate=Linear","MultiX=Average","Skip=True","Sort=True")</f>
        <v>#N/A Invalid Parameter: Interpolation value</v>
      </c>
      <c r="AJ2463" s="43" t="str">
        <f ca="1"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23"/>
        <v>#REF!</v>
      </c>
      <c r="AI2464" s="43" t="str">
        <f ca="1">_xll.BInterpol('Base IPCA'!$C$3:$C$14,'Base IPCA'!$E$3:$E$14,AH2464,"Cubic","Extrapolate=Linear","MultiX=Average","Skip=True","Sort=True")</f>
        <v>#N/A Invalid Parameter: Interpolation value</v>
      </c>
      <c r="AJ2464" s="43" t="str">
        <f ca="1"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23"/>
        <v>#REF!</v>
      </c>
      <c r="AI2465" s="43" t="str">
        <f ca="1">_xll.BInterpol('Base IPCA'!$C$3:$C$14,'Base IPCA'!$E$3:$E$14,AH2465,"Cubic","Extrapolate=Linear","MultiX=Average","Skip=True","Sort=True")</f>
        <v>#N/A Invalid Parameter: Interpolation value</v>
      </c>
      <c r="AJ2465" s="43" t="str">
        <f ca="1"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23"/>
        <v>#REF!</v>
      </c>
      <c r="AI2466" s="43" t="str">
        <f ca="1">_xll.BInterpol('Base IPCA'!$C$3:$C$14,'Base IPCA'!$E$3:$E$14,AH2466,"Cubic","Extrapolate=Linear","MultiX=Average","Skip=True","Sort=True")</f>
        <v>#N/A Invalid Parameter: Interpolation value</v>
      </c>
      <c r="AJ2466" s="43" t="str">
        <f ca="1"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23"/>
        <v>#REF!</v>
      </c>
      <c r="AI2467" s="43" t="str">
        <f ca="1">_xll.BInterpol('Base IPCA'!$C$3:$C$14,'Base IPCA'!$E$3:$E$14,AH2467,"Cubic","Extrapolate=Linear","MultiX=Average","Skip=True","Sort=True")</f>
        <v>#N/A Invalid Parameter: Interpolation value</v>
      </c>
      <c r="AJ2467" s="43" t="str">
        <f ca="1"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23"/>
        <v>#REF!</v>
      </c>
      <c r="AI2468" s="43" t="str">
        <f ca="1">_xll.BInterpol('Base IPCA'!$C$3:$C$14,'Base IPCA'!$E$3:$E$14,AH2468,"Cubic","Extrapolate=Linear","MultiX=Average","Skip=True","Sort=True")</f>
        <v>#N/A Invalid Parameter: Interpolation value</v>
      </c>
      <c r="AJ2468" s="43" t="str">
        <f ca="1"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23"/>
        <v>#REF!</v>
      </c>
      <c r="AI2469" s="43" t="str">
        <f ca="1">_xll.BInterpol('Base IPCA'!$C$3:$C$14,'Base IPCA'!$E$3:$E$14,AH2469,"Cubic","Extrapolate=Linear","MultiX=Average","Skip=True","Sort=True")</f>
        <v>#N/A Invalid Parameter: Interpolation value</v>
      </c>
      <c r="AJ2469" s="43" t="str">
        <f ca="1"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23"/>
        <v>#REF!</v>
      </c>
      <c r="AI2470" s="43" t="str">
        <f ca="1">_xll.BInterpol('Base IPCA'!$C$3:$C$14,'Base IPCA'!$E$3:$E$14,AH2470,"Cubic","Extrapolate=Linear","MultiX=Average","Skip=True","Sort=True")</f>
        <v>#N/A Invalid Parameter: Interpolation value</v>
      </c>
      <c r="AJ2470" s="43" t="str">
        <f ca="1"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23"/>
        <v>#REF!</v>
      </c>
      <c r="AI2471" s="43" t="str">
        <f ca="1">_xll.BInterpol('Base IPCA'!$C$3:$C$14,'Base IPCA'!$E$3:$E$14,AH2471,"Cubic","Extrapolate=Linear","MultiX=Average","Skip=True","Sort=True")</f>
        <v>#N/A Invalid Parameter: Interpolation value</v>
      </c>
      <c r="AJ2471" s="43" t="str">
        <f ca="1"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23"/>
        <v>#REF!</v>
      </c>
      <c r="AI2472" s="43" t="str">
        <f ca="1">_xll.BInterpol('Base IPCA'!$C$3:$C$14,'Base IPCA'!$E$3:$E$14,AH2472,"Cubic","Extrapolate=Linear","MultiX=Average","Skip=True","Sort=True")</f>
        <v>#N/A Invalid Parameter: Interpolation value</v>
      </c>
      <c r="AJ2472" s="43" t="str">
        <f ca="1"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23"/>
        <v>#REF!</v>
      </c>
      <c r="AI2473" s="43" t="str">
        <f ca="1">_xll.BInterpol('Base IPCA'!$C$3:$C$14,'Base IPCA'!$E$3:$E$14,AH2473,"Cubic","Extrapolate=Linear","MultiX=Average","Skip=True","Sort=True")</f>
        <v>#N/A Invalid Parameter: Interpolation value</v>
      </c>
      <c r="AJ2473" s="43" t="str">
        <f ca="1"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23"/>
        <v>#REF!</v>
      </c>
      <c r="AI2474" s="43" t="str">
        <f ca="1">_xll.BInterpol('Base IPCA'!$C$3:$C$14,'Base IPCA'!$E$3:$E$14,AH2474,"Cubic","Extrapolate=Linear","MultiX=Average","Skip=True","Sort=True")</f>
        <v>#N/A Invalid Parameter: Interpolation value</v>
      </c>
      <c r="AJ2474" s="43" t="str">
        <f ca="1"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23"/>
        <v>#REF!</v>
      </c>
      <c r="AI2475" s="43" t="str">
        <f ca="1">_xll.BInterpol('Base IPCA'!$C$3:$C$14,'Base IPCA'!$E$3:$E$14,AH2475,"Cubic","Extrapolate=Linear","MultiX=Average","Skip=True","Sort=True")</f>
        <v>#N/A Invalid Parameter: Interpolation value</v>
      </c>
      <c r="AJ2475" s="43" t="str">
        <f ca="1"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23"/>
        <v>#REF!</v>
      </c>
      <c r="AI2476" s="43" t="str">
        <f ca="1">_xll.BInterpol('Base IPCA'!$C$3:$C$14,'Base IPCA'!$E$3:$E$14,AH2476,"Cubic","Extrapolate=Linear","MultiX=Average","Skip=True","Sort=True")</f>
        <v>#N/A Invalid Parameter: Interpolation value</v>
      </c>
      <c r="AJ2476" s="43" t="str">
        <f ca="1"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23"/>
        <v>#REF!</v>
      </c>
      <c r="AI2477" s="43" t="str">
        <f ca="1">_xll.BInterpol('Base IPCA'!$C$3:$C$14,'Base IPCA'!$E$3:$E$14,AH2477,"Cubic","Extrapolate=Linear","MultiX=Average","Skip=True","Sort=True")</f>
        <v>#N/A Invalid Parameter: Interpolation value</v>
      </c>
      <c r="AJ2477" s="43" t="str">
        <f ca="1"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23"/>
        <v>#REF!</v>
      </c>
      <c r="AI2478" s="43" t="str">
        <f ca="1">_xll.BInterpol('Base IPCA'!$C$3:$C$14,'Base IPCA'!$E$3:$E$14,AH2478,"Cubic","Extrapolate=Linear","MultiX=Average","Skip=True","Sort=True")</f>
        <v>#N/A Invalid Parameter: Interpolation value</v>
      </c>
      <c r="AJ2478" s="43" t="str">
        <f ca="1"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23"/>
        <v>#REF!</v>
      </c>
      <c r="AI2479" s="43" t="str">
        <f ca="1">_xll.BInterpol('Base IPCA'!$C$3:$C$14,'Base IPCA'!$E$3:$E$14,AH2479,"Cubic","Extrapolate=Linear","MultiX=Average","Skip=True","Sort=True")</f>
        <v>#N/A Invalid Parameter: Interpolation value</v>
      </c>
      <c r="AJ2479" s="43" t="str">
        <f ca="1"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23"/>
        <v>#REF!</v>
      </c>
      <c r="AI2480" s="43" t="str">
        <f ca="1">_xll.BInterpol('Base IPCA'!$C$3:$C$14,'Base IPCA'!$E$3:$E$14,AH2480,"Cubic","Extrapolate=Linear","MultiX=Average","Skip=True","Sort=True")</f>
        <v>#N/A Invalid Parameter: Interpolation value</v>
      </c>
      <c r="AJ2480" s="43" t="str">
        <f ca="1"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23"/>
        <v>#REF!</v>
      </c>
      <c r="AI2481" s="43" t="str">
        <f ca="1">_xll.BInterpol('Base IPCA'!$C$3:$C$14,'Base IPCA'!$E$3:$E$14,AH2481,"Cubic","Extrapolate=Linear","MultiX=Average","Skip=True","Sort=True")</f>
        <v>#N/A Invalid Parameter: Interpolation value</v>
      </c>
      <c r="AJ2481" s="43" t="str">
        <f ca="1"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23"/>
        <v>#REF!</v>
      </c>
      <c r="AI2482" s="43" t="str">
        <f ca="1">_xll.BInterpol('Base IPCA'!$C$3:$C$14,'Base IPCA'!$E$3:$E$14,AH2482,"Cubic","Extrapolate=Linear","MultiX=Average","Skip=True","Sort=True")</f>
        <v>#N/A Invalid Parameter: Interpolation value</v>
      </c>
      <c r="AJ2482" s="43" t="str">
        <f ca="1"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23"/>
        <v>#REF!</v>
      </c>
      <c r="AI2483" s="43" t="str">
        <f ca="1">_xll.BInterpol('Base IPCA'!$C$3:$C$14,'Base IPCA'!$E$3:$E$14,AH2483,"Cubic","Extrapolate=Linear","MultiX=Average","Skip=True","Sort=True")</f>
        <v>#N/A Invalid Parameter: Interpolation value</v>
      </c>
      <c r="AJ2483" s="43" t="str">
        <f ca="1"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23"/>
        <v>#REF!</v>
      </c>
      <c r="AI2484" s="43" t="str">
        <f ca="1">_xll.BInterpol('Base IPCA'!$C$3:$C$14,'Base IPCA'!$E$3:$E$14,AH2484,"Cubic","Extrapolate=Linear","MultiX=Average","Skip=True","Sort=True")</f>
        <v>#N/A Invalid Parameter: Interpolation value</v>
      </c>
      <c r="AJ2484" s="43" t="str">
        <f ca="1"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23"/>
        <v>#REF!</v>
      </c>
      <c r="AI2485" s="43" t="str">
        <f ca="1">_xll.BInterpol('Base IPCA'!$C$3:$C$14,'Base IPCA'!$E$3:$E$14,AH2485,"Cubic","Extrapolate=Linear","MultiX=Average","Skip=True","Sort=True")</f>
        <v>#N/A Invalid Parameter: Interpolation value</v>
      </c>
      <c r="AJ2485" s="43" t="str">
        <f ca="1"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23"/>
        <v>#REF!</v>
      </c>
      <c r="AI2486" s="43" t="str">
        <f ca="1">_xll.BInterpol('Base IPCA'!$C$3:$C$14,'Base IPCA'!$E$3:$E$14,AH2486,"Cubic","Extrapolate=Linear","MultiX=Average","Skip=True","Sort=True")</f>
        <v>#N/A Invalid Parameter: Interpolation value</v>
      </c>
      <c r="AJ2486" s="43" t="str">
        <f ca="1"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23"/>
        <v>#REF!</v>
      </c>
      <c r="AI2487" s="43" t="str">
        <f ca="1">_xll.BInterpol('Base IPCA'!$C$3:$C$14,'Base IPCA'!$E$3:$E$14,AH2487,"Cubic","Extrapolate=Linear","MultiX=Average","Skip=True","Sort=True")</f>
        <v>#N/A Invalid Parameter: Interpolation value</v>
      </c>
      <c r="AJ2487" s="43" t="str">
        <f ca="1"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23"/>
        <v>#REF!</v>
      </c>
      <c r="AI2488" s="43" t="str">
        <f ca="1">_xll.BInterpol('Base IPCA'!$C$3:$C$14,'Base IPCA'!$E$3:$E$14,AH2488,"Cubic","Extrapolate=Linear","MultiX=Average","Skip=True","Sort=True")</f>
        <v>#N/A Invalid Parameter: Interpolation value</v>
      </c>
      <c r="AJ2488" s="43" t="str">
        <f ca="1"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23"/>
        <v>#REF!</v>
      </c>
      <c r="AI2489" s="43" t="str">
        <f ca="1">_xll.BInterpol('Base IPCA'!$C$3:$C$14,'Base IPCA'!$E$3:$E$14,AH2489,"Cubic","Extrapolate=Linear","MultiX=Average","Skip=True","Sort=True")</f>
        <v>#N/A Invalid Parameter: Interpolation value</v>
      </c>
      <c r="AJ2489" s="43" t="str">
        <f ca="1"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23"/>
        <v>#REF!</v>
      </c>
      <c r="AI2490" s="43" t="str">
        <f ca="1">_xll.BInterpol('Base IPCA'!$C$3:$C$14,'Base IPCA'!$E$3:$E$14,AH2490,"Cubic","Extrapolate=Linear","MultiX=Average","Skip=True","Sort=True")</f>
        <v>#N/A Invalid Parameter: Interpolation value</v>
      </c>
      <c r="AJ2490" s="43" t="str">
        <f ca="1"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23"/>
        <v>#REF!</v>
      </c>
      <c r="AI2491" s="43" t="str">
        <f ca="1">_xll.BInterpol('Base IPCA'!$C$3:$C$14,'Base IPCA'!$E$3:$E$14,AH2491,"Cubic","Extrapolate=Linear","MultiX=Average","Skip=True","Sort=True")</f>
        <v>#N/A Invalid Parameter: Interpolation value</v>
      </c>
      <c r="AJ2491" s="43" t="str">
        <f ca="1"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23"/>
        <v>#REF!</v>
      </c>
      <c r="AI2492" s="43" t="str">
        <f ca="1">_xll.BInterpol('Base IPCA'!$C$3:$C$14,'Base IPCA'!$E$3:$E$14,AH2492,"Cubic","Extrapolate=Linear","MultiX=Average","Skip=True","Sort=True")</f>
        <v>#N/A Invalid Parameter: Interpolation value</v>
      </c>
      <c r="AJ2492" s="43" t="str">
        <f ca="1"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23"/>
        <v>#REF!</v>
      </c>
      <c r="AI2493" s="43" t="str">
        <f ca="1">_xll.BInterpol('Base IPCA'!$C$3:$C$14,'Base IPCA'!$E$3:$E$14,AH2493,"Cubic","Extrapolate=Linear","MultiX=Average","Skip=True","Sort=True")</f>
        <v>#N/A Invalid Parameter: Interpolation value</v>
      </c>
      <c r="AJ2493" s="43" t="str">
        <f ca="1"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23"/>
        <v>#REF!</v>
      </c>
      <c r="AI2494" s="43" t="str">
        <f ca="1">_xll.BInterpol('Base IPCA'!$C$3:$C$14,'Base IPCA'!$E$3:$E$14,AH2494,"Cubic","Extrapolate=Linear","MultiX=Average","Skip=True","Sort=True")</f>
        <v>#N/A Invalid Parameter: Interpolation value</v>
      </c>
      <c r="AJ2494" s="43" t="str">
        <f ca="1"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23"/>
        <v>#REF!</v>
      </c>
      <c r="AI2495" s="43" t="str">
        <f ca="1">_xll.BInterpol('Base IPCA'!$C$3:$C$14,'Base IPCA'!$E$3:$E$14,AH2495,"Cubic","Extrapolate=Linear","MultiX=Average","Skip=True","Sort=True")</f>
        <v>#N/A Invalid Parameter: Interpolation value</v>
      </c>
      <c r="AJ2495" s="43" t="str">
        <f ca="1"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23"/>
        <v>#REF!</v>
      </c>
      <c r="AI2496" s="43" t="str">
        <f ca="1">_xll.BInterpol('Base IPCA'!$C$3:$C$14,'Base IPCA'!$E$3:$E$14,AH2496,"Cubic","Extrapolate=Linear","MultiX=Average","Skip=True","Sort=True")</f>
        <v>#N/A Invalid Parameter: Interpolation value</v>
      </c>
      <c r="AJ2496" s="43" t="str">
        <f ca="1"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23"/>
        <v>#REF!</v>
      </c>
      <c r="AI2497" s="43" t="str">
        <f ca="1">_xll.BInterpol('Base IPCA'!$C$3:$C$14,'Base IPCA'!$E$3:$E$14,AH2497,"Cubic","Extrapolate=Linear","MultiX=Average","Skip=True","Sort=True")</f>
        <v>#N/A Invalid Parameter: Interpolation value</v>
      </c>
      <c r="AJ2497" s="43" t="str">
        <f ca="1"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23"/>
        <v>#REF!</v>
      </c>
      <c r="AI2498" s="43" t="str">
        <f ca="1">_xll.BInterpol('Base IPCA'!$C$3:$C$14,'Base IPCA'!$E$3:$E$14,AH2498,"Cubic","Extrapolate=Linear","MultiX=Average","Skip=True","Sort=True")</f>
        <v>#N/A Invalid Parameter: Interpolation value</v>
      </c>
      <c r="AJ2498" s="43" t="str">
        <f ca="1"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23"/>
        <v>#REF!</v>
      </c>
      <c r="AI2499" s="43" t="str">
        <f ca="1">_xll.BInterpol('Base IPCA'!$C$3:$C$14,'Base IPCA'!$E$3:$E$14,AH2499,"Cubic","Extrapolate=Linear","MultiX=Average","Skip=True","Sort=True")</f>
        <v>#N/A Invalid Parameter: Interpolation value</v>
      </c>
      <c r="AJ2499" s="43" t="str">
        <f ca="1"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23"/>
        <v>#REF!</v>
      </c>
      <c r="AI2500" s="43" t="str">
        <f ca="1">_xll.BInterpol('Base IPCA'!$C$3:$C$14,'Base IPCA'!$E$3:$E$14,AH2500,"Cubic","Extrapolate=Linear","MultiX=Average","Skip=True","Sort=True")</f>
        <v>#N/A Invalid Parameter: Interpolation value</v>
      </c>
      <c r="AJ2500" s="43" t="str">
        <f ca="1"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23"/>
        <v>#REF!</v>
      </c>
      <c r="AI2501" s="43" t="str">
        <f ca="1">_xll.BInterpol('Base IPCA'!$C$3:$C$14,'Base IPCA'!$E$3:$E$14,AH2501,"Cubic","Extrapolate=Linear","MultiX=Average","Skip=True","Sort=True")</f>
        <v>#N/A Invalid Parameter: Interpolation value</v>
      </c>
      <c r="AJ2501" s="43" t="str">
        <f ca="1"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24">AH2501+1</f>
        <v>#REF!</v>
      </c>
      <c r="AI2502" s="43" t="str">
        <f ca="1">_xll.BInterpol('Base IPCA'!$C$3:$C$14,'Base IPCA'!$E$3:$E$14,AH2502,"Cubic","Extrapolate=Linear","MultiX=Average","Skip=True","Sort=True")</f>
        <v>#N/A Invalid Parameter: Interpolation value</v>
      </c>
      <c r="AJ2502" s="43" t="str">
        <f ca="1"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24"/>
        <v>#REF!</v>
      </c>
      <c r="AI2503" s="43" t="str">
        <f ca="1">_xll.BInterpol('Base IPCA'!$C$3:$C$14,'Base IPCA'!$E$3:$E$14,AH2503,"Cubic","Extrapolate=Linear","MultiX=Average","Skip=True","Sort=True")</f>
        <v>#N/A Invalid Parameter: Interpolation value</v>
      </c>
      <c r="AJ2503" s="43" t="str">
        <f ca="1"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24"/>
        <v>#REF!</v>
      </c>
      <c r="AI2504" s="43" t="str">
        <f ca="1">_xll.BInterpol('Base IPCA'!$C$3:$C$14,'Base IPCA'!$E$3:$E$14,AH2504,"Cubic","Extrapolate=Linear","MultiX=Average","Skip=True","Sort=True")</f>
        <v>#N/A Invalid Parameter: Interpolation value</v>
      </c>
      <c r="AJ2504" s="43" t="str">
        <f ca="1"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24"/>
        <v>#REF!</v>
      </c>
      <c r="AI2505" s="43" t="str">
        <f ca="1">_xll.BInterpol('Base IPCA'!$C$3:$C$14,'Base IPCA'!$E$3:$E$14,AH2505,"Cubic","Extrapolate=Linear","MultiX=Average","Skip=True","Sort=True")</f>
        <v>#N/A Invalid Parameter: Interpolation value</v>
      </c>
      <c r="AJ2505" s="43" t="str">
        <f ca="1"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24"/>
        <v>#REF!</v>
      </c>
      <c r="AI2506" s="43" t="str">
        <f ca="1">_xll.BInterpol('Base IPCA'!$C$3:$C$14,'Base IPCA'!$E$3:$E$14,AH2506,"Cubic","Extrapolate=Linear","MultiX=Average","Skip=True","Sort=True")</f>
        <v>#N/A Invalid Parameter: Interpolation value</v>
      </c>
      <c r="AJ2506" s="43" t="str">
        <f ca="1"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24"/>
        <v>#REF!</v>
      </c>
      <c r="AI2507" s="43" t="str">
        <f ca="1">_xll.BInterpol('Base IPCA'!$C$3:$C$14,'Base IPCA'!$E$3:$E$14,AH2507,"Cubic","Extrapolate=Linear","MultiX=Average","Skip=True","Sort=True")</f>
        <v>#N/A Invalid Parameter: Interpolation value</v>
      </c>
      <c r="AJ2507" s="43" t="str">
        <f ca="1"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24"/>
        <v>#REF!</v>
      </c>
      <c r="AI2508" s="43" t="str">
        <f ca="1">_xll.BInterpol('Base IPCA'!$C$3:$C$14,'Base IPCA'!$E$3:$E$14,AH2508,"Cubic","Extrapolate=Linear","MultiX=Average","Skip=True","Sort=True")</f>
        <v>#N/A Invalid Parameter: Interpolation value</v>
      </c>
      <c r="AJ2508" s="43" t="str">
        <f ca="1"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24"/>
        <v>#REF!</v>
      </c>
      <c r="AI2509" s="43" t="str">
        <f ca="1">_xll.BInterpol('Base IPCA'!$C$3:$C$14,'Base IPCA'!$E$3:$E$14,AH2509,"Cubic","Extrapolate=Linear","MultiX=Average","Skip=True","Sort=True")</f>
        <v>#N/A Invalid Parameter: Interpolation value</v>
      </c>
      <c r="AJ2509" s="43" t="str">
        <f ca="1"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24"/>
        <v>#REF!</v>
      </c>
      <c r="AI2510" s="43" t="str">
        <f ca="1">_xll.BInterpol('Base IPCA'!$C$3:$C$14,'Base IPCA'!$E$3:$E$14,AH2510,"Cubic","Extrapolate=Linear","MultiX=Average","Skip=True","Sort=True")</f>
        <v>#N/A Invalid Parameter: Interpolation value</v>
      </c>
      <c r="AJ2510" s="43" t="str">
        <f ca="1"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24"/>
        <v>#REF!</v>
      </c>
      <c r="AI2511" s="43" t="str">
        <f ca="1">_xll.BInterpol('Base IPCA'!$C$3:$C$14,'Base IPCA'!$E$3:$E$14,AH2511,"Cubic","Extrapolate=Linear","MultiX=Average","Skip=True","Sort=True")</f>
        <v>#N/A Invalid Parameter: Interpolation value</v>
      </c>
      <c r="AJ2511" s="43" t="str">
        <f ca="1"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24"/>
        <v>#REF!</v>
      </c>
      <c r="AI2512" s="43" t="str">
        <f ca="1">_xll.BInterpol('Base IPCA'!$C$3:$C$14,'Base IPCA'!$E$3:$E$14,AH2512,"Cubic","Extrapolate=Linear","MultiX=Average","Skip=True","Sort=True")</f>
        <v>#N/A Invalid Parameter: Interpolation value</v>
      </c>
      <c r="AJ2512" s="43" t="str">
        <f ca="1"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24"/>
        <v>#REF!</v>
      </c>
      <c r="AI2513" s="43" t="str">
        <f ca="1">_xll.BInterpol('Base IPCA'!$C$3:$C$14,'Base IPCA'!$E$3:$E$14,AH2513,"Cubic","Extrapolate=Linear","MultiX=Average","Skip=True","Sort=True")</f>
        <v>#N/A Invalid Parameter: Interpolation value</v>
      </c>
      <c r="AJ2513" s="43" t="str">
        <f ca="1"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24"/>
        <v>#REF!</v>
      </c>
      <c r="AI2514" s="43" t="str">
        <f ca="1">_xll.BInterpol('Base IPCA'!$C$3:$C$14,'Base IPCA'!$E$3:$E$14,AH2514,"Cubic","Extrapolate=Linear","MultiX=Average","Skip=True","Sort=True")</f>
        <v>#N/A Invalid Parameter: Interpolation value</v>
      </c>
      <c r="AJ2514" s="43" t="str">
        <f ca="1"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24"/>
        <v>#REF!</v>
      </c>
      <c r="AI2515" s="43" t="str">
        <f ca="1">_xll.BInterpol('Base IPCA'!$C$3:$C$14,'Base IPCA'!$E$3:$E$14,AH2515,"Cubic","Extrapolate=Linear","MultiX=Average","Skip=True","Sort=True")</f>
        <v>#N/A Invalid Parameter: Interpolation value</v>
      </c>
      <c r="AJ2515" s="43" t="str">
        <f ca="1"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24"/>
        <v>#REF!</v>
      </c>
      <c r="AI2516" s="43" t="str">
        <f ca="1">_xll.BInterpol('Base IPCA'!$C$3:$C$14,'Base IPCA'!$E$3:$E$14,AH2516,"Cubic","Extrapolate=Linear","MultiX=Average","Skip=True","Sort=True")</f>
        <v>#N/A Invalid Parameter: Interpolation value</v>
      </c>
      <c r="AJ2516" s="43" t="str">
        <f ca="1"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24"/>
        <v>#REF!</v>
      </c>
      <c r="AI2517" s="43" t="str">
        <f ca="1">_xll.BInterpol('Base IPCA'!$C$3:$C$14,'Base IPCA'!$E$3:$E$14,AH2517,"Cubic","Extrapolate=Linear","MultiX=Average","Skip=True","Sort=True")</f>
        <v>#N/A Invalid Parameter: Interpolation value</v>
      </c>
      <c r="AJ2517" s="43" t="str">
        <f ca="1"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24"/>
        <v>#REF!</v>
      </c>
      <c r="AI2518" s="43" t="str">
        <f ca="1">_xll.BInterpol('Base IPCA'!$C$3:$C$14,'Base IPCA'!$E$3:$E$14,AH2518,"Cubic","Extrapolate=Linear","MultiX=Average","Skip=True","Sort=True")</f>
        <v>#N/A Invalid Parameter: Interpolation value</v>
      </c>
      <c r="AJ2518" s="43" t="str">
        <f ca="1"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24"/>
        <v>#REF!</v>
      </c>
      <c r="AI2519" s="43" t="str">
        <f ca="1">_xll.BInterpol('Base IPCA'!$C$3:$C$14,'Base IPCA'!$E$3:$E$14,AH2519,"Cubic","Extrapolate=Linear","MultiX=Average","Skip=True","Sort=True")</f>
        <v>#N/A Invalid Parameter: Interpolation value</v>
      </c>
      <c r="AJ2519" s="43" t="str">
        <f ca="1"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24"/>
        <v>#REF!</v>
      </c>
      <c r="AI2520" s="43" t="str">
        <f ca="1">_xll.BInterpol('Base IPCA'!$C$3:$C$14,'Base IPCA'!$E$3:$E$14,AH2520,"Cubic","Extrapolate=Linear","MultiX=Average","Skip=True","Sort=True")</f>
        <v>#N/A Invalid Parameter: Interpolation value</v>
      </c>
      <c r="AJ2520" s="43" t="str">
        <f ca="1"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24"/>
        <v>#REF!</v>
      </c>
      <c r="AI2521" s="43" t="str">
        <f ca="1">_xll.BInterpol('Base IPCA'!$C$3:$C$14,'Base IPCA'!$E$3:$E$14,AH2521,"Cubic","Extrapolate=Linear","MultiX=Average","Skip=True","Sort=True")</f>
        <v>#N/A Invalid Parameter: Interpolation value</v>
      </c>
      <c r="AJ2521" s="43" t="str">
        <f ca="1"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24"/>
        <v>#REF!</v>
      </c>
      <c r="AI2522" s="43" t="str">
        <f ca="1">_xll.BInterpol('Base IPCA'!$C$3:$C$14,'Base IPCA'!$E$3:$E$14,AH2522,"Cubic","Extrapolate=Linear","MultiX=Average","Skip=True","Sort=True")</f>
        <v>#N/A Invalid Parameter: Interpolation value</v>
      </c>
      <c r="AJ2522" s="43" t="str">
        <f ca="1"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24"/>
        <v>#REF!</v>
      </c>
      <c r="AI2523" s="43" t="str">
        <f ca="1">_xll.BInterpol('Base IPCA'!$C$3:$C$14,'Base IPCA'!$E$3:$E$14,AH2523,"Cubic","Extrapolate=Linear","MultiX=Average","Skip=True","Sort=True")</f>
        <v>#N/A Invalid Parameter: Interpolation value</v>
      </c>
      <c r="AJ2523" s="43" t="str">
        <f ca="1"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24"/>
        <v>#REF!</v>
      </c>
      <c r="AI2524" s="43" t="str">
        <f ca="1">_xll.BInterpol('Base IPCA'!$C$3:$C$14,'Base IPCA'!$E$3:$E$14,AH2524,"Cubic","Extrapolate=Linear","MultiX=Average","Skip=True","Sort=True")</f>
        <v>#N/A Invalid Parameter: Interpolation value</v>
      </c>
      <c r="AJ2524" s="43" t="str">
        <f ca="1"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24"/>
        <v>#REF!</v>
      </c>
      <c r="AI2525" s="43" t="str">
        <f ca="1">_xll.BInterpol('Base IPCA'!$C$3:$C$14,'Base IPCA'!$E$3:$E$14,AH2525,"Cubic","Extrapolate=Linear","MultiX=Average","Skip=True","Sort=True")</f>
        <v>#N/A Invalid Parameter: Interpolation value</v>
      </c>
      <c r="AJ2525" s="43" t="str">
        <f ca="1"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24"/>
        <v>#REF!</v>
      </c>
      <c r="AI2526" s="43" t="str">
        <f ca="1">_xll.BInterpol('Base IPCA'!$C$3:$C$14,'Base IPCA'!$E$3:$E$14,AH2526,"Cubic","Extrapolate=Linear","MultiX=Average","Skip=True","Sort=True")</f>
        <v>#N/A Invalid Parameter: Interpolation value</v>
      </c>
      <c r="AJ2526" s="43" t="str">
        <f ca="1"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24"/>
        <v>#REF!</v>
      </c>
      <c r="AI2527" s="43" t="str">
        <f ca="1">_xll.BInterpol('Base IPCA'!$C$3:$C$14,'Base IPCA'!$E$3:$E$14,AH2527,"Cubic","Extrapolate=Linear","MultiX=Average","Skip=True","Sort=True")</f>
        <v>#N/A Invalid Parameter: Interpolation value</v>
      </c>
      <c r="AJ2527" s="43" t="str">
        <f ca="1"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24"/>
        <v>#REF!</v>
      </c>
      <c r="AI2528" s="43" t="str">
        <f ca="1">_xll.BInterpol('Base IPCA'!$C$3:$C$14,'Base IPCA'!$E$3:$E$14,AH2528,"Cubic","Extrapolate=Linear","MultiX=Average","Skip=True","Sort=True")</f>
        <v>#N/A Invalid Parameter: Interpolation value</v>
      </c>
      <c r="AJ2528" s="43" t="str">
        <f ca="1"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24"/>
        <v>#REF!</v>
      </c>
      <c r="AI2529" s="43" t="str">
        <f ca="1">_xll.BInterpol('Base IPCA'!$C$3:$C$14,'Base IPCA'!$E$3:$E$14,AH2529,"Cubic","Extrapolate=Linear","MultiX=Average","Skip=True","Sort=True")</f>
        <v>#N/A Invalid Parameter: Interpolation value</v>
      </c>
      <c r="AJ2529" s="43" t="str">
        <f ca="1"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24"/>
        <v>#REF!</v>
      </c>
      <c r="AI2530" s="43" t="str">
        <f ca="1">_xll.BInterpol('Base IPCA'!$C$3:$C$14,'Base IPCA'!$E$3:$E$14,AH2530,"Cubic","Extrapolate=Linear","MultiX=Average","Skip=True","Sort=True")</f>
        <v>#N/A Invalid Parameter: Interpolation value</v>
      </c>
      <c r="AJ2530" s="43" t="str">
        <f ca="1"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24"/>
        <v>#REF!</v>
      </c>
      <c r="AI2531" s="43" t="str">
        <f ca="1">_xll.BInterpol('Base IPCA'!$C$3:$C$14,'Base IPCA'!$E$3:$E$14,AH2531,"Cubic","Extrapolate=Linear","MultiX=Average","Skip=True","Sort=True")</f>
        <v>#N/A Invalid Parameter: Interpolation value</v>
      </c>
      <c r="AJ2531" s="43" t="str">
        <f ca="1"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24"/>
        <v>#REF!</v>
      </c>
      <c r="AI2532" s="43" t="str">
        <f ca="1">_xll.BInterpol('Base IPCA'!$C$3:$C$14,'Base IPCA'!$E$3:$E$14,AH2532,"Cubic","Extrapolate=Linear","MultiX=Average","Skip=True","Sort=True")</f>
        <v>#N/A Invalid Parameter: Interpolation value</v>
      </c>
      <c r="AJ2532" s="43" t="str">
        <f ca="1"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24"/>
        <v>#REF!</v>
      </c>
      <c r="AI2533" s="43" t="str">
        <f ca="1">_xll.BInterpol('Base IPCA'!$C$3:$C$14,'Base IPCA'!$E$3:$E$14,AH2533,"Cubic","Extrapolate=Linear","MultiX=Average","Skip=True","Sort=True")</f>
        <v>#N/A Invalid Parameter: Interpolation value</v>
      </c>
      <c r="AJ2533" s="43" t="str">
        <f ca="1"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24"/>
        <v>#REF!</v>
      </c>
      <c r="AI2534" s="43" t="str">
        <f ca="1">_xll.BInterpol('Base IPCA'!$C$3:$C$14,'Base IPCA'!$E$3:$E$14,AH2534,"Cubic","Extrapolate=Linear","MultiX=Average","Skip=True","Sort=True")</f>
        <v>#N/A Invalid Parameter: Interpolation value</v>
      </c>
      <c r="AJ2534" s="43" t="str">
        <f ca="1"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24"/>
        <v>#REF!</v>
      </c>
      <c r="AI2535" s="43" t="str">
        <f ca="1">_xll.BInterpol('Base IPCA'!$C$3:$C$14,'Base IPCA'!$E$3:$E$14,AH2535,"Cubic","Extrapolate=Linear","MultiX=Average","Skip=True","Sort=True")</f>
        <v>#N/A Invalid Parameter: Interpolation value</v>
      </c>
      <c r="AJ2535" s="43" t="str">
        <f ca="1"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24"/>
        <v>#REF!</v>
      </c>
      <c r="AI2536" s="43" t="str">
        <f ca="1">_xll.BInterpol('Base IPCA'!$C$3:$C$14,'Base IPCA'!$E$3:$E$14,AH2536,"Cubic","Extrapolate=Linear","MultiX=Average","Skip=True","Sort=True")</f>
        <v>#N/A Invalid Parameter: Interpolation value</v>
      </c>
      <c r="AJ2536" s="43" t="str">
        <f ca="1"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24"/>
        <v>#REF!</v>
      </c>
      <c r="AI2537" s="43" t="str">
        <f ca="1">_xll.BInterpol('Base IPCA'!$C$3:$C$14,'Base IPCA'!$E$3:$E$14,AH2537,"Cubic","Extrapolate=Linear","MultiX=Average","Skip=True","Sort=True")</f>
        <v>#N/A Invalid Parameter: Interpolation value</v>
      </c>
      <c r="AJ2537" s="43" t="str">
        <f ca="1"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24"/>
        <v>#REF!</v>
      </c>
      <c r="AI2538" s="43" t="str">
        <f ca="1">_xll.BInterpol('Base IPCA'!$C$3:$C$14,'Base IPCA'!$E$3:$E$14,AH2538,"Cubic","Extrapolate=Linear","MultiX=Average","Skip=True","Sort=True")</f>
        <v>#N/A Invalid Parameter: Interpolation value</v>
      </c>
      <c r="AJ2538" s="43" t="str">
        <f ca="1"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24"/>
        <v>#REF!</v>
      </c>
      <c r="AI2539" s="43" t="str">
        <f ca="1">_xll.BInterpol('Base IPCA'!$C$3:$C$14,'Base IPCA'!$E$3:$E$14,AH2539,"Cubic","Extrapolate=Linear","MultiX=Average","Skip=True","Sort=True")</f>
        <v>#N/A Invalid Parameter: Interpolation value</v>
      </c>
      <c r="AJ2539" s="43" t="str">
        <f ca="1"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24"/>
        <v>#REF!</v>
      </c>
      <c r="AI2540" s="43" t="str">
        <f ca="1">_xll.BInterpol('Base IPCA'!$C$3:$C$14,'Base IPCA'!$E$3:$E$14,AH2540,"Cubic","Extrapolate=Linear","MultiX=Average","Skip=True","Sort=True")</f>
        <v>#N/A Invalid Parameter: Interpolation value</v>
      </c>
      <c r="AJ2540" s="43" t="str">
        <f ca="1"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24"/>
        <v>#REF!</v>
      </c>
      <c r="AI2541" s="43" t="str">
        <f ca="1">_xll.BInterpol('Base IPCA'!$C$3:$C$14,'Base IPCA'!$E$3:$E$14,AH2541,"Cubic","Extrapolate=Linear","MultiX=Average","Skip=True","Sort=True")</f>
        <v>#N/A Invalid Parameter: Interpolation value</v>
      </c>
      <c r="AJ2541" s="43" t="str">
        <f ca="1"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24"/>
        <v>#REF!</v>
      </c>
      <c r="AI2542" s="43" t="str">
        <f ca="1">_xll.BInterpol('Base IPCA'!$C$3:$C$14,'Base IPCA'!$E$3:$E$14,AH2542,"Cubic","Extrapolate=Linear","MultiX=Average","Skip=True","Sort=True")</f>
        <v>#N/A Invalid Parameter: Interpolation value</v>
      </c>
      <c r="AJ2542" s="43" t="str">
        <f ca="1"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24"/>
        <v>#REF!</v>
      </c>
      <c r="AI2543" s="43" t="str">
        <f ca="1">_xll.BInterpol('Base IPCA'!$C$3:$C$14,'Base IPCA'!$E$3:$E$14,AH2543,"Cubic","Extrapolate=Linear","MultiX=Average","Skip=True","Sort=True")</f>
        <v>#N/A Invalid Parameter: Interpolation value</v>
      </c>
      <c r="AJ2543" s="43" t="str">
        <f ca="1"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24"/>
        <v>#REF!</v>
      </c>
      <c r="AI2544" s="43" t="str">
        <f ca="1">_xll.BInterpol('Base IPCA'!$C$3:$C$14,'Base IPCA'!$E$3:$E$14,AH2544,"Cubic","Extrapolate=Linear","MultiX=Average","Skip=True","Sort=True")</f>
        <v>#N/A Invalid Parameter: Interpolation value</v>
      </c>
      <c r="AJ2544" s="43" t="str">
        <f ca="1"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24"/>
        <v>#REF!</v>
      </c>
      <c r="AI2545" s="43" t="str">
        <f ca="1">_xll.BInterpol('Base IPCA'!$C$3:$C$14,'Base IPCA'!$E$3:$E$14,AH2545,"Cubic","Extrapolate=Linear","MultiX=Average","Skip=True","Sort=True")</f>
        <v>#N/A Invalid Parameter: Interpolation value</v>
      </c>
      <c r="AJ2545" s="43" t="str">
        <f ca="1"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24"/>
        <v>#REF!</v>
      </c>
      <c r="AI2546" s="43" t="str">
        <f ca="1">_xll.BInterpol('Base IPCA'!$C$3:$C$14,'Base IPCA'!$E$3:$E$14,AH2546,"Cubic","Extrapolate=Linear","MultiX=Average","Skip=True","Sort=True")</f>
        <v>#N/A Invalid Parameter: Interpolation value</v>
      </c>
      <c r="AJ2546" s="43" t="str">
        <f ca="1"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24"/>
        <v>#REF!</v>
      </c>
      <c r="AI2547" s="43" t="str">
        <f ca="1">_xll.BInterpol('Base IPCA'!$C$3:$C$14,'Base IPCA'!$E$3:$E$14,AH2547,"Cubic","Extrapolate=Linear","MultiX=Average","Skip=True","Sort=True")</f>
        <v>#N/A Invalid Parameter: Interpolation value</v>
      </c>
      <c r="AJ2547" s="43" t="str">
        <f ca="1"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24"/>
        <v>#REF!</v>
      </c>
      <c r="AI2548" s="43" t="str">
        <f ca="1">_xll.BInterpol('Base IPCA'!$C$3:$C$14,'Base IPCA'!$E$3:$E$14,AH2548,"Cubic","Extrapolate=Linear","MultiX=Average","Skip=True","Sort=True")</f>
        <v>#N/A Invalid Parameter: Interpolation value</v>
      </c>
      <c r="AJ2548" s="43" t="str">
        <f ca="1"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24"/>
        <v>#REF!</v>
      </c>
      <c r="AI2549" s="43" t="str">
        <f ca="1">_xll.BInterpol('Base IPCA'!$C$3:$C$14,'Base IPCA'!$E$3:$E$14,AH2549,"Cubic","Extrapolate=Linear","MultiX=Average","Skip=True","Sort=True")</f>
        <v>#N/A Invalid Parameter: Interpolation value</v>
      </c>
      <c r="AJ2549" s="43" t="str">
        <f ca="1"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24"/>
        <v>#REF!</v>
      </c>
      <c r="AI2550" s="43" t="str">
        <f ca="1">_xll.BInterpol('Base IPCA'!$C$3:$C$14,'Base IPCA'!$E$3:$E$14,AH2550,"Cubic","Extrapolate=Linear","MultiX=Average","Skip=True","Sort=True")</f>
        <v>#N/A Invalid Parameter: Interpolation value</v>
      </c>
      <c r="AJ2550" s="43" t="str">
        <f ca="1"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24"/>
        <v>#REF!</v>
      </c>
      <c r="AI2551" s="43" t="str">
        <f ca="1">_xll.BInterpol('Base IPCA'!$C$3:$C$14,'Base IPCA'!$E$3:$E$14,AH2551,"Cubic","Extrapolate=Linear","MultiX=Average","Skip=True","Sort=True")</f>
        <v>#N/A Invalid Parameter: Interpolation value</v>
      </c>
      <c r="AJ2551" s="43" t="str">
        <f ca="1"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24"/>
        <v>#REF!</v>
      </c>
      <c r="AI2552" s="43" t="str">
        <f ca="1">_xll.BInterpol('Base IPCA'!$C$3:$C$14,'Base IPCA'!$E$3:$E$14,AH2552,"Cubic","Extrapolate=Linear","MultiX=Average","Skip=True","Sort=True")</f>
        <v>#N/A Invalid Parameter: Interpolation value</v>
      </c>
      <c r="AJ2552" s="43" t="str">
        <f ca="1"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24"/>
        <v>#REF!</v>
      </c>
      <c r="AI2553" s="43" t="str">
        <f ca="1">_xll.BInterpol('Base IPCA'!$C$3:$C$14,'Base IPCA'!$E$3:$E$14,AH2553,"Cubic","Extrapolate=Linear","MultiX=Average","Skip=True","Sort=True")</f>
        <v>#N/A Invalid Parameter: Interpolation value</v>
      </c>
      <c r="AJ2553" s="43" t="str">
        <f ca="1"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24"/>
        <v>#REF!</v>
      </c>
      <c r="AI2554" s="43" t="str">
        <f ca="1">_xll.BInterpol('Base IPCA'!$C$3:$C$14,'Base IPCA'!$E$3:$E$14,AH2554,"Cubic","Extrapolate=Linear","MultiX=Average","Skip=True","Sort=True")</f>
        <v>#N/A Invalid Parameter: Interpolation value</v>
      </c>
      <c r="AJ2554" s="43" t="str">
        <f ca="1"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24"/>
        <v>#REF!</v>
      </c>
      <c r="AI2555" s="43" t="str">
        <f ca="1">_xll.BInterpol('Base IPCA'!$C$3:$C$14,'Base IPCA'!$E$3:$E$14,AH2555,"Cubic","Extrapolate=Linear","MultiX=Average","Skip=True","Sort=True")</f>
        <v>#N/A Invalid Parameter: Interpolation value</v>
      </c>
      <c r="AJ2555" s="43" t="str">
        <f ca="1"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24"/>
        <v>#REF!</v>
      </c>
      <c r="AI2556" s="43" t="str">
        <f ca="1">_xll.BInterpol('Base IPCA'!$C$3:$C$14,'Base IPCA'!$E$3:$E$14,AH2556,"Cubic","Extrapolate=Linear","MultiX=Average","Skip=True","Sort=True")</f>
        <v>#N/A Invalid Parameter: Interpolation value</v>
      </c>
      <c r="AJ2556" s="43" t="str">
        <f ca="1"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24"/>
        <v>#REF!</v>
      </c>
      <c r="AI2557" s="43" t="str">
        <f ca="1">_xll.BInterpol('Base IPCA'!$C$3:$C$14,'Base IPCA'!$E$3:$E$14,AH2557,"Cubic","Extrapolate=Linear","MultiX=Average","Skip=True","Sort=True")</f>
        <v>#N/A Invalid Parameter: Interpolation value</v>
      </c>
      <c r="AJ2557" s="43" t="str">
        <f ca="1"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24"/>
        <v>#REF!</v>
      </c>
      <c r="AI2558" s="43" t="str">
        <f ca="1">_xll.BInterpol('Base IPCA'!$C$3:$C$14,'Base IPCA'!$E$3:$E$14,AH2558,"Cubic","Extrapolate=Linear","MultiX=Average","Skip=True","Sort=True")</f>
        <v>#N/A Invalid Parameter: Interpolation value</v>
      </c>
      <c r="AJ2558" s="43" t="str">
        <f ca="1"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24"/>
        <v>#REF!</v>
      </c>
      <c r="AI2559" s="43" t="str">
        <f ca="1">_xll.BInterpol('Base IPCA'!$C$3:$C$14,'Base IPCA'!$E$3:$E$14,AH2559,"Cubic","Extrapolate=Linear","MultiX=Average","Skip=True","Sort=True")</f>
        <v>#N/A Invalid Parameter: Interpolation value</v>
      </c>
      <c r="AJ2559" s="43" t="str">
        <f ca="1"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24"/>
        <v>#REF!</v>
      </c>
      <c r="AI2560" s="43" t="str">
        <f ca="1">_xll.BInterpol('Base IPCA'!$C$3:$C$14,'Base IPCA'!$E$3:$E$14,AH2560,"Cubic","Extrapolate=Linear","MultiX=Average","Skip=True","Sort=True")</f>
        <v>#N/A Invalid Parameter: Interpolation value</v>
      </c>
      <c r="AJ2560" s="43" t="str">
        <f ca="1"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24"/>
        <v>#REF!</v>
      </c>
      <c r="AI2561" s="43" t="str">
        <f ca="1">_xll.BInterpol('Base IPCA'!$C$3:$C$14,'Base IPCA'!$E$3:$E$14,AH2561,"Cubic","Extrapolate=Linear","MultiX=Average","Skip=True","Sort=True")</f>
        <v>#N/A Invalid Parameter: Interpolation value</v>
      </c>
      <c r="AJ2561" s="43" t="str">
        <f ca="1"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24"/>
        <v>#REF!</v>
      </c>
      <c r="AI2562" s="43" t="str">
        <f ca="1">_xll.BInterpol('Base IPCA'!$C$3:$C$14,'Base IPCA'!$E$3:$E$14,AH2562,"Cubic","Extrapolate=Linear","MultiX=Average","Skip=True","Sort=True")</f>
        <v>#N/A Invalid Parameter: Interpolation value</v>
      </c>
      <c r="AJ2562" s="43" t="str">
        <f ca="1"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24"/>
        <v>#REF!</v>
      </c>
      <c r="AI2563" s="43" t="str">
        <f ca="1">_xll.BInterpol('Base IPCA'!$C$3:$C$14,'Base IPCA'!$E$3:$E$14,AH2563,"Cubic","Extrapolate=Linear","MultiX=Average","Skip=True","Sort=True")</f>
        <v>#N/A Invalid Parameter: Interpolation value</v>
      </c>
      <c r="AJ2563" s="43" t="str">
        <f ca="1"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24"/>
        <v>#REF!</v>
      </c>
      <c r="AI2564" s="43" t="str">
        <f ca="1">_xll.BInterpol('Base IPCA'!$C$3:$C$14,'Base IPCA'!$E$3:$E$14,AH2564,"Cubic","Extrapolate=Linear","MultiX=Average","Skip=True","Sort=True")</f>
        <v>#N/A Invalid Parameter: Interpolation value</v>
      </c>
      <c r="AJ2564" s="43" t="str">
        <f ca="1"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24"/>
        <v>#REF!</v>
      </c>
      <c r="AI2565" s="43" t="str">
        <f ca="1">_xll.BInterpol('Base IPCA'!$C$3:$C$14,'Base IPCA'!$E$3:$E$14,AH2565,"Cubic","Extrapolate=Linear","MultiX=Average","Skip=True","Sort=True")</f>
        <v>#N/A Invalid Parameter: Interpolation value</v>
      </c>
      <c r="AJ2565" s="43" t="str">
        <f ca="1"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25">AH2565+1</f>
        <v>#REF!</v>
      </c>
      <c r="AI2566" s="43" t="str">
        <f ca="1">_xll.BInterpol('Base IPCA'!$C$3:$C$14,'Base IPCA'!$E$3:$E$14,AH2566,"Cubic","Extrapolate=Linear","MultiX=Average","Skip=True","Sort=True")</f>
        <v>#N/A Invalid Parameter: Interpolation value</v>
      </c>
      <c r="AJ2566" s="43" t="str">
        <f ca="1"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25"/>
        <v>#REF!</v>
      </c>
      <c r="AI2567" s="43" t="str">
        <f ca="1">_xll.BInterpol('Base IPCA'!$C$3:$C$14,'Base IPCA'!$E$3:$E$14,AH2567,"Cubic","Extrapolate=Linear","MultiX=Average","Skip=True","Sort=True")</f>
        <v>#N/A Invalid Parameter: Interpolation value</v>
      </c>
      <c r="AJ2567" s="43" t="str">
        <f ca="1"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25"/>
        <v>#REF!</v>
      </c>
      <c r="AI2568" s="43" t="str">
        <f ca="1">_xll.BInterpol('Base IPCA'!$C$3:$C$14,'Base IPCA'!$E$3:$E$14,AH2568,"Cubic","Extrapolate=Linear","MultiX=Average","Skip=True","Sort=True")</f>
        <v>#N/A Invalid Parameter: Interpolation value</v>
      </c>
      <c r="AJ2568" s="43" t="str">
        <f ca="1"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25"/>
        <v>#REF!</v>
      </c>
      <c r="AI2569" s="43" t="str">
        <f ca="1">_xll.BInterpol('Base IPCA'!$C$3:$C$14,'Base IPCA'!$E$3:$E$14,AH2569,"Cubic","Extrapolate=Linear","MultiX=Average","Skip=True","Sort=True")</f>
        <v>#N/A Invalid Parameter: Interpolation value</v>
      </c>
      <c r="AJ2569" s="43" t="str">
        <f ca="1"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25"/>
        <v>#REF!</v>
      </c>
      <c r="AI2570" s="43" t="str">
        <f ca="1">_xll.BInterpol('Base IPCA'!$C$3:$C$14,'Base IPCA'!$E$3:$E$14,AH2570,"Cubic","Extrapolate=Linear","MultiX=Average","Skip=True","Sort=True")</f>
        <v>#N/A Invalid Parameter: Interpolation value</v>
      </c>
      <c r="AJ2570" s="43" t="str">
        <f ca="1"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25"/>
        <v>#REF!</v>
      </c>
      <c r="AI2571" s="43" t="str">
        <f ca="1">_xll.BInterpol('Base IPCA'!$C$3:$C$14,'Base IPCA'!$E$3:$E$14,AH2571,"Cubic","Extrapolate=Linear","MultiX=Average","Skip=True","Sort=True")</f>
        <v>#N/A Invalid Parameter: Interpolation value</v>
      </c>
      <c r="AJ2571" s="43" t="str">
        <f ca="1"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25"/>
        <v>#REF!</v>
      </c>
      <c r="AI2572" s="43" t="str">
        <f ca="1">_xll.BInterpol('Base IPCA'!$C$3:$C$14,'Base IPCA'!$E$3:$E$14,AH2572,"Cubic","Extrapolate=Linear","MultiX=Average","Skip=True","Sort=True")</f>
        <v>#N/A Invalid Parameter: Interpolation value</v>
      </c>
      <c r="AJ2572" s="43" t="str">
        <f ca="1"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25"/>
        <v>#REF!</v>
      </c>
      <c r="AI2573" s="43" t="str">
        <f ca="1">_xll.BInterpol('Base IPCA'!$C$3:$C$14,'Base IPCA'!$E$3:$E$14,AH2573,"Cubic","Extrapolate=Linear","MultiX=Average","Skip=True","Sort=True")</f>
        <v>#N/A Invalid Parameter: Interpolation value</v>
      </c>
      <c r="AJ2573" s="43" t="str">
        <f ca="1"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25"/>
        <v>#REF!</v>
      </c>
      <c r="AI2574" s="43" t="str">
        <f ca="1">_xll.BInterpol('Base IPCA'!$C$3:$C$14,'Base IPCA'!$E$3:$E$14,AH2574,"Cubic","Extrapolate=Linear","MultiX=Average","Skip=True","Sort=True")</f>
        <v>#N/A Invalid Parameter: Interpolation value</v>
      </c>
      <c r="AJ2574" s="43" t="str">
        <f ca="1"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25"/>
        <v>#REF!</v>
      </c>
      <c r="AI2575" s="43" t="str">
        <f ca="1">_xll.BInterpol('Base IPCA'!$C$3:$C$14,'Base IPCA'!$E$3:$E$14,AH2575,"Cubic","Extrapolate=Linear","MultiX=Average","Skip=True","Sort=True")</f>
        <v>#N/A Invalid Parameter: Interpolation value</v>
      </c>
      <c r="AJ2575" s="43" t="str">
        <f ca="1"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25"/>
        <v>#REF!</v>
      </c>
      <c r="AI2576" s="43" t="str">
        <f ca="1">_xll.BInterpol('Base IPCA'!$C$3:$C$14,'Base IPCA'!$E$3:$E$14,AH2576,"Cubic","Extrapolate=Linear","MultiX=Average","Skip=True","Sort=True")</f>
        <v>#N/A Invalid Parameter: Interpolation value</v>
      </c>
      <c r="AJ2576" s="43" t="str">
        <f ca="1"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25"/>
        <v>#REF!</v>
      </c>
      <c r="AI2577" s="43" t="str">
        <f ca="1">_xll.BInterpol('Base IPCA'!$C$3:$C$14,'Base IPCA'!$E$3:$E$14,AH2577,"Cubic","Extrapolate=Linear","MultiX=Average","Skip=True","Sort=True")</f>
        <v>#N/A Invalid Parameter: Interpolation value</v>
      </c>
      <c r="AJ2577" s="43" t="str">
        <f ca="1"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25"/>
        <v>#REF!</v>
      </c>
      <c r="AI2578" s="43" t="str">
        <f ca="1">_xll.BInterpol('Base IPCA'!$C$3:$C$14,'Base IPCA'!$E$3:$E$14,AH2578,"Cubic","Extrapolate=Linear","MultiX=Average","Skip=True","Sort=True")</f>
        <v>#N/A Invalid Parameter: Interpolation value</v>
      </c>
      <c r="AJ2578" s="43" t="str">
        <f ca="1"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25"/>
        <v>#REF!</v>
      </c>
      <c r="AI2579" s="43" t="str">
        <f ca="1">_xll.BInterpol('Base IPCA'!$C$3:$C$14,'Base IPCA'!$E$3:$E$14,AH2579,"Cubic","Extrapolate=Linear","MultiX=Average","Skip=True","Sort=True")</f>
        <v>#N/A Invalid Parameter: Interpolation value</v>
      </c>
      <c r="AJ2579" s="43" t="str">
        <f ca="1"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25"/>
        <v>#REF!</v>
      </c>
      <c r="AI2580" s="43" t="str">
        <f ca="1">_xll.BInterpol('Base IPCA'!$C$3:$C$14,'Base IPCA'!$E$3:$E$14,AH2580,"Cubic","Extrapolate=Linear","MultiX=Average","Skip=True","Sort=True")</f>
        <v>#N/A Invalid Parameter: Interpolation value</v>
      </c>
      <c r="AJ2580" s="43" t="str">
        <f ca="1"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25"/>
        <v>#REF!</v>
      </c>
      <c r="AI2581" s="43" t="str">
        <f ca="1">_xll.BInterpol('Base IPCA'!$C$3:$C$14,'Base IPCA'!$E$3:$E$14,AH2581,"Cubic","Extrapolate=Linear","MultiX=Average","Skip=True","Sort=True")</f>
        <v>#N/A Invalid Parameter: Interpolation value</v>
      </c>
      <c r="AJ2581" s="43" t="str">
        <f ca="1"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25"/>
        <v>#REF!</v>
      </c>
      <c r="AI2582" s="43" t="str">
        <f ca="1">_xll.BInterpol('Base IPCA'!$C$3:$C$14,'Base IPCA'!$E$3:$E$14,AH2582,"Cubic","Extrapolate=Linear","MultiX=Average","Skip=True","Sort=True")</f>
        <v>#N/A Invalid Parameter: Interpolation value</v>
      </c>
      <c r="AJ2582" s="43" t="str">
        <f ca="1"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25"/>
        <v>#REF!</v>
      </c>
      <c r="AI2583" s="43" t="str">
        <f ca="1">_xll.BInterpol('Base IPCA'!$C$3:$C$14,'Base IPCA'!$E$3:$E$14,AH2583,"Cubic","Extrapolate=Linear","MultiX=Average","Skip=True","Sort=True")</f>
        <v>#N/A Invalid Parameter: Interpolation value</v>
      </c>
      <c r="AJ2583" s="43" t="str">
        <f ca="1"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25"/>
        <v>#REF!</v>
      </c>
      <c r="AI2584" s="43" t="str">
        <f ca="1">_xll.BInterpol('Base IPCA'!$C$3:$C$14,'Base IPCA'!$E$3:$E$14,AH2584,"Cubic","Extrapolate=Linear","MultiX=Average","Skip=True","Sort=True")</f>
        <v>#N/A Invalid Parameter: Interpolation value</v>
      </c>
      <c r="AJ2584" s="43" t="str">
        <f ca="1"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25"/>
        <v>#REF!</v>
      </c>
      <c r="AI2585" s="43" t="str">
        <f ca="1">_xll.BInterpol('Base IPCA'!$C$3:$C$14,'Base IPCA'!$E$3:$E$14,AH2585,"Cubic","Extrapolate=Linear","MultiX=Average","Skip=True","Sort=True")</f>
        <v>#N/A Invalid Parameter: Interpolation value</v>
      </c>
      <c r="AJ2585" s="43" t="str">
        <f ca="1"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25"/>
        <v>#REF!</v>
      </c>
      <c r="AI2586" s="43" t="str">
        <f ca="1">_xll.BInterpol('Base IPCA'!$C$3:$C$14,'Base IPCA'!$E$3:$E$14,AH2586,"Cubic","Extrapolate=Linear","MultiX=Average","Skip=True","Sort=True")</f>
        <v>#N/A Invalid Parameter: Interpolation value</v>
      </c>
      <c r="AJ2586" s="43" t="str">
        <f ca="1"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25"/>
        <v>#REF!</v>
      </c>
      <c r="AI2587" s="43" t="str">
        <f ca="1">_xll.BInterpol('Base IPCA'!$C$3:$C$14,'Base IPCA'!$E$3:$E$14,AH2587,"Cubic","Extrapolate=Linear","MultiX=Average","Skip=True","Sort=True")</f>
        <v>#N/A Invalid Parameter: Interpolation value</v>
      </c>
      <c r="AJ2587" s="43" t="str">
        <f ca="1"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25"/>
        <v>#REF!</v>
      </c>
      <c r="AI2588" s="43" t="str">
        <f ca="1">_xll.BInterpol('Base IPCA'!$C$3:$C$14,'Base IPCA'!$E$3:$E$14,AH2588,"Cubic","Extrapolate=Linear","MultiX=Average","Skip=True","Sort=True")</f>
        <v>#N/A Invalid Parameter: Interpolation value</v>
      </c>
      <c r="AJ2588" s="43" t="str">
        <f ca="1"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25"/>
        <v>#REF!</v>
      </c>
      <c r="AI2589" s="43" t="str">
        <f ca="1">_xll.BInterpol('Base IPCA'!$C$3:$C$14,'Base IPCA'!$E$3:$E$14,AH2589,"Cubic","Extrapolate=Linear","MultiX=Average","Skip=True","Sort=True")</f>
        <v>#N/A Invalid Parameter: Interpolation value</v>
      </c>
      <c r="AJ2589" s="43" t="str">
        <f ca="1"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25"/>
        <v>#REF!</v>
      </c>
      <c r="AI2590" s="43" t="str">
        <f ca="1">_xll.BInterpol('Base IPCA'!$C$3:$C$14,'Base IPCA'!$E$3:$E$14,AH2590,"Cubic","Extrapolate=Linear","MultiX=Average","Skip=True","Sort=True")</f>
        <v>#N/A Invalid Parameter: Interpolation value</v>
      </c>
      <c r="AJ2590" s="43" t="str">
        <f ca="1"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25"/>
        <v>#REF!</v>
      </c>
      <c r="AI2591" s="43" t="str">
        <f ca="1">_xll.BInterpol('Base IPCA'!$C$3:$C$14,'Base IPCA'!$E$3:$E$14,AH2591,"Cubic","Extrapolate=Linear","MultiX=Average","Skip=True","Sort=True")</f>
        <v>#N/A Invalid Parameter: Interpolation value</v>
      </c>
      <c r="AJ2591" s="43" t="str">
        <f ca="1"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25"/>
        <v>#REF!</v>
      </c>
      <c r="AI2592" s="43" t="str">
        <f ca="1">_xll.BInterpol('Base IPCA'!$C$3:$C$14,'Base IPCA'!$E$3:$E$14,AH2592,"Cubic","Extrapolate=Linear","MultiX=Average","Skip=True","Sort=True")</f>
        <v>#N/A Invalid Parameter: Interpolation value</v>
      </c>
      <c r="AJ2592" s="43" t="str">
        <f ca="1"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25"/>
        <v>#REF!</v>
      </c>
      <c r="AI2593" s="43" t="str">
        <f ca="1">_xll.BInterpol('Base IPCA'!$C$3:$C$14,'Base IPCA'!$E$3:$E$14,AH2593,"Cubic","Extrapolate=Linear","MultiX=Average","Skip=True","Sort=True")</f>
        <v>#N/A Invalid Parameter: Interpolation value</v>
      </c>
      <c r="AJ2593" s="43" t="str">
        <f ca="1"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25"/>
        <v>#REF!</v>
      </c>
      <c r="AI2594" s="43" t="str">
        <f ca="1">_xll.BInterpol('Base IPCA'!$C$3:$C$14,'Base IPCA'!$E$3:$E$14,AH2594,"Cubic","Extrapolate=Linear","MultiX=Average","Skip=True","Sort=True")</f>
        <v>#N/A Invalid Parameter: Interpolation value</v>
      </c>
      <c r="AJ2594" s="43" t="str">
        <f ca="1"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25"/>
        <v>#REF!</v>
      </c>
      <c r="AI2595" s="43" t="str">
        <f ca="1">_xll.BInterpol('Base IPCA'!$C$3:$C$14,'Base IPCA'!$E$3:$E$14,AH2595,"Cubic","Extrapolate=Linear","MultiX=Average","Skip=True","Sort=True")</f>
        <v>#N/A Invalid Parameter: Interpolation value</v>
      </c>
      <c r="AJ2595" s="43" t="str">
        <f ca="1"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25"/>
        <v>#REF!</v>
      </c>
      <c r="AI2596" s="43" t="str">
        <f ca="1">_xll.BInterpol('Base IPCA'!$C$3:$C$14,'Base IPCA'!$E$3:$E$14,AH2596,"Cubic","Extrapolate=Linear","MultiX=Average","Skip=True","Sort=True")</f>
        <v>#N/A Invalid Parameter: Interpolation value</v>
      </c>
      <c r="AJ2596" s="43" t="str">
        <f ca="1"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25"/>
        <v>#REF!</v>
      </c>
      <c r="AI2597" s="43" t="str">
        <f ca="1">_xll.BInterpol('Base IPCA'!$C$3:$C$14,'Base IPCA'!$E$3:$E$14,AH2597,"Cubic","Extrapolate=Linear","MultiX=Average","Skip=True","Sort=True")</f>
        <v>#N/A Invalid Parameter: Interpolation value</v>
      </c>
      <c r="AJ2597" s="43" t="str">
        <f ca="1"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25"/>
        <v>#REF!</v>
      </c>
      <c r="AI2598" s="43" t="str">
        <f ca="1">_xll.BInterpol('Base IPCA'!$C$3:$C$14,'Base IPCA'!$E$3:$E$14,AH2598,"Cubic","Extrapolate=Linear","MultiX=Average","Skip=True","Sort=True")</f>
        <v>#N/A Invalid Parameter: Interpolation value</v>
      </c>
      <c r="AJ2598" s="43" t="str">
        <f ca="1"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25"/>
        <v>#REF!</v>
      </c>
      <c r="AI2599" s="43" t="str">
        <f ca="1">_xll.BInterpol('Base IPCA'!$C$3:$C$14,'Base IPCA'!$E$3:$E$14,AH2599,"Cubic","Extrapolate=Linear","MultiX=Average","Skip=True","Sort=True")</f>
        <v>#N/A Invalid Parameter: Interpolation value</v>
      </c>
      <c r="AJ2599" s="43" t="str">
        <f ca="1"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25"/>
        <v>#REF!</v>
      </c>
      <c r="AI2600" s="43" t="str">
        <f ca="1">_xll.BInterpol('Base IPCA'!$C$3:$C$14,'Base IPCA'!$E$3:$E$14,AH2600,"Cubic","Extrapolate=Linear","MultiX=Average","Skip=True","Sort=True")</f>
        <v>#N/A Invalid Parameter: Interpolation value</v>
      </c>
      <c r="AJ2600" s="43" t="str">
        <f ca="1"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25"/>
        <v>#REF!</v>
      </c>
      <c r="AI2601" s="43" t="str">
        <f ca="1">_xll.BInterpol('Base IPCA'!$C$3:$C$14,'Base IPCA'!$E$3:$E$14,AH2601,"Cubic","Extrapolate=Linear","MultiX=Average","Skip=True","Sort=True")</f>
        <v>#N/A Invalid Parameter: Interpolation value</v>
      </c>
      <c r="AJ2601" s="43" t="str">
        <f ca="1"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25"/>
        <v>#REF!</v>
      </c>
      <c r="AI2602" s="43" t="str">
        <f ca="1">_xll.BInterpol('Base IPCA'!$C$3:$C$14,'Base IPCA'!$E$3:$E$14,AH2602,"Cubic","Extrapolate=Linear","MultiX=Average","Skip=True","Sort=True")</f>
        <v>#N/A Invalid Parameter: Interpolation value</v>
      </c>
      <c r="AJ2602" s="43" t="str">
        <f ca="1"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25"/>
        <v>#REF!</v>
      </c>
      <c r="AI2603" s="43" t="str">
        <f ca="1">_xll.BInterpol('Base IPCA'!$C$3:$C$14,'Base IPCA'!$E$3:$E$14,AH2603,"Cubic","Extrapolate=Linear","MultiX=Average","Skip=True","Sort=True")</f>
        <v>#N/A Invalid Parameter: Interpolation value</v>
      </c>
      <c r="AJ2603" s="43" t="str">
        <f ca="1"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25"/>
        <v>#REF!</v>
      </c>
      <c r="AI2604" s="43" t="str">
        <f ca="1">_xll.BInterpol('Base IPCA'!$C$3:$C$14,'Base IPCA'!$E$3:$E$14,AH2604,"Cubic","Extrapolate=Linear","MultiX=Average","Skip=True","Sort=True")</f>
        <v>#N/A Invalid Parameter: Interpolation value</v>
      </c>
      <c r="AJ2604" s="43" t="str">
        <f ca="1"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25"/>
        <v>#REF!</v>
      </c>
      <c r="AI2605" s="43" t="str">
        <f ca="1">_xll.BInterpol('Base IPCA'!$C$3:$C$14,'Base IPCA'!$E$3:$E$14,AH2605,"Cubic","Extrapolate=Linear","MultiX=Average","Skip=True","Sort=True")</f>
        <v>#N/A Invalid Parameter: Interpolation value</v>
      </c>
      <c r="AJ2605" s="43" t="str">
        <f ca="1"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25"/>
        <v>#REF!</v>
      </c>
      <c r="AI2606" s="43" t="str">
        <f ca="1">_xll.BInterpol('Base IPCA'!$C$3:$C$14,'Base IPCA'!$E$3:$E$14,AH2606,"Cubic","Extrapolate=Linear","MultiX=Average","Skip=True","Sort=True")</f>
        <v>#N/A Invalid Parameter: Interpolation value</v>
      </c>
      <c r="AJ2606" s="43" t="str">
        <f ca="1"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25"/>
        <v>#REF!</v>
      </c>
      <c r="AI2607" s="43" t="str">
        <f ca="1">_xll.BInterpol('Base IPCA'!$C$3:$C$14,'Base IPCA'!$E$3:$E$14,AH2607,"Cubic","Extrapolate=Linear","MultiX=Average","Skip=True","Sort=True")</f>
        <v>#N/A Invalid Parameter: Interpolation value</v>
      </c>
      <c r="AJ2607" s="43" t="str">
        <f ca="1"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25"/>
        <v>#REF!</v>
      </c>
      <c r="AI2608" s="43" t="str">
        <f ca="1">_xll.BInterpol('Base IPCA'!$C$3:$C$14,'Base IPCA'!$E$3:$E$14,AH2608,"Cubic","Extrapolate=Linear","MultiX=Average","Skip=True","Sort=True")</f>
        <v>#N/A Invalid Parameter: Interpolation value</v>
      </c>
      <c r="AJ2608" s="43" t="str">
        <f ca="1"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25"/>
        <v>#REF!</v>
      </c>
      <c r="AI2609" s="43" t="str">
        <f ca="1">_xll.BInterpol('Base IPCA'!$C$3:$C$14,'Base IPCA'!$E$3:$E$14,AH2609,"Cubic","Extrapolate=Linear","MultiX=Average","Skip=True","Sort=True")</f>
        <v>#N/A Invalid Parameter: Interpolation value</v>
      </c>
      <c r="AJ2609" s="43" t="str">
        <f ca="1"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25"/>
        <v>#REF!</v>
      </c>
      <c r="AI2610" s="43" t="str">
        <f ca="1">_xll.BInterpol('Base IPCA'!$C$3:$C$14,'Base IPCA'!$E$3:$E$14,AH2610,"Cubic","Extrapolate=Linear","MultiX=Average","Skip=True","Sort=True")</f>
        <v>#N/A Invalid Parameter: Interpolation value</v>
      </c>
      <c r="AJ2610" s="43" t="str">
        <f ca="1"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25"/>
        <v>#REF!</v>
      </c>
      <c r="AI2611" s="43" t="str">
        <f ca="1">_xll.BInterpol('Base IPCA'!$C$3:$C$14,'Base IPCA'!$E$3:$E$14,AH2611,"Cubic","Extrapolate=Linear","MultiX=Average","Skip=True","Sort=True")</f>
        <v>#N/A Invalid Parameter: Interpolation value</v>
      </c>
      <c r="AJ2611" s="43" t="str">
        <f ca="1"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25"/>
        <v>#REF!</v>
      </c>
      <c r="AI2612" s="43" t="str">
        <f ca="1">_xll.BInterpol('Base IPCA'!$C$3:$C$14,'Base IPCA'!$E$3:$E$14,AH2612,"Cubic","Extrapolate=Linear","MultiX=Average","Skip=True","Sort=True")</f>
        <v>#N/A Invalid Parameter: Interpolation value</v>
      </c>
      <c r="AJ2612" s="43" t="str">
        <f ca="1"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25"/>
        <v>#REF!</v>
      </c>
      <c r="AI2613" s="43" t="str">
        <f ca="1">_xll.BInterpol('Base IPCA'!$C$3:$C$14,'Base IPCA'!$E$3:$E$14,AH2613,"Cubic","Extrapolate=Linear","MultiX=Average","Skip=True","Sort=True")</f>
        <v>#N/A Invalid Parameter: Interpolation value</v>
      </c>
      <c r="AJ2613" s="43" t="str">
        <f ca="1"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25"/>
        <v>#REF!</v>
      </c>
      <c r="AI2614" s="43" t="str">
        <f ca="1">_xll.BInterpol('Base IPCA'!$C$3:$C$14,'Base IPCA'!$E$3:$E$14,AH2614,"Cubic","Extrapolate=Linear","MultiX=Average","Skip=True","Sort=True")</f>
        <v>#N/A Invalid Parameter: Interpolation value</v>
      </c>
      <c r="AJ2614" s="43" t="str">
        <f ca="1"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25"/>
        <v>#REF!</v>
      </c>
      <c r="AI2615" s="43" t="str">
        <f ca="1">_xll.BInterpol('Base IPCA'!$C$3:$C$14,'Base IPCA'!$E$3:$E$14,AH2615,"Cubic","Extrapolate=Linear","MultiX=Average","Skip=True","Sort=True")</f>
        <v>#N/A Invalid Parameter: Interpolation value</v>
      </c>
      <c r="AJ2615" s="43" t="str">
        <f ca="1"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25"/>
        <v>#REF!</v>
      </c>
      <c r="AI2616" s="43" t="str">
        <f ca="1">_xll.BInterpol('Base IPCA'!$C$3:$C$14,'Base IPCA'!$E$3:$E$14,AH2616,"Cubic","Extrapolate=Linear","MultiX=Average","Skip=True","Sort=True")</f>
        <v>#N/A Invalid Parameter: Interpolation value</v>
      </c>
      <c r="AJ2616" s="43" t="str">
        <f ca="1"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25"/>
        <v>#REF!</v>
      </c>
      <c r="AI2617" s="43" t="str">
        <f ca="1">_xll.BInterpol('Base IPCA'!$C$3:$C$14,'Base IPCA'!$E$3:$E$14,AH2617,"Cubic","Extrapolate=Linear","MultiX=Average","Skip=True","Sort=True")</f>
        <v>#N/A Invalid Parameter: Interpolation value</v>
      </c>
      <c r="AJ2617" s="43" t="str">
        <f ca="1"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25"/>
        <v>#REF!</v>
      </c>
      <c r="AI2618" s="43" t="str">
        <f ca="1">_xll.BInterpol('Base IPCA'!$C$3:$C$14,'Base IPCA'!$E$3:$E$14,AH2618,"Cubic","Extrapolate=Linear","MultiX=Average","Skip=True","Sort=True")</f>
        <v>#N/A Invalid Parameter: Interpolation value</v>
      </c>
      <c r="AJ2618" s="43" t="str">
        <f ca="1"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25"/>
        <v>#REF!</v>
      </c>
      <c r="AI2619" s="43" t="str">
        <f ca="1">_xll.BInterpol('Base IPCA'!$C$3:$C$14,'Base IPCA'!$E$3:$E$14,AH2619,"Cubic","Extrapolate=Linear","MultiX=Average","Skip=True","Sort=True")</f>
        <v>#N/A Invalid Parameter: Interpolation value</v>
      </c>
      <c r="AJ2619" s="43" t="str">
        <f ca="1"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25"/>
        <v>#REF!</v>
      </c>
      <c r="AI2620" s="43" t="str">
        <f ca="1">_xll.BInterpol('Base IPCA'!$C$3:$C$14,'Base IPCA'!$E$3:$E$14,AH2620,"Cubic","Extrapolate=Linear","MultiX=Average","Skip=True","Sort=True")</f>
        <v>#N/A Invalid Parameter: Interpolation value</v>
      </c>
      <c r="AJ2620" s="43" t="str">
        <f ca="1"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25"/>
        <v>#REF!</v>
      </c>
      <c r="AI2621" s="43" t="str">
        <f ca="1">_xll.BInterpol('Base IPCA'!$C$3:$C$14,'Base IPCA'!$E$3:$E$14,AH2621,"Cubic","Extrapolate=Linear","MultiX=Average","Skip=True","Sort=True")</f>
        <v>#N/A Invalid Parameter: Interpolation value</v>
      </c>
      <c r="AJ2621" s="43" t="str">
        <f ca="1"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25"/>
        <v>#REF!</v>
      </c>
      <c r="AI2622" s="43" t="str">
        <f ca="1">_xll.BInterpol('Base IPCA'!$C$3:$C$14,'Base IPCA'!$E$3:$E$14,AH2622,"Cubic","Extrapolate=Linear","MultiX=Average","Skip=True","Sort=True")</f>
        <v>#N/A Invalid Parameter: Interpolation value</v>
      </c>
      <c r="AJ2622" s="43" t="str">
        <f ca="1"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25"/>
        <v>#REF!</v>
      </c>
      <c r="AI2623" s="43" t="str">
        <f ca="1">_xll.BInterpol('Base IPCA'!$C$3:$C$14,'Base IPCA'!$E$3:$E$14,AH2623,"Cubic","Extrapolate=Linear","MultiX=Average","Skip=True","Sort=True")</f>
        <v>#N/A Invalid Parameter: Interpolation value</v>
      </c>
      <c r="AJ2623" s="43" t="str">
        <f ca="1"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25"/>
        <v>#REF!</v>
      </c>
      <c r="AI2624" s="43" t="str">
        <f ca="1">_xll.BInterpol('Base IPCA'!$C$3:$C$14,'Base IPCA'!$E$3:$E$14,AH2624,"Cubic","Extrapolate=Linear","MultiX=Average","Skip=True","Sort=True")</f>
        <v>#N/A Invalid Parameter: Interpolation value</v>
      </c>
      <c r="AJ2624" s="43" t="str">
        <f ca="1"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25"/>
        <v>#REF!</v>
      </c>
      <c r="AI2625" s="43" t="str">
        <f ca="1">_xll.BInterpol('Base IPCA'!$C$3:$C$14,'Base IPCA'!$E$3:$E$14,AH2625,"Cubic","Extrapolate=Linear","MultiX=Average","Skip=True","Sort=True")</f>
        <v>#N/A Invalid Parameter: Interpolation value</v>
      </c>
      <c r="AJ2625" s="43" t="str">
        <f ca="1"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25"/>
        <v>#REF!</v>
      </c>
      <c r="AI2626" s="43" t="str">
        <f ca="1">_xll.BInterpol('Base IPCA'!$C$3:$C$14,'Base IPCA'!$E$3:$E$14,AH2626,"Cubic","Extrapolate=Linear","MultiX=Average","Skip=True","Sort=True")</f>
        <v>#N/A Invalid Parameter: Interpolation value</v>
      </c>
      <c r="AJ2626" s="43" t="str">
        <f ca="1"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25"/>
        <v>#REF!</v>
      </c>
      <c r="AI2627" s="43" t="str">
        <f ca="1">_xll.BInterpol('Base IPCA'!$C$3:$C$14,'Base IPCA'!$E$3:$E$14,AH2627,"Cubic","Extrapolate=Linear","MultiX=Average","Skip=True","Sort=True")</f>
        <v>#N/A Invalid Parameter: Interpolation value</v>
      </c>
      <c r="AJ2627" s="43" t="str">
        <f ca="1"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25"/>
        <v>#REF!</v>
      </c>
      <c r="AI2628" s="43" t="str">
        <f ca="1">_xll.BInterpol('Base IPCA'!$C$3:$C$14,'Base IPCA'!$E$3:$E$14,AH2628,"Cubic","Extrapolate=Linear","MultiX=Average","Skip=True","Sort=True")</f>
        <v>#N/A Invalid Parameter: Interpolation value</v>
      </c>
      <c r="AJ2628" s="43" t="str">
        <f ca="1"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25"/>
        <v>#REF!</v>
      </c>
      <c r="AI2629" s="43" t="str">
        <f ca="1">_xll.BInterpol('Base IPCA'!$C$3:$C$14,'Base IPCA'!$E$3:$E$14,AH2629,"Cubic","Extrapolate=Linear","MultiX=Average","Skip=True","Sort=True")</f>
        <v>#N/A Invalid Parameter: Interpolation value</v>
      </c>
      <c r="AJ2629" s="43" t="str">
        <f ca="1"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26">AH2629+1</f>
        <v>#REF!</v>
      </c>
      <c r="AI2630" s="43" t="str">
        <f ca="1">_xll.BInterpol('Base IPCA'!$C$3:$C$14,'Base IPCA'!$E$3:$E$14,AH2630,"Cubic","Extrapolate=Linear","MultiX=Average","Skip=True","Sort=True")</f>
        <v>#N/A Invalid Parameter: Interpolation value</v>
      </c>
      <c r="AJ2630" s="43" t="str">
        <f ca="1"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26"/>
        <v>#REF!</v>
      </c>
      <c r="AI2631" s="43" t="str">
        <f ca="1">_xll.BInterpol('Base IPCA'!$C$3:$C$14,'Base IPCA'!$E$3:$E$14,AH2631,"Cubic","Extrapolate=Linear","MultiX=Average","Skip=True","Sort=True")</f>
        <v>#N/A Invalid Parameter: Interpolation value</v>
      </c>
      <c r="AJ2631" s="43" t="str">
        <f ca="1"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26"/>
        <v>#REF!</v>
      </c>
      <c r="AI2632" s="43" t="str">
        <f ca="1">_xll.BInterpol('Base IPCA'!$C$3:$C$14,'Base IPCA'!$E$3:$E$14,AH2632,"Cubic","Extrapolate=Linear","MultiX=Average","Skip=True","Sort=True")</f>
        <v>#N/A Invalid Parameter: Interpolation value</v>
      </c>
      <c r="AJ2632" s="43" t="str">
        <f ca="1"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26"/>
        <v>#REF!</v>
      </c>
      <c r="AI2633" s="43" t="str">
        <f ca="1">_xll.BInterpol('Base IPCA'!$C$3:$C$14,'Base IPCA'!$E$3:$E$14,AH2633,"Cubic","Extrapolate=Linear","MultiX=Average","Skip=True","Sort=True")</f>
        <v>#N/A Invalid Parameter: Interpolation value</v>
      </c>
      <c r="AJ2633" s="43" t="str">
        <f ca="1"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26"/>
        <v>#REF!</v>
      </c>
      <c r="AI2634" s="43" t="str">
        <f ca="1">_xll.BInterpol('Base IPCA'!$C$3:$C$14,'Base IPCA'!$E$3:$E$14,AH2634,"Cubic","Extrapolate=Linear","MultiX=Average","Skip=True","Sort=True")</f>
        <v>#N/A Invalid Parameter: Interpolation value</v>
      </c>
      <c r="AJ2634" s="43" t="str">
        <f ca="1"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26"/>
        <v>#REF!</v>
      </c>
      <c r="AI2635" s="43" t="str">
        <f ca="1">_xll.BInterpol('Base IPCA'!$C$3:$C$14,'Base IPCA'!$E$3:$E$14,AH2635,"Cubic","Extrapolate=Linear","MultiX=Average","Skip=True","Sort=True")</f>
        <v>#N/A Invalid Parameter: Interpolation value</v>
      </c>
      <c r="AJ2635" s="43" t="str">
        <f ca="1"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26"/>
        <v>#REF!</v>
      </c>
      <c r="AI2636" s="43" t="str">
        <f ca="1">_xll.BInterpol('Base IPCA'!$C$3:$C$14,'Base IPCA'!$E$3:$E$14,AH2636,"Cubic","Extrapolate=Linear","MultiX=Average","Skip=True","Sort=True")</f>
        <v>#N/A Invalid Parameter: Interpolation value</v>
      </c>
      <c r="AJ2636" s="43" t="str">
        <f ca="1"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26"/>
        <v>#REF!</v>
      </c>
      <c r="AI2637" s="43" t="str">
        <f ca="1">_xll.BInterpol('Base IPCA'!$C$3:$C$14,'Base IPCA'!$E$3:$E$14,AH2637,"Cubic","Extrapolate=Linear","MultiX=Average","Skip=True","Sort=True")</f>
        <v>#N/A Invalid Parameter: Interpolation value</v>
      </c>
      <c r="AJ2637" s="43" t="str">
        <f ca="1"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26"/>
        <v>#REF!</v>
      </c>
      <c r="AI2638" s="43" t="str">
        <f ca="1">_xll.BInterpol('Base IPCA'!$C$3:$C$14,'Base IPCA'!$E$3:$E$14,AH2638,"Cubic","Extrapolate=Linear","MultiX=Average","Skip=True","Sort=True")</f>
        <v>#N/A Invalid Parameter: Interpolation value</v>
      </c>
      <c r="AJ2638" s="43" t="str">
        <f ca="1"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26"/>
        <v>#REF!</v>
      </c>
      <c r="AI2639" s="43" t="str">
        <f ca="1">_xll.BInterpol('Base IPCA'!$C$3:$C$14,'Base IPCA'!$E$3:$E$14,AH2639,"Cubic","Extrapolate=Linear","MultiX=Average","Skip=True","Sort=True")</f>
        <v>#N/A Invalid Parameter: Interpolation value</v>
      </c>
      <c r="AJ2639" s="43" t="str">
        <f ca="1"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26"/>
        <v>#REF!</v>
      </c>
      <c r="AI2640" s="43" t="str">
        <f ca="1">_xll.BInterpol('Base IPCA'!$C$3:$C$14,'Base IPCA'!$E$3:$E$14,AH2640,"Cubic","Extrapolate=Linear","MultiX=Average","Skip=True","Sort=True")</f>
        <v>#N/A Invalid Parameter: Interpolation value</v>
      </c>
      <c r="AJ2640" s="43" t="str">
        <f ca="1"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26"/>
        <v>#REF!</v>
      </c>
      <c r="AI2641" s="43" t="str">
        <f ca="1">_xll.BInterpol('Base IPCA'!$C$3:$C$14,'Base IPCA'!$E$3:$E$14,AH2641,"Cubic","Extrapolate=Linear","MultiX=Average","Skip=True","Sort=True")</f>
        <v>#N/A Invalid Parameter: Interpolation value</v>
      </c>
      <c r="AJ2641" s="43" t="str">
        <f ca="1"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26"/>
        <v>#REF!</v>
      </c>
      <c r="AI2642" s="43" t="str">
        <f ca="1">_xll.BInterpol('Base IPCA'!$C$3:$C$14,'Base IPCA'!$E$3:$E$14,AH2642,"Cubic","Extrapolate=Linear","MultiX=Average","Skip=True","Sort=True")</f>
        <v>#N/A Invalid Parameter: Interpolation value</v>
      </c>
      <c r="AJ2642" s="43" t="str">
        <f ca="1"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26"/>
        <v>#REF!</v>
      </c>
      <c r="AI2643" s="43" t="str">
        <f ca="1">_xll.BInterpol('Base IPCA'!$C$3:$C$14,'Base IPCA'!$E$3:$E$14,AH2643,"Cubic","Extrapolate=Linear","MultiX=Average","Skip=True","Sort=True")</f>
        <v>#N/A Invalid Parameter: Interpolation value</v>
      </c>
      <c r="AJ2643" s="43" t="str">
        <f ca="1"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26"/>
        <v>#REF!</v>
      </c>
      <c r="AI2644" s="43" t="str">
        <f ca="1">_xll.BInterpol('Base IPCA'!$C$3:$C$14,'Base IPCA'!$E$3:$E$14,AH2644,"Cubic","Extrapolate=Linear","MultiX=Average","Skip=True","Sort=True")</f>
        <v>#N/A Invalid Parameter: Interpolation value</v>
      </c>
      <c r="AJ2644" s="43" t="str">
        <f ca="1"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26"/>
        <v>#REF!</v>
      </c>
      <c r="AI2645" s="43" t="str">
        <f ca="1">_xll.BInterpol('Base IPCA'!$C$3:$C$14,'Base IPCA'!$E$3:$E$14,AH2645,"Cubic","Extrapolate=Linear","MultiX=Average","Skip=True","Sort=True")</f>
        <v>#N/A Invalid Parameter: Interpolation value</v>
      </c>
      <c r="AJ2645" s="43" t="str">
        <f ca="1"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26"/>
        <v>#REF!</v>
      </c>
      <c r="AI2646" s="43" t="str">
        <f ca="1">_xll.BInterpol('Base IPCA'!$C$3:$C$14,'Base IPCA'!$E$3:$E$14,AH2646,"Cubic","Extrapolate=Linear","MultiX=Average","Skip=True","Sort=True")</f>
        <v>#N/A Invalid Parameter: Interpolation value</v>
      </c>
      <c r="AJ2646" s="43" t="str">
        <f ca="1"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26"/>
        <v>#REF!</v>
      </c>
      <c r="AI2647" s="43" t="str">
        <f ca="1">_xll.BInterpol('Base IPCA'!$C$3:$C$14,'Base IPCA'!$E$3:$E$14,AH2647,"Cubic","Extrapolate=Linear","MultiX=Average","Skip=True","Sort=True")</f>
        <v>#N/A Invalid Parameter: Interpolation value</v>
      </c>
      <c r="AJ2647" s="43" t="str">
        <f ca="1"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26"/>
        <v>#REF!</v>
      </c>
      <c r="AI2648" s="43" t="str">
        <f ca="1">_xll.BInterpol('Base IPCA'!$C$3:$C$14,'Base IPCA'!$E$3:$E$14,AH2648,"Cubic","Extrapolate=Linear","MultiX=Average","Skip=True","Sort=True")</f>
        <v>#N/A Invalid Parameter: Interpolation value</v>
      </c>
      <c r="AJ2648" s="43" t="str">
        <f ca="1"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26"/>
        <v>#REF!</v>
      </c>
      <c r="AI2649" s="43" t="str">
        <f ca="1">_xll.BInterpol('Base IPCA'!$C$3:$C$14,'Base IPCA'!$E$3:$E$14,AH2649,"Cubic","Extrapolate=Linear","MultiX=Average","Skip=True","Sort=True")</f>
        <v>#N/A Invalid Parameter: Interpolation value</v>
      </c>
      <c r="AJ2649" s="43" t="str">
        <f ca="1"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26"/>
        <v>#REF!</v>
      </c>
      <c r="AI2650" s="43" t="str">
        <f ca="1">_xll.BInterpol('Base IPCA'!$C$3:$C$14,'Base IPCA'!$E$3:$E$14,AH2650,"Cubic","Extrapolate=Linear","MultiX=Average","Skip=True","Sort=True")</f>
        <v>#N/A Invalid Parameter: Interpolation value</v>
      </c>
      <c r="AJ2650" s="43" t="str">
        <f ca="1"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26"/>
        <v>#REF!</v>
      </c>
      <c r="AI2651" s="43" t="str">
        <f ca="1">_xll.BInterpol('Base IPCA'!$C$3:$C$14,'Base IPCA'!$E$3:$E$14,AH2651,"Cubic","Extrapolate=Linear","MultiX=Average","Skip=True","Sort=True")</f>
        <v>#N/A Invalid Parameter: Interpolation value</v>
      </c>
      <c r="AJ2651" s="43" t="str">
        <f ca="1"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26"/>
        <v>#REF!</v>
      </c>
      <c r="AI2652" s="43" t="str">
        <f ca="1">_xll.BInterpol('Base IPCA'!$C$3:$C$14,'Base IPCA'!$E$3:$E$14,AH2652,"Cubic","Extrapolate=Linear","MultiX=Average","Skip=True","Sort=True")</f>
        <v>#N/A Invalid Parameter: Interpolation value</v>
      </c>
      <c r="AJ2652" s="43" t="str">
        <f ca="1"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26"/>
        <v>#REF!</v>
      </c>
      <c r="AI2653" s="43" t="str">
        <f ca="1">_xll.BInterpol('Base IPCA'!$C$3:$C$14,'Base IPCA'!$E$3:$E$14,AH2653,"Cubic","Extrapolate=Linear","MultiX=Average","Skip=True","Sort=True")</f>
        <v>#N/A Invalid Parameter: Interpolation value</v>
      </c>
      <c r="AJ2653" s="43" t="str">
        <f ca="1"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26"/>
        <v>#REF!</v>
      </c>
      <c r="AI2654" s="43" t="str">
        <f ca="1">_xll.BInterpol('Base IPCA'!$C$3:$C$14,'Base IPCA'!$E$3:$E$14,AH2654,"Cubic","Extrapolate=Linear","MultiX=Average","Skip=True","Sort=True")</f>
        <v>#N/A Invalid Parameter: Interpolation value</v>
      </c>
      <c r="AJ2654" s="43" t="str">
        <f ca="1"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26"/>
        <v>#REF!</v>
      </c>
      <c r="AI2655" s="43" t="str">
        <f ca="1">_xll.BInterpol('Base IPCA'!$C$3:$C$14,'Base IPCA'!$E$3:$E$14,AH2655,"Cubic","Extrapolate=Linear","MultiX=Average","Skip=True","Sort=True")</f>
        <v>#N/A Invalid Parameter: Interpolation value</v>
      </c>
      <c r="AJ2655" s="43" t="str">
        <f ca="1"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26"/>
        <v>#REF!</v>
      </c>
      <c r="AI2656" s="43" t="str">
        <f ca="1">_xll.BInterpol('Base IPCA'!$C$3:$C$14,'Base IPCA'!$E$3:$E$14,AH2656,"Cubic","Extrapolate=Linear","MultiX=Average","Skip=True","Sort=True")</f>
        <v>#N/A Invalid Parameter: Interpolation value</v>
      </c>
      <c r="AJ2656" s="43" t="str">
        <f ca="1"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26"/>
        <v>#REF!</v>
      </c>
      <c r="AI2657" s="43" t="str">
        <f ca="1">_xll.BInterpol('Base IPCA'!$C$3:$C$14,'Base IPCA'!$E$3:$E$14,AH2657,"Cubic","Extrapolate=Linear","MultiX=Average","Skip=True","Sort=True")</f>
        <v>#N/A Invalid Parameter: Interpolation value</v>
      </c>
      <c r="AJ2657" s="43" t="str">
        <f ca="1"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26"/>
        <v>#REF!</v>
      </c>
      <c r="AI2658" s="43" t="str">
        <f ca="1">_xll.BInterpol('Base IPCA'!$C$3:$C$14,'Base IPCA'!$E$3:$E$14,AH2658,"Cubic","Extrapolate=Linear","MultiX=Average","Skip=True","Sort=True")</f>
        <v>#N/A Invalid Parameter: Interpolation value</v>
      </c>
      <c r="AJ2658" s="43" t="str">
        <f ca="1"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26"/>
        <v>#REF!</v>
      </c>
      <c r="AI2659" s="43" t="str">
        <f ca="1">_xll.BInterpol('Base IPCA'!$C$3:$C$14,'Base IPCA'!$E$3:$E$14,AH2659,"Cubic","Extrapolate=Linear","MultiX=Average","Skip=True","Sort=True")</f>
        <v>#N/A Invalid Parameter: Interpolation value</v>
      </c>
      <c r="AJ2659" s="43" t="str">
        <f ca="1"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26"/>
        <v>#REF!</v>
      </c>
      <c r="AI2660" s="43" t="str">
        <f ca="1">_xll.BInterpol('Base IPCA'!$C$3:$C$14,'Base IPCA'!$E$3:$E$14,AH2660,"Cubic","Extrapolate=Linear","MultiX=Average","Skip=True","Sort=True")</f>
        <v>#N/A Invalid Parameter: Interpolation value</v>
      </c>
      <c r="AJ2660" s="43" t="str">
        <f ca="1"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26"/>
        <v>#REF!</v>
      </c>
      <c r="AI2661" s="43" t="str">
        <f ca="1">_xll.BInterpol('Base IPCA'!$C$3:$C$14,'Base IPCA'!$E$3:$E$14,AH2661,"Cubic","Extrapolate=Linear","MultiX=Average","Skip=True","Sort=True")</f>
        <v>#N/A Invalid Parameter: Interpolation value</v>
      </c>
      <c r="AJ2661" s="43" t="str">
        <f ca="1"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26"/>
        <v>#REF!</v>
      </c>
      <c r="AI2662" s="43" t="str">
        <f ca="1">_xll.BInterpol('Base IPCA'!$C$3:$C$14,'Base IPCA'!$E$3:$E$14,AH2662,"Cubic","Extrapolate=Linear","MultiX=Average","Skip=True","Sort=True")</f>
        <v>#N/A Invalid Parameter: Interpolation value</v>
      </c>
      <c r="AJ2662" s="43" t="str">
        <f ca="1"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26"/>
        <v>#REF!</v>
      </c>
      <c r="AI2663" s="43" t="str">
        <f ca="1">_xll.BInterpol('Base IPCA'!$C$3:$C$14,'Base IPCA'!$E$3:$E$14,AH2663,"Cubic","Extrapolate=Linear","MultiX=Average","Skip=True","Sort=True")</f>
        <v>#N/A Invalid Parameter: Interpolation value</v>
      </c>
      <c r="AJ2663" s="43" t="str">
        <f ca="1"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26"/>
        <v>#REF!</v>
      </c>
      <c r="AI2664" s="43" t="str">
        <f ca="1">_xll.BInterpol('Base IPCA'!$C$3:$C$14,'Base IPCA'!$E$3:$E$14,AH2664,"Cubic","Extrapolate=Linear","MultiX=Average","Skip=True","Sort=True")</f>
        <v>#N/A Invalid Parameter: Interpolation value</v>
      </c>
      <c r="AJ2664" s="43" t="str">
        <f ca="1"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26"/>
        <v>#REF!</v>
      </c>
      <c r="AI2665" s="43" t="str">
        <f ca="1">_xll.BInterpol('Base IPCA'!$C$3:$C$14,'Base IPCA'!$E$3:$E$14,AH2665,"Cubic","Extrapolate=Linear","MultiX=Average","Skip=True","Sort=True")</f>
        <v>#N/A Invalid Parameter: Interpolation value</v>
      </c>
      <c r="AJ2665" s="43" t="str">
        <f ca="1"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26"/>
        <v>#REF!</v>
      </c>
      <c r="AI2666" s="43" t="str">
        <f ca="1">_xll.BInterpol('Base IPCA'!$C$3:$C$14,'Base IPCA'!$E$3:$E$14,AH2666,"Cubic","Extrapolate=Linear","MultiX=Average","Skip=True","Sort=True")</f>
        <v>#N/A Invalid Parameter: Interpolation value</v>
      </c>
      <c r="AJ2666" s="43" t="str">
        <f ca="1"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26"/>
        <v>#REF!</v>
      </c>
      <c r="AI2667" s="43" t="str">
        <f ca="1">_xll.BInterpol('Base IPCA'!$C$3:$C$14,'Base IPCA'!$E$3:$E$14,AH2667,"Cubic","Extrapolate=Linear","MultiX=Average","Skip=True","Sort=True")</f>
        <v>#N/A Invalid Parameter: Interpolation value</v>
      </c>
      <c r="AJ2667" s="43" t="str">
        <f ca="1"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26"/>
        <v>#REF!</v>
      </c>
      <c r="AI2668" s="43" t="str">
        <f ca="1">_xll.BInterpol('Base IPCA'!$C$3:$C$14,'Base IPCA'!$E$3:$E$14,AH2668,"Cubic","Extrapolate=Linear","MultiX=Average","Skip=True","Sort=True")</f>
        <v>#N/A Invalid Parameter: Interpolation value</v>
      </c>
      <c r="AJ2668" s="43" t="str">
        <f ca="1"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26"/>
        <v>#REF!</v>
      </c>
      <c r="AI2669" s="43" t="str">
        <f ca="1">_xll.BInterpol('Base IPCA'!$C$3:$C$14,'Base IPCA'!$E$3:$E$14,AH2669,"Cubic","Extrapolate=Linear","MultiX=Average","Skip=True","Sort=True")</f>
        <v>#N/A Invalid Parameter: Interpolation value</v>
      </c>
      <c r="AJ2669" s="43" t="str">
        <f ca="1"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26"/>
        <v>#REF!</v>
      </c>
      <c r="AI2670" s="43" t="str">
        <f ca="1">_xll.BInterpol('Base IPCA'!$C$3:$C$14,'Base IPCA'!$E$3:$E$14,AH2670,"Cubic","Extrapolate=Linear","MultiX=Average","Skip=True","Sort=True")</f>
        <v>#N/A Invalid Parameter: Interpolation value</v>
      </c>
      <c r="AJ2670" s="43" t="str">
        <f ca="1"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26"/>
        <v>#REF!</v>
      </c>
      <c r="AI2671" s="43" t="str">
        <f ca="1">_xll.BInterpol('Base IPCA'!$C$3:$C$14,'Base IPCA'!$E$3:$E$14,AH2671,"Cubic","Extrapolate=Linear","MultiX=Average","Skip=True","Sort=True")</f>
        <v>#N/A Invalid Parameter: Interpolation value</v>
      </c>
      <c r="AJ2671" s="43" t="str">
        <f ca="1"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26"/>
        <v>#REF!</v>
      </c>
      <c r="AI2672" s="43" t="str">
        <f ca="1">_xll.BInterpol('Base IPCA'!$C$3:$C$14,'Base IPCA'!$E$3:$E$14,AH2672,"Cubic","Extrapolate=Linear","MultiX=Average","Skip=True","Sort=True")</f>
        <v>#N/A Invalid Parameter: Interpolation value</v>
      </c>
      <c r="AJ2672" s="43" t="str">
        <f ca="1"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26"/>
        <v>#REF!</v>
      </c>
      <c r="AI2673" s="43" t="str">
        <f ca="1">_xll.BInterpol('Base IPCA'!$C$3:$C$14,'Base IPCA'!$E$3:$E$14,AH2673,"Cubic","Extrapolate=Linear","MultiX=Average","Skip=True","Sort=True")</f>
        <v>#N/A Invalid Parameter: Interpolation value</v>
      </c>
      <c r="AJ2673" s="43" t="str">
        <f ca="1"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26"/>
        <v>#REF!</v>
      </c>
      <c r="AI2674" s="43" t="str">
        <f ca="1">_xll.BInterpol('Base IPCA'!$C$3:$C$14,'Base IPCA'!$E$3:$E$14,AH2674,"Cubic","Extrapolate=Linear","MultiX=Average","Skip=True","Sort=True")</f>
        <v>#N/A Invalid Parameter: Interpolation value</v>
      </c>
      <c r="AJ2674" s="43" t="str">
        <f ca="1"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26"/>
        <v>#REF!</v>
      </c>
      <c r="AI2675" s="43" t="str">
        <f ca="1">_xll.BInterpol('Base IPCA'!$C$3:$C$14,'Base IPCA'!$E$3:$E$14,AH2675,"Cubic","Extrapolate=Linear","MultiX=Average","Skip=True","Sort=True")</f>
        <v>#N/A Invalid Parameter: Interpolation value</v>
      </c>
      <c r="AJ2675" s="43" t="str">
        <f ca="1"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26"/>
        <v>#REF!</v>
      </c>
      <c r="AI2676" s="43" t="str">
        <f ca="1">_xll.BInterpol('Base IPCA'!$C$3:$C$14,'Base IPCA'!$E$3:$E$14,AH2676,"Cubic","Extrapolate=Linear","MultiX=Average","Skip=True","Sort=True")</f>
        <v>#N/A Invalid Parameter: Interpolation value</v>
      </c>
      <c r="AJ2676" s="43" t="str">
        <f ca="1"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26"/>
        <v>#REF!</v>
      </c>
      <c r="AI2677" s="43" t="str">
        <f ca="1">_xll.BInterpol('Base IPCA'!$C$3:$C$14,'Base IPCA'!$E$3:$E$14,AH2677,"Cubic","Extrapolate=Linear","MultiX=Average","Skip=True","Sort=True")</f>
        <v>#N/A Invalid Parameter: Interpolation value</v>
      </c>
      <c r="AJ2677" s="43" t="str">
        <f ca="1"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26"/>
        <v>#REF!</v>
      </c>
      <c r="AI2678" s="43" t="str">
        <f ca="1">_xll.BInterpol('Base IPCA'!$C$3:$C$14,'Base IPCA'!$E$3:$E$14,AH2678,"Cubic","Extrapolate=Linear","MultiX=Average","Skip=True","Sort=True")</f>
        <v>#N/A Invalid Parameter: Interpolation value</v>
      </c>
      <c r="AJ2678" s="43" t="str">
        <f ca="1"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26"/>
        <v>#REF!</v>
      </c>
      <c r="AI2679" s="43" t="str">
        <f ca="1">_xll.BInterpol('Base IPCA'!$C$3:$C$14,'Base IPCA'!$E$3:$E$14,AH2679,"Cubic","Extrapolate=Linear","MultiX=Average","Skip=True","Sort=True")</f>
        <v>#N/A Invalid Parameter: Interpolation value</v>
      </c>
      <c r="AJ2679" s="43" t="str">
        <f ca="1"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26"/>
        <v>#REF!</v>
      </c>
      <c r="AI2680" s="43" t="str">
        <f ca="1">_xll.BInterpol('Base IPCA'!$C$3:$C$14,'Base IPCA'!$E$3:$E$14,AH2680,"Cubic","Extrapolate=Linear","MultiX=Average","Skip=True","Sort=True")</f>
        <v>#N/A Invalid Parameter: Interpolation value</v>
      </c>
      <c r="AJ2680" s="43" t="str">
        <f ca="1"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26"/>
        <v>#REF!</v>
      </c>
      <c r="AI2681" s="43" t="str">
        <f ca="1">_xll.BInterpol('Base IPCA'!$C$3:$C$14,'Base IPCA'!$E$3:$E$14,AH2681,"Cubic","Extrapolate=Linear","MultiX=Average","Skip=True","Sort=True")</f>
        <v>#N/A Invalid Parameter: Interpolation value</v>
      </c>
      <c r="AJ2681" s="43" t="str">
        <f ca="1"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26"/>
        <v>#REF!</v>
      </c>
      <c r="AI2682" s="43" t="str">
        <f ca="1">_xll.BInterpol('Base IPCA'!$C$3:$C$14,'Base IPCA'!$E$3:$E$14,AH2682,"Cubic","Extrapolate=Linear","MultiX=Average","Skip=True","Sort=True")</f>
        <v>#N/A Invalid Parameter: Interpolation value</v>
      </c>
      <c r="AJ2682" s="43" t="str">
        <f ca="1"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26"/>
        <v>#REF!</v>
      </c>
      <c r="AI2683" s="43" t="str">
        <f ca="1">_xll.BInterpol('Base IPCA'!$C$3:$C$14,'Base IPCA'!$E$3:$E$14,AH2683,"Cubic","Extrapolate=Linear","MultiX=Average","Skip=True","Sort=True")</f>
        <v>#N/A Invalid Parameter: Interpolation value</v>
      </c>
      <c r="AJ2683" s="43" t="str">
        <f ca="1"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26"/>
        <v>#REF!</v>
      </c>
      <c r="AI2684" s="43" t="str">
        <f ca="1">_xll.BInterpol('Base IPCA'!$C$3:$C$14,'Base IPCA'!$E$3:$E$14,AH2684,"Cubic","Extrapolate=Linear","MultiX=Average","Skip=True","Sort=True")</f>
        <v>#N/A Invalid Parameter: Interpolation value</v>
      </c>
      <c r="AJ2684" s="43" t="str">
        <f ca="1"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26"/>
        <v>#REF!</v>
      </c>
      <c r="AI2685" s="43" t="str">
        <f ca="1">_xll.BInterpol('Base IPCA'!$C$3:$C$14,'Base IPCA'!$E$3:$E$14,AH2685,"Cubic","Extrapolate=Linear","MultiX=Average","Skip=True","Sort=True")</f>
        <v>#N/A Invalid Parameter: Interpolation value</v>
      </c>
      <c r="AJ2685" s="43" t="str">
        <f ca="1"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26"/>
        <v>#REF!</v>
      </c>
      <c r="AI2686" s="43" t="str">
        <f ca="1">_xll.BInterpol('Base IPCA'!$C$3:$C$14,'Base IPCA'!$E$3:$E$14,AH2686,"Cubic","Extrapolate=Linear","MultiX=Average","Skip=True","Sort=True")</f>
        <v>#N/A Invalid Parameter: Interpolation value</v>
      </c>
      <c r="AJ2686" s="43" t="str">
        <f ca="1"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26"/>
        <v>#REF!</v>
      </c>
      <c r="AI2687" s="43" t="str">
        <f ca="1">_xll.BInterpol('Base IPCA'!$C$3:$C$14,'Base IPCA'!$E$3:$E$14,AH2687,"Cubic","Extrapolate=Linear","MultiX=Average","Skip=True","Sort=True")</f>
        <v>#N/A Invalid Parameter: Interpolation value</v>
      </c>
      <c r="AJ2687" s="43" t="str">
        <f ca="1"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26"/>
        <v>#REF!</v>
      </c>
      <c r="AI2688" s="43" t="str">
        <f ca="1">_xll.BInterpol('Base IPCA'!$C$3:$C$14,'Base IPCA'!$E$3:$E$14,AH2688,"Cubic","Extrapolate=Linear","MultiX=Average","Skip=True","Sort=True")</f>
        <v>#N/A Invalid Parameter: Interpolation value</v>
      </c>
      <c r="AJ2688" s="43" t="str">
        <f ca="1"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26"/>
        <v>#REF!</v>
      </c>
      <c r="AI2689" s="43" t="str">
        <f ca="1">_xll.BInterpol('Base IPCA'!$C$3:$C$14,'Base IPCA'!$E$3:$E$14,AH2689,"Cubic","Extrapolate=Linear","MultiX=Average","Skip=True","Sort=True")</f>
        <v>#N/A Invalid Parameter: Interpolation value</v>
      </c>
      <c r="AJ2689" s="43" t="str">
        <f ca="1"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26"/>
        <v>#REF!</v>
      </c>
      <c r="AI2690" s="43" t="str">
        <f ca="1">_xll.BInterpol('Base IPCA'!$C$3:$C$14,'Base IPCA'!$E$3:$E$14,AH2690,"Cubic","Extrapolate=Linear","MultiX=Average","Skip=True","Sort=True")</f>
        <v>#N/A Invalid Parameter: Interpolation value</v>
      </c>
      <c r="AJ2690" s="43" t="str">
        <f ca="1"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26"/>
        <v>#REF!</v>
      </c>
      <c r="AI2691" s="43" t="str">
        <f ca="1">_xll.BInterpol('Base IPCA'!$C$3:$C$14,'Base IPCA'!$E$3:$E$14,AH2691,"Cubic","Extrapolate=Linear","MultiX=Average","Skip=True","Sort=True")</f>
        <v>#N/A Invalid Parameter: Interpolation value</v>
      </c>
      <c r="AJ2691" s="43" t="str">
        <f ca="1"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26"/>
        <v>#REF!</v>
      </c>
      <c r="AI2692" s="43" t="str">
        <f ca="1">_xll.BInterpol('Base IPCA'!$C$3:$C$14,'Base IPCA'!$E$3:$E$14,AH2692,"Cubic","Extrapolate=Linear","MultiX=Average","Skip=True","Sort=True")</f>
        <v>#N/A Invalid Parameter: Interpolation value</v>
      </c>
      <c r="AJ2692" s="43" t="str">
        <f ca="1"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26"/>
        <v>#REF!</v>
      </c>
      <c r="AI2693" s="43" t="str">
        <f ca="1">_xll.BInterpol('Base IPCA'!$C$3:$C$14,'Base IPCA'!$E$3:$E$14,AH2693,"Cubic","Extrapolate=Linear","MultiX=Average","Skip=True","Sort=True")</f>
        <v>#N/A Invalid Parameter: Interpolation value</v>
      </c>
      <c r="AJ2693" s="43" t="str">
        <f ca="1"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27">AH2693+1</f>
        <v>#REF!</v>
      </c>
      <c r="AI2694" s="43" t="str">
        <f ca="1">_xll.BInterpol('Base IPCA'!$C$3:$C$14,'Base IPCA'!$E$3:$E$14,AH2694,"Cubic","Extrapolate=Linear","MultiX=Average","Skip=True","Sort=True")</f>
        <v>#N/A Invalid Parameter: Interpolation value</v>
      </c>
      <c r="AJ2694" s="43" t="str">
        <f ca="1"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27"/>
        <v>#REF!</v>
      </c>
      <c r="AI2695" s="43" t="str">
        <f ca="1">_xll.BInterpol('Base IPCA'!$C$3:$C$14,'Base IPCA'!$E$3:$E$14,AH2695,"Cubic","Extrapolate=Linear","MultiX=Average","Skip=True","Sort=True")</f>
        <v>#N/A Invalid Parameter: Interpolation value</v>
      </c>
      <c r="AJ2695" s="43" t="str">
        <f ca="1"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27"/>
        <v>#REF!</v>
      </c>
      <c r="AI2696" s="43" t="str">
        <f ca="1">_xll.BInterpol('Base IPCA'!$C$3:$C$14,'Base IPCA'!$E$3:$E$14,AH2696,"Cubic","Extrapolate=Linear","MultiX=Average","Skip=True","Sort=True")</f>
        <v>#N/A Invalid Parameter: Interpolation value</v>
      </c>
      <c r="AJ2696" s="43" t="str">
        <f ca="1"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27"/>
        <v>#REF!</v>
      </c>
      <c r="AI2697" s="43" t="str">
        <f ca="1">_xll.BInterpol('Base IPCA'!$C$3:$C$14,'Base IPCA'!$E$3:$E$14,AH2697,"Cubic","Extrapolate=Linear","MultiX=Average","Skip=True","Sort=True")</f>
        <v>#N/A Invalid Parameter: Interpolation value</v>
      </c>
      <c r="AJ2697" s="43" t="str">
        <f ca="1"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27"/>
        <v>#REF!</v>
      </c>
      <c r="AI2698" s="43" t="str">
        <f ca="1">_xll.BInterpol('Base IPCA'!$C$3:$C$14,'Base IPCA'!$E$3:$E$14,AH2698,"Cubic","Extrapolate=Linear","MultiX=Average","Skip=True","Sort=True")</f>
        <v>#N/A Invalid Parameter: Interpolation value</v>
      </c>
      <c r="AJ2698" s="43" t="str">
        <f ca="1"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27"/>
        <v>#REF!</v>
      </c>
      <c r="AI2699" s="43" t="str">
        <f ca="1">_xll.BInterpol('Base IPCA'!$C$3:$C$14,'Base IPCA'!$E$3:$E$14,AH2699,"Cubic","Extrapolate=Linear","MultiX=Average","Skip=True","Sort=True")</f>
        <v>#N/A Invalid Parameter: Interpolation value</v>
      </c>
      <c r="AJ2699" s="43" t="str">
        <f ca="1"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27"/>
        <v>#REF!</v>
      </c>
      <c r="AI2700" s="43" t="str">
        <f ca="1">_xll.BInterpol('Base IPCA'!$C$3:$C$14,'Base IPCA'!$E$3:$E$14,AH2700,"Cubic","Extrapolate=Linear","MultiX=Average","Skip=True","Sort=True")</f>
        <v>#N/A Invalid Parameter: Interpolation value</v>
      </c>
      <c r="AJ2700" s="43" t="str">
        <f ca="1"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27"/>
        <v>#REF!</v>
      </c>
      <c r="AI2701" s="43" t="str">
        <f ca="1">_xll.BInterpol('Base IPCA'!$C$3:$C$14,'Base IPCA'!$E$3:$E$14,AH2701,"Cubic","Extrapolate=Linear","MultiX=Average","Skip=True","Sort=True")</f>
        <v>#N/A Invalid Parameter: Interpolation value</v>
      </c>
      <c r="AJ2701" s="43" t="str">
        <f ca="1"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27"/>
        <v>#REF!</v>
      </c>
      <c r="AI2702" s="43" t="str">
        <f ca="1">_xll.BInterpol('Base IPCA'!$C$3:$C$14,'Base IPCA'!$E$3:$E$14,AH2702,"Cubic","Extrapolate=Linear","MultiX=Average","Skip=True","Sort=True")</f>
        <v>#N/A Invalid Parameter: Interpolation value</v>
      </c>
      <c r="AJ2702" s="43" t="str">
        <f ca="1"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27"/>
        <v>#REF!</v>
      </c>
      <c r="AI2703" s="43" t="str">
        <f ca="1">_xll.BInterpol('Base IPCA'!$C$3:$C$14,'Base IPCA'!$E$3:$E$14,AH2703,"Cubic","Extrapolate=Linear","MultiX=Average","Skip=True","Sort=True")</f>
        <v>#N/A Invalid Parameter: Interpolation value</v>
      </c>
      <c r="AJ2703" s="43" t="str">
        <f ca="1"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27"/>
        <v>#REF!</v>
      </c>
      <c r="AI2704" s="43" t="str">
        <f ca="1">_xll.BInterpol('Base IPCA'!$C$3:$C$14,'Base IPCA'!$E$3:$E$14,AH2704,"Cubic","Extrapolate=Linear","MultiX=Average","Skip=True","Sort=True")</f>
        <v>#N/A Invalid Parameter: Interpolation value</v>
      </c>
      <c r="AJ2704" s="43" t="str">
        <f ca="1"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27"/>
        <v>#REF!</v>
      </c>
      <c r="AI2705" s="43" t="str">
        <f ca="1">_xll.BInterpol('Base IPCA'!$C$3:$C$14,'Base IPCA'!$E$3:$E$14,AH2705,"Cubic","Extrapolate=Linear","MultiX=Average","Skip=True","Sort=True")</f>
        <v>#N/A Invalid Parameter: Interpolation value</v>
      </c>
      <c r="AJ2705" s="43" t="str">
        <f ca="1"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27"/>
        <v>#REF!</v>
      </c>
      <c r="AI2706" s="43" t="str">
        <f ca="1">_xll.BInterpol('Base IPCA'!$C$3:$C$14,'Base IPCA'!$E$3:$E$14,AH2706,"Cubic","Extrapolate=Linear","MultiX=Average","Skip=True","Sort=True")</f>
        <v>#N/A Invalid Parameter: Interpolation value</v>
      </c>
      <c r="AJ2706" s="43" t="str">
        <f ca="1"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27"/>
        <v>#REF!</v>
      </c>
      <c r="AI2707" s="43" t="str">
        <f ca="1">_xll.BInterpol('Base IPCA'!$C$3:$C$14,'Base IPCA'!$E$3:$E$14,AH2707,"Cubic","Extrapolate=Linear","MultiX=Average","Skip=True","Sort=True")</f>
        <v>#N/A Invalid Parameter: Interpolation value</v>
      </c>
      <c r="AJ2707" s="43" t="str">
        <f ca="1"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27"/>
        <v>#REF!</v>
      </c>
      <c r="AI2708" s="43" t="str">
        <f ca="1">_xll.BInterpol('Base IPCA'!$C$3:$C$14,'Base IPCA'!$E$3:$E$14,AH2708,"Cubic","Extrapolate=Linear","MultiX=Average","Skip=True","Sort=True")</f>
        <v>#N/A Invalid Parameter: Interpolation value</v>
      </c>
      <c r="AJ2708" s="43" t="str">
        <f ca="1"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27"/>
        <v>#REF!</v>
      </c>
      <c r="AI2709" s="43" t="str">
        <f ca="1">_xll.BInterpol('Base IPCA'!$C$3:$C$14,'Base IPCA'!$E$3:$E$14,AH2709,"Cubic","Extrapolate=Linear","MultiX=Average","Skip=True","Sort=True")</f>
        <v>#N/A Invalid Parameter: Interpolation value</v>
      </c>
      <c r="AJ2709" s="43" t="str">
        <f ca="1"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27"/>
        <v>#REF!</v>
      </c>
      <c r="AI2710" s="43" t="str">
        <f ca="1">_xll.BInterpol('Base IPCA'!$C$3:$C$14,'Base IPCA'!$E$3:$E$14,AH2710,"Cubic","Extrapolate=Linear","MultiX=Average","Skip=True","Sort=True")</f>
        <v>#N/A Invalid Parameter: Interpolation value</v>
      </c>
      <c r="AJ2710" s="43" t="str">
        <f ca="1"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27"/>
        <v>#REF!</v>
      </c>
      <c r="AI2711" s="43" t="str">
        <f ca="1">_xll.BInterpol('Base IPCA'!$C$3:$C$14,'Base IPCA'!$E$3:$E$14,AH2711,"Cubic","Extrapolate=Linear","MultiX=Average","Skip=True","Sort=True")</f>
        <v>#N/A Invalid Parameter: Interpolation value</v>
      </c>
      <c r="AJ2711" s="43" t="str">
        <f ca="1"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27"/>
        <v>#REF!</v>
      </c>
      <c r="AI2712" s="43" t="str">
        <f ca="1">_xll.BInterpol('Base IPCA'!$C$3:$C$14,'Base IPCA'!$E$3:$E$14,AH2712,"Cubic","Extrapolate=Linear","MultiX=Average","Skip=True","Sort=True")</f>
        <v>#N/A Invalid Parameter: Interpolation value</v>
      </c>
      <c r="AJ2712" s="43" t="str">
        <f ca="1"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27"/>
        <v>#REF!</v>
      </c>
      <c r="AI2713" s="43" t="str">
        <f ca="1">_xll.BInterpol('Base IPCA'!$C$3:$C$14,'Base IPCA'!$E$3:$E$14,AH2713,"Cubic","Extrapolate=Linear","MultiX=Average","Skip=True","Sort=True")</f>
        <v>#N/A Invalid Parameter: Interpolation value</v>
      </c>
      <c r="AJ2713" s="43" t="str">
        <f ca="1"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27"/>
        <v>#REF!</v>
      </c>
      <c r="AI2714" s="43" t="str">
        <f ca="1">_xll.BInterpol('Base IPCA'!$C$3:$C$14,'Base IPCA'!$E$3:$E$14,AH2714,"Cubic","Extrapolate=Linear","MultiX=Average","Skip=True","Sort=True")</f>
        <v>#N/A Invalid Parameter: Interpolation value</v>
      </c>
      <c r="AJ2714" s="43" t="str">
        <f ca="1"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27"/>
        <v>#REF!</v>
      </c>
      <c r="AI2715" s="43" t="str">
        <f ca="1">_xll.BInterpol('Base IPCA'!$C$3:$C$14,'Base IPCA'!$E$3:$E$14,AH2715,"Cubic","Extrapolate=Linear","MultiX=Average","Skip=True","Sort=True")</f>
        <v>#N/A Invalid Parameter: Interpolation value</v>
      </c>
      <c r="AJ2715" s="43" t="str">
        <f ca="1"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27"/>
        <v>#REF!</v>
      </c>
      <c r="AI2716" s="43" t="str">
        <f ca="1">_xll.BInterpol('Base IPCA'!$C$3:$C$14,'Base IPCA'!$E$3:$E$14,AH2716,"Cubic","Extrapolate=Linear","MultiX=Average","Skip=True","Sort=True")</f>
        <v>#N/A Invalid Parameter: Interpolation value</v>
      </c>
      <c r="AJ2716" s="43" t="str">
        <f ca="1"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27"/>
        <v>#REF!</v>
      </c>
      <c r="AI2717" s="43" t="str">
        <f ca="1">_xll.BInterpol('Base IPCA'!$C$3:$C$14,'Base IPCA'!$E$3:$E$14,AH2717,"Cubic","Extrapolate=Linear","MultiX=Average","Skip=True","Sort=True")</f>
        <v>#N/A Invalid Parameter: Interpolation value</v>
      </c>
      <c r="AJ2717" s="43" t="str">
        <f ca="1"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27"/>
        <v>#REF!</v>
      </c>
      <c r="AI2718" s="43" t="str">
        <f ca="1">_xll.BInterpol('Base IPCA'!$C$3:$C$14,'Base IPCA'!$E$3:$E$14,AH2718,"Cubic","Extrapolate=Linear","MultiX=Average","Skip=True","Sort=True")</f>
        <v>#N/A Invalid Parameter: Interpolation value</v>
      </c>
      <c r="AJ2718" s="43" t="str">
        <f ca="1"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27"/>
        <v>#REF!</v>
      </c>
      <c r="AI2719" s="43" t="str">
        <f ca="1">_xll.BInterpol('Base IPCA'!$C$3:$C$14,'Base IPCA'!$E$3:$E$14,AH2719,"Cubic","Extrapolate=Linear","MultiX=Average","Skip=True","Sort=True")</f>
        <v>#N/A Invalid Parameter: Interpolation value</v>
      </c>
      <c r="AJ2719" s="43" t="str">
        <f ca="1"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27"/>
        <v>#REF!</v>
      </c>
      <c r="AI2720" s="43" t="str">
        <f ca="1">_xll.BInterpol('Base IPCA'!$C$3:$C$14,'Base IPCA'!$E$3:$E$14,AH2720,"Cubic","Extrapolate=Linear","MultiX=Average","Skip=True","Sort=True")</f>
        <v>#N/A Invalid Parameter: Interpolation value</v>
      </c>
      <c r="AJ2720" s="43" t="str">
        <f ca="1"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27"/>
        <v>#REF!</v>
      </c>
      <c r="AI2721" s="43" t="str">
        <f ca="1">_xll.BInterpol('Base IPCA'!$C$3:$C$14,'Base IPCA'!$E$3:$E$14,AH2721,"Cubic","Extrapolate=Linear","MultiX=Average","Skip=True","Sort=True")</f>
        <v>#N/A Invalid Parameter: Interpolation value</v>
      </c>
      <c r="AJ2721" s="43" t="str">
        <f ca="1"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27"/>
        <v>#REF!</v>
      </c>
      <c r="AI2722" s="43" t="str">
        <f ca="1">_xll.BInterpol('Base IPCA'!$C$3:$C$14,'Base IPCA'!$E$3:$E$14,AH2722,"Cubic","Extrapolate=Linear","MultiX=Average","Skip=True","Sort=True")</f>
        <v>#N/A Invalid Parameter: Interpolation value</v>
      </c>
      <c r="AJ2722" s="43" t="str">
        <f ca="1"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27"/>
        <v>#REF!</v>
      </c>
      <c r="AI2723" s="43" t="str">
        <f ca="1">_xll.BInterpol('Base IPCA'!$C$3:$C$14,'Base IPCA'!$E$3:$E$14,AH2723,"Cubic","Extrapolate=Linear","MultiX=Average","Skip=True","Sort=True")</f>
        <v>#N/A Invalid Parameter: Interpolation value</v>
      </c>
      <c r="AJ2723" s="43" t="str">
        <f ca="1"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27"/>
        <v>#REF!</v>
      </c>
      <c r="AI2724" s="43" t="str">
        <f ca="1">_xll.BInterpol('Base IPCA'!$C$3:$C$14,'Base IPCA'!$E$3:$E$14,AH2724,"Cubic","Extrapolate=Linear","MultiX=Average","Skip=True","Sort=True")</f>
        <v>#N/A Invalid Parameter: Interpolation value</v>
      </c>
      <c r="AJ2724" s="43" t="str">
        <f ca="1"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27"/>
        <v>#REF!</v>
      </c>
      <c r="AI2725" s="43" t="str">
        <f ca="1">_xll.BInterpol('Base IPCA'!$C$3:$C$14,'Base IPCA'!$E$3:$E$14,AH2725,"Cubic","Extrapolate=Linear","MultiX=Average","Skip=True","Sort=True")</f>
        <v>#N/A Invalid Parameter: Interpolation value</v>
      </c>
      <c r="AJ2725" s="43" t="str">
        <f ca="1"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27"/>
        <v>#REF!</v>
      </c>
      <c r="AI2726" s="43" t="str">
        <f ca="1">_xll.BInterpol('Base IPCA'!$C$3:$C$14,'Base IPCA'!$E$3:$E$14,AH2726,"Cubic","Extrapolate=Linear","MultiX=Average","Skip=True","Sort=True")</f>
        <v>#N/A Invalid Parameter: Interpolation value</v>
      </c>
      <c r="AJ2726" s="43" t="str">
        <f ca="1"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27"/>
        <v>#REF!</v>
      </c>
      <c r="AI2727" s="43" t="str">
        <f ca="1">_xll.BInterpol('Base IPCA'!$C$3:$C$14,'Base IPCA'!$E$3:$E$14,AH2727,"Cubic","Extrapolate=Linear","MultiX=Average","Skip=True","Sort=True")</f>
        <v>#N/A Invalid Parameter: Interpolation value</v>
      </c>
      <c r="AJ2727" s="43" t="str">
        <f ca="1"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27"/>
        <v>#REF!</v>
      </c>
      <c r="AI2728" s="43" t="str">
        <f ca="1">_xll.BInterpol('Base IPCA'!$C$3:$C$14,'Base IPCA'!$E$3:$E$14,AH2728,"Cubic","Extrapolate=Linear","MultiX=Average","Skip=True","Sort=True")</f>
        <v>#N/A Invalid Parameter: Interpolation value</v>
      </c>
      <c r="AJ2728" s="43" t="str">
        <f ca="1"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27"/>
        <v>#REF!</v>
      </c>
      <c r="AI2729" s="43" t="str">
        <f ca="1">_xll.BInterpol('Base IPCA'!$C$3:$C$14,'Base IPCA'!$E$3:$E$14,AH2729,"Cubic","Extrapolate=Linear","MultiX=Average","Skip=True","Sort=True")</f>
        <v>#N/A Invalid Parameter: Interpolation value</v>
      </c>
      <c r="AJ2729" s="43" t="str">
        <f ca="1"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27"/>
        <v>#REF!</v>
      </c>
      <c r="AI2730" s="43" t="str">
        <f ca="1">_xll.BInterpol('Base IPCA'!$C$3:$C$14,'Base IPCA'!$E$3:$E$14,AH2730,"Cubic","Extrapolate=Linear","MultiX=Average","Skip=True","Sort=True")</f>
        <v>#N/A Invalid Parameter: Interpolation value</v>
      </c>
      <c r="AJ2730" s="43" t="str">
        <f ca="1"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27"/>
        <v>#REF!</v>
      </c>
      <c r="AI2731" s="43" t="str">
        <f ca="1">_xll.BInterpol('Base IPCA'!$C$3:$C$14,'Base IPCA'!$E$3:$E$14,AH2731,"Cubic","Extrapolate=Linear","MultiX=Average","Skip=True","Sort=True")</f>
        <v>#N/A Invalid Parameter: Interpolation value</v>
      </c>
      <c r="AJ2731" s="43" t="str">
        <f ca="1"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27"/>
        <v>#REF!</v>
      </c>
      <c r="AI2732" s="43" t="str">
        <f ca="1">_xll.BInterpol('Base IPCA'!$C$3:$C$14,'Base IPCA'!$E$3:$E$14,AH2732,"Cubic","Extrapolate=Linear","MultiX=Average","Skip=True","Sort=True")</f>
        <v>#N/A Invalid Parameter: Interpolation value</v>
      </c>
      <c r="AJ2732" s="43" t="str">
        <f ca="1"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27"/>
        <v>#REF!</v>
      </c>
      <c r="AI2733" s="43" t="str">
        <f ca="1">_xll.BInterpol('Base IPCA'!$C$3:$C$14,'Base IPCA'!$E$3:$E$14,AH2733,"Cubic","Extrapolate=Linear","MultiX=Average","Skip=True","Sort=True")</f>
        <v>#N/A Invalid Parameter: Interpolation value</v>
      </c>
      <c r="AJ2733" s="43" t="str">
        <f ca="1"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27"/>
        <v>#REF!</v>
      </c>
      <c r="AI2734" s="43" t="str">
        <f ca="1">_xll.BInterpol('Base IPCA'!$C$3:$C$14,'Base IPCA'!$E$3:$E$14,AH2734,"Cubic","Extrapolate=Linear","MultiX=Average","Skip=True","Sort=True")</f>
        <v>#N/A Invalid Parameter: Interpolation value</v>
      </c>
      <c r="AJ2734" s="43" t="str">
        <f ca="1"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27"/>
        <v>#REF!</v>
      </c>
      <c r="AI2735" s="43" t="str">
        <f ca="1">_xll.BInterpol('Base IPCA'!$C$3:$C$14,'Base IPCA'!$E$3:$E$14,AH2735,"Cubic","Extrapolate=Linear","MultiX=Average","Skip=True","Sort=True")</f>
        <v>#N/A Invalid Parameter: Interpolation value</v>
      </c>
      <c r="AJ2735" s="43" t="str">
        <f ca="1"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27"/>
        <v>#REF!</v>
      </c>
      <c r="AI2736" s="43" t="str">
        <f ca="1">_xll.BInterpol('Base IPCA'!$C$3:$C$14,'Base IPCA'!$E$3:$E$14,AH2736,"Cubic","Extrapolate=Linear","MultiX=Average","Skip=True","Sort=True")</f>
        <v>#N/A Invalid Parameter: Interpolation value</v>
      </c>
      <c r="AJ2736" s="43" t="str">
        <f ca="1"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27"/>
        <v>#REF!</v>
      </c>
      <c r="AI2737" s="43" t="str">
        <f ca="1">_xll.BInterpol('Base IPCA'!$C$3:$C$14,'Base IPCA'!$E$3:$E$14,AH2737,"Cubic","Extrapolate=Linear","MultiX=Average","Skip=True","Sort=True")</f>
        <v>#N/A Invalid Parameter: Interpolation value</v>
      </c>
      <c r="AJ2737" s="43" t="str">
        <f ca="1"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27"/>
        <v>#REF!</v>
      </c>
      <c r="AI2738" s="43" t="str">
        <f ca="1">_xll.BInterpol('Base IPCA'!$C$3:$C$14,'Base IPCA'!$E$3:$E$14,AH2738,"Cubic","Extrapolate=Linear","MultiX=Average","Skip=True","Sort=True")</f>
        <v>#N/A Invalid Parameter: Interpolation value</v>
      </c>
      <c r="AJ2738" s="43" t="str">
        <f ca="1"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27"/>
        <v>#REF!</v>
      </c>
      <c r="AI2739" s="43" t="str">
        <f ca="1">_xll.BInterpol('Base IPCA'!$C$3:$C$14,'Base IPCA'!$E$3:$E$14,AH2739,"Cubic","Extrapolate=Linear","MultiX=Average","Skip=True","Sort=True")</f>
        <v>#N/A Invalid Parameter: Interpolation value</v>
      </c>
      <c r="AJ2739" s="43" t="str">
        <f ca="1"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27"/>
        <v>#REF!</v>
      </c>
      <c r="AI2740" s="43" t="str">
        <f ca="1">_xll.BInterpol('Base IPCA'!$C$3:$C$14,'Base IPCA'!$E$3:$E$14,AH2740,"Cubic","Extrapolate=Linear","MultiX=Average","Skip=True","Sort=True")</f>
        <v>#N/A Invalid Parameter: Interpolation value</v>
      </c>
      <c r="AJ2740" s="43" t="str">
        <f ca="1"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27"/>
        <v>#REF!</v>
      </c>
      <c r="AI2741" s="43" t="str">
        <f ca="1">_xll.BInterpol('Base IPCA'!$C$3:$C$14,'Base IPCA'!$E$3:$E$14,AH2741,"Cubic","Extrapolate=Linear","MultiX=Average","Skip=True","Sort=True")</f>
        <v>#N/A Invalid Parameter: Interpolation value</v>
      </c>
      <c r="AJ2741" s="43" t="str">
        <f ca="1"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27"/>
        <v>#REF!</v>
      </c>
      <c r="AI2742" s="43" t="str">
        <f ca="1">_xll.BInterpol('Base IPCA'!$C$3:$C$14,'Base IPCA'!$E$3:$E$14,AH2742,"Cubic","Extrapolate=Linear","MultiX=Average","Skip=True","Sort=True")</f>
        <v>#N/A Invalid Parameter: Interpolation value</v>
      </c>
      <c r="AJ2742" s="43" t="str">
        <f ca="1"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27"/>
        <v>#REF!</v>
      </c>
      <c r="AI2743" s="43" t="str">
        <f ca="1">_xll.BInterpol('Base IPCA'!$C$3:$C$14,'Base IPCA'!$E$3:$E$14,AH2743,"Cubic","Extrapolate=Linear","MultiX=Average","Skip=True","Sort=True")</f>
        <v>#N/A Invalid Parameter: Interpolation value</v>
      </c>
      <c r="AJ2743" s="43" t="str">
        <f ca="1"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27"/>
        <v>#REF!</v>
      </c>
      <c r="AI2744" s="43" t="str">
        <f ca="1">_xll.BInterpol('Base IPCA'!$C$3:$C$14,'Base IPCA'!$E$3:$E$14,AH2744,"Cubic","Extrapolate=Linear","MultiX=Average","Skip=True","Sort=True")</f>
        <v>#N/A Invalid Parameter: Interpolation value</v>
      </c>
      <c r="AJ2744" s="43" t="str">
        <f ca="1"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27"/>
        <v>#REF!</v>
      </c>
      <c r="AI2745" s="43" t="str">
        <f ca="1">_xll.BInterpol('Base IPCA'!$C$3:$C$14,'Base IPCA'!$E$3:$E$14,AH2745,"Cubic","Extrapolate=Linear","MultiX=Average","Skip=True","Sort=True")</f>
        <v>#N/A Invalid Parameter: Interpolation value</v>
      </c>
      <c r="AJ2745" s="43" t="str">
        <f ca="1"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27"/>
        <v>#REF!</v>
      </c>
      <c r="AI2746" s="43" t="str">
        <f ca="1">_xll.BInterpol('Base IPCA'!$C$3:$C$14,'Base IPCA'!$E$3:$E$14,AH2746,"Cubic","Extrapolate=Linear","MultiX=Average","Skip=True","Sort=True")</f>
        <v>#N/A Invalid Parameter: Interpolation value</v>
      </c>
      <c r="AJ2746" s="43" t="str">
        <f ca="1"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27"/>
        <v>#REF!</v>
      </c>
      <c r="AI2747" s="43" t="str">
        <f ca="1">_xll.BInterpol('Base IPCA'!$C$3:$C$14,'Base IPCA'!$E$3:$E$14,AH2747,"Cubic","Extrapolate=Linear","MultiX=Average","Skip=True","Sort=True")</f>
        <v>#N/A Invalid Parameter: Interpolation value</v>
      </c>
      <c r="AJ2747" s="43" t="str">
        <f ca="1"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27"/>
        <v>#REF!</v>
      </c>
      <c r="AI2748" s="43" t="str">
        <f ca="1">_xll.BInterpol('Base IPCA'!$C$3:$C$14,'Base IPCA'!$E$3:$E$14,AH2748,"Cubic","Extrapolate=Linear","MultiX=Average","Skip=True","Sort=True")</f>
        <v>#N/A Invalid Parameter: Interpolation value</v>
      </c>
      <c r="AJ2748" s="43" t="str">
        <f ca="1"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27"/>
        <v>#REF!</v>
      </c>
      <c r="AI2749" s="43" t="str">
        <f ca="1">_xll.BInterpol('Base IPCA'!$C$3:$C$14,'Base IPCA'!$E$3:$E$14,AH2749,"Cubic","Extrapolate=Linear","MultiX=Average","Skip=True","Sort=True")</f>
        <v>#N/A Invalid Parameter: Interpolation value</v>
      </c>
      <c r="AJ2749" s="43" t="str">
        <f ca="1"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27"/>
        <v>#REF!</v>
      </c>
      <c r="AI2750" s="43" t="str">
        <f ca="1">_xll.BInterpol('Base IPCA'!$C$3:$C$14,'Base IPCA'!$E$3:$E$14,AH2750,"Cubic","Extrapolate=Linear","MultiX=Average","Skip=True","Sort=True")</f>
        <v>#N/A Invalid Parameter: Interpolation value</v>
      </c>
      <c r="AJ2750" s="43" t="str">
        <f ca="1"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27"/>
        <v>#REF!</v>
      </c>
      <c r="AI2751" s="43" t="str">
        <f ca="1">_xll.BInterpol('Base IPCA'!$C$3:$C$14,'Base IPCA'!$E$3:$E$14,AH2751,"Cubic","Extrapolate=Linear","MultiX=Average","Skip=True","Sort=True")</f>
        <v>#N/A Invalid Parameter: Interpolation value</v>
      </c>
      <c r="AJ2751" s="43" t="str">
        <f ca="1"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27"/>
        <v>#REF!</v>
      </c>
      <c r="AI2752" s="43" t="str">
        <f ca="1">_xll.BInterpol('Base IPCA'!$C$3:$C$14,'Base IPCA'!$E$3:$E$14,AH2752,"Cubic","Extrapolate=Linear","MultiX=Average","Skip=True","Sort=True")</f>
        <v>#N/A Invalid Parameter: Interpolation value</v>
      </c>
      <c r="AJ2752" s="43" t="str">
        <f ca="1"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27"/>
        <v>#REF!</v>
      </c>
      <c r="AI2753" s="43" t="str">
        <f ca="1">_xll.BInterpol('Base IPCA'!$C$3:$C$14,'Base IPCA'!$E$3:$E$14,AH2753,"Cubic","Extrapolate=Linear","MultiX=Average","Skip=True","Sort=True")</f>
        <v>#N/A Invalid Parameter: Interpolation value</v>
      </c>
      <c r="AJ2753" s="43" t="str">
        <f ca="1"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27"/>
        <v>#REF!</v>
      </c>
      <c r="AI2754" s="43" t="str">
        <f ca="1">_xll.BInterpol('Base IPCA'!$C$3:$C$14,'Base IPCA'!$E$3:$E$14,AH2754,"Cubic","Extrapolate=Linear","MultiX=Average","Skip=True","Sort=True")</f>
        <v>#N/A Invalid Parameter: Interpolation value</v>
      </c>
      <c r="AJ2754" s="43" t="str">
        <f ca="1"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27"/>
        <v>#REF!</v>
      </c>
      <c r="AI2755" s="43" t="str">
        <f ca="1">_xll.BInterpol('Base IPCA'!$C$3:$C$14,'Base IPCA'!$E$3:$E$14,AH2755,"Cubic","Extrapolate=Linear","MultiX=Average","Skip=True","Sort=True")</f>
        <v>#N/A Invalid Parameter: Interpolation value</v>
      </c>
      <c r="AJ2755" s="43" t="str">
        <f ca="1"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27"/>
        <v>#REF!</v>
      </c>
      <c r="AI2756" s="43" t="str">
        <f ca="1">_xll.BInterpol('Base IPCA'!$C$3:$C$14,'Base IPCA'!$E$3:$E$14,AH2756,"Cubic","Extrapolate=Linear","MultiX=Average","Skip=True","Sort=True")</f>
        <v>#N/A Invalid Parameter: Interpolation value</v>
      </c>
      <c r="AJ2756" s="43" t="str">
        <f ca="1"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27"/>
        <v>#REF!</v>
      </c>
      <c r="AI2757" s="43" t="str">
        <f ca="1">_xll.BInterpol('Base IPCA'!$C$3:$C$14,'Base IPCA'!$E$3:$E$14,AH2757,"Cubic","Extrapolate=Linear","MultiX=Average","Skip=True","Sort=True")</f>
        <v>#N/A Invalid Parameter: Interpolation value</v>
      </c>
      <c r="AJ2757" s="43" t="str">
        <f ca="1"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28">AH2757+1</f>
        <v>#REF!</v>
      </c>
      <c r="AI2758" s="43" t="str">
        <f ca="1">_xll.BInterpol('Base IPCA'!$C$3:$C$14,'Base IPCA'!$E$3:$E$14,AH2758,"Cubic","Extrapolate=Linear","MultiX=Average","Skip=True","Sort=True")</f>
        <v>#N/A Invalid Parameter: Interpolation value</v>
      </c>
      <c r="AJ2758" s="43" t="str">
        <f ca="1"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28"/>
        <v>#REF!</v>
      </c>
      <c r="AI2759" s="43" t="str">
        <f ca="1">_xll.BInterpol('Base IPCA'!$C$3:$C$14,'Base IPCA'!$E$3:$E$14,AH2759,"Cubic","Extrapolate=Linear","MultiX=Average","Skip=True","Sort=True")</f>
        <v>#N/A Invalid Parameter: Interpolation value</v>
      </c>
      <c r="AJ2759" s="43" t="str">
        <f ca="1"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28"/>
        <v>#REF!</v>
      </c>
      <c r="AI2760" s="43" t="str">
        <f ca="1">_xll.BInterpol('Base IPCA'!$C$3:$C$14,'Base IPCA'!$E$3:$E$14,AH2760,"Cubic","Extrapolate=Linear","MultiX=Average","Skip=True","Sort=True")</f>
        <v>#N/A Invalid Parameter: Interpolation value</v>
      </c>
      <c r="AJ2760" s="43" t="str">
        <f ca="1"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28"/>
        <v>#REF!</v>
      </c>
      <c r="AI2761" s="43" t="str">
        <f ca="1">_xll.BInterpol('Base IPCA'!$C$3:$C$14,'Base IPCA'!$E$3:$E$14,AH2761,"Cubic","Extrapolate=Linear","MultiX=Average","Skip=True","Sort=True")</f>
        <v>#N/A Invalid Parameter: Interpolation value</v>
      </c>
      <c r="AJ2761" s="43" t="str">
        <f ca="1"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28"/>
        <v>#REF!</v>
      </c>
      <c r="AI2762" s="43" t="str">
        <f ca="1">_xll.BInterpol('Base IPCA'!$C$3:$C$14,'Base IPCA'!$E$3:$E$14,AH2762,"Cubic","Extrapolate=Linear","MultiX=Average","Skip=True","Sort=True")</f>
        <v>#N/A Invalid Parameter: Interpolation value</v>
      </c>
      <c r="AJ2762" s="43" t="str">
        <f ca="1"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28"/>
        <v>#REF!</v>
      </c>
      <c r="AI2763" s="43" t="str">
        <f ca="1">_xll.BInterpol('Base IPCA'!$C$3:$C$14,'Base IPCA'!$E$3:$E$14,AH2763,"Cubic","Extrapolate=Linear","MultiX=Average","Skip=True","Sort=True")</f>
        <v>#N/A Invalid Parameter: Interpolation value</v>
      </c>
      <c r="AJ2763" s="43" t="str">
        <f ca="1"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28"/>
        <v>#REF!</v>
      </c>
      <c r="AI2764" s="43" t="str">
        <f ca="1">_xll.BInterpol('Base IPCA'!$C$3:$C$14,'Base IPCA'!$E$3:$E$14,AH2764,"Cubic","Extrapolate=Linear","MultiX=Average","Skip=True","Sort=True")</f>
        <v>#N/A Invalid Parameter: Interpolation value</v>
      </c>
      <c r="AJ2764" s="43" t="str">
        <f ca="1"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28"/>
        <v>#REF!</v>
      </c>
      <c r="AI2765" s="43" t="str">
        <f ca="1">_xll.BInterpol('Base IPCA'!$C$3:$C$14,'Base IPCA'!$E$3:$E$14,AH2765,"Cubic","Extrapolate=Linear","MultiX=Average","Skip=True","Sort=True")</f>
        <v>#N/A Invalid Parameter: Interpolation value</v>
      </c>
      <c r="AJ2765" s="43" t="str">
        <f ca="1"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28"/>
        <v>#REF!</v>
      </c>
      <c r="AI2766" s="43" t="str">
        <f ca="1">_xll.BInterpol('Base IPCA'!$C$3:$C$14,'Base IPCA'!$E$3:$E$14,AH2766,"Cubic","Extrapolate=Linear","MultiX=Average","Skip=True","Sort=True")</f>
        <v>#N/A Invalid Parameter: Interpolation value</v>
      </c>
      <c r="AJ2766" s="43" t="str">
        <f ca="1"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28"/>
        <v>#REF!</v>
      </c>
      <c r="AI2767" s="43" t="str">
        <f ca="1">_xll.BInterpol('Base IPCA'!$C$3:$C$14,'Base IPCA'!$E$3:$E$14,AH2767,"Cubic","Extrapolate=Linear","MultiX=Average","Skip=True","Sort=True")</f>
        <v>#N/A Invalid Parameter: Interpolation value</v>
      </c>
      <c r="AJ2767" s="43" t="str">
        <f ca="1"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28"/>
        <v>#REF!</v>
      </c>
      <c r="AI2768" s="43" t="str">
        <f ca="1">_xll.BInterpol('Base IPCA'!$C$3:$C$14,'Base IPCA'!$E$3:$E$14,AH2768,"Cubic","Extrapolate=Linear","MultiX=Average","Skip=True","Sort=True")</f>
        <v>#N/A Invalid Parameter: Interpolation value</v>
      </c>
      <c r="AJ2768" s="43" t="str">
        <f ca="1"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28"/>
        <v>#REF!</v>
      </c>
      <c r="AI2769" s="43" t="str">
        <f ca="1">_xll.BInterpol('Base IPCA'!$C$3:$C$14,'Base IPCA'!$E$3:$E$14,AH2769,"Cubic","Extrapolate=Linear","MultiX=Average","Skip=True","Sort=True")</f>
        <v>#N/A Invalid Parameter: Interpolation value</v>
      </c>
      <c r="AJ2769" s="43" t="str">
        <f ca="1"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28"/>
        <v>#REF!</v>
      </c>
      <c r="AI2770" s="43" t="str">
        <f ca="1">_xll.BInterpol('Base IPCA'!$C$3:$C$14,'Base IPCA'!$E$3:$E$14,AH2770,"Cubic","Extrapolate=Linear","MultiX=Average","Skip=True","Sort=True")</f>
        <v>#N/A Invalid Parameter: Interpolation value</v>
      </c>
      <c r="AJ2770" s="43" t="str">
        <f ca="1"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28"/>
        <v>#REF!</v>
      </c>
      <c r="AI2771" s="43" t="str">
        <f ca="1">_xll.BInterpol('Base IPCA'!$C$3:$C$14,'Base IPCA'!$E$3:$E$14,AH2771,"Cubic","Extrapolate=Linear","MultiX=Average","Skip=True","Sort=True")</f>
        <v>#N/A Invalid Parameter: Interpolation value</v>
      </c>
      <c r="AJ2771" s="43" t="str">
        <f ca="1"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28"/>
        <v>#REF!</v>
      </c>
      <c r="AI2772" s="43" t="str">
        <f ca="1">_xll.BInterpol('Base IPCA'!$C$3:$C$14,'Base IPCA'!$E$3:$E$14,AH2772,"Cubic","Extrapolate=Linear","MultiX=Average","Skip=True","Sort=True")</f>
        <v>#N/A Invalid Parameter: Interpolation value</v>
      </c>
      <c r="AJ2772" s="43" t="str">
        <f ca="1"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28"/>
        <v>#REF!</v>
      </c>
      <c r="AI2773" s="43" t="str">
        <f ca="1">_xll.BInterpol('Base IPCA'!$C$3:$C$14,'Base IPCA'!$E$3:$E$14,AH2773,"Cubic","Extrapolate=Linear","MultiX=Average","Skip=True","Sort=True")</f>
        <v>#N/A Invalid Parameter: Interpolation value</v>
      </c>
      <c r="AJ2773" s="43" t="str">
        <f ca="1"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28"/>
        <v>#REF!</v>
      </c>
      <c r="AI2774" s="43" t="str">
        <f ca="1">_xll.BInterpol('Base IPCA'!$C$3:$C$14,'Base IPCA'!$E$3:$E$14,AH2774,"Cubic","Extrapolate=Linear","MultiX=Average","Skip=True","Sort=True")</f>
        <v>#N/A Invalid Parameter: Interpolation value</v>
      </c>
      <c r="AJ2774" s="43" t="str">
        <f ca="1"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28"/>
        <v>#REF!</v>
      </c>
      <c r="AI2775" s="43" t="str">
        <f ca="1">_xll.BInterpol('Base IPCA'!$C$3:$C$14,'Base IPCA'!$E$3:$E$14,AH2775,"Cubic","Extrapolate=Linear","MultiX=Average","Skip=True","Sort=True")</f>
        <v>#N/A Invalid Parameter: Interpolation value</v>
      </c>
      <c r="AJ2775" s="43" t="str">
        <f ca="1"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28"/>
        <v>#REF!</v>
      </c>
      <c r="AI2776" s="43" t="str">
        <f ca="1">_xll.BInterpol('Base IPCA'!$C$3:$C$14,'Base IPCA'!$E$3:$E$14,AH2776,"Cubic","Extrapolate=Linear","MultiX=Average","Skip=True","Sort=True")</f>
        <v>#N/A Invalid Parameter: Interpolation value</v>
      </c>
      <c r="AJ2776" s="43" t="str">
        <f ca="1"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28"/>
        <v>#REF!</v>
      </c>
      <c r="AI2777" s="43" t="str">
        <f ca="1">_xll.BInterpol('Base IPCA'!$C$3:$C$14,'Base IPCA'!$E$3:$E$14,AH2777,"Cubic","Extrapolate=Linear","MultiX=Average","Skip=True","Sort=True")</f>
        <v>#N/A Invalid Parameter: Interpolation value</v>
      </c>
      <c r="AJ2777" s="43" t="str">
        <f ca="1"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28"/>
        <v>#REF!</v>
      </c>
      <c r="AI2778" s="43" t="str">
        <f ca="1">_xll.BInterpol('Base IPCA'!$C$3:$C$14,'Base IPCA'!$E$3:$E$14,AH2778,"Cubic","Extrapolate=Linear","MultiX=Average","Skip=True","Sort=True")</f>
        <v>#N/A Invalid Parameter: Interpolation value</v>
      </c>
      <c r="AJ2778" s="43" t="str">
        <f ca="1"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28"/>
        <v>#REF!</v>
      </c>
      <c r="AI2779" s="43" t="str">
        <f ca="1">_xll.BInterpol('Base IPCA'!$C$3:$C$14,'Base IPCA'!$E$3:$E$14,AH2779,"Cubic","Extrapolate=Linear","MultiX=Average","Skip=True","Sort=True")</f>
        <v>#N/A Invalid Parameter: Interpolation value</v>
      </c>
      <c r="AJ2779" s="43" t="str">
        <f ca="1"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28"/>
        <v>#REF!</v>
      </c>
      <c r="AI2780" s="43" t="str">
        <f ca="1">_xll.BInterpol('Base IPCA'!$C$3:$C$14,'Base IPCA'!$E$3:$E$14,AH2780,"Cubic","Extrapolate=Linear","MultiX=Average","Skip=True","Sort=True")</f>
        <v>#N/A Invalid Parameter: Interpolation value</v>
      </c>
      <c r="AJ2780" s="43" t="str">
        <f ca="1"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28"/>
        <v>#REF!</v>
      </c>
      <c r="AI2781" s="43" t="str">
        <f ca="1">_xll.BInterpol('Base IPCA'!$C$3:$C$14,'Base IPCA'!$E$3:$E$14,AH2781,"Cubic","Extrapolate=Linear","MultiX=Average","Skip=True","Sort=True")</f>
        <v>#N/A Invalid Parameter: Interpolation value</v>
      </c>
      <c r="AJ2781" s="43" t="str">
        <f ca="1"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28"/>
        <v>#REF!</v>
      </c>
      <c r="AI2782" s="43" t="str">
        <f ca="1">_xll.BInterpol('Base IPCA'!$C$3:$C$14,'Base IPCA'!$E$3:$E$14,AH2782,"Cubic","Extrapolate=Linear","MultiX=Average","Skip=True","Sort=True")</f>
        <v>#N/A Invalid Parameter: Interpolation value</v>
      </c>
      <c r="AJ2782" s="43" t="str">
        <f ca="1"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28"/>
        <v>#REF!</v>
      </c>
      <c r="AI2783" s="43" t="str">
        <f ca="1">_xll.BInterpol('Base IPCA'!$C$3:$C$14,'Base IPCA'!$E$3:$E$14,AH2783,"Cubic","Extrapolate=Linear","MultiX=Average","Skip=True","Sort=True")</f>
        <v>#N/A Invalid Parameter: Interpolation value</v>
      </c>
      <c r="AJ2783" s="43" t="str">
        <f ca="1"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28"/>
        <v>#REF!</v>
      </c>
      <c r="AI2784" s="43" t="str">
        <f ca="1">_xll.BInterpol('Base IPCA'!$C$3:$C$14,'Base IPCA'!$E$3:$E$14,AH2784,"Cubic","Extrapolate=Linear","MultiX=Average","Skip=True","Sort=True")</f>
        <v>#N/A Invalid Parameter: Interpolation value</v>
      </c>
      <c r="AJ2784" s="43" t="str">
        <f ca="1"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28"/>
        <v>#REF!</v>
      </c>
      <c r="AI2785" s="43" t="str">
        <f ca="1">_xll.BInterpol('Base IPCA'!$C$3:$C$14,'Base IPCA'!$E$3:$E$14,AH2785,"Cubic","Extrapolate=Linear","MultiX=Average","Skip=True","Sort=True")</f>
        <v>#N/A Invalid Parameter: Interpolation value</v>
      </c>
      <c r="AJ2785" s="43" t="str">
        <f ca="1"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28"/>
        <v>#REF!</v>
      </c>
      <c r="AI2786" s="43" t="str">
        <f ca="1">_xll.BInterpol('Base IPCA'!$C$3:$C$14,'Base IPCA'!$E$3:$E$14,AH2786,"Cubic","Extrapolate=Linear","MultiX=Average","Skip=True","Sort=True")</f>
        <v>#N/A Invalid Parameter: Interpolation value</v>
      </c>
      <c r="AJ2786" s="43" t="str">
        <f ca="1"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28"/>
        <v>#REF!</v>
      </c>
      <c r="AI2787" s="43" t="str">
        <f ca="1">_xll.BInterpol('Base IPCA'!$C$3:$C$14,'Base IPCA'!$E$3:$E$14,AH2787,"Cubic","Extrapolate=Linear","MultiX=Average","Skip=True","Sort=True")</f>
        <v>#N/A Invalid Parameter: Interpolation value</v>
      </c>
      <c r="AJ2787" s="43" t="str">
        <f ca="1"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28"/>
        <v>#REF!</v>
      </c>
      <c r="AI2788" s="43" t="str">
        <f ca="1">_xll.BInterpol('Base IPCA'!$C$3:$C$14,'Base IPCA'!$E$3:$E$14,AH2788,"Cubic","Extrapolate=Linear","MultiX=Average","Skip=True","Sort=True")</f>
        <v>#N/A Invalid Parameter: Interpolation value</v>
      </c>
      <c r="AJ2788" s="43" t="str">
        <f ca="1"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28"/>
        <v>#REF!</v>
      </c>
      <c r="AI2789" s="43" t="str">
        <f ca="1">_xll.BInterpol('Base IPCA'!$C$3:$C$14,'Base IPCA'!$E$3:$E$14,AH2789,"Cubic","Extrapolate=Linear","MultiX=Average","Skip=True","Sort=True")</f>
        <v>#N/A Invalid Parameter: Interpolation value</v>
      </c>
      <c r="AJ2789" s="43" t="str">
        <f ca="1"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28"/>
        <v>#REF!</v>
      </c>
      <c r="AI2790" s="43" t="str">
        <f ca="1">_xll.BInterpol('Base IPCA'!$C$3:$C$14,'Base IPCA'!$E$3:$E$14,AH2790,"Cubic","Extrapolate=Linear","MultiX=Average","Skip=True","Sort=True")</f>
        <v>#N/A Invalid Parameter: Interpolation value</v>
      </c>
      <c r="AJ2790" s="43" t="str">
        <f ca="1"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28"/>
        <v>#REF!</v>
      </c>
      <c r="AI2791" s="43" t="str">
        <f ca="1">_xll.BInterpol('Base IPCA'!$C$3:$C$14,'Base IPCA'!$E$3:$E$14,AH2791,"Cubic","Extrapolate=Linear","MultiX=Average","Skip=True","Sort=True")</f>
        <v>#N/A Invalid Parameter: Interpolation value</v>
      </c>
      <c r="AJ2791" s="43" t="str">
        <f ca="1"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28"/>
        <v>#REF!</v>
      </c>
      <c r="AI2792" s="43" t="str">
        <f ca="1">_xll.BInterpol('Base IPCA'!$C$3:$C$14,'Base IPCA'!$E$3:$E$14,AH2792,"Cubic","Extrapolate=Linear","MultiX=Average","Skip=True","Sort=True")</f>
        <v>#N/A Invalid Parameter: Interpolation value</v>
      </c>
      <c r="AJ2792" s="43" t="str">
        <f ca="1"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28"/>
        <v>#REF!</v>
      </c>
      <c r="AI2793" s="43" t="str">
        <f ca="1">_xll.BInterpol('Base IPCA'!$C$3:$C$14,'Base IPCA'!$E$3:$E$14,AH2793,"Cubic","Extrapolate=Linear","MultiX=Average","Skip=True","Sort=True")</f>
        <v>#N/A Invalid Parameter: Interpolation value</v>
      </c>
      <c r="AJ2793" s="43" t="str">
        <f ca="1"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28"/>
        <v>#REF!</v>
      </c>
      <c r="AI2794" s="43" t="str">
        <f ca="1">_xll.BInterpol('Base IPCA'!$C$3:$C$14,'Base IPCA'!$E$3:$E$14,AH2794,"Cubic","Extrapolate=Linear","MultiX=Average","Skip=True","Sort=True")</f>
        <v>#N/A Invalid Parameter: Interpolation value</v>
      </c>
      <c r="AJ2794" s="43" t="str">
        <f ca="1"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28"/>
        <v>#REF!</v>
      </c>
      <c r="AI2795" s="43" t="str">
        <f ca="1">_xll.BInterpol('Base IPCA'!$C$3:$C$14,'Base IPCA'!$E$3:$E$14,AH2795,"Cubic","Extrapolate=Linear","MultiX=Average","Skip=True","Sort=True")</f>
        <v>#N/A Invalid Parameter: Interpolation value</v>
      </c>
      <c r="AJ2795" s="43" t="str">
        <f ca="1"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28"/>
        <v>#REF!</v>
      </c>
      <c r="AI2796" s="43" t="str">
        <f ca="1">_xll.BInterpol('Base IPCA'!$C$3:$C$14,'Base IPCA'!$E$3:$E$14,AH2796,"Cubic","Extrapolate=Linear","MultiX=Average","Skip=True","Sort=True")</f>
        <v>#N/A Invalid Parameter: Interpolation value</v>
      </c>
      <c r="AJ2796" s="43" t="str">
        <f ca="1"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28"/>
        <v>#REF!</v>
      </c>
      <c r="AI2797" s="43" t="str">
        <f ca="1">_xll.BInterpol('Base IPCA'!$C$3:$C$14,'Base IPCA'!$E$3:$E$14,AH2797,"Cubic","Extrapolate=Linear","MultiX=Average","Skip=True","Sort=True")</f>
        <v>#N/A Invalid Parameter: Interpolation value</v>
      </c>
      <c r="AJ2797" s="43" t="str">
        <f ca="1"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28"/>
        <v>#REF!</v>
      </c>
      <c r="AI2798" s="43" t="str">
        <f ca="1">_xll.BInterpol('Base IPCA'!$C$3:$C$14,'Base IPCA'!$E$3:$E$14,AH2798,"Cubic","Extrapolate=Linear","MultiX=Average","Skip=True","Sort=True")</f>
        <v>#N/A Invalid Parameter: Interpolation value</v>
      </c>
      <c r="AJ2798" s="43" t="str">
        <f ca="1"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28"/>
        <v>#REF!</v>
      </c>
      <c r="AI2799" s="43" t="str">
        <f ca="1">_xll.BInterpol('Base IPCA'!$C$3:$C$14,'Base IPCA'!$E$3:$E$14,AH2799,"Cubic","Extrapolate=Linear","MultiX=Average","Skip=True","Sort=True")</f>
        <v>#N/A Invalid Parameter: Interpolation value</v>
      </c>
      <c r="AJ2799" s="43" t="str">
        <f ca="1"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28"/>
        <v>#REF!</v>
      </c>
      <c r="AI2800" s="43" t="str">
        <f ca="1">_xll.BInterpol('Base IPCA'!$C$3:$C$14,'Base IPCA'!$E$3:$E$14,AH2800,"Cubic","Extrapolate=Linear","MultiX=Average","Skip=True","Sort=True")</f>
        <v>#N/A Invalid Parameter: Interpolation value</v>
      </c>
      <c r="AJ2800" s="43" t="str">
        <f ca="1"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28"/>
        <v>#REF!</v>
      </c>
      <c r="AI2801" s="43" t="str">
        <f ca="1">_xll.BInterpol('Base IPCA'!$C$3:$C$14,'Base IPCA'!$E$3:$E$14,AH2801,"Cubic","Extrapolate=Linear","MultiX=Average","Skip=True","Sort=True")</f>
        <v>#N/A Invalid Parameter: Interpolation value</v>
      </c>
      <c r="AJ2801" s="43" t="str">
        <f ca="1"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28"/>
        <v>#REF!</v>
      </c>
      <c r="AI2802" s="43" t="str">
        <f ca="1">_xll.BInterpol('Base IPCA'!$C$3:$C$14,'Base IPCA'!$E$3:$E$14,AH2802,"Cubic","Extrapolate=Linear","MultiX=Average","Skip=True","Sort=True")</f>
        <v>#N/A Invalid Parameter: Interpolation value</v>
      </c>
      <c r="AJ2802" s="43" t="str">
        <f ca="1"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28"/>
        <v>#REF!</v>
      </c>
      <c r="AI2803" s="43" t="str">
        <f ca="1">_xll.BInterpol('Base IPCA'!$C$3:$C$14,'Base IPCA'!$E$3:$E$14,AH2803,"Cubic","Extrapolate=Linear","MultiX=Average","Skip=True","Sort=True")</f>
        <v>#N/A Invalid Parameter: Interpolation value</v>
      </c>
      <c r="AJ2803" s="43" t="str">
        <f ca="1"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28"/>
        <v>#REF!</v>
      </c>
      <c r="AI2804" s="43" t="str">
        <f ca="1">_xll.BInterpol('Base IPCA'!$C$3:$C$14,'Base IPCA'!$E$3:$E$14,AH2804,"Cubic","Extrapolate=Linear","MultiX=Average","Skip=True","Sort=True")</f>
        <v>#N/A Invalid Parameter: Interpolation value</v>
      </c>
      <c r="AJ2804" s="43" t="str">
        <f ca="1"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28"/>
        <v>#REF!</v>
      </c>
      <c r="AI2805" s="43" t="str">
        <f ca="1">_xll.BInterpol('Base IPCA'!$C$3:$C$14,'Base IPCA'!$E$3:$E$14,AH2805,"Cubic","Extrapolate=Linear","MultiX=Average","Skip=True","Sort=True")</f>
        <v>#N/A Invalid Parameter: Interpolation value</v>
      </c>
      <c r="AJ2805" s="43" t="str">
        <f ca="1"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28"/>
        <v>#REF!</v>
      </c>
      <c r="AI2806" s="43" t="str">
        <f ca="1">_xll.BInterpol('Base IPCA'!$C$3:$C$14,'Base IPCA'!$E$3:$E$14,AH2806,"Cubic","Extrapolate=Linear","MultiX=Average","Skip=True","Sort=True")</f>
        <v>#N/A Invalid Parameter: Interpolation value</v>
      </c>
      <c r="AJ2806" s="43" t="str">
        <f ca="1"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28"/>
        <v>#REF!</v>
      </c>
      <c r="AI2807" s="43" t="str">
        <f ca="1">_xll.BInterpol('Base IPCA'!$C$3:$C$14,'Base IPCA'!$E$3:$E$14,AH2807,"Cubic","Extrapolate=Linear","MultiX=Average","Skip=True","Sort=True")</f>
        <v>#N/A Invalid Parameter: Interpolation value</v>
      </c>
      <c r="AJ2807" s="43" t="str">
        <f ca="1"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28"/>
        <v>#REF!</v>
      </c>
      <c r="AI2808" s="43" t="str">
        <f ca="1">_xll.BInterpol('Base IPCA'!$C$3:$C$14,'Base IPCA'!$E$3:$E$14,AH2808,"Cubic","Extrapolate=Linear","MultiX=Average","Skip=True","Sort=True")</f>
        <v>#N/A Invalid Parameter: Interpolation value</v>
      </c>
      <c r="AJ2808" s="43" t="str">
        <f ca="1"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28"/>
        <v>#REF!</v>
      </c>
      <c r="AI2809" s="43" t="str">
        <f ca="1">_xll.BInterpol('Base IPCA'!$C$3:$C$14,'Base IPCA'!$E$3:$E$14,AH2809,"Cubic","Extrapolate=Linear","MultiX=Average","Skip=True","Sort=True")</f>
        <v>#N/A Invalid Parameter: Interpolation value</v>
      </c>
      <c r="AJ2809" s="43" t="str">
        <f ca="1"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28"/>
        <v>#REF!</v>
      </c>
      <c r="AI2810" s="43" t="str">
        <f ca="1">_xll.BInterpol('Base IPCA'!$C$3:$C$14,'Base IPCA'!$E$3:$E$14,AH2810,"Cubic","Extrapolate=Linear","MultiX=Average","Skip=True","Sort=True")</f>
        <v>#N/A Invalid Parameter: Interpolation value</v>
      </c>
      <c r="AJ2810" s="43" t="str">
        <f ca="1"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28"/>
        <v>#REF!</v>
      </c>
      <c r="AI2811" s="43" t="str">
        <f ca="1">_xll.BInterpol('Base IPCA'!$C$3:$C$14,'Base IPCA'!$E$3:$E$14,AH2811,"Cubic","Extrapolate=Linear","MultiX=Average","Skip=True","Sort=True")</f>
        <v>#N/A Invalid Parameter: Interpolation value</v>
      </c>
      <c r="AJ2811" s="43" t="str">
        <f ca="1"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28"/>
        <v>#REF!</v>
      </c>
      <c r="AI2812" s="43" t="str">
        <f ca="1">_xll.BInterpol('Base IPCA'!$C$3:$C$14,'Base IPCA'!$E$3:$E$14,AH2812,"Cubic","Extrapolate=Linear","MultiX=Average","Skip=True","Sort=True")</f>
        <v>#N/A Invalid Parameter: Interpolation value</v>
      </c>
      <c r="AJ2812" s="43" t="str">
        <f ca="1"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28"/>
        <v>#REF!</v>
      </c>
      <c r="AI2813" s="43" t="str">
        <f ca="1">_xll.BInterpol('Base IPCA'!$C$3:$C$14,'Base IPCA'!$E$3:$E$14,AH2813,"Cubic","Extrapolate=Linear","MultiX=Average","Skip=True","Sort=True")</f>
        <v>#N/A Invalid Parameter: Interpolation value</v>
      </c>
      <c r="AJ2813" s="43" t="str">
        <f ca="1"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28"/>
        <v>#REF!</v>
      </c>
      <c r="AI2814" s="43" t="str">
        <f ca="1">_xll.BInterpol('Base IPCA'!$C$3:$C$14,'Base IPCA'!$E$3:$E$14,AH2814,"Cubic","Extrapolate=Linear","MultiX=Average","Skip=True","Sort=True")</f>
        <v>#N/A Invalid Parameter: Interpolation value</v>
      </c>
      <c r="AJ2814" s="43" t="str">
        <f ca="1"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28"/>
        <v>#REF!</v>
      </c>
      <c r="AI2815" s="43" t="str">
        <f ca="1">_xll.BInterpol('Base IPCA'!$C$3:$C$14,'Base IPCA'!$E$3:$E$14,AH2815,"Cubic","Extrapolate=Linear","MultiX=Average","Skip=True","Sort=True")</f>
        <v>#N/A Invalid Parameter: Interpolation value</v>
      </c>
      <c r="AJ2815" s="43" t="str">
        <f ca="1"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28"/>
        <v>#REF!</v>
      </c>
      <c r="AI2816" s="43" t="str">
        <f ca="1">_xll.BInterpol('Base IPCA'!$C$3:$C$14,'Base IPCA'!$E$3:$E$14,AH2816,"Cubic","Extrapolate=Linear","MultiX=Average","Skip=True","Sort=True")</f>
        <v>#N/A Invalid Parameter: Interpolation value</v>
      </c>
      <c r="AJ2816" s="43" t="str">
        <f ca="1"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28"/>
        <v>#REF!</v>
      </c>
      <c r="AI2817" s="43" t="str">
        <f ca="1">_xll.BInterpol('Base IPCA'!$C$3:$C$14,'Base IPCA'!$E$3:$E$14,AH2817,"Cubic","Extrapolate=Linear","MultiX=Average","Skip=True","Sort=True")</f>
        <v>#N/A Invalid Parameter: Interpolation value</v>
      </c>
      <c r="AJ2817" s="43" t="str">
        <f ca="1"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28"/>
        <v>#REF!</v>
      </c>
      <c r="AI2818" s="43" t="str">
        <f ca="1">_xll.BInterpol('Base IPCA'!$C$3:$C$14,'Base IPCA'!$E$3:$E$14,AH2818,"Cubic","Extrapolate=Linear","MultiX=Average","Skip=True","Sort=True")</f>
        <v>#N/A Invalid Parameter: Interpolation value</v>
      </c>
      <c r="AJ2818" s="43" t="str">
        <f ca="1"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28"/>
        <v>#REF!</v>
      </c>
      <c r="AI2819" s="43" t="str">
        <f ca="1">_xll.BInterpol('Base IPCA'!$C$3:$C$14,'Base IPCA'!$E$3:$E$14,AH2819,"Cubic","Extrapolate=Linear","MultiX=Average","Skip=True","Sort=True")</f>
        <v>#N/A Invalid Parameter: Interpolation value</v>
      </c>
      <c r="AJ2819" s="43" t="str">
        <f ca="1"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28"/>
        <v>#REF!</v>
      </c>
      <c r="AI2820" s="43" t="str">
        <f ca="1">_xll.BInterpol('Base IPCA'!$C$3:$C$14,'Base IPCA'!$E$3:$E$14,AH2820,"Cubic","Extrapolate=Linear","MultiX=Average","Skip=True","Sort=True")</f>
        <v>#N/A Invalid Parameter: Interpolation value</v>
      </c>
      <c r="AJ2820" s="43" t="str">
        <f ca="1"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28"/>
        <v>#REF!</v>
      </c>
      <c r="AI2821" s="43" t="str">
        <f ca="1">_xll.BInterpol('Base IPCA'!$C$3:$C$14,'Base IPCA'!$E$3:$E$14,AH2821,"Cubic","Extrapolate=Linear","MultiX=Average","Skip=True","Sort=True")</f>
        <v>#N/A Invalid Parameter: Interpolation value</v>
      </c>
      <c r="AJ2821" s="43" t="str">
        <f ca="1"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29">AH2821+1</f>
        <v>#REF!</v>
      </c>
      <c r="AI2822" s="43" t="str">
        <f ca="1">_xll.BInterpol('Base IPCA'!$C$3:$C$14,'Base IPCA'!$E$3:$E$14,AH2822,"Cubic","Extrapolate=Linear","MultiX=Average","Skip=True","Sort=True")</f>
        <v>#N/A Invalid Parameter: Interpolation value</v>
      </c>
      <c r="AJ2822" s="43" t="str">
        <f ca="1"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29"/>
        <v>#REF!</v>
      </c>
      <c r="AI2823" s="43" t="str">
        <f ca="1">_xll.BInterpol('Base IPCA'!$C$3:$C$14,'Base IPCA'!$E$3:$E$14,AH2823,"Cubic","Extrapolate=Linear","MultiX=Average","Skip=True","Sort=True")</f>
        <v>#N/A Invalid Parameter: Interpolation value</v>
      </c>
      <c r="AJ2823" s="43" t="str">
        <f ca="1"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29"/>
        <v>#REF!</v>
      </c>
      <c r="AI2824" s="43" t="str">
        <f ca="1">_xll.BInterpol('Base IPCA'!$C$3:$C$14,'Base IPCA'!$E$3:$E$14,AH2824,"Cubic","Extrapolate=Linear","MultiX=Average","Skip=True","Sort=True")</f>
        <v>#N/A Invalid Parameter: Interpolation value</v>
      </c>
      <c r="AJ2824" s="43" t="str">
        <f ca="1"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29"/>
        <v>#REF!</v>
      </c>
      <c r="AI2825" s="43" t="str">
        <f ca="1">_xll.BInterpol('Base IPCA'!$C$3:$C$14,'Base IPCA'!$E$3:$E$14,AH2825,"Cubic","Extrapolate=Linear","MultiX=Average","Skip=True","Sort=True")</f>
        <v>#N/A Invalid Parameter: Interpolation value</v>
      </c>
      <c r="AJ2825" s="43" t="str">
        <f ca="1"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29"/>
        <v>#REF!</v>
      </c>
      <c r="AI2826" s="43" t="str">
        <f ca="1">_xll.BInterpol('Base IPCA'!$C$3:$C$14,'Base IPCA'!$E$3:$E$14,AH2826,"Cubic","Extrapolate=Linear","MultiX=Average","Skip=True","Sort=True")</f>
        <v>#N/A Invalid Parameter: Interpolation value</v>
      </c>
      <c r="AJ2826" s="43" t="str">
        <f ca="1"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29"/>
        <v>#REF!</v>
      </c>
      <c r="AI2827" s="43" t="str">
        <f ca="1">_xll.BInterpol('Base IPCA'!$C$3:$C$14,'Base IPCA'!$E$3:$E$14,AH2827,"Cubic","Extrapolate=Linear","MultiX=Average","Skip=True","Sort=True")</f>
        <v>#N/A Invalid Parameter: Interpolation value</v>
      </c>
      <c r="AJ2827" s="43" t="str">
        <f ca="1"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29"/>
        <v>#REF!</v>
      </c>
      <c r="AI2828" s="43" t="str">
        <f ca="1">_xll.BInterpol('Base IPCA'!$C$3:$C$14,'Base IPCA'!$E$3:$E$14,AH2828,"Cubic","Extrapolate=Linear","MultiX=Average","Skip=True","Sort=True")</f>
        <v>#N/A Invalid Parameter: Interpolation value</v>
      </c>
      <c r="AJ2828" s="43" t="str">
        <f ca="1"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29"/>
        <v>#REF!</v>
      </c>
      <c r="AI2829" s="43" t="str">
        <f ca="1">_xll.BInterpol('Base IPCA'!$C$3:$C$14,'Base IPCA'!$E$3:$E$14,AH2829,"Cubic","Extrapolate=Linear","MultiX=Average","Skip=True","Sort=True")</f>
        <v>#N/A Invalid Parameter: Interpolation value</v>
      </c>
      <c r="AJ2829" s="43" t="str">
        <f ca="1"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29"/>
        <v>#REF!</v>
      </c>
      <c r="AI2830" s="43" t="str">
        <f ca="1">_xll.BInterpol('Base IPCA'!$C$3:$C$14,'Base IPCA'!$E$3:$E$14,AH2830,"Cubic","Extrapolate=Linear","MultiX=Average","Skip=True","Sort=True")</f>
        <v>#N/A Invalid Parameter: Interpolation value</v>
      </c>
      <c r="AJ2830" s="43" t="str">
        <f ca="1"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29"/>
        <v>#REF!</v>
      </c>
      <c r="AI2831" s="43" t="str">
        <f ca="1">_xll.BInterpol('Base IPCA'!$C$3:$C$14,'Base IPCA'!$E$3:$E$14,AH2831,"Cubic","Extrapolate=Linear","MultiX=Average","Skip=True","Sort=True")</f>
        <v>#N/A Invalid Parameter: Interpolation value</v>
      </c>
      <c r="AJ2831" s="43" t="str">
        <f ca="1"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29"/>
        <v>#REF!</v>
      </c>
      <c r="AI2832" s="43" t="str">
        <f ca="1">_xll.BInterpol('Base IPCA'!$C$3:$C$14,'Base IPCA'!$E$3:$E$14,AH2832,"Cubic","Extrapolate=Linear","MultiX=Average","Skip=True","Sort=True")</f>
        <v>#N/A Invalid Parameter: Interpolation value</v>
      </c>
      <c r="AJ2832" s="43" t="str">
        <f ca="1"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29"/>
        <v>#REF!</v>
      </c>
      <c r="AI2833" s="43" t="str">
        <f ca="1">_xll.BInterpol('Base IPCA'!$C$3:$C$14,'Base IPCA'!$E$3:$E$14,AH2833,"Cubic","Extrapolate=Linear","MultiX=Average","Skip=True","Sort=True")</f>
        <v>#N/A Invalid Parameter: Interpolation value</v>
      </c>
      <c r="AJ2833" s="43" t="str">
        <f ca="1"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29"/>
        <v>#REF!</v>
      </c>
      <c r="AI2834" s="43" t="str">
        <f ca="1">_xll.BInterpol('Base IPCA'!$C$3:$C$14,'Base IPCA'!$E$3:$E$14,AH2834,"Cubic","Extrapolate=Linear","MultiX=Average","Skip=True","Sort=True")</f>
        <v>#N/A Invalid Parameter: Interpolation value</v>
      </c>
      <c r="AJ2834" s="43" t="str">
        <f ca="1"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29"/>
        <v>#REF!</v>
      </c>
      <c r="AI2835" s="43" t="str">
        <f ca="1">_xll.BInterpol('Base IPCA'!$C$3:$C$14,'Base IPCA'!$E$3:$E$14,AH2835,"Cubic","Extrapolate=Linear","MultiX=Average","Skip=True","Sort=True")</f>
        <v>#N/A Invalid Parameter: Interpolation value</v>
      </c>
      <c r="AJ2835" s="43" t="str">
        <f ca="1"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29"/>
        <v>#REF!</v>
      </c>
      <c r="AI2836" s="43" t="str">
        <f ca="1">_xll.BInterpol('Base IPCA'!$C$3:$C$14,'Base IPCA'!$E$3:$E$14,AH2836,"Cubic","Extrapolate=Linear","MultiX=Average","Skip=True","Sort=True")</f>
        <v>#N/A Invalid Parameter: Interpolation value</v>
      </c>
      <c r="AJ2836" s="43" t="str">
        <f ca="1"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29"/>
        <v>#REF!</v>
      </c>
      <c r="AI2837" s="43" t="str">
        <f ca="1">_xll.BInterpol('Base IPCA'!$C$3:$C$14,'Base IPCA'!$E$3:$E$14,AH2837,"Cubic","Extrapolate=Linear","MultiX=Average","Skip=True","Sort=True")</f>
        <v>#N/A Invalid Parameter: Interpolation value</v>
      </c>
      <c r="AJ2837" s="43" t="str">
        <f ca="1"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29"/>
        <v>#REF!</v>
      </c>
      <c r="AI2838" s="43" t="str">
        <f ca="1">_xll.BInterpol('Base IPCA'!$C$3:$C$14,'Base IPCA'!$E$3:$E$14,AH2838,"Cubic","Extrapolate=Linear","MultiX=Average","Skip=True","Sort=True")</f>
        <v>#N/A Invalid Parameter: Interpolation value</v>
      </c>
      <c r="AJ2838" s="43" t="str">
        <f ca="1"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29"/>
        <v>#REF!</v>
      </c>
      <c r="AI2839" s="43" t="str">
        <f ca="1">_xll.BInterpol('Base IPCA'!$C$3:$C$14,'Base IPCA'!$E$3:$E$14,AH2839,"Cubic","Extrapolate=Linear","MultiX=Average","Skip=True","Sort=True")</f>
        <v>#N/A Invalid Parameter: Interpolation value</v>
      </c>
      <c r="AJ2839" s="43" t="str">
        <f ca="1"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29"/>
        <v>#REF!</v>
      </c>
      <c r="AI2840" s="43" t="str">
        <f ca="1">_xll.BInterpol('Base IPCA'!$C$3:$C$14,'Base IPCA'!$E$3:$E$14,AH2840,"Cubic","Extrapolate=Linear","MultiX=Average","Skip=True","Sort=True")</f>
        <v>#N/A Invalid Parameter: Interpolation value</v>
      </c>
      <c r="AJ2840" s="43" t="str">
        <f ca="1"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29"/>
        <v>#REF!</v>
      </c>
      <c r="AI2841" s="43" t="str">
        <f ca="1">_xll.BInterpol('Base IPCA'!$C$3:$C$14,'Base IPCA'!$E$3:$E$14,AH2841,"Cubic","Extrapolate=Linear","MultiX=Average","Skip=True","Sort=True")</f>
        <v>#N/A Invalid Parameter: Interpolation value</v>
      </c>
      <c r="AJ2841" s="43" t="str">
        <f ca="1"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29"/>
        <v>#REF!</v>
      </c>
      <c r="AI2842" s="43" t="str">
        <f ca="1">_xll.BInterpol('Base IPCA'!$C$3:$C$14,'Base IPCA'!$E$3:$E$14,AH2842,"Cubic","Extrapolate=Linear","MultiX=Average","Skip=True","Sort=True")</f>
        <v>#N/A Invalid Parameter: Interpolation value</v>
      </c>
      <c r="AJ2842" s="43" t="str">
        <f ca="1"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29"/>
        <v>#REF!</v>
      </c>
      <c r="AI2843" s="43" t="str">
        <f ca="1">_xll.BInterpol('Base IPCA'!$C$3:$C$14,'Base IPCA'!$E$3:$E$14,AH2843,"Cubic","Extrapolate=Linear","MultiX=Average","Skip=True","Sort=True")</f>
        <v>#N/A Invalid Parameter: Interpolation value</v>
      </c>
      <c r="AJ2843" s="43" t="str">
        <f ca="1"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29"/>
        <v>#REF!</v>
      </c>
      <c r="AI2844" s="43" t="str">
        <f ca="1">_xll.BInterpol('Base IPCA'!$C$3:$C$14,'Base IPCA'!$E$3:$E$14,AH2844,"Cubic","Extrapolate=Linear","MultiX=Average","Skip=True","Sort=True")</f>
        <v>#N/A Invalid Parameter: Interpolation value</v>
      </c>
      <c r="AJ2844" s="43" t="str">
        <f ca="1"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29"/>
        <v>#REF!</v>
      </c>
      <c r="AI2845" s="43" t="str">
        <f ca="1">_xll.BInterpol('Base IPCA'!$C$3:$C$14,'Base IPCA'!$E$3:$E$14,AH2845,"Cubic","Extrapolate=Linear","MultiX=Average","Skip=True","Sort=True")</f>
        <v>#N/A Invalid Parameter: Interpolation value</v>
      </c>
      <c r="AJ2845" s="43" t="str">
        <f ca="1"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29"/>
        <v>#REF!</v>
      </c>
      <c r="AI2846" s="43" t="str">
        <f ca="1">_xll.BInterpol('Base IPCA'!$C$3:$C$14,'Base IPCA'!$E$3:$E$14,AH2846,"Cubic","Extrapolate=Linear","MultiX=Average","Skip=True","Sort=True")</f>
        <v>#N/A Invalid Parameter: Interpolation value</v>
      </c>
      <c r="AJ2846" s="43" t="str">
        <f ca="1"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29"/>
        <v>#REF!</v>
      </c>
      <c r="AI2847" s="43" t="str">
        <f ca="1">_xll.BInterpol('Base IPCA'!$C$3:$C$14,'Base IPCA'!$E$3:$E$14,AH2847,"Cubic","Extrapolate=Linear","MultiX=Average","Skip=True","Sort=True")</f>
        <v>#N/A Invalid Parameter: Interpolation value</v>
      </c>
      <c r="AJ2847" s="43" t="str">
        <f ca="1"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29"/>
        <v>#REF!</v>
      </c>
      <c r="AI2848" s="43" t="str">
        <f ca="1">_xll.BInterpol('Base IPCA'!$C$3:$C$14,'Base IPCA'!$E$3:$E$14,AH2848,"Cubic","Extrapolate=Linear","MultiX=Average","Skip=True","Sort=True")</f>
        <v>#N/A Invalid Parameter: Interpolation value</v>
      </c>
      <c r="AJ2848" s="43" t="str">
        <f ca="1"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29"/>
        <v>#REF!</v>
      </c>
      <c r="AI2849" s="43" t="str">
        <f ca="1">_xll.BInterpol('Base IPCA'!$C$3:$C$14,'Base IPCA'!$E$3:$E$14,AH2849,"Cubic","Extrapolate=Linear","MultiX=Average","Skip=True","Sort=True")</f>
        <v>#N/A Invalid Parameter: Interpolation value</v>
      </c>
      <c r="AJ2849" s="43" t="str">
        <f ca="1"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29"/>
        <v>#REF!</v>
      </c>
      <c r="AI2850" s="43" t="str">
        <f ca="1">_xll.BInterpol('Base IPCA'!$C$3:$C$14,'Base IPCA'!$E$3:$E$14,AH2850,"Cubic","Extrapolate=Linear","MultiX=Average","Skip=True","Sort=True")</f>
        <v>#N/A Invalid Parameter: Interpolation value</v>
      </c>
      <c r="AJ2850" s="43" t="str">
        <f ca="1"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29"/>
        <v>#REF!</v>
      </c>
      <c r="AI2851" s="43" t="str">
        <f ca="1">_xll.BInterpol('Base IPCA'!$C$3:$C$14,'Base IPCA'!$E$3:$E$14,AH2851,"Cubic","Extrapolate=Linear","MultiX=Average","Skip=True","Sort=True")</f>
        <v>#N/A Invalid Parameter: Interpolation value</v>
      </c>
      <c r="AJ2851" s="43" t="str">
        <f ca="1"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29"/>
        <v>#REF!</v>
      </c>
      <c r="AI2852" s="43" t="str">
        <f ca="1">_xll.BInterpol('Base IPCA'!$C$3:$C$14,'Base IPCA'!$E$3:$E$14,AH2852,"Cubic","Extrapolate=Linear","MultiX=Average","Skip=True","Sort=True")</f>
        <v>#N/A Invalid Parameter: Interpolation value</v>
      </c>
      <c r="AJ2852" s="43" t="str">
        <f ca="1"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29"/>
        <v>#REF!</v>
      </c>
      <c r="AI2853" s="43" t="str">
        <f ca="1">_xll.BInterpol('Base IPCA'!$C$3:$C$14,'Base IPCA'!$E$3:$E$14,AH2853,"Cubic","Extrapolate=Linear","MultiX=Average","Skip=True","Sort=True")</f>
        <v>#N/A Invalid Parameter: Interpolation value</v>
      </c>
      <c r="AJ2853" s="43" t="str">
        <f ca="1"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29"/>
        <v>#REF!</v>
      </c>
      <c r="AI2854" s="43" t="str">
        <f ca="1">_xll.BInterpol('Base IPCA'!$C$3:$C$14,'Base IPCA'!$E$3:$E$14,AH2854,"Cubic","Extrapolate=Linear","MultiX=Average","Skip=True","Sort=True")</f>
        <v>#N/A Invalid Parameter: Interpolation value</v>
      </c>
      <c r="AJ2854" s="43" t="str">
        <f ca="1"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29"/>
        <v>#REF!</v>
      </c>
      <c r="AI2855" s="43" t="str">
        <f ca="1">_xll.BInterpol('Base IPCA'!$C$3:$C$14,'Base IPCA'!$E$3:$E$14,AH2855,"Cubic","Extrapolate=Linear","MultiX=Average","Skip=True","Sort=True")</f>
        <v>#N/A Invalid Parameter: Interpolation value</v>
      </c>
      <c r="AJ2855" s="43" t="str">
        <f ca="1"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29"/>
        <v>#REF!</v>
      </c>
      <c r="AI2856" s="43" t="str">
        <f ca="1">_xll.BInterpol('Base IPCA'!$C$3:$C$14,'Base IPCA'!$E$3:$E$14,AH2856,"Cubic","Extrapolate=Linear","MultiX=Average","Skip=True","Sort=True")</f>
        <v>#N/A Invalid Parameter: Interpolation value</v>
      </c>
      <c r="AJ2856" s="43" t="str">
        <f ca="1"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29"/>
        <v>#REF!</v>
      </c>
      <c r="AI2857" s="43" t="str">
        <f ca="1">_xll.BInterpol('Base IPCA'!$C$3:$C$14,'Base IPCA'!$E$3:$E$14,AH2857,"Cubic","Extrapolate=Linear","MultiX=Average","Skip=True","Sort=True")</f>
        <v>#N/A Invalid Parameter: Interpolation value</v>
      </c>
      <c r="AJ2857" s="43" t="str">
        <f ca="1"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29"/>
        <v>#REF!</v>
      </c>
      <c r="AI2858" s="43" t="str">
        <f ca="1">_xll.BInterpol('Base IPCA'!$C$3:$C$14,'Base IPCA'!$E$3:$E$14,AH2858,"Cubic","Extrapolate=Linear","MultiX=Average","Skip=True","Sort=True")</f>
        <v>#N/A Invalid Parameter: Interpolation value</v>
      </c>
      <c r="AJ2858" s="43" t="str">
        <f ca="1"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29"/>
        <v>#REF!</v>
      </c>
      <c r="AI2859" s="43" t="str">
        <f ca="1">_xll.BInterpol('Base IPCA'!$C$3:$C$14,'Base IPCA'!$E$3:$E$14,AH2859,"Cubic","Extrapolate=Linear","MultiX=Average","Skip=True","Sort=True")</f>
        <v>#N/A Invalid Parameter: Interpolation value</v>
      </c>
      <c r="AJ2859" s="43" t="str">
        <f ca="1"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29"/>
        <v>#REF!</v>
      </c>
      <c r="AI2860" s="43" t="str">
        <f ca="1">_xll.BInterpol('Base IPCA'!$C$3:$C$14,'Base IPCA'!$E$3:$E$14,AH2860,"Cubic","Extrapolate=Linear","MultiX=Average","Skip=True","Sort=True")</f>
        <v>#N/A Invalid Parameter: Interpolation value</v>
      </c>
      <c r="AJ2860" s="43" t="str">
        <f ca="1"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29"/>
        <v>#REF!</v>
      </c>
      <c r="AI2861" s="43" t="str">
        <f ca="1">_xll.BInterpol('Base IPCA'!$C$3:$C$14,'Base IPCA'!$E$3:$E$14,AH2861,"Cubic","Extrapolate=Linear","MultiX=Average","Skip=True","Sort=True")</f>
        <v>#N/A Invalid Parameter: Interpolation value</v>
      </c>
      <c r="AJ2861" s="43" t="str">
        <f ca="1"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29"/>
        <v>#REF!</v>
      </c>
      <c r="AI2862" s="43" t="str">
        <f ca="1">_xll.BInterpol('Base IPCA'!$C$3:$C$14,'Base IPCA'!$E$3:$E$14,AH2862,"Cubic","Extrapolate=Linear","MultiX=Average","Skip=True","Sort=True")</f>
        <v>#N/A Invalid Parameter: Interpolation value</v>
      </c>
      <c r="AJ2862" s="43" t="str">
        <f ca="1"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29"/>
        <v>#REF!</v>
      </c>
      <c r="AI2863" s="43" t="str">
        <f ca="1">_xll.BInterpol('Base IPCA'!$C$3:$C$14,'Base IPCA'!$E$3:$E$14,AH2863,"Cubic","Extrapolate=Linear","MultiX=Average","Skip=True","Sort=True")</f>
        <v>#N/A Invalid Parameter: Interpolation value</v>
      </c>
      <c r="AJ2863" s="43" t="str">
        <f ca="1"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29"/>
        <v>#REF!</v>
      </c>
      <c r="AI2864" s="43" t="str">
        <f ca="1">_xll.BInterpol('Base IPCA'!$C$3:$C$14,'Base IPCA'!$E$3:$E$14,AH2864,"Cubic","Extrapolate=Linear","MultiX=Average","Skip=True","Sort=True")</f>
        <v>#N/A Invalid Parameter: Interpolation value</v>
      </c>
      <c r="AJ2864" s="43" t="str">
        <f ca="1"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29"/>
        <v>#REF!</v>
      </c>
      <c r="AI2865" s="43" t="str">
        <f ca="1">_xll.BInterpol('Base IPCA'!$C$3:$C$14,'Base IPCA'!$E$3:$E$14,AH2865,"Cubic","Extrapolate=Linear","MultiX=Average","Skip=True","Sort=True")</f>
        <v>#N/A Invalid Parameter: Interpolation value</v>
      </c>
      <c r="AJ2865" s="43" t="str">
        <f ca="1"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29"/>
        <v>#REF!</v>
      </c>
      <c r="AI2866" s="43" t="str">
        <f ca="1">_xll.BInterpol('Base IPCA'!$C$3:$C$14,'Base IPCA'!$E$3:$E$14,AH2866,"Cubic","Extrapolate=Linear","MultiX=Average","Skip=True","Sort=True")</f>
        <v>#N/A Invalid Parameter: Interpolation value</v>
      </c>
      <c r="AJ2866" s="43" t="str">
        <f ca="1"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29"/>
        <v>#REF!</v>
      </c>
      <c r="AI2867" s="43" t="str">
        <f ca="1">_xll.BInterpol('Base IPCA'!$C$3:$C$14,'Base IPCA'!$E$3:$E$14,AH2867,"Cubic","Extrapolate=Linear","MultiX=Average","Skip=True","Sort=True")</f>
        <v>#N/A Invalid Parameter: Interpolation value</v>
      </c>
      <c r="AJ2867" s="43" t="str">
        <f ca="1"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29"/>
        <v>#REF!</v>
      </c>
      <c r="AI2868" s="43" t="str">
        <f ca="1">_xll.BInterpol('Base IPCA'!$C$3:$C$14,'Base IPCA'!$E$3:$E$14,AH2868,"Cubic","Extrapolate=Linear","MultiX=Average","Skip=True","Sort=True")</f>
        <v>#N/A Invalid Parameter: Interpolation value</v>
      </c>
      <c r="AJ2868" s="43" t="str">
        <f ca="1"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29"/>
        <v>#REF!</v>
      </c>
      <c r="AI2869" s="43" t="str">
        <f ca="1">_xll.BInterpol('Base IPCA'!$C$3:$C$14,'Base IPCA'!$E$3:$E$14,AH2869,"Cubic","Extrapolate=Linear","MultiX=Average","Skip=True","Sort=True")</f>
        <v>#N/A Invalid Parameter: Interpolation value</v>
      </c>
      <c r="AJ2869" s="43" t="str">
        <f ca="1"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29"/>
        <v>#REF!</v>
      </c>
      <c r="AI2870" s="43" t="str">
        <f ca="1">_xll.BInterpol('Base IPCA'!$C$3:$C$14,'Base IPCA'!$E$3:$E$14,AH2870,"Cubic","Extrapolate=Linear","MultiX=Average","Skip=True","Sort=True")</f>
        <v>#N/A Invalid Parameter: Interpolation value</v>
      </c>
      <c r="AJ2870" s="43" t="str">
        <f ca="1"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29"/>
        <v>#REF!</v>
      </c>
      <c r="AI2871" s="43" t="str">
        <f ca="1">_xll.BInterpol('Base IPCA'!$C$3:$C$14,'Base IPCA'!$E$3:$E$14,AH2871,"Cubic","Extrapolate=Linear","MultiX=Average","Skip=True","Sort=True")</f>
        <v>#N/A Invalid Parameter: Interpolation value</v>
      </c>
      <c r="AJ2871" s="43" t="str">
        <f ca="1"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29"/>
        <v>#REF!</v>
      </c>
      <c r="AI2872" s="43" t="str">
        <f ca="1">_xll.BInterpol('Base IPCA'!$C$3:$C$14,'Base IPCA'!$E$3:$E$14,AH2872,"Cubic","Extrapolate=Linear","MultiX=Average","Skip=True","Sort=True")</f>
        <v>#N/A Invalid Parameter: Interpolation value</v>
      </c>
      <c r="AJ2872" s="43" t="str">
        <f ca="1"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29"/>
        <v>#REF!</v>
      </c>
      <c r="AI2873" s="43" t="str">
        <f ca="1">_xll.BInterpol('Base IPCA'!$C$3:$C$14,'Base IPCA'!$E$3:$E$14,AH2873,"Cubic","Extrapolate=Linear","MultiX=Average","Skip=True","Sort=True")</f>
        <v>#N/A Invalid Parameter: Interpolation value</v>
      </c>
      <c r="AJ2873" s="43" t="str">
        <f ca="1"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29"/>
        <v>#REF!</v>
      </c>
      <c r="AI2874" s="43" t="str">
        <f ca="1">_xll.BInterpol('Base IPCA'!$C$3:$C$14,'Base IPCA'!$E$3:$E$14,AH2874,"Cubic","Extrapolate=Linear","MultiX=Average","Skip=True","Sort=True")</f>
        <v>#N/A Invalid Parameter: Interpolation value</v>
      </c>
      <c r="AJ2874" s="43" t="str">
        <f ca="1"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29"/>
        <v>#REF!</v>
      </c>
      <c r="AI2875" s="43" t="str">
        <f ca="1">_xll.BInterpol('Base IPCA'!$C$3:$C$14,'Base IPCA'!$E$3:$E$14,AH2875,"Cubic","Extrapolate=Linear","MultiX=Average","Skip=True","Sort=True")</f>
        <v>#N/A Invalid Parameter: Interpolation value</v>
      </c>
      <c r="AJ2875" s="43" t="str">
        <f ca="1"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29"/>
        <v>#REF!</v>
      </c>
      <c r="AI2876" s="43" t="str">
        <f ca="1">_xll.BInterpol('Base IPCA'!$C$3:$C$14,'Base IPCA'!$E$3:$E$14,AH2876,"Cubic","Extrapolate=Linear","MultiX=Average","Skip=True","Sort=True")</f>
        <v>#N/A Invalid Parameter: Interpolation value</v>
      </c>
      <c r="AJ2876" s="43" t="str">
        <f ca="1"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29"/>
        <v>#REF!</v>
      </c>
      <c r="AI2877" s="43" t="str">
        <f ca="1">_xll.BInterpol('Base IPCA'!$C$3:$C$14,'Base IPCA'!$E$3:$E$14,AH2877,"Cubic","Extrapolate=Linear","MultiX=Average","Skip=True","Sort=True")</f>
        <v>#N/A Invalid Parameter: Interpolation value</v>
      </c>
      <c r="AJ2877" s="43" t="str">
        <f ca="1"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29"/>
        <v>#REF!</v>
      </c>
      <c r="AI2878" s="43" t="str">
        <f ca="1">_xll.BInterpol('Base IPCA'!$C$3:$C$14,'Base IPCA'!$E$3:$E$14,AH2878,"Cubic","Extrapolate=Linear","MultiX=Average","Skip=True","Sort=True")</f>
        <v>#N/A Invalid Parameter: Interpolation value</v>
      </c>
      <c r="AJ2878" s="43" t="str">
        <f ca="1"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29"/>
        <v>#REF!</v>
      </c>
      <c r="AI2879" s="43" t="str">
        <f ca="1">_xll.BInterpol('Base IPCA'!$C$3:$C$14,'Base IPCA'!$E$3:$E$14,AH2879,"Cubic","Extrapolate=Linear","MultiX=Average","Skip=True","Sort=True")</f>
        <v>#N/A Invalid Parameter: Interpolation value</v>
      </c>
      <c r="AJ2879" s="43" t="str">
        <f ca="1"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29"/>
        <v>#REF!</v>
      </c>
      <c r="AI2880" s="43" t="str">
        <f ca="1">_xll.BInterpol('Base IPCA'!$C$3:$C$14,'Base IPCA'!$E$3:$E$14,AH2880,"Cubic","Extrapolate=Linear","MultiX=Average","Skip=True","Sort=True")</f>
        <v>#N/A Invalid Parameter: Interpolation value</v>
      </c>
      <c r="AJ2880" s="43" t="str">
        <f ca="1"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29"/>
        <v>#REF!</v>
      </c>
      <c r="AI2881" s="43" t="str">
        <f ca="1">_xll.BInterpol('Base IPCA'!$C$3:$C$14,'Base IPCA'!$E$3:$E$14,AH2881,"Cubic","Extrapolate=Linear","MultiX=Average","Skip=True","Sort=True")</f>
        <v>#N/A Invalid Parameter: Interpolation value</v>
      </c>
      <c r="AJ2881" s="43" t="str">
        <f ca="1"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29"/>
        <v>#REF!</v>
      </c>
      <c r="AI2882" s="43" t="str">
        <f ca="1">_xll.BInterpol('Base IPCA'!$C$3:$C$14,'Base IPCA'!$E$3:$E$14,AH2882,"Cubic","Extrapolate=Linear","MultiX=Average","Skip=True","Sort=True")</f>
        <v>#N/A Invalid Parameter: Interpolation value</v>
      </c>
      <c r="AJ2882" s="43" t="str">
        <f ca="1"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29"/>
        <v>#REF!</v>
      </c>
      <c r="AI2883" s="43" t="str">
        <f ca="1">_xll.BInterpol('Base IPCA'!$C$3:$C$14,'Base IPCA'!$E$3:$E$14,AH2883,"Cubic","Extrapolate=Linear","MultiX=Average","Skip=True","Sort=True")</f>
        <v>#N/A Invalid Parameter: Interpolation value</v>
      </c>
      <c r="AJ2883" s="43" t="str">
        <f ca="1"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29"/>
        <v>#REF!</v>
      </c>
      <c r="AI2884" s="43" t="str">
        <f ca="1">_xll.BInterpol('Base IPCA'!$C$3:$C$14,'Base IPCA'!$E$3:$E$14,AH2884,"Cubic","Extrapolate=Linear","MultiX=Average","Skip=True","Sort=True")</f>
        <v>#N/A Invalid Parameter: Interpolation value</v>
      </c>
      <c r="AJ2884" s="43" t="str">
        <f ca="1"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29"/>
        <v>#REF!</v>
      </c>
      <c r="AI2885" s="43" t="str">
        <f ca="1">_xll.BInterpol('Base IPCA'!$C$3:$C$14,'Base IPCA'!$E$3:$E$14,AH2885,"Cubic","Extrapolate=Linear","MultiX=Average","Skip=True","Sort=True")</f>
        <v>#N/A Invalid Parameter: Interpolation value</v>
      </c>
      <c r="AJ2885" s="43" t="str">
        <f ca="1"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0">AH2885+1</f>
        <v>#REF!</v>
      </c>
      <c r="AI2886" s="43" t="str">
        <f ca="1">_xll.BInterpol('Base IPCA'!$C$3:$C$14,'Base IPCA'!$E$3:$E$14,AH2886,"Cubic","Extrapolate=Linear","MultiX=Average","Skip=True","Sort=True")</f>
        <v>#N/A Invalid Parameter: Interpolation value</v>
      </c>
      <c r="AJ2886" s="43" t="str">
        <f ca="1"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0"/>
        <v>#REF!</v>
      </c>
      <c r="AI2887" s="43" t="str">
        <f ca="1">_xll.BInterpol('Base IPCA'!$C$3:$C$14,'Base IPCA'!$E$3:$E$14,AH2887,"Cubic","Extrapolate=Linear","MultiX=Average","Skip=True","Sort=True")</f>
        <v>#N/A Invalid Parameter: Interpolation value</v>
      </c>
      <c r="AJ2887" s="43" t="str">
        <f ca="1"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0"/>
        <v>#REF!</v>
      </c>
      <c r="AI2888" s="43" t="str">
        <f ca="1">_xll.BInterpol('Base IPCA'!$C$3:$C$14,'Base IPCA'!$E$3:$E$14,AH2888,"Cubic","Extrapolate=Linear","MultiX=Average","Skip=True","Sort=True")</f>
        <v>#N/A Invalid Parameter: Interpolation value</v>
      </c>
      <c r="AJ2888" s="43" t="str">
        <f ca="1"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0"/>
        <v>#REF!</v>
      </c>
      <c r="AI2889" s="43" t="str">
        <f ca="1">_xll.BInterpol('Base IPCA'!$C$3:$C$14,'Base IPCA'!$E$3:$E$14,AH2889,"Cubic","Extrapolate=Linear","MultiX=Average","Skip=True","Sort=True")</f>
        <v>#N/A Invalid Parameter: Interpolation value</v>
      </c>
      <c r="AJ2889" s="43" t="str">
        <f ca="1"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0"/>
        <v>#REF!</v>
      </c>
      <c r="AI2890" s="43" t="str">
        <f ca="1">_xll.BInterpol('Base IPCA'!$C$3:$C$14,'Base IPCA'!$E$3:$E$14,AH2890,"Cubic","Extrapolate=Linear","MultiX=Average","Skip=True","Sort=True")</f>
        <v>#N/A Invalid Parameter: Interpolation value</v>
      </c>
      <c r="AJ2890" s="43" t="str">
        <f ca="1"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0"/>
        <v>#REF!</v>
      </c>
      <c r="AI2891" s="43" t="str">
        <f ca="1">_xll.BInterpol('Base IPCA'!$C$3:$C$14,'Base IPCA'!$E$3:$E$14,AH2891,"Cubic","Extrapolate=Linear","MultiX=Average","Skip=True","Sort=True")</f>
        <v>#N/A Invalid Parameter: Interpolation value</v>
      </c>
      <c r="AJ2891" s="43" t="str">
        <f ca="1"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0"/>
        <v>#REF!</v>
      </c>
      <c r="AI2892" s="43" t="str">
        <f ca="1">_xll.BInterpol('Base IPCA'!$C$3:$C$14,'Base IPCA'!$E$3:$E$14,AH2892,"Cubic","Extrapolate=Linear","MultiX=Average","Skip=True","Sort=True")</f>
        <v>#N/A Invalid Parameter: Interpolation value</v>
      </c>
      <c r="AJ2892" s="43" t="str">
        <f ca="1"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0"/>
        <v>#REF!</v>
      </c>
      <c r="AI2893" s="43" t="str">
        <f ca="1">_xll.BInterpol('Base IPCA'!$C$3:$C$14,'Base IPCA'!$E$3:$E$14,AH2893,"Cubic","Extrapolate=Linear","MultiX=Average","Skip=True","Sort=True")</f>
        <v>#N/A Invalid Parameter: Interpolation value</v>
      </c>
      <c r="AJ2893" s="43" t="str">
        <f ca="1"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0"/>
        <v>#REF!</v>
      </c>
      <c r="AI2894" s="43" t="str">
        <f ca="1">_xll.BInterpol('Base IPCA'!$C$3:$C$14,'Base IPCA'!$E$3:$E$14,AH2894,"Cubic","Extrapolate=Linear","MultiX=Average","Skip=True","Sort=True")</f>
        <v>#N/A Invalid Parameter: Interpolation value</v>
      </c>
      <c r="AJ2894" s="43" t="str">
        <f ca="1"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0"/>
        <v>#REF!</v>
      </c>
      <c r="AI2895" s="43" t="str">
        <f ca="1">_xll.BInterpol('Base IPCA'!$C$3:$C$14,'Base IPCA'!$E$3:$E$14,AH2895,"Cubic","Extrapolate=Linear","MultiX=Average","Skip=True","Sort=True")</f>
        <v>#N/A Invalid Parameter: Interpolation value</v>
      </c>
      <c r="AJ2895" s="43" t="str">
        <f ca="1"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0"/>
        <v>#REF!</v>
      </c>
      <c r="AI2896" s="43" t="str">
        <f ca="1">_xll.BInterpol('Base IPCA'!$C$3:$C$14,'Base IPCA'!$E$3:$E$14,AH2896,"Cubic","Extrapolate=Linear","MultiX=Average","Skip=True","Sort=True")</f>
        <v>#N/A Invalid Parameter: Interpolation value</v>
      </c>
      <c r="AJ2896" s="43" t="str">
        <f ca="1"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0"/>
        <v>#REF!</v>
      </c>
      <c r="AI2897" s="43" t="str">
        <f ca="1">_xll.BInterpol('Base IPCA'!$C$3:$C$14,'Base IPCA'!$E$3:$E$14,AH2897,"Cubic","Extrapolate=Linear","MultiX=Average","Skip=True","Sort=True")</f>
        <v>#N/A Invalid Parameter: Interpolation value</v>
      </c>
      <c r="AJ2897" s="43" t="str">
        <f ca="1"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0"/>
        <v>#REF!</v>
      </c>
      <c r="AI2898" s="43" t="str">
        <f ca="1">_xll.BInterpol('Base IPCA'!$C$3:$C$14,'Base IPCA'!$E$3:$E$14,AH2898,"Cubic","Extrapolate=Linear","MultiX=Average","Skip=True","Sort=True")</f>
        <v>#N/A Invalid Parameter: Interpolation value</v>
      </c>
      <c r="AJ2898" s="43" t="str">
        <f ca="1"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0"/>
        <v>#REF!</v>
      </c>
      <c r="AI2899" s="43" t="str">
        <f ca="1">_xll.BInterpol('Base IPCA'!$C$3:$C$14,'Base IPCA'!$E$3:$E$14,AH2899,"Cubic","Extrapolate=Linear","MultiX=Average","Skip=True","Sort=True")</f>
        <v>#N/A Invalid Parameter: Interpolation value</v>
      </c>
      <c r="AJ2899" s="43" t="str">
        <f ca="1"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0"/>
        <v>#REF!</v>
      </c>
      <c r="AI2900" s="43" t="str">
        <f ca="1">_xll.BInterpol('Base IPCA'!$C$3:$C$14,'Base IPCA'!$E$3:$E$14,AH2900,"Cubic","Extrapolate=Linear","MultiX=Average","Skip=True","Sort=True")</f>
        <v>#N/A Invalid Parameter: Interpolation value</v>
      </c>
      <c r="AJ2900" s="43" t="str">
        <f ca="1"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0"/>
        <v>#REF!</v>
      </c>
      <c r="AI2901" s="43" t="str">
        <f ca="1">_xll.BInterpol('Base IPCA'!$C$3:$C$14,'Base IPCA'!$E$3:$E$14,AH2901,"Cubic","Extrapolate=Linear","MultiX=Average","Skip=True","Sort=True")</f>
        <v>#N/A Invalid Parameter: Interpolation value</v>
      </c>
      <c r="AJ2901" s="43" t="str">
        <f ca="1"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0"/>
        <v>#REF!</v>
      </c>
      <c r="AI2902" s="43" t="str">
        <f ca="1">_xll.BInterpol('Base IPCA'!$C$3:$C$14,'Base IPCA'!$E$3:$E$14,AH2902,"Cubic","Extrapolate=Linear","MultiX=Average","Skip=True","Sort=True")</f>
        <v>#N/A Invalid Parameter: Interpolation value</v>
      </c>
      <c r="AJ2902" s="43" t="str">
        <f ca="1"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0"/>
        <v>#REF!</v>
      </c>
      <c r="AI2903" s="43" t="str">
        <f ca="1">_xll.BInterpol('Base IPCA'!$C$3:$C$14,'Base IPCA'!$E$3:$E$14,AH2903,"Cubic","Extrapolate=Linear","MultiX=Average","Skip=True","Sort=True")</f>
        <v>#N/A Invalid Parameter: Interpolation value</v>
      </c>
      <c r="AJ2903" s="43" t="str">
        <f ca="1"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0"/>
        <v>#REF!</v>
      </c>
      <c r="AI2904" s="43" t="str">
        <f ca="1">_xll.BInterpol('Base IPCA'!$C$3:$C$14,'Base IPCA'!$E$3:$E$14,AH2904,"Cubic","Extrapolate=Linear","MultiX=Average","Skip=True","Sort=True")</f>
        <v>#N/A Invalid Parameter: Interpolation value</v>
      </c>
      <c r="AJ2904" s="43" t="str">
        <f ca="1"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0"/>
        <v>#REF!</v>
      </c>
      <c r="AI2905" s="43" t="str">
        <f ca="1">_xll.BInterpol('Base IPCA'!$C$3:$C$14,'Base IPCA'!$E$3:$E$14,AH2905,"Cubic","Extrapolate=Linear","MultiX=Average","Skip=True","Sort=True")</f>
        <v>#N/A Invalid Parameter: Interpolation value</v>
      </c>
      <c r="AJ2905" s="43" t="str">
        <f ca="1"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0"/>
        <v>#REF!</v>
      </c>
      <c r="AI2906" s="43" t="str">
        <f ca="1">_xll.BInterpol('Base IPCA'!$C$3:$C$14,'Base IPCA'!$E$3:$E$14,AH2906,"Cubic","Extrapolate=Linear","MultiX=Average","Skip=True","Sort=True")</f>
        <v>#N/A Invalid Parameter: Interpolation value</v>
      </c>
      <c r="AJ2906" s="43" t="str">
        <f ca="1"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0"/>
        <v>#REF!</v>
      </c>
      <c r="AI2907" s="43" t="str">
        <f ca="1">_xll.BInterpol('Base IPCA'!$C$3:$C$14,'Base IPCA'!$E$3:$E$14,AH2907,"Cubic","Extrapolate=Linear","MultiX=Average","Skip=True","Sort=True")</f>
        <v>#N/A Invalid Parameter: Interpolation value</v>
      </c>
      <c r="AJ2907" s="43" t="str">
        <f ca="1"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0"/>
        <v>#REF!</v>
      </c>
      <c r="AI2908" s="43" t="str">
        <f ca="1">_xll.BInterpol('Base IPCA'!$C$3:$C$14,'Base IPCA'!$E$3:$E$14,AH2908,"Cubic","Extrapolate=Linear","MultiX=Average","Skip=True","Sort=True")</f>
        <v>#N/A Invalid Parameter: Interpolation value</v>
      </c>
      <c r="AJ2908" s="43" t="str">
        <f ca="1"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0"/>
        <v>#REF!</v>
      </c>
      <c r="AI2909" s="43" t="str">
        <f ca="1">_xll.BInterpol('Base IPCA'!$C$3:$C$14,'Base IPCA'!$E$3:$E$14,AH2909,"Cubic","Extrapolate=Linear","MultiX=Average","Skip=True","Sort=True")</f>
        <v>#N/A Invalid Parameter: Interpolation value</v>
      </c>
      <c r="AJ2909" s="43" t="str">
        <f ca="1"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0"/>
        <v>#REF!</v>
      </c>
      <c r="AI2910" s="43" t="str">
        <f ca="1">_xll.BInterpol('Base IPCA'!$C$3:$C$14,'Base IPCA'!$E$3:$E$14,AH2910,"Cubic","Extrapolate=Linear","MultiX=Average","Skip=True","Sort=True")</f>
        <v>#N/A Invalid Parameter: Interpolation value</v>
      </c>
      <c r="AJ2910" s="43" t="str">
        <f ca="1"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0"/>
        <v>#REF!</v>
      </c>
      <c r="AI2911" s="43" t="str">
        <f ca="1">_xll.BInterpol('Base IPCA'!$C$3:$C$14,'Base IPCA'!$E$3:$E$14,AH2911,"Cubic","Extrapolate=Linear","MultiX=Average","Skip=True","Sort=True")</f>
        <v>#N/A Invalid Parameter: Interpolation value</v>
      </c>
      <c r="AJ2911" s="43" t="str">
        <f ca="1"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0"/>
        <v>#REF!</v>
      </c>
      <c r="AI2912" s="43" t="str">
        <f ca="1">_xll.BInterpol('Base IPCA'!$C$3:$C$14,'Base IPCA'!$E$3:$E$14,AH2912,"Cubic","Extrapolate=Linear","MultiX=Average","Skip=True","Sort=True")</f>
        <v>#N/A Invalid Parameter: Interpolation value</v>
      </c>
      <c r="AJ2912" s="43" t="str">
        <f ca="1"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0"/>
        <v>#REF!</v>
      </c>
      <c r="AI2913" s="43" t="str">
        <f ca="1">_xll.BInterpol('Base IPCA'!$C$3:$C$14,'Base IPCA'!$E$3:$E$14,AH2913,"Cubic","Extrapolate=Linear","MultiX=Average","Skip=True","Sort=True")</f>
        <v>#N/A Invalid Parameter: Interpolation value</v>
      </c>
      <c r="AJ2913" s="43" t="str">
        <f ca="1"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0"/>
        <v>#REF!</v>
      </c>
      <c r="AI2914" s="43" t="str">
        <f ca="1">_xll.BInterpol('Base IPCA'!$C$3:$C$14,'Base IPCA'!$E$3:$E$14,AH2914,"Cubic","Extrapolate=Linear","MultiX=Average","Skip=True","Sort=True")</f>
        <v>#N/A Invalid Parameter: Interpolation value</v>
      </c>
      <c r="AJ2914" s="43" t="str">
        <f ca="1"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0"/>
        <v>#REF!</v>
      </c>
      <c r="AI2915" s="43" t="str">
        <f ca="1">_xll.BInterpol('Base IPCA'!$C$3:$C$14,'Base IPCA'!$E$3:$E$14,AH2915,"Cubic","Extrapolate=Linear","MultiX=Average","Skip=True","Sort=True")</f>
        <v>#N/A Invalid Parameter: Interpolation value</v>
      </c>
      <c r="AJ2915" s="43" t="str">
        <f ca="1"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0"/>
        <v>#REF!</v>
      </c>
      <c r="AI2916" s="43" t="str">
        <f ca="1">_xll.BInterpol('Base IPCA'!$C$3:$C$14,'Base IPCA'!$E$3:$E$14,AH2916,"Cubic","Extrapolate=Linear","MultiX=Average","Skip=True","Sort=True")</f>
        <v>#N/A Invalid Parameter: Interpolation value</v>
      </c>
      <c r="AJ2916" s="43" t="str">
        <f ca="1"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0"/>
        <v>#REF!</v>
      </c>
      <c r="AI2917" s="43" t="str">
        <f ca="1">_xll.BInterpol('Base IPCA'!$C$3:$C$14,'Base IPCA'!$E$3:$E$14,AH2917,"Cubic","Extrapolate=Linear","MultiX=Average","Skip=True","Sort=True")</f>
        <v>#N/A Invalid Parameter: Interpolation value</v>
      </c>
      <c r="AJ2917" s="43" t="str">
        <f ca="1"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0"/>
        <v>#REF!</v>
      </c>
      <c r="AI2918" s="43" t="str">
        <f ca="1">_xll.BInterpol('Base IPCA'!$C$3:$C$14,'Base IPCA'!$E$3:$E$14,AH2918,"Cubic","Extrapolate=Linear","MultiX=Average","Skip=True","Sort=True")</f>
        <v>#N/A Invalid Parameter: Interpolation value</v>
      </c>
      <c r="AJ2918" s="43" t="str">
        <f ca="1"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0"/>
        <v>#REF!</v>
      </c>
      <c r="AI2919" s="43" t="str">
        <f ca="1">_xll.BInterpol('Base IPCA'!$C$3:$C$14,'Base IPCA'!$E$3:$E$14,AH2919,"Cubic","Extrapolate=Linear","MultiX=Average","Skip=True","Sort=True")</f>
        <v>#N/A Invalid Parameter: Interpolation value</v>
      </c>
      <c r="AJ2919" s="43" t="str">
        <f ca="1"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0"/>
        <v>#REF!</v>
      </c>
      <c r="AI2920" s="43" t="str">
        <f ca="1">_xll.BInterpol('Base IPCA'!$C$3:$C$14,'Base IPCA'!$E$3:$E$14,AH2920,"Cubic","Extrapolate=Linear","MultiX=Average","Skip=True","Sort=True")</f>
        <v>#N/A Invalid Parameter: Interpolation value</v>
      </c>
      <c r="AJ2920" s="43" t="str">
        <f ca="1"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0"/>
        <v>#REF!</v>
      </c>
      <c r="AI2921" s="43" t="str">
        <f ca="1">_xll.BInterpol('Base IPCA'!$C$3:$C$14,'Base IPCA'!$E$3:$E$14,AH2921,"Cubic","Extrapolate=Linear","MultiX=Average","Skip=True","Sort=True")</f>
        <v>#N/A Invalid Parameter: Interpolation value</v>
      </c>
      <c r="AJ2921" s="43" t="str">
        <f ca="1"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0"/>
        <v>#REF!</v>
      </c>
      <c r="AI2922" s="43" t="str">
        <f ca="1">_xll.BInterpol('Base IPCA'!$C$3:$C$14,'Base IPCA'!$E$3:$E$14,AH2922,"Cubic","Extrapolate=Linear","MultiX=Average","Skip=True","Sort=True")</f>
        <v>#N/A Invalid Parameter: Interpolation value</v>
      </c>
      <c r="AJ2922" s="43" t="str">
        <f ca="1"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0"/>
        <v>#REF!</v>
      </c>
      <c r="AI2923" s="43" t="str">
        <f ca="1">_xll.BInterpol('Base IPCA'!$C$3:$C$14,'Base IPCA'!$E$3:$E$14,AH2923,"Cubic","Extrapolate=Linear","MultiX=Average","Skip=True","Sort=True")</f>
        <v>#N/A Invalid Parameter: Interpolation value</v>
      </c>
      <c r="AJ2923" s="43" t="str">
        <f ca="1"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0"/>
        <v>#REF!</v>
      </c>
      <c r="AI2924" s="43" t="str">
        <f ca="1">_xll.BInterpol('Base IPCA'!$C$3:$C$14,'Base IPCA'!$E$3:$E$14,AH2924,"Cubic","Extrapolate=Linear","MultiX=Average","Skip=True","Sort=True")</f>
        <v>#N/A Invalid Parameter: Interpolation value</v>
      </c>
      <c r="AJ2924" s="43" t="str">
        <f ca="1"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0"/>
        <v>#REF!</v>
      </c>
      <c r="AI2925" s="43" t="str">
        <f ca="1">_xll.BInterpol('Base IPCA'!$C$3:$C$14,'Base IPCA'!$E$3:$E$14,AH2925,"Cubic","Extrapolate=Linear","MultiX=Average","Skip=True","Sort=True")</f>
        <v>#N/A Invalid Parameter: Interpolation value</v>
      </c>
      <c r="AJ2925" s="43" t="str">
        <f ca="1"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0"/>
        <v>#REF!</v>
      </c>
      <c r="AI2926" s="43" t="str">
        <f ca="1">_xll.BInterpol('Base IPCA'!$C$3:$C$14,'Base IPCA'!$E$3:$E$14,AH2926,"Cubic","Extrapolate=Linear","MultiX=Average","Skip=True","Sort=True")</f>
        <v>#N/A Invalid Parameter: Interpolation value</v>
      </c>
      <c r="AJ2926" s="43" t="str">
        <f ca="1"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0"/>
        <v>#REF!</v>
      </c>
      <c r="AI2927" s="43" t="str">
        <f ca="1">_xll.BInterpol('Base IPCA'!$C$3:$C$14,'Base IPCA'!$E$3:$E$14,AH2927,"Cubic","Extrapolate=Linear","MultiX=Average","Skip=True","Sort=True")</f>
        <v>#N/A Invalid Parameter: Interpolation value</v>
      </c>
      <c r="AJ2927" s="43" t="str">
        <f ca="1"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0"/>
        <v>#REF!</v>
      </c>
      <c r="AI2928" s="43" t="str">
        <f ca="1">_xll.BInterpol('Base IPCA'!$C$3:$C$14,'Base IPCA'!$E$3:$E$14,AH2928,"Cubic","Extrapolate=Linear","MultiX=Average","Skip=True","Sort=True")</f>
        <v>#N/A Invalid Parameter: Interpolation value</v>
      </c>
      <c r="AJ2928" s="43" t="str">
        <f ca="1"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0"/>
        <v>#REF!</v>
      </c>
      <c r="AI2929" s="43" t="str">
        <f ca="1">_xll.BInterpol('Base IPCA'!$C$3:$C$14,'Base IPCA'!$E$3:$E$14,AH2929,"Cubic","Extrapolate=Linear","MultiX=Average","Skip=True","Sort=True")</f>
        <v>#N/A Invalid Parameter: Interpolation value</v>
      </c>
      <c r="AJ2929" s="43" t="str">
        <f ca="1"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0"/>
        <v>#REF!</v>
      </c>
      <c r="AI2930" s="43" t="str">
        <f ca="1">_xll.BInterpol('Base IPCA'!$C$3:$C$14,'Base IPCA'!$E$3:$E$14,AH2930,"Cubic","Extrapolate=Linear","MultiX=Average","Skip=True","Sort=True")</f>
        <v>#N/A Invalid Parameter: Interpolation value</v>
      </c>
      <c r="AJ2930" s="43" t="str">
        <f ca="1"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0"/>
        <v>#REF!</v>
      </c>
      <c r="AI2931" s="43" t="str">
        <f ca="1">_xll.BInterpol('Base IPCA'!$C$3:$C$14,'Base IPCA'!$E$3:$E$14,AH2931,"Cubic","Extrapolate=Linear","MultiX=Average","Skip=True","Sort=True")</f>
        <v>#N/A Invalid Parameter: Interpolation value</v>
      </c>
      <c r="AJ2931" s="43" t="str">
        <f ca="1"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0"/>
        <v>#REF!</v>
      </c>
      <c r="AI2932" s="43" t="str">
        <f ca="1">_xll.BInterpol('Base IPCA'!$C$3:$C$14,'Base IPCA'!$E$3:$E$14,AH2932,"Cubic","Extrapolate=Linear","MultiX=Average","Skip=True","Sort=True")</f>
        <v>#N/A Invalid Parameter: Interpolation value</v>
      </c>
      <c r="AJ2932" s="43" t="str">
        <f ca="1"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0"/>
        <v>#REF!</v>
      </c>
      <c r="AI2933" s="43" t="str">
        <f ca="1">_xll.BInterpol('Base IPCA'!$C$3:$C$14,'Base IPCA'!$E$3:$E$14,AH2933,"Cubic","Extrapolate=Linear","MultiX=Average","Skip=True","Sort=True")</f>
        <v>#N/A Invalid Parameter: Interpolation value</v>
      </c>
      <c r="AJ2933" s="43" t="str">
        <f ca="1"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0"/>
        <v>#REF!</v>
      </c>
      <c r="AI2934" s="43" t="str">
        <f ca="1">_xll.BInterpol('Base IPCA'!$C$3:$C$14,'Base IPCA'!$E$3:$E$14,AH2934,"Cubic","Extrapolate=Linear","MultiX=Average","Skip=True","Sort=True")</f>
        <v>#N/A Invalid Parameter: Interpolation value</v>
      </c>
      <c r="AJ2934" s="43" t="str">
        <f ca="1"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0"/>
        <v>#REF!</v>
      </c>
      <c r="AI2935" s="43" t="str">
        <f ca="1">_xll.BInterpol('Base IPCA'!$C$3:$C$14,'Base IPCA'!$E$3:$E$14,AH2935,"Cubic","Extrapolate=Linear","MultiX=Average","Skip=True","Sort=True")</f>
        <v>#N/A Invalid Parameter: Interpolation value</v>
      </c>
      <c r="AJ2935" s="43" t="str">
        <f ca="1"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0"/>
        <v>#REF!</v>
      </c>
      <c r="AI2936" s="43" t="str">
        <f ca="1">_xll.BInterpol('Base IPCA'!$C$3:$C$14,'Base IPCA'!$E$3:$E$14,AH2936,"Cubic","Extrapolate=Linear","MultiX=Average","Skip=True","Sort=True")</f>
        <v>#N/A Invalid Parameter: Interpolation value</v>
      </c>
      <c r="AJ2936" s="43" t="str">
        <f ca="1"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0"/>
        <v>#REF!</v>
      </c>
      <c r="AI2937" s="43" t="str">
        <f ca="1">_xll.BInterpol('Base IPCA'!$C$3:$C$14,'Base IPCA'!$E$3:$E$14,AH2937,"Cubic","Extrapolate=Linear","MultiX=Average","Skip=True","Sort=True")</f>
        <v>#N/A Invalid Parameter: Interpolation value</v>
      </c>
      <c r="AJ2937" s="43" t="str">
        <f ca="1"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0"/>
        <v>#REF!</v>
      </c>
      <c r="AI2938" s="43" t="str">
        <f ca="1">_xll.BInterpol('Base IPCA'!$C$3:$C$14,'Base IPCA'!$E$3:$E$14,AH2938,"Cubic","Extrapolate=Linear","MultiX=Average","Skip=True","Sort=True")</f>
        <v>#N/A Invalid Parameter: Interpolation value</v>
      </c>
      <c r="AJ2938" s="43" t="str">
        <f ca="1"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0"/>
        <v>#REF!</v>
      </c>
      <c r="AI2939" s="43" t="str">
        <f ca="1">_xll.BInterpol('Base IPCA'!$C$3:$C$14,'Base IPCA'!$E$3:$E$14,AH2939,"Cubic","Extrapolate=Linear","MultiX=Average","Skip=True","Sort=True")</f>
        <v>#N/A Invalid Parameter: Interpolation value</v>
      </c>
      <c r="AJ2939" s="43" t="str">
        <f ca="1"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0"/>
        <v>#REF!</v>
      </c>
      <c r="AI2940" s="43" t="str">
        <f ca="1">_xll.BInterpol('Base IPCA'!$C$3:$C$14,'Base IPCA'!$E$3:$E$14,AH2940,"Cubic","Extrapolate=Linear","MultiX=Average","Skip=True","Sort=True")</f>
        <v>#N/A Invalid Parameter: Interpolation value</v>
      </c>
      <c r="AJ2940" s="43" t="str">
        <f ca="1"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0"/>
        <v>#REF!</v>
      </c>
      <c r="AI2941" s="43" t="str">
        <f ca="1">_xll.BInterpol('Base IPCA'!$C$3:$C$14,'Base IPCA'!$E$3:$E$14,AH2941,"Cubic","Extrapolate=Linear","MultiX=Average","Skip=True","Sort=True")</f>
        <v>#N/A Invalid Parameter: Interpolation value</v>
      </c>
      <c r="AJ2941" s="43" t="str">
        <f ca="1"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0"/>
        <v>#REF!</v>
      </c>
      <c r="AI2942" s="43" t="str">
        <f ca="1">_xll.BInterpol('Base IPCA'!$C$3:$C$14,'Base IPCA'!$E$3:$E$14,AH2942,"Cubic","Extrapolate=Linear","MultiX=Average","Skip=True","Sort=True")</f>
        <v>#N/A Invalid Parameter: Interpolation value</v>
      </c>
      <c r="AJ2942" s="43" t="str">
        <f ca="1"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0"/>
        <v>#REF!</v>
      </c>
      <c r="AI2943" s="43" t="str">
        <f ca="1">_xll.BInterpol('Base IPCA'!$C$3:$C$14,'Base IPCA'!$E$3:$E$14,AH2943,"Cubic","Extrapolate=Linear","MultiX=Average","Skip=True","Sort=True")</f>
        <v>#N/A Invalid Parameter: Interpolation value</v>
      </c>
      <c r="AJ2943" s="43" t="str">
        <f ca="1"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0"/>
        <v>#REF!</v>
      </c>
      <c r="AI2944" s="43" t="str">
        <f ca="1">_xll.BInterpol('Base IPCA'!$C$3:$C$14,'Base IPCA'!$E$3:$E$14,AH2944,"Cubic","Extrapolate=Linear","MultiX=Average","Skip=True","Sort=True")</f>
        <v>#N/A Invalid Parameter: Interpolation value</v>
      </c>
      <c r="AJ2944" s="43" t="str">
        <f ca="1"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0"/>
        <v>#REF!</v>
      </c>
      <c r="AI2945" s="43" t="str">
        <f ca="1">_xll.BInterpol('Base IPCA'!$C$3:$C$14,'Base IPCA'!$E$3:$E$14,AH2945,"Cubic","Extrapolate=Linear","MultiX=Average","Skip=True","Sort=True")</f>
        <v>#N/A Invalid Parameter: Interpolation value</v>
      </c>
      <c r="AJ2945" s="43" t="str">
        <f ca="1"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0"/>
        <v>#REF!</v>
      </c>
      <c r="AI2946" s="43" t="str">
        <f ca="1">_xll.BInterpol('Base IPCA'!$C$3:$C$14,'Base IPCA'!$E$3:$E$14,AH2946,"Cubic","Extrapolate=Linear","MultiX=Average","Skip=True","Sort=True")</f>
        <v>#N/A Invalid Parameter: Interpolation value</v>
      </c>
      <c r="AJ2946" s="43" t="str">
        <f ca="1"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0"/>
        <v>#REF!</v>
      </c>
      <c r="AI2947" s="43" t="str">
        <f ca="1">_xll.BInterpol('Base IPCA'!$C$3:$C$14,'Base IPCA'!$E$3:$E$14,AH2947,"Cubic","Extrapolate=Linear","MultiX=Average","Skip=True","Sort=True")</f>
        <v>#N/A Invalid Parameter: Interpolation value</v>
      </c>
      <c r="AJ2947" s="43" t="str">
        <f ca="1"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0"/>
        <v>#REF!</v>
      </c>
      <c r="AI2948" s="43" t="str">
        <f ca="1">_xll.BInterpol('Base IPCA'!$C$3:$C$14,'Base IPCA'!$E$3:$E$14,AH2948,"Cubic","Extrapolate=Linear","MultiX=Average","Skip=True","Sort=True")</f>
        <v>#N/A Invalid Parameter: Interpolation value</v>
      </c>
      <c r="AJ2948" s="43" t="str">
        <f ca="1"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0"/>
        <v>#REF!</v>
      </c>
      <c r="AI2949" s="43" t="str">
        <f ca="1">_xll.BInterpol('Base IPCA'!$C$3:$C$14,'Base IPCA'!$E$3:$E$14,AH2949,"Cubic","Extrapolate=Linear","MultiX=Average","Skip=True","Sort=True")</f>
        <v>#N/A Invalid Parameter: Interpolation value</v>
      </c>
      <c r="AJ2949" s="43" t="str">
        <f ca="1"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1">AH2949+1</f>
        <v>#REF!</v>
      </c>
      <c r="AI2950" s="43" t="str">
        <f ca="1">_xll.BInterpol('Base IPCA'!$C$3:$C$14,'Base IPCA'!$E$3:$E$14,AH2950,"Cubic","Extrapolate=Linear","MultiX=Average","Skip=True","Sort=True")</f>
        <v>#N/A Invalid Parameter: Interpolation value</v>
      </c>
      <c r="AJ2950" s="43" t="str">
        <f ca="1"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1"/>
        <v>#REF!</v>
      </c>
      <c r="AI2951" s="43" t="str">
        <f ca="1">_xll.BInterpol('Base IPCA'!$C$3:$C$14,'Base IPCA'!$E$3:$E$14,AH2951,"Cubic","Extrapolate=Linear","MultiX=Average","Skip=True","Sort=True")</f>
        <v>#N/A Invalid Parameter: Interpolation value</v>
      </c>
      <c r="AJ2951" s="43" t="str">
        <f ca="1"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1"/>
        <v>#REF!</v>
      </c>
      <c r="AI2952" s="43" t="str">
        <f ca="1">_xll.BInterpol('Base IPCA'!$C$3:$C$14,'Base IPCA'!$E$3:$E$14,AH2952,"Cubic","Extrapolate=Linear","MultiX=Average","Skip=True","Sort=True")</f>
        <v>#N/A Invalid Parameter: Interpolation value</v>
      </c>
      <c r="AJ2952" s="43" t="str">
        <f ca="1"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1"/>
        <v>#REF!</v>
      </c>
      <c r="AI2953" s="43" t="str">
        <f ca="1">_xll.BInterpol('Base IPCA'!$C$3:$C$14,'Base IPCA'!$E$3:$E$14,AH2953,"Cubic","Extrapolate=Linear","MultiX=Average","Skip=True","Sort=True")</f>
        <v>#N/A Invalid Parameter: Interpolation value</v>
      </c>
      <c r="AJ2953" s="43" t="str">
        <f ca="1"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1"/>
        <v>#REF!</v>
      </c>
      <c r="AI2954" s="43" t="str">
        <f ca="1">_xll.BInterpol('Base IPCA'!$C$3:$C$14,'Base IPCA'!$E$3:$E$14,AH2954,"Cubic","Extrapolate=Linear","MultiX=Average","Skip=True","Sort=True")</f>
        <v>#N/A Invalid Parameter: Interpolation value</v>
      </c>
      <c r="AJ2954" s="43" t="str">
        <f ca="1"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1"/>
        <v>#REF!</v>
      </c>
      <c r="AI2955" s="43" t="str">
        <f ca="1">_xll.BInterpol('Base IPCA'!$C$3:$C$14,'Base IPCA'!$E$3:$E$14,AH2955,"Cubic","Extrapolate=Linear","MultiX=Average","Skip=True","Sort=True")</f>
        <v>#N/A Invalid Parameter: Interpolation value</v>
      </c>
      <c r="AJ2955" s="43" t="str">
        <f ca="1"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1"/>
        <v>#REF!</v>
      </c>
      <c r="AI2956" s="43" t="str">
        <f ca="1">_xll.BInterpol('Base IPCA'!$C$3:$C$14,'Base IPCA'!$E$3:$E$14,AH2956,"Cubic","Extrapolate=Linear","MultiX=Average","Skip=True","Sort=True")</f>
        <v>#N/A Invalid Parameter: Interpolation value</v>
      </c>
      <c r="AJ2956" s="43" t="str">
        <f ca="1"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1"/>
        <v>#REF!</v>
      </c>
      <c r="AI2957" s="43" t="str">
        <f ca="1">_xll.BInterpol('Base IPCA'!$C$3:$C$14,'Base IPCA'!$E$3:$E$14,AH2957,"Cubic","Extrapolate=Linear","MultiX=Average","Skip=True","Sort=True")</f>
        <v>#N/A Invalid Parameter: Interpolation value</v>
      </c>
      <c r="AJ2957" s="43" t="str">
        <f ca="1"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1"/>
        <v>#REF!</v>
      </c>
      <c r="AI2958" s="43" t="str">
        <f ca="1">_xll.BInterpol('Base IPCA'!$C$3:$C$14,'Base IPCA'!$E$3:$E$14,AH2958,"Cubic","Extrapolate=Linear","MultiX=Average","Skip=True","Sort=True")</f>
        <v>#N/A Invalid Parameter: Interpolation value</v>
      </c>
      <c r="AJ2958" s="43" t="str">
        <f ca="1"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1"/>
        <v>#REF!</v>
      </c>
      <c r="AI2959" s="43" t="str">
        <f ca="1">_xll.BInterpol('Base IPCA'!$C$3:$C$14,'Base IPCA'!$E$3:$E$14,AH2959,"Cubic","Extrapolate=Linear","MultiX=Average","Skip=True","Sort=True")</f>
        <v>#N/A Invalid Parameter: Interpolation value</v>
      </c>
      <c r="AJ2959" s="43" t="str">
        <f ca="1"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1"/>
        <v>#REF!</v>
      </c>
      <c r="AI2960" s="43" t="str">
        <f ca="1">_xll.BInterpol('Base IPCA'!$C$3:$C$14,'Base IPCA'!$E$3:$E$14,AH2960,"Cubic","Extrapolate=Linear","MultiX=Average","Skip=True","Sort=True")</f>
        <v>#N/A Invalid Parameter: Interpolation value</v>
      </c>
      <c r="AJ2960" s="43" t="str">
        <f ca="1"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1"/>
        <v>#REF!</v>
      </c>
      <c r="AI2961" s="43" t="str">
        <f ca="1">_xll.BInterpol('Base IPCA'!$C$3:$C$14,'Base IPCA'!$E$3:$E$14,AH2961,"Cubic","Extrapolate=Linear","MultiX=Average","Skip=True","Sort=True")</f>
        <v>#N/A Invalid Parameter: Interpolation value</v>
      </c>
      <c r="AJ2961" s="43" t="str">
        <f ca="1"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1"/>
        <v>#REF!</v>
      </c>
      <c r="AI2962" s="43" t="str">
        <f ca="1">_xll.BInterpol('Base IPCA'!$C$3:$C$14,'Base IPCA'!$E$3:$E$14,AH2962,"Cubic","Extrapolate=Linear","MultiX=Average","Skip=True","Sort=True")</f>
        <v>#N/A Invalid Parameter: Interpolation value</v>
      </c>
      <c r="AJ2962" s="43" t="str">
        <f ca="1"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1"/>
        <v>#REF!</v>
      </c>
      <c r="AI2963" s="43" t="str">
        <f ca="1">_xll.BInterpol('Base IPCA'!$C$3:$C$14,'Base IPCA'!$E$3:$E$14,AH2963,"Cubic","Extrapolate=Linear","MultiX=Average","Skip=True","Sort=True")</f>
        <v>#N/A Invalid Parameter: Interpolation value</v>
      </c>
      <c r="AJ2963" s="43" t="str">
        <f ca="1"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1"/>
        <v>#REF!</v>
      </c>
      <c r="AI2964" s="43" t="str">
        <f ca="1">_xll.BInterpol('Base IPCA'!$C$3:$C$14,'Base IPCA'!$E$3:$E$14,AH2964,"Cubic","Extrapolate=Linear","MultiX=Average","Skip=True","Sort=True")</f>
        <v>#N/A Invalid Parameter: Interpolation value</v>
      </c>
      <c r="AJ2964" s="43" t="str">
        <f ca="1"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1"/>
        <v>#REF!</v>
      </c>
      <c r="AI2965" s="43" t="str">
        <f ca="1">_xll.BInterpol('Base IPCA'!$C$3:$C$14,'Base IPCA'!$E$3:$E$14,AH2965,"Cubic","Extrapolate=Linear","MultiX=Average","Skip=True","Sort=True")</f>
        <v>#N/A Invalid Parameter: Interpolation value</v>
      </c>
      <c r="AJ2965" s="43" t="str">
        <f ca="1"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1"/>
        <v>#REF!</v>
      </c>
      <c r="AI2966" s="43" t="str">
        <f ca="1">_xll.BInterpol('Base IPCA'!$C$3:$C$14,'Base IPCA'!$E$3:$E$14,AH2966,"Cubic","Extrapolate=Linear","MultiX=Average","Skip=True","Sort=True")</f>
        <v>#N/A Invalid Parameter: Interpolation value</v>
      </c>
      <c r="AJ2966" s="43" t="str">
        <f ca="1"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1"/>
        <v>#REF!</v>
      </c>
      <c r="AI2967" s="43" t="str">
        <f ca="1">_xll.BInterpol('Base IPCA'!$C$3:$C$14,'Base IPCA'!$E$3:$E$14,AH2967,"Cubic","Extrapolate=Linear","MultiX=Average","Skip=True","Sort=True")</f>
        <v>#N/A Invalid Parameter: Interpolation value</v>
      </c>
      <c r="AJ2967" s="43" t="str">
        <f ca="1"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1"/>
        <v>#REF!</v>
      </c>
      <c r="AI2968" s="43" t="str">
        <f ca="1">_xll.BInterpol('Base IPCA'!$C$3:$C$14,'Base IPCA'!$E$3:$E$14,AH2968,"Cubic","Extrapolate=Linear","MultiX=Average","Skip=True","Sort=True")</f>
        <v>#N/A Invalid Parameter: Interpolation value</v>
      </c>
      <c r="AJ2968" s="43" t="str">
        <f ca="1"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1"/>
        <v>#REF!</v>
      </c>
      <c r="AI2969" s="43" t="str">
        <f ca="1">_xll.BInterpol('Base IPCA'!$C$3:$C$14,'Base IPCA'!$E$3:$E$14,AH2969,"Cubic","Extrapolate=Linear","MultiX=Average","Skip=True","Sort=True")</f>
        <v>#N/A Invalid Parameter: Interpolation value</v>
      </c>
      <c r="AJ2969" s="43" t="str">
        <f ca="1"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1"/>
        <v>#REF!</v>
      </c>
      <c r="AI2970" s="43" t="str">
        <f ca="1">_xll.BInterpol('Base IPCA'!$C$3:$C$14,'Base IPCA'!$E$3:$E$14,AH2970,"Cubic","Extrapolate=Linear","MultiX=Average","Skip=True","Sort=True")</f>
        <v>#N/A Invalid Parameter: Interpolation value</v>
      </c>
      <c r="AJ2970" s="43" t="str">
        <f ca="1"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1"/>
        <v>#REF!</v>
      </c>
      <c r="AI2971" s="43" t="str">
        <f ca="1">_xll.BInterpol('Base IPCA'!$C$3:$C$14,'Base IPCA'!$E$3:$E$14,AH2971,"Cubic","Extrapolate=Linear","MultiX=Average","Skip=True","Sort=True")</f>
        <v>#N/A Invalid Parameter: Interpolation value</v>
      </c>
      <c r="AJ2971" s="43" t="str">
        <f ca="1"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1"/>
        <v>#REF!</v>
      </c>
      <c r="AI2972" s="43" t="str">
        <f ca="1">_xll.BInterpol('Base IPCA'!$C$3:$C$14,'Base IPCA'!$E$3:$E$14,AH2972,"Cubic","Extrapolate=Linear","MultiX=Average","Skip=True","Sort=True")</f>
        <v>#N/A Invalid Parameter: Interpolation value</v>
      </c>
      <c r="AJ2972" s="43" t="str">
        <f ca="1"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1"/>
        <v>#REF!</v>
      </c>
      <c r="AI2973" s="43" t="str">
        <f ca="1">_xll.BInterpol('Base IPCA'!$C$3:$C$14,'Base IPCA'!$E$3:$E$14,AH2973,"Cubic","Extrapolate=Linear","MultiX=Average","Skip=True","Sort=True")</f>
        <v>#N/A Invalid Parameter: Interpolation value</v>
      </c>
      <c r="AJ2973" s="43" t="str">
        <f ca="1"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1"/>
        <v>#REF!</v>
      </c>
      <c r="AI2974" s="43" t="str">
        <f ca="1">_xll.BInterpol('Base IPCA'!$C$3:$C$14,'Base IPCA'!$E$3:$E$14,AH2974,"Cubic","Extrapolate=Linear","MultiX=Average","Skip=True","Sort=True")</f>
        <v>#N/A Invalid Parameter: Interpolation value</v>
      </c>
      <c r="AJ2974" s="43" t="str">
        <f ca="1"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1"/>
        <v>#REF!</v>
      </c>
      <c r="AI2975" s="43" t="str">
        <f ca="1">_xll.BInterpol('Base IPCA'!$C$3:$C$14,'Base IPCA'!$E$3:$E$14,AH2975,"Cubic","Extrapolate=Linear","MultiX=Average","Skip=True","Sort=True")</f>
        <v>#N/A Invalid Parameter: Interpolation value</v>
      </c>
      <c r="AJ2975" s="43" t="str">
        <f ca="1"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1"/>
        <v>#REF!</v>
      </c>
      <c r="AI2976" s="43" t="str">
        <f ca="1">_xll.BInterpol('Base IPCA'!$C$3:$C$14,'Base IPCA'!$E$3:$E$14,AH2976,"Cubic","Extrapolate=Linear","MultiX=Average","Skip=True","Sort=True")</f>
        <v>#N/A Invalid Parameter: Interpolation value</v>
      </c>
      <c r="AJ2976" s="43" t="str">
        <f ca="1"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1"/>
        <v>#REF!</v>
      </c>
      <c r="AI2977" s="43" t="str">
        <f ca="1">_xll.BInterpol('Base IPCA'!$C$3:$C$14,'Base IPCA'!$E$3:$E$14,AH2977,"Cubic","Extrapolate=Linear","MultiX=Average","Skip=True","Sort=True")</f>
        <v>#N/A Invalid Parameter: Interpolation value</v>
      </c>
      <c r="AJ2977" s="43" t="str">
        <f ca="1"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1"/>
        <v>#REF!</v>
      </c>
      <c r="AI2978" s="43" t="str">
        <f ca="1">_xll.BInterpol('Base IPCA'!$C$3:$C$14,'Base IPCA'!$E$3:$E$14,AH2978,"Cubic","Extrapolate=Linear","MultiX=Average","Skip=True","Sort=True")</f>
        <v>#N/A Invalid Parameter: Interpolation value</v>
      </c>
      <c r="AJ2978" s="43" t="str">
        <f ca="1"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1"/>
        <v>#REF!</v>
      </c>
      <c r="AI2979" s="43" t="str">
        <f ca="1">_xll.BInterpol('Base IPCA'!$C$3:$C$14,'Base IPCA'!$E$3:$E$14,AH2979,"Cubic","Extrapolate=Linear","MultiX=Average","Skip=True","Sort=True")</f>
        <v>#N/A Invalid Parameter: Interpolation value</v>
      </c>
      <c r="AJ2979" s="43" t="str">
        <f ca="1"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1"/>
        <v>#REF!</v>
      </c>
      <c r="AI2980" s="43" t="str">
        <f ca="1">_xll.BInterpol('Base IPCA'!$C$3:$C$14,'Base IPCA'!$E$3:$E$14,AH2980,"Cubic","Extrapolate=Linear","MultiX=Average","Skip=True","Sort=True")</f>
        <v>#N/A Invalid Parameter: Interpolation value</v>
      </c>
      <c r="AJ2980" s="43" t="str">
        <f ca="1"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1"/>
        <v>#REF!</v>
      </c>
      <c r="AI2981" s="43" t="str">
        <f ca="1">_xll.BInterpol('Base IPCA'!$C$3:$C$14,'Base IPCA'!$E$3:$E$14,AH2981,"Cubic","Extrapolate=Linear","MultiX=Average","Skip=True","Sort=True")</f>
        <v>#N/A Invalid Parameter: Interpolation value</v>
      </c>
      <c r="AJ2981" s="43" t="str">
        <f ca="1"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1"/>
        <v>#REF!</v>
      </c>
      <c r="AI2982" s="43" t="str">
        <f ca="1">_xll.BInterpol('Base IPCA'!$C$3:$C$14,'Base IPCA'!$E$3:$E$14,AH2982,"Cubic","Extrapolate=Linear","MultiX=Average","Skip=True","Sort=True")</f>
        <v>#N/A Invalid Parameter: Interpolation value</v>
      </c>
      <c r="AJ2982" s="43" t="str">
        <f ca="1"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1"/>
        <v>#REF!</v>
      </c>
      <c r="AI2983" s="43" t="str">
        <f ca="1">_xll.BInterpol('Base IPCA'!$C$3:$C$14,'Base IPCA'!$E$3:$E$14,AH2983,"Cubic","Extrapolate=Linear","MultiX=Average","Skip=True","Sort=True")</f>
        <v>#N/A Invalid Parameter: Interpolation value</v>
      </c>
      <c r="AJ2983" s="43" t="str">
        <f ca="1"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1"/>
        <v>#REF!</v>
      </c>
      <c r="AI2984" s="43" t="str">
        <f ca="1">_xll.BInterpol('Base IPCA'!$C$3:$C$14,'Base IPCA'!$E$3:$E$14,AH2984,"Cubic","Extrapolate=Linear","MultiX=Average","Skip=True","Sort=True")</f>
        <v>#N/A Invalid Parameter: Interpolation value</v>
      </c>
      <c r="AJ2984" s="43" t="str">
        <f ca="1"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1"/>
        <v>#REF!</v>
      </c>
      <c r="AI2985" s="43" t="str">
        <f ca="1">_xll.BInterpol('Base IPCA'!$C$3:$C$14,'Base IPCA'!$E$3:$E$14,AH2985,"Cubic","Extrapolate=Linear","MultiX=Average","Skip=True","Sort=True")</f>
        <v>#N/A Invalid Parameter: Interpolation value</v>
      </c>
      <c r="AJ2985" s="43" t="str">
        <f ca="1"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1"/>
        <v>#REF!</v>
      </c>
      <c r="AI2986" s="43" t="str">
        <f ca="1">_xll.BInterpol('Base IPCA'!$C$3:$C$14,'Base IPCA'!$E$3:$E$14,AH2986,"Cubic","Extrapolate=Linear","MultiX=Average","Skip=True","Sort=True")</f>
        <v>#N/A Invalid Parameter: Interpolation value</v>
      </c>
      <c r="AJ2986" s="43" t="str">
        <f ca="1"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1"/>
        <v>#REF!</v>
      </c>
      <c r="AI2987" s="43" t="str">
        <f ca="1">_xll.BInterpol('Base IPCA'!$C$3:$C$14,'Base IPCA'!$E$3:$E$14,AH2987,"Cubic","Extrapolate=Linear","MultiX=Average","Skip=True","Sort=True")</f>
        <v>#N/A Invalid Parameter: Interpolation value</v>
      </c>
      <c r="AJ2987" s="43" t="str">
        <f ca="1"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1"/>
        <v>#REF!</v>
      </c>
      <c r="AI2988" s="43" t="str">
        <f ca="1">_xll.BInterpol('Base IPCA'!$C$3:$C$14,'Base IPCA'!$E$3:$E$14,AH2988,"Cubic","Extrapolate=Linear","MultiX=Average","Skip=True","Sort=True")</f>
        <v>#N/A Invalid Parameter: Interpolation value</v>
      </c>
      <c r="AJ2988" s="43" t="str">
        <f ca="1"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1"/>
        <v>#REF!</v>
      </c>
      <c r="AI2989" s="43" t="str">
        <f ca="1">_xll.BInterpol('Base IPCA'!$C$3:$C$14,'Base IPCA'!$E$3:$E$14,AH2989,"Cubic","Extrapolate=Linear","MultiX=Average","Skip=True","Sort=True")</f>
        <v>#N/A Invalid Parameter: Interpolation value</v>
      </c>
      <c r="AJ2989" s="43" t="str">
        <f ca="1"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1"/>
        <v>#REF!</v>
      </c>
      <c r="AI2990" s="43" t="str">
        <f ca="1">_xll.BInterpol('Base IPCA'!$C$3:$C$14,'Base IPCA'!$E$3:$E$14,AH2990,"Cubic","Extrapolate=Linear","MultiX=Average","Skip=True","Sort=True")</f>
        <v>#N/A Invalid Parameter: Interpolation value</v>
      </c>
      <c r="AJ2990" s="43" t="str">
        <f ca="1"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1"/>
        <v>#REF!</v>
      </c>
      <c r="AI2991" s="43" t="str">
        <f ca="1">_xll.BInterpol('Base IPCA'!$C$3:$C$14,'Base IPCA'!$E$3:$E$14,AH2991,"Cubic","Extrapolate=Linear","MultiX=Average","Skip=True","Sort=True")</f>
        <v>#N/A Invalid Parameter: Interpolation value</v>
      </c>
      <c r="AJ2991" s="43" t="str">
        <f ca="1"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1"/>
        <v>#REF!</v>
      </c>
      <c r="AI2992" s="43" t="str">
        <f ca="1">_xll.BInterpol('Base IPCA'!$C$3:$C$14,'Base IPCA'!$E$3:$E$14,AH2992,"Cubic","Extrapolate=Linear","MultiX=Average","Skip=True","Sort=True")</f>
        <v>#N/A Invalid Parameter: Interpolation value</v>
      </c>
      <c r="AJ2992" s="43" t="str">
        <f ca="1"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1"/>
        <v>#REF!</v>
      </c>
      <c r="AI2993" s="43" t="str">
        <f ca="1">_xll.BInterpol('Base IPCA'!$C$3:$C$14,'Base IPCA'!$E$3:$E$14,AH2993,"Cubic","Extrapolate=Linear","MultiX=Average","Skip=True","Sort=True")</f>
        <v>#N/A Invalid Parameter: Interpolation value</v>
      </c>
      <c r="AJ2993" s="43" t="str">
        <f ca="1"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1"/>
        <v>#REF!</v>
      </c>
      <c r="AI2994" s="43" t="str">
        <f ca="1">_xll.BInterpol('Base IPCA'!$C$3:$C$14,'Base IPCA'!$E$3:$E$14,AH2994,"Cubic","Extrapolate=Linear","MultiX=Average","Skip=True","Sort=True")</f>
        <v>#N/A Invalid Parameter: Interpolation value</v>
      </c>
      <c r="AJ2994" s="43" t="str">
        <f ca="1"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1"/>
        <v>#REF!</v>
      </c>
      <c r="AI2995" s="43" t="str">
        <f ca="1">_xll.BInterpol('Base IPCA'!$C$3:$C$14,'Base IPCA'!$E$3:$E$14,AH2995,"Cubic","Extrapolate=Linear","MultiX=Average","Skip=True","Sort=True")</f>
        <v>#N/A Invalid Parameter: Interpolation value</v>
      </c>
      <c r="AJ2995" s="43" t="str">
        <f ca="1"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1"/>
        <v>#REF!</v>
      </c>
      <c r="AI2996" s="43" t="str">
        <f ca="1">_xll.BInterpol('Base IPCA'!$C$3:$C$14,'Base IPCA'!$E$3:$E$14,AH2996,"Cubic","Extrapolate=Linear","MultiX=Average","Skip=True","Sort=True")</f>
        <v>#N/A Invalid Parameter: Interpolation value</v>
      </c>
      <c r="AJ2996" s="43" t="str">
        <f ca="1"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1"/>
        <v>#REF!</v>
      </c>
      <c r="AI2997" s="43" t="str">
        <f ca="1">_xll.BInterpol('Base IPCA'!$C$3:$C$14,'Base IPCA'!$E$3:$E$14,AH2997,"Cubic","Extrapolate=Linear","MultiX=Average","Skip=True","Sort=True")</f>
        <v>#N/A Invalid Parameter: Interpolation value</v>
      </c>
      <c r="AJ2997" s="43" t="str">
        <f ca="1"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1"/>
        <v>#REF!</v>
      </c>
      <c r="AI2998" s="43" t="str">
        <f ca="1">_xll.BInterpol('Base IPCA'!$C$3:$C$14,'Base IPCA'!$E$3:$E$14,AH2998,"Cubic","Extrapolate=Linear","MultiX=Average","Skip=True","Sort=True")</f>
        <v>#N/A Invalid Parameter: Interpolation value</v>
      </c>
      <c r="AJ2998" s="43" t="str">
        <f ca="1"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1"/>
        <v>#REF!</v>
      </c>
      <c r="AI2999" s="43" t="str">
        <f ca="1">_xll.BInterpol('Base IPCA'!$C$3:$C$14,'Base IPCA'!$E$3:$E$14,AH2999,"Cubic","Extrapolate=Linear","MultiX=Average","Skip=True","Sort=True")</f>
        <v>#N/A Invalid Parameter: Interpolation value</v>
      </c>
      <c r="AJ2999" s="43" t="str">
        <f ca="1"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1"/>
        <v>#REF!</v>
      </c>
      <c r="AI3000" s="43" t="str">
        <f ca="1">_xll.BInterpol('Base IPCA'!$C$3:$C$14,'Base IPCA'!$E$3:$E$14,AH3000,"Cubic","Extrapolate=Linear","MultiX=Average","Skip=True","Sort=True")</f>
        <v>#N/A Invalid Parameter: Interpolation value</v>
      </c>
      <c r="AJ3000" s="43" t="str">
        <f ca="1"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1"/>
        <v>#REF!</v>
      </c>
      <c r="AI3001" s="43" t="str">
        <f ca="1">_xll.BInterpol('Base IPCA'!$C$3:$C$14,'Base IPCA'!$E$3:$E$14,AH3001,"Cubic","Extrapolate=Linear","MultiX=Average","Skip=True","Sort=True")</f>
        <v>#N/A Invalid Parameter: Interpolation value</v>
      </c>
      <c r="AJ3001" s="43" t="str">
        <f ca="1"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1"/>
        <v>#REF!</v>
      </c>
      <c r="AI3002" s="43" t="str">
        <f ca="1">_xll.BInterpol('Base IPCA'!$C$3:$C$14,'Base IPCA'!$E$3:$E$14,AH3002,"Cubic","Extrapolate=Linear","MultiX=Average","Skip=True","Sort=True")</f>
        <v>#N/A Invalid Parameter: Interpolation value</v>
      </c>
      <c r="AJ3002" s="43" t="str">
        <f ca="1"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1"/>
        <v>#REF!</v>
      </c>
      <c r="AI3003" s="43" t="str">
        <f ca="1">_xll.BInterpol('Base IPCA'!$C$3:$C$14,'Base IPCA'!$E$3:$E$14,AH3003,"Cubic","Extrapolate=Linear","MultiX=Average","Skip=True","Sort=True")</f>
        <v>#N/A Invalid Parameter: Interpolation value</v>
      </c>
      <c r="AJ3003" s="43" t="str">
        <f ca="1"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1"/>
        <v>#REF!</v>
      </c>
      <c r="AI3004" s="43" t="str">
        <f ca="1">_xll.BInterpol('Base IPCA'!$C$3:$C$14,'Base IPCA'!$E$3:$E$14,AH3004,"Cubic","Extrapolate=Linear","MultiX=Average","Skip=True","Sort=True")</f>
        <v>#N/A Invalid Parameter: Interpolation value</v>
      </c>
      <c r="AJ3004" s="43" t="str">
        <f ca="1"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1"/>
        <v>#REF!</v>
      </c>
      <c r="AI3005" s="43" t="str">
        <f ca="1">_xll.BInterpol('Base IPCA'!$C$3:$C$14,'Base IPCA'!$E$3:$E$14,AH3005,"Cubic","Extrapolate=Linear","MultiX=Average","Skip=True","Sort=True")</f>
        <v>#N/A Invalid Parameter: Interpolation value</v>
      </c>
      <c r="AJ3005" s="43" t="str">
        <f ca="1"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1"/>
        <v>#REF!</v>
      </c>
      <c r="AI3006" s="43" t="str">
        <f ca="1">_xll.BInterpol('Base IPCA'!$C$3:$C$14,'Base IPCA'!$E$3:$E$14,AH3006,"Cubic","Extrapolate=Linear","MultiX=Average","Skip=True","Sort=True")</f>
        <v>#N/A Invalid Parameter: Interpolation value</v>
      </c>
      <c r="AJ3006" s="43" t="str">
        <f ca="1"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1"/>
        <v>#REF!</v>
      </c>
      <c r="AI3007" s="43" t="str">
        <f ca="1">_xll.BInterpol('Base IPCA'!$C$3:$C$14,'Base IPCA'!$E$3:$E$14,AH3007,"Cubic","Extrapolate=Linear","MultiX=Average","Skip=True","Sort=True")</f>
        <v>#N/A Invalid Parameter: Interpolation value</v>
      </c>
      <c r="AJ3007" s="43" t="str">
        <f ca="1"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1"/>
        <v>#REF!</v>
      </c>
      <c r="AI3008" s="43" t="str">
        <f ca="1">_xll.BInterpol('Base IPCA'!$C$3:$C$14,'Base IPCA'!$E$3:$E$14,AH3008,"Cubic","Extrapolate=Linear","MultiX=Average","Skip=True","Sort=True")</f>
        <v>#N/A Invalid Parameter: Interpolation value</v>
      </c>
      <c r="AJ3008" s="43" t="str">
        <f ca="1"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1"/>
        <v>#REF!</v>
      </c>
      <c r="AI3009" s="43" t="str">
        <f ca="1">_xll.BInterpol('Base IPCA'!$C$3:$C$14,'Base IPCA'!$E$3:$E$14,AH3009,"Cubic","Extrapolate=Linear","MultiX=Average","Skip=True","Sort=True")</f>
        <v>#N/A Invalid Parameter: Interpolation value</v>
      </c>
      <c r="AJ3009" s="43" t="str">
        <f ca="1"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1"/>
        <v>#REF!</v>
      </c>
      <c r="AI3010" s="43" t="str">
        <f ca="1">_xll.BInterpol('Base IPCA'!$C$3:$C$14,'Base IPCA'!$E$3:$E$14,AH3010,"Cubic","Extrapolate=Linear","MultiX=Average","Skip=True","Sort=True")</f>
        <v>#N/A Invalid Parameter: Interpolation value</v>
      </c>
      <c r="AJ3010" s="43" t="str">
        <f ca="1"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1"/>
        <v>#REF!</v>
      </c>
      <c r="AI3011" s="43" t="str">
        <f ca="1">_xll.BInterpol('Base IPCA'!$C$3:$C$14,'Base IPCA'!$E$3:$E$14,AH3011,"Cubic","Extrapolate=Linear","MultiX=Average","Skip=True","Sort=True")</f>
        <v>#N/A Invalid Parameter: Interpolation value</v>
      </c>
      <c r="AJ3011" s="43" t="str">
        <f ca="1"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1"/>
        <v>#REF!</v>
      </c>
      <c r="AI3012" s="43" t="str">
        <f ca="1">_xll.BInterpol('Base IPCA'!$C$3:$C$14,'Base IPCA'!$E$3:$E$14,AH3012,"Cubic","Extrapolate=Linear","MultiX=Average","Skip=True","Sort=True")</f>
        <v>#N/A Invalid Parameter: Interpolation value</v>
      </c>
      <c r="AJ3012" s="43" t="str">
        <f ca="1"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1"/>
        <v>#REF!</v>
      </c>
      <c r="AI3013" s="43" t="str">
        <f ca="1">_xll.BInterpol('Base IPCA'!$C$3:$C$14,'Base IPCA'!$E$3:$E$14,AH3013,"Cubic","Extrapolate=Linear","MultiX=Average","Skip=True","Sort=True")</f>
        <v>#N/A Invalid Parameter: Interpolation value</v>
      </c>
      <c r="AJ3013" s="43" t="str">
        <f ca="1"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32">AH3013+1</f>
        <v>#REF!</v>
      </c>
      <c r="AI3014" s="43" t="str">
        <f ca="1">_xll.BInterpol('Base IPCA'!$C$3:$C$14,'Base IPCA'!$E$3:$E$14,AH3014,"Cubic","Extrapolate=Linear","MultiX=Average","Skip=True","Sort=True")</f>
        <v>#N/A Invalid Parameter: Interpolation value</v>
      </c>
      <c r="AJ3014" s="43" t="str">
        <f ca="1"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32"/>
        <v>#REF!</v>
      </c>
      <c r="AI3015" s="43" t="str">
        <f ca="1">_xll.BInterpol('Base IPCA'!$C$3:$C$14,'Base IPCA'!$E$3:$E$14,AH3015,"Cubic","Extrapolate=Linear","MultiX=Average","Skip=True","Sort=True")</f>
        <v>#N/A Invalid Parameter: Interpolation value</v>
      </c>
      <c r="AJ3015" s="43" t="str">
        <f ca="1"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32"/>
        <v>#REF!</v>
      </c>
      <c r="AI3016" s="43" t="str">
        <f ca="1">_xll.BInterpol('Base IPCA'!$C$3:$C$14,'Base IPCA'!$E$3:$E$14,AH3016,"Cubic","Extrapolate=Linear","MultiX=Average","Skip=True","Sort=True")</f>
        <v>#N/A Invalid Parameter: Interpolation value</v>
      </c>
      <c r="AJ3016" s="43" t="str">
        <f ca="1"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32"/>
        <v>#REF!</v>
      </c>
      <c r="AI3017" s="43" t="str">
        <f ca="1">_xll.BInterpol('Base IPCA'!$C$3:$C$14,'Base IPCA'!$E$3:$E$14,AH3017,"Cubic","Extrapolate=Linear","MultiX=Average","Skip=True","Sort=True")</f>
        <v>#N/A Invalid Parameter: Interpolation value</v>
      </c>
      <c r="AJ3017" s="43" t="str">
        <f ca="1"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32"/>
        <v>#REF!</v>
      </c>
      <c r="AI3018" s="43" t="str">
        <f ca="1">_xll.BInterpol('Base IPCA'!$C$3:$C$14,'Base IPCA'!$E$3:$E$14,AH3018,"Cubic","Extrapolate=Linear","MultiX=Average","Skip=True","Sort=True")</f>
        <v>#N/A Invalid Parameter: Interpolation value</v>
      </c>
      <c r="AJ3018" s="43" t="str">
        <f ca="1"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32"/>
        <v>#REF!</v>
      </c>
      <c r="AI3019" s="43" t="str">
        <f ca="1">_xll.BInterpol('Base IPCA'!$C$3:$C$14,'Base IPCA'!$E$3:$E$14,AH3019,"Cubic","Extrapolate=Linear","MultiX=Average","Skip=True","Sort=True")</f>
        <v>#N/A Invalid Parameter: Interpolation value</v>
      </c>
      <c r="AJ3019" s="43" t="str">
        <f ca="1"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32"/>
        <v>#REF!</v>
      </c>
      <c r="AI3020" s="43" t="str">
        <f ca="1">_xll.BInterpol('Base IPCA'!$C$3:$C$14,'Base IPCA'!$E$3:$E$14,AH3020,"Cubic","Extrapolate=Linear","MultiX=Average","Skip=True","Sort=True")</f>
        <v>#N/A Invalid Parameter: Interpolation value</v>
      </c>
      <c r="AJ3020" s="43" t="str">
        <f ca="1"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32"/>
        <v>#REF!</v>
      </c>
      <c r="AI3021" s="43" t="str">
        <f ca="1">_xll.BInterpol('Base IPCA'!$C$3:$C$14,'Base IPCA'!$E$3:$E$14,AH3021,"Cubic","Extrapolate=Linear","MultiX=Average","Skip=True","Sort=True")</f>
        <v>#N/A Invalid Parameter: Interpolation value</v>
      </c>
      <c r="AJ3021" s="43" t="str">
        <f ca="1"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32"/>
        <v>#REF!</v>
      </c>
      <c r="AI3022" s="43" t="str">
        <f ca="1">_xll.BInterpol('Base IPCA'!$C$3:$C$14,'Base IPCA'!$E$3:$E$14,AH3022,"Cubic","Extrapolate=Linear","MultiX=Average","Skip=True","Sort=True")</f>
        <v>#N/A Invalid Parameter: Interpolation value</v>
      </c>
      <c r="AJ3022" s="43" t="str">
        <f ca="1"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32"/>
        <v>#REF!</v>
      </c>
      <c r="AI3023" s="43" t="str">
        <f ca="1">_xll.BInterpol('Base IPCA'!$C$3:$C$14,'Base IPCA'!$E$3:$E$14,AH3023,"Cubic","Extrapolate=Linear","MultiX=Average","Skip=True","Sort=True")</f>
        <v>#N/A Invalid Parameter: Interpolation value</v>
      </c>
      <c r="AJ3023" s="43" t="str">
        <f ca="1"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32"/>
        <v>#REF!</v>
      </c>
      <c r="AI3024" s="43" t="str">
        <f ca="1">_xll.BInterpol('Base IPCA'!$C$3:$C$14,'Base IPCA'!$E$3:$E$14,AH3024,"Cubic","Extrapolate=Linear","MultiX=Average","Skip=True","Sort=True")</f>
        <v>#N/A Invalid Parameter: Interpolation value</v>
      </c>
      <c r="AJ3024" s="43" t="str">
        <f ca="1"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32"/>
        <v>#REF!</v>
      </c>
      <c r="AI3025" s="43" t="str">
        <f ca="1">_xll.BInterpol('Base IPCA'!$C$3:$C$14,'Base IPCA'!$E$3:$E$14,AH3025,"Cubic","Extrapolate=Linear","MultiX=Average","Skip=True","Sort=True")</f>
        <v>#N/A Invalid Parameter: Interpolation value</v>
      </c>
      <c r="AJ3025" s="43" t="str">
        <f ca="1"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32"/>
        <v>#REF!</v>
      </c>
      <c r="AI3026" s="43" t="str">
        <f ca="1">_xll.BInterpol('Base IPCA'!$C$3:$C$14,'Base IPCA'!$E$3:$E$14,AH3026,"Cubic","Extrapolate=Linear","MultiX=Average","Skip=True","Sort=True")</f>
        <v>#N/A Invalid Parameter: Interpolation value</v>
      </c>
      <c r="AJ3026" s="43" t="str">
        <f ca="1"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32"/>
        <v>#REF!</v>
      </c>
      <c r="AI3027" s="43" t="str">
        <f ca="1">_xll.BInterpol('Base IPCA'!$C$3:$C$14,'Base IPCA'!$E$3:$E$14,AH3027,"Cubic","Extrapolate=Linear","MultiX=Average","Skip=True","Sort=True")</f>
        <v>#N/A Invalid Parameter: Interpolation value</v>
      </c>
      <c r="AJ3027" s="43" t="str">
        <f ca="1"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32"/>
        <v>#REF!</v>
      </c>
      <c r="AI3028" s="43" t="str">
        <f ca="1">_xll.BInterpol('Base IPCA'!$C$3:$C$14,'Base IPCA'!$E$3:$E$14,AH3028,"Cubic","Extrapolate=Linear","MultiX=Average","Skip=True","Sort=True")</f>
        <v>#N/A Invalid Parameter: Interpolation value</v>
      </c>
      <c r="AJ3028" s="43" t="str">
        <f ca="1"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32"/>
        <v>#REF!</v>
      </c>
      <c r="AI3029" s="43" t="str">
        <f ca="1">_xll.BInterpol('Base IPCA'!$C$3:$C$14,'Base IPCA'!$E$3:$E$14,AH3029,"Cubic","Extrapolate=Linear","MultiX=Average","Skip=True","Sort=True")</f>
        <v>#N/A Invalid Parameter: Interpolation value</v>
      </c>
      <c r="AJ3029" s="43" t="str">
        <f ca="1"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32"/>
        <v>#REF!</v>
      </c>
      <c r="AI3030" s="43" t="str">
        <f ca="1">_xll.BInterpol('Base IPCA'!$C$3:$C$14,'Base IPCA'!$E$3:$E$14,AH3030,"Cubic","Extrapolate=Linear","MultiX=Average","Skip=True","Sort=True")</f>
        <v>#N/A Invalid Parameter: Interpolation value</v>
      </c>
      <c r="AJ3030" s="43" t="str">
        <f ca="1"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32"/>
        <v>#REF!</v>
      </c>
      <c r="AI3031" s="43" t="str">
        <f ca="1">_xll.BInterpol('Base IPCA'!$C$3:$C$14,'Base IPCA'!$E$3:$E$14,AH3031,"Cubic","Extrapolate=Linear","MultiX=Average","Skip=True","Sort=True")</f>
        <v>#N/A Invalid Parameter: Interpolation value</v>
      </c>
      <c r="AJ3031" s="43" t="str">
        <f ca="1"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32"/>
        <v>#REF!</v>
      </c>
      <c r="AI3032" s="43" t="str">
        <f ca="1">_xll.BInterpol('Base IPCA'!$C$3:$C$14,'Base IPCA'!$E$3:$E$14,AH3032,"Cubic","Extrapolate=Linear","MultiX=Average","Skip=True","Sort=True")</f>
        <v>#N/A Invalid Parameter: Interpolation value</v>
      </c>
      <c r="AJ3032" s="43" t="str">
        <f ca="1"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32"/>
        <v>#REF!</v>
      </c>
      <c r="AI3033" s="43" t="str">
        <f ca="1">_xll.BInterpol('Base IPCA'!$C$3:$C$14,'Base IPCA'!$E$3:$E$14,AH3033,"Cubic","Extrapolate=Linear","MultiX=Average","Skip=True","Sort=True")</f>
        <v>#N/A Invalid Parameter: Interpolation value</v>
      </c>
      <c r="AJ3033" s="43" t="str">
        <f ca="1"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32"/>
        <v>#REF!</v>
      </c>
      <c r="AI3034" s="43" t="str">
        <f ca="1">_xll.BInterpol('Base IPCA'!$C$3:$C$14,'Base IPCA'!$E$3:$E$14,AH3034,"Cubic","Extrapolate=Linear","MultiX=Average","Skip=True","Sort=True")</f>
        <v>#N/A Invalid Parameter: Interpolation value</v>
      </c>
      <c r="AJ3034" s="43" t="str">
        <f ca="1"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32"/>
        <v>#REF!</v>
      </c>
      <c r="AI3035" s="43" t="str">
        <f ca="1">_xll.BInterpol('Base IPCA'!$C$3:$C$14,'Base IPCA'!$E$3:$E$14,AH3035,"Cubic","Extrapolate=Linear","MultiX=Average","Skip=True","Sort=True")</f>
        <v>#N/A Invalid Parameter: Interpolation value</v>
      </c>
      <c r="AJ3035" s="43" t="str">
        <f ca="1"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32"/>
        <v>#REF!</v>
      </c>
      <c r="AI3036" s="43" t="str">
        <f ca="1">_xll.BInterpol('Base IPCA'!$C$3:$C$14,'Base IPCA'!$E$3:$E$14,AH3036,"Cubic","Extrapolate=Linear","MultiX=Average","Skip=True","Sort=True")</f>
        <v>#N/A Invalid Parameter: Interpolation value</v>
      </c>
      <c r="AJ3036" s="43" t="str">
        <f ca="1"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32"/>
        <v>#REF!</v>
      </c>
      <c r="AI3037" s="43" t="str">
        <f ca="1">_xll.BInterpol('Base IPCA'!$C$3:$C$14,'Base IPCA'!$E$3:$E$14,AH3037,"Cubic","Extrapolate=Linear","MultiX=Average","Skip=True","Sort=True")</f>
        <v>#N/A Invalid Parameter: Interpolation value</v>
      </c>
      <c r="AJ3037" s="43" t="str">
        <f ca="1"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32"/>
        <v>#REF!</v>
      </c>
      <c r="AI3038" s="43" t="str">
        <f ca="1">_xll.BInterpol('Base IPCA'!$C$3:$C$14,'Base IPCA'!$E$3:$E$14,AH3038,"Cubic","Extrapolate=Linear","MultiX=Average","Skip=True","Sort=True")</f>
        <v>#N/A Invalid Parameter: Interpolation value</v>
      </c>
      <c r="AJ3038" s="43" t="str">
        <f ca="1"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32"/>
        <v>#REF!</v>
      </c>
      <c r="AI3039" s="43" t="str">
        <f ca="1">_xll.BInterpol('Base IPCA'!$C$3:$C$14,'Base IPCA'!$E$3:$E$14,AH3039,"Cubic","Extrapolate=Linear","MultiX=Average","Skip=True","Sort=True")</f>
        <v>#N/A Invalid Parameter: Interpolation value</v>
      </c>
      <c r="AJ3039" s="43" t="str">
        <f ca="1"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32"/>
        <v>#REF!</v>
      </c>
      <c r="AI3040" s="43" t="str">
        <f ca="1">_xll.BInterpol('Base IPCA'!$C$3:$C$14,'Base IPCA'!$E$3:$E$14,AH3040,"Cubic","Extrapolate=Linear","MultiX=Average","Skip=True","Sort=True")</f>
        <v>#N/A Invalid Parameter: Interpolation value</v>
      </c>
      <c r="AJ3040" s="43" t="str">
        <f ca="1"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32"/>
        <v>#REF!</v>
      </c>
      <c r="AI3041" s="43" t="str">
        <f ca="1">_xll.BInterpol('Base IPCA'!$C$3:$C$14,'Base IPCA'!$E$3:$E$14,AH3041,"Cubic","Extrapolate=Linear","MultiX=Average","Skip=True","Sort=True")</f>
        <v>#N/A Invalid Parameter: Interpolation value</v>
      </c>
      <c r="AJ3041" s="43" t="str">
        <f ca="1"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32"/>
        <v>#REF!</v>
      </c>
      <c r="AI3042" s="43" t="str">
        <f ca="1">_xll.BInterpol('Base IPCA'!$C$3:$C$14,'Base IPCA'!$E$3:$E$14,AH3042,"Cubic","Extrapolate=Linear","MultiX=Average","Skip=True","Sort=True")</f>
        <v>#N/A Invalid Parameter: Interpolation value</v>
      </c>
      <c r="AJ3042" s="43" t="str">
        <f ca="1"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32"/>
        <v>#REF!</v>
      </c>
      <c r="AI3043" s="43" t="str">
        <f ca="1">_xll.BInterpol('Base IPCA'!$C$3:$C$14,'Base IPCA'!$E$3:$E$14,AH3043,"Cubic","Extrapolate=Linear","MultiX=Average","Skip=True","Sort=True")</f>
        <v>#N/A Invalid Parameter: Interpolation value</v>
      </c>
      <c r="AJ3043" s="43" t="str">
        <f ca="1"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32"/>
        <v>#REF!</v>
      </c>
      <c r="AI3044" s="43" t="str">
        <f ca="1">_xll.BInterpol('Base IPCA'!$C$3:$C$14,'Base IPCA'!$E$3:$E$14,AH3044,"Cubic","Extrapolate=Linear","MultiX=Average","Skip=True","Sort=True")</f>
        <v>#N/A Invalid Parameter: Interpolation value</v>
      </c>
      <c r="AJ3044" s="43" t="str">
        <f ca="1"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32"/>
        <v>#REF!</v>
      </c>
      <c r="AI3045" s="43" t="str">
        <f ca="1">_xll.BInterpol('Base IPCA'!$C$3:$C$14,'Base IPCA'!$E$3:$E$14,AH3045,"Cubic","Extrapolate=Linear","MultiX=Average","Skip=True","Sort=True")</f>
        <v>#N/A Invalid Parameter: Interpolation value</v>
      </c>
      <c r="AJ3045" s="43" t="str">
        <f ca="1"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32"/>
        <v>#REF!</v>
      </c>
      <c r="AI3046" s="43" t="str">
        <f ca="1">_xll.BInterpol('Base IPCA'!$C$3:$C$14,'Base IPCA'!$E$3:$E$14,AH3046,"Cubic","Extrapolate=Linear","MultiX=Average","Skip=True","Sort=True")</f>
        <v>#N/A Invalid Parameter: Interpolation value</v>
      </c>
      <c r="AJ3046" s="43" t="str">
        <f ca="1"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32"/>
        <v>#REF!</v>
      </c>
      <c r="AI3047" s="43" t="str">
        <f ca="1">_xll.BInterpol('Base IPCA'!$C$3:$C$14,'Base IPCA'!$E$3:$E$14,AH3047,"Cubic","Extrapolate=Linear","MultiX=Average","Skip=True","Sort=True")</f>
        <v>#N/A Invalid Parameter: Interpolation value</v>
      </c>
      <c r="AJ3047" s="43" t="str">
        <f ca="1"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32"/>
        <v>#REF!</v>
      </c>
      <c r="AI3048" s="43" t="str">
        <f ca="1">_xll.BInterpol('Base IPCA'!$C$3:$C$14,'Base IPCA'!$E$3:$E$14,AH3048,"Cubic","Extrapolate=Linear","MultiX=Average","Skip=True","Sort=True")</f>
        <v>#N/A Invalid Parameter: Interpolation value</v>
      </c>
      <c r="AJ3048" s="43" t="str">
        <f ca="1"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32"/>
        <v>#REF!</v>
      </c>
      <c r="AI3049" s="43" t="str">
        <f ca="1">_xll.BInterpol('Base IPCA'!$C$3:$C$14,'Base IPCA'!$E$3:$E$14,AH3049,"Cubic","Extrapolate=Linear","MultiX=Average","Skip=True","Sort=True")</f>
        <v>#N/A Invalid Parameter: Interpolation value</v>
      </c>
      <c r="AJ3049" s="43" t="str">
        <f ca="1"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32"/>
        <v>#REF!</v>
      </c>
      <c r="AI3050" s="43" t="str">
        <f ca="1">_xll.BInterpol('Base IPCA'!$C$3:$C$14,'Base IPCA'!$E$3:$E$14,AH3050,"Cubic","Extrapolate=Linear","MultiX=Average","Skip=True","Sort=True")</f>
        <v>#N/A Invalid Parameter: Interpolation value</v>
      </c>
      <c r="AJ3050" s="43" t="str">
        <f ca="1"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32"/>
        <v>#REF!</v>
      </c>
      <c r="AI3051" s="43" t="str">
        <f ca="1">_xll.BInterpol('Base IPCA'!$C$3:$C$14,'Base IPCA'!$E$3:$E$14,AH3051,"Cubic","Extrapolate=Linear","MultiX=Average","Skip=True","Sort=True")</f>
        <v>#N/A Invalid Parameter: Interpolation value</v>
      </c>
      <c r="AJ3051" s="43" t="str">
        <f ca="1"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32"/>
        <v>#REF!</v>
      </c>
      <c r="AI3052" s="43" t="str">
        <f ca="1">_xll.BInterpol('Base IPCA'!$C$3:$C$14,'Base IPCA'!$E$3:$E$14,AH3052,"Cubic","Extrapolate=Linear","MultiX=Average","Skip=True","Sort=True")</f>
        <v>#N/A Invalid Parameter: Interpolation value</v>
      </c>
      <c r="AJ3052" s="43" t="str">
        <f ca="1"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32"/>
        <v>#REF!</v>
      </c>
      <c r="AI3053" s="43" t="str">
        <f ca="1">_xll.BInterpol('Base IPCA'!$C$3:$C$14,'Base IPCA'!$E$3:$E$14,AH3053,"Cubic","Extrapolate=Linear","MultiX=Average","Skip=True","Sort=True")</f>
        <v>#N/A Invalid Parameter: Interpolation value</v>
      </c>
      <c r="AJ3053" s="43" t="str">
        <f ca="1"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32"/>
        <v>#REF!</v>
      </c>
      <c r="AI3054" s="43" t="str">
        <f ca="1">_xll.BInterpol('Base IPCA'!$C$3:$C$14,'Base IPCA'!$E$3:$E$14,AH3054,"Cubic","Extrapolate=Linear","MultiX=Average","Skip=True","Sort=True")</f>
        <v>#N/A Invalid Parameter: Interpolation value</v>
      </c>
      <c r="AJ3054" s="43" t="str">
        <f ca="1"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32"/>
        <v>#REF!</v>
      </c>
      <c r="AI3055" s="43" t="str">
        <f ca="1">_xll.BInterpol('Base IPCA'!$C$3:$C$14,'Base IPCA'!$E$3:$E$14,AH3055,"Cubic","Extrapolate=Linear","MultiX=Average","Skip=True","Sort=True")</f>
        <v>#N/A Invalid Parameter: Interpolation value</v>
      </c>
      <c r="AJ3055" s="43" t="str">
        <f ca="1"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32"/>
        <v>#REF!</v>
      </c>
      <c r="AI3056" s="43" t="str">
        <f ca="1">_xll.BInterpol('Base IPCA'!$C$3:$C$14,'Base IPCA'!$E$3:$E$14,AH3056,"Cubic","Extrapolate=Linear","MultiX=Average","Skip=True","Sort=True")</f>
        <v>#N/A Invalid Parameter: Interpolation value</v>
      </c>
      <c r="AJ3056" s="43" t="str">
        <f ca="1"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32"/>
        <v>#REF!</v>
      </c>
      <c r="AI3057" s="43" t="str">
        <f ca="1">_xll.BInterpol('Base IPCA'!$C$3:$C$14,'Base IPCA'!$E$3:$E$14,AH3057,"Cubic","Extrapolate=Linear","MultiX=Average","Skip=True","Sort=True")</f>
        <v>#N/A Invalid Parameter: Interpolation value</v>
      </c>
      <c r="AJ3057" s="43" t="str">
        <f ca="1"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32"/>
        <v>#REF!</v>
      </c>
      <c r="AI3058" s="43" t="str">
        <f ca="1">_xll.BInterpol('Base IPCA'!$C$3:$C$14,'Base IPCA'!$E$3:$E$14,AH3058,"Cubic","Extrapolate=Linear","MultiX=Average","Skip=True","Sort=True")</f>
        <v>#N/A Invalid Parameter: Interpolation value</v>
      </c>
      <c r="AJ3058" s="43" t="str">
        <f ca="1"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32"/>
        <v>#REF!</v>
      </c>
      <c r="AI3059" s="43" t="str">
        <f ca="1">_xll.BInterpol('Base IPCA'!$C$3:$C$14,'Base IPCA'!$E$3:$E$14,AH3059,"Cubic","Extrapolate=Linear","MultiX=Average","Skip=True","Sort=True")</f>
        <v>#N/A Invalid Parameter: Interpolation value</v>
      </c>
      <c r="AJ3059" s="43" t="str">
        <f ca="1"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32"/>
        <v>#REF!</v>
      </c>
      <c r="AI3060" s="43" t="str">
        <f ca="1">_xll.BInterpol('Base IPCA'!$C$3:$C$14,'Base IPCA'!$E$3:$E$14,AH3060,"Cubic","Extrapolate=Linear","MultiX=Average","Skip=True","Sort=True")</f>
        <v>#N/A Invalid Parameter: Interpolation value</v>
      </c>
      <c r="AJ3060" s="43" t="str">
        <f ca="1"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32"/>
        <v>#REF!</v>
      </c>
      <c r="AI3061" s="43" t="str">
        <f ca="1">_xll.BInterpol('Base IPCA'!$C$3:$C$14,'Base IPCA'!$E$3:$E$14,AH3061,"Cubic","Extrapolate=Linear","MultiX=Average","Skip=True","Sort=True")</f>
        <v>#N/A Invalid Parameter: Interpolation value</v>
      </c>
      <c r="AJ3061" s="43" t="str">
        <f ca="1"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32"/>
        <v>#REF!</v>
      </c>
      <c r="AI3062" s="43" t="str">
        <f ca="1">_xll.BInterpol('Base IPCA'!$C$3:$C$14,'Base IPCA'!$E$3:$E$14,AH3062,"Cubic","Extrapolate=Linear","MultiX=Average","Skip=True","Sort=True")</f>
        <v>#N/A Invalid Parameter: Interpolation value</v>
      </c>
      <c r="AJ3062" s="43" t="str">
        <f ca="1"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32"/>
        <v>#REF!</v>
      </c>
      <c r="AI3063" s="43" t="str">
        <f ca="1">_xll.BInterpol('Base IPCA'!$C$3:$C$14,'Base IPCA'!$E$3:$E$14,AH3063,"Cubic","Extrapolate=Linear","MultiX=Average","Skip=True","Sort=True")</f>
        <v>#N/A Invalid Parameter: Interpolation value</v>
      </c>
      <c r="AJ3063" s="43" t="str">
        <f ca="1"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32"/>
        <v>#REF!</v>
      </c>
      <c r="AI3064" s="43" t="str">
        <f ca="1">_xll.BInterpol('Base IPCA'!$C$3:$C$14,'Base IPCA'!$E$3:$E$14,AH3064,"Cubic","Extrapolate=Linear","MultiX=Average","Skip=True","Sort=True")</f>
        <v>#N/A Invalid Parameter: Interpolation value</v>
      </c>
      <c r="AJ3064" s="43" t="str">
        <f ca="1"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32"/>
        <v>#REF!</v>
      </c>
      <c r="AI3065" s="43" t="str">
        <f ca="1">_xll.BInterpol('Base IPCA'!$C$3:$C$14,'Base IPCA'!$E$3:$E$14,AH3065,"Cubic","Extrapolate=Linear","MultiX=Average","Skip=True","Sort=True")</f>
        <v>#N/A Invalid Parameter: Interpolation value</v>
      </c>
      <c r="AJ3065" s="43" t="str">
        <f ca="1"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32"/>
        <v>#REF!</v>
      </c>
      <c r="AI3066" s="43" t="str">
        <f ca="1">_xll.BInterpol('Base IPCA'!$C$3:$C$14,'Base IPCA'!$E$3:$E$14,AH3066,"Cubic","Extrapolate=Linear","MultiX=Average","Skip=True","Sort=True")</f>
        <v>#N/A Invalid Parameter: Interpolation value</v>
      </c>
      <c r="AJ3066" s="43" t="str">
        <f ca="1"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32"/>
        <v>#REF!</v>
      </c>
      <c r="AI3067" s="43" t="str">
        <f ca="1">_xll.BInterpol('Base IPCA'!$C$3:$C$14,'Base IPCA'!$E$3:$E$14,AH3067,"Cubic","Extrapolate=Linear","MultiX=Average","Skip=True","Sort=True")</f>
        <v>#N/A Invalid Parameter: Interpolation value</v>
      </c>
      <c r="AJ3067" s="43" t="str">
        <f ca="1"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32"/>
        <v>#REF!</v>
      </c>
      <c r="AI3068" s="43" t="str">
        <f ca="1">_xll.BInterpol('Base IPCA'!$C$3:$C$14,'Base IPCA'!$E$3:$E$14,AH3068,"Cubic","Extrapolate=Linear","MultiX=Average","Skip=True","Sort=True")</f>
        <v>#N/A Invalid Parameter: Interpolation value</v>
      </c>
      <c r="AJ3068" s="43" t="str">
        <f ca="1"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32"/>
        <v>#REF!</v>
      </c>
      <c r="AI3069" s="43" t="str">
        <f ca="1">_xll.BInterpol('Base IPCA'!$C$3:$C$14,'Base IPCA'!$E$3:$E$14,AH3069,"Cubic","Extrapolate=Linear","MultiX=Average","Skip=True","Sort=True")</f>
        <v>#N/A Invalid Parameter: Interpolation value</v>
      </c>
      <c r="AJ3069" s="43" t="str">
        <f ca="1"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32"/>
        <v>#REF!</v>
      </c>
      <c r="AI3070" s="43" t="str">
        <f ca="1">_xll.BInterpol('Base IPCA'!$C$3:$C$14,'Base IPCA'!$E$3:$E$14,AH3070,"Cubic","Extrapolate=Linear","MultiX=Average","Skip=True","Sort=True")</f>
        <v>#N/A Invalid Parameter: Interpolation value</v>
      </c>
      <c r="AJ3070" s="43" t="str">
        <f ca="1"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32"/>
        <v>#REF!</v>
      </c>
      <c r="AI3071" s="43" t="str">
        <f ca="1">_xll.BInterpol('Base IPCA'!$C$3:$C$14,'Base IPCA'!$E$3:$E$14,AH3071,"Cubic","Extrapolate=Linear","MultiX=Average","Skip=True","Sort=True")</f>
        <v>#N/A Invalid Parameter: Interpolation value</v>
      </c>
      <c r="AJ3071" s="43" t="str">
        <f ca="1"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32"/>
        <v>#REF!</v>
      </c>
      <c r="AI3072" s="43" t="str">
        <f ca="1">_xll.BInterpol('Base IPCA'!$C$3:$C$14,'Base IPCA'!$E$3:$E$14,AH3072,"Cubic","Extrapolate=Linear","MultiX=Average","Skip=True","Sort=True")</f>
        <v>#N/A Invalid Parameter: Interpolation value</v>
      </c>
      <c r="AJ3072" s="43" t="str">
        <f ca="1"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32"/>
        <v>#REF!</v>
      </c>
      <c r="AI3073" s="43" t="str">
        <f ca="1">_xll.BInterpol('Base IPCA'!$C$3:$C$14,'Base IPCA'!$E$3:$E$14,AH3073,"Cubic","Extrapolate=Linear","MultiX=Average","Skip=True","Sort=True")</f>
        <v>#N/A Invalid Parameter: Interpolation value</v>
      </c>
      <c r="AJ3073" s="43" t="str">
        <f ca="1"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32"/>
        <v>#REF!</v>
      </c>
      <c r="AI3074" s="43" t="str">
        <f ca="1">_xll.BInterpol('Base IPCA'!$C$3:$C$14,'Base IPCA'!$E$3:$E$14,AH3074,"Cubic","Extrapolate=Linear","MultiX=Average","Skip=True","Sort=True")</f>
        <v>#N/A Invalid Parameter: Interpolation value</v>
      </c>
      <c r="AJ3074" s="43" t="str">
        <f ca="1"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32"/>
        <v>#REF!</v>
      </c>
      <c r="AI3075" s="43" t="str">
        <f ca="1">_xll.BInterpol('Base IPCA'!$C$3:$C$14,'Base IPCA'!$E$3:$E$14,AH3075,"Cubic","Extrapolate=Linear","MultiX=Average","Skip=True","Sort=True")</f>
        <v>#N/A Invalid Parameter: Interpolation value</v>
      </c>
      <c r="AJ3075" s="43" t="str">
        <f ca="1"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32"/>
        <v>#REF!</v>
      </c>
      <c r="AI3076" s="43" t="str">
        <f ca="1">_xll.BInterpol('Base IPCA'!$C$3:$C$14,'Base IPCA'!$E$3:$E$14,AH3076,"Cubic","Extrapolate=Linear","MultiX=Average","Skip=True","Sort=True")</f>
        <v>#N/A Invalid Parameter: Interpolation value</v>
      </c>
      <c r="AJ3076" s="43" t="str">
        <f ca="1"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32"/>
        <v>#REF!</v>
      </c>
      <c r="AI3077" s="43" t="str">
        <f ca="1">_xll.BInterpol('Base IPCA'!$C$3:$C$14,'Base IPCA'!$E$3:$E$14,AH3077,"Cubic","Extrapolate=Linear","MultiX=Average","Skip=True","Sort=True")</f>
        <v>#N/A Invalid Parameter: Interpolation value</v>
      </c>
      <c r="AJ3077" s="43" t="str">
        <f ca="1"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33">AH3077+1</f>
        <v>#REF!</v>
      </c>
      <c r="AI3078" s="43" t="str">
        <f ca="1">_xll.BInterpol('Base IPCA'!$C$3:$C$14,'Base IPCA'!$E$3:$E$14,AH3078,"Cubic","Extrapolate=Linear","MultiX=Average","Skip=True","Sort=True")</f>
        <v>#N/A Invalid Parameter: Interpolation value</v>
      </c>
      <c r="AJ3078" s="43" t="str">
        <f ca="1"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33"/>
        <v>#REF!</v>
      </c>
      <c r="AI3079" s="43" t="str">
        <f ca="1">_xll.BInterpol('Base IPCA'!$C$3:$C$14,'Base IPCA'!$E$3:$E$14,AH3079,"Cubic","Extrapolate=Linear","MultiX=Average","Skip=True","Sort=True")</f>
        <v>#N/A Invalid Parameter: Interpolation value</v>
      </c>
      <c r="AJ3079" s="43" t="str">
        <f ca="1"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33"/>
        <v>#REF!</v>
      </c>
      <c r="AI3080" s="43" t="str">
        <f ca="1">_xll.BInterpol('Base IPCA'!$C$3:$C$14,'Base IPCA'!$E$3:$E$14,AH3080,"Cubic","Extrapolate=Linear","MultiX=Average","Skip=True","Sort=True")</f>
        <v>#N/A Invalid Parameter: Interpolation value</v>
      </c>
      <c r="AJ3080" s="43" t="str">
        <f ca="1"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33"/>
        <v>#REF!</v>
      </c>
      <c r="AI3081" s="43" t="str">
        <f ca="1">_xll.BInterpol('Base IPCA'!$C$3:$C$14,'Base IPCA'!$E$3:$E$14,AH3081,"Cubic","Extrapolate=Linear","MultiX=Average","Skip=True","Sort=True")</f>
        <v>#N/A Invalid Parameter: Interpolation value</v>
      </c>
      <c r="AJ3081" s="43" t="str">
        <f ca="1"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33"/>
        <v>#REF!</v>
      </c>
      <c r="AI3082" s="43" t="str">
        <f ca="1">_xll.BInterpol('Base IPCA'!$C$3:$C$14,'Base IPCA'!$E$3:$E$14,AH3082,"Cubic","Extrapolate=Linear","MultiX=Average","Skip=True","Sort=True")</f>
        <v>#N/A Invalid Parameter: Interpolation value</v>
      </c>
      <c r="AJ3082" s="43" t="str">
        <f ca="1"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33"/>
        <v>#REF!</v>
      </c>
      <c r="AI3083" s="43" t="str">
        <f ca="1">_xll.BInterpol('Base IPCA'!$C$3:$C$14,'Base IPCA'!$E$3:$E$14,AH3083,"Cubic","Extrapolate=Linear","MultiX=Average","Skip=True","Sort=True")</f>
        <v>#N/A Invalid Parameter: Interpolation value</v>
      </c>
      <c r="AJ3083" s="43" t="str">
        <f ca="1"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33"/>
        <v>#REF!</v>
      </c>
      <c r="AI3084" s="43" t="str">
        <f ca="1">_xll.BInterpol('Base IPCA'!$C$3:$C$14,'Base IPCA'!$E$3:$E$14,AH3084,"Cubic","Extrapolate=Linear","MultiX=Average","Skip=True","Sort=True")</f>
        <v>#N/A Invalid Parameter: Interpolation value</v>
      </c>
      <c r="AJ3084" s="43" t="str">
        <f ca="1"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33"/>
        <v>#REF!</v>
      </c>
      <c r="AI3085" s="43" t="str">
        <f ca="1">_xll.BInterpol('Base IPCA'!$C$3:$C$14,'Base IPCA'!$E$3:$E$14,AH3085,"Cubic","Extrapolate=Linear","MultiX=Average","Skip=True","Sort=True")</f>
        <v>#N/A Invalid Parameter: Interpolation value</v>
      </c>
      <c r="AJ3085" s="43" t="str">
        <f ca="1"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33"/>
        <v>#REF!</v>
      </c>
      <c r="AI3086" s="43" t="str">
        <f ca="1">_xll.BInterpol('Base IPCA'!$C$3:$C$14,'Base IPCA'!$E$3:$E$14,AH3086,"Cubic","Extrapolate=Linear","MultiX=Average","Skip=True","Sort=True")</f>
        <v>#N/A Invalid Parameter: Interpolation value</v>
      </c>
      <c r="AJ3086" s="43" t="str">
        <f ca="1"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33"/>
        <v>#REF!</v>
      </c>
      <c r="AI3087" s="43" t="str">
        <f ca="1">_xll.BInterpol('Base IPCA'!$C$3:$C$14,'Base IPCA'!$E$3:$E$14,AH3087,"Cubic","Extrapolate=Linear","MultiX=Average","Skip=True","Sort=True")</f>
        <v>#N/A Invalid Parameter: Interpolation value</v>
      </c>
      <c r="AJ3087" s="43" t="str">
        <f ca="1"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33"/>
        <v>#REF!</v>
      </c>
      <c r="AI3088" s="43" t="str">
        <f ca="1">_xll.BInterpol('Base IPCA'!$C$3:$C$14,'Base IPCA'!$E$3:$E$14,AH3088,"Cubic","Extrapolate=Linear","MultiX=Average","Skip=True","Sort=True")</f>
        <v>#N/A Invalid Parameter: Interpolation value</v>
      </c>
      <c r="AJ3088" s="43" t="str">
        <f ca="1"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33"/>
        <v>#REF!</v>
      </c>
      <c r="AI3089" s="43" t="str">
        <f ca="1">_xll.BInterpol('Base IPCA'!$C$3:$C$14,'Base IPCA'!$E$3:$E$14,AH3089,"Cubic","Extrapolate=Linear","MultiX=Average","Skip=True","Sort=True")</f>
        <v>#N/A Invalid Parameter: Interpolation value</v>
      </c>
      <c r="AJ3089" s="43" t="str">
        <f ca="1"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33"/>
        <v>#REF!</v>
      </c>
      <c r="AI3090" s="43" t="str">
        <f ca="1">_xll.BInterpol('Base IPCA'!$C$3:$C$14,'Base IPCA'!$E$3:$E$14,AH3090,"Cubic","Extrapolate=Linear","MultiX=Average","Skip=True","Sort=True")</f>
        <v>#N/A Invalid Parameter: Interpolation value</v>
      </c>
      <c r="AJ3090" s="43" t="str">
        <f ca="1"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33"/>
        <v>#REF!</v>
      </c>
      <c r="AI3091" s="43" t="str">
        <f ca="1">_xll.BInterpol('Base IPCA'!$C$3:$C$14,'Base IPCA'!$E$3:$E$14,AH3091,"Cubic","Extrapolate=Linear","MultiX=Average","Skip=True","Sort=True")</f>
        <v>#N/A Invalid Parameter: Interpolation value</v>
      </c>
      <c r="AJ3091" s="43" t="str">
        <f ca="1"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33"/>
        <v>#REF!</v>
      </c>
      <c r="AI3092" s="43" t="str">
        <f ca="1">_xll.BInterpol('Base IPCA'!$C$3:$C$14,'Base IPCA'!$E$3:$E$14,AH3092,"Cubic","Extrapolate=Linear","MultiX=Average","Skip=True","Sort=True")</f>
        <v>#N/A Invalid Parameter: Interpolation value</v>
      </c>
      <c r="AJ3092" s="43" t="str">
        <f ca="1"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33"/>
        <v>#REF!</v>
      </c>
      <c r="AI3093" s="43" t="str">
        <f ca="1">_xll.BInterpol('Base IPCA'!$C$3:$C$14,'Base IPCA'!$E$3:$E$14,AH3093,"Cubic","Extrapolate=Linear","MultiX=Average","Skip=True","Sort=True")</f>
        <v>#N/A Invalid Parameter: Interpolation value</v>
      </c>
      <c r="AJ3093" s="43" t="str">
        <f ca="1"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33"/>
        <v>#REF!</v>
      </c>
      <c r="AI3094" s="43" t="str">
        <f ca="1">_xll.BInterpol('Base IPCA'!$C$3:$C$14,'Base IPCA'!$E$3:$E$14,AH3094,"Cubic","Extrapolate=Linear","MultiX=Average","Skip=True","Sort=True")</f>
        <v>#N/A Invalid Parameter: Interpolation value</v>
      </c>
      <c r="AJ3094" s="43" t="str">
        <f ca="1"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33"/>
        <v>#REF!</v>
      </c>
      <c r="AI3095" s="43" t="str">
        <f ca="1">_xll.BInterpol('Base IPCA'!$C$3:$C$14,'Base IPCA'!$E$3:$E$14,AH3095,"Cubic","Extrapolate=Linear","MultiX=Average","Skip=True","Sort=True")</f>
        <v>#N/A Invalid Parameter: Interpolation value</v>
      </c>
      <c r="AJ3095" s="43" t="str">
        <f ca="1"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33"/>
        <v>#REF!</v>
      </c>
      <c r="AI3096" s="43" t="str">
        <f ca="1">_xll.BInterpol('Base IPCA'!$C$3:$C$14,'Base IPCA'!$E$3:$E$14,AH3096,"Cubic","Extrapolate=Linear","MultiX=Average","Skip=True","Sort=True")</f>
        <v>#N/A Invalid Parameter: Interpolation value</v>
      </c>
      <c r="AJ3096" s="43" t="str">
        <f ca="1"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33"/>
        <v>#REF!</v>
      </c>
      <c r="AI3097" s="43" t="str">
        <f ca="1">_xll.BInterpol('Base IPCA'!$C$3:$C$14,'Base IPCA'!$E$3:$E$14,AH3097,"Cubic","Extrapolate=Linear","MultiX=Average","Skip=True","Sort=True")</f>
        <v>#N/A Invalid Parameter: Interpolation value</v>
      </c>
      <c r="AJ3097" s="43" t="str">
        <f ca="1"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33"/>
        <v>#REF!</v>
      </c>
      <c r="AI3098" s="43" t="str">
        <f ca="1">_xll.BInterpol('Base IPCA'!$C$3:$C$14,'Base IPCA'!$E$3:$E$14,AH3098,"Cubic","Extrapolate=Linear","MultiX=Average","Skip=True","Sort=True")</f>
        <v>#N/A Invalid Parameter: Interpolation value</v>
      </c>
      <c r="AJ3098" s="43" t="str">
        <f ca="1"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33"/>
        <v>#REF!</v>
      </c>
      <c r="AI3099" s="43" t="str">
        <f ca="1">_xll.BInterpol('Base IPCA'!$C$3:$C$14,'Base IPCA'!$E$3:$E$14,AH3099,"Cubic","Extrapolate=Linear","MultiX=Average","Skip=True","Sort=True")</f>
        <v>#N/A Invalid Parameter: Interpolation value</v>
      </c>
      <c r="AJ3099" s="43" t="str">
        <f ca="1"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33"/>
        <v>#REF!</v>
      </c>
      <c r="AI3100" s="43" t="str">
        <f ca="1">_xll.BInterpol('Base IPCA'!$C$3:$C$14,'Base IPCA'!$E$3:$E$14,AH3100,"Cubic","Extrapolate=Linear","MultiX=Average","Skip=True","Sort=True")</f>
        <v>#N/A Invalid Parameter: Interpolation value</v>
      </c>
      <c r="AJ3100" s="43" t="str">
        <f ca="1"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33"/>
        <v>#REF!</v>
      </c>
      <c r="AI3101" s="43" t="str">
        <f ca="1">_xll.BInterpol('Base IPCA'!$C$3:$C$14,'Base IPCA'!$E$3:$E$14,AH3101,"Cubic","Extrapolate=Linear","MultiX=Average","Skip=True","Sort=True")</f>
        <v>#N/A Invalid Parameter: Interpolation value</v>
      </c>
      <c r="AJ3101" s="43" t="str">
        <f ca="1"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33"/>
        <v>#REF!</v>
      </c>
      <c r="AI3102" s="43" t="str">
        <f ca="1">_xll.BInterpol('Base IPCA'!$C$3:$C$14,'Base IPCA'!$E$3:$E$14,AH3102,"Cubic","Extrapolate=Linear","MultiX=Average","Skip=True","Sort=True")</f>
        <v>#N/A Invalid Parameter: Interpolation value</v>
      </c>
      <c r="AJ3102" s="43" t="str">
        <f ca="1"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33"/>
        <v>#REF!</v>
      </c>
      <c r="AI3103" s="43" t="str">
        <f ca="1">_xll.BInterpol('Base IPCA'!$C$3:$C$14,'Base IPCA'!$E$3:$E$14,AH3103,"Cubic","Extrapolate=Linear","MultiX=Average","Skip=True","Sort=True")</f>
        <v>#N/A Invalid Parameter: Interpolation value</v>
      </c>
      <c r="AJ3103" s="43" t="str">
        <f ca="1"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33"/>
        <v>#REF!</v>
      </c>
      <c r="AI3104" s="43" t="str">
        <f ca="1">_xll.BInterpol('Base IPCA'!$C$3:$C$14,'Base IPCA'!$E$3:$E$14,AH3104,"Cubic","Extrapolate=Linear","MultiX=Average","Skip=True","Sort=True")</f>
        <v>#N/A Invalid Parameter: Interpolation value</v>
      </c>
      <c r="AJ3104" s="43" t="str">
        <f ca="1"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33"/>
        <v>#REF!</v>
      </c>
      <c r="AI3105" s="43" t="str">
        <f ca="1">_xll.BInterpol('Base IPCA'!$C$3:$C$14,'Base IPCA'!$E$3:$E$14,AH3105,"Cubic","Extrapolate=Linear","MultiX=Average","Skip=True","Sort=True")</f>
        <v>#N/A Invalid Parameter: Interpolation value</v>
      </c>
      <c r="AJ3105" s="43" t="str">
        <f ca="1"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33"/>
        <v>#REF!</v>
      </c>
      <c r="AI3106" s="43" t="str">
        <f ca="1">_xll.BInterpol('Base IPCA'!$C$3:$C$14,'Base IPCA'!$E$3:$E$14,AH3106,"Cubic","Extrapolate=Linear","MultiX=Average","Skip=True","Sort=True")</f>
        <v>#N/A Invalid Parameter: Interpolation value</v>
      </c>
      <c r="AJ3106" s="43" t="str">
        <f ca="1"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33"/>
        <v>#REF!</v>
      </c>
      <c r="AI3107" s="43" t="str">
        <f ca="1">_xll.BInterpol('Base IPCA'!$C$3:$C$14,'Base IPCA'!$E$3:$E$14,AH3107,"Cubic","Extrapolate=Linear","MultiX=Average","Skip=True","Sort=True")</f>
        <v>#N/A Invalid Parameter: Interpolation value</v>
      </c>
      <c r="AJ3107" s="43" t="str">
        <f ca="1"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33"/>
        <v>#REF!</v>
      </c>
      <c r="AI3108" s="43" t="str">
        <f ca="1">_xll.BInterpol('Base IPCA'!$C$3:$C$14,'Base IPCA'!$E$3:$E$14,AH3108,"Cubic","Extrapolate=Linear","MultiX=Average","Skip=True","Sort=True")</f>
        <v>#N/A Invalid Parameter: Interpolation value</v>
      </c>
      <c r="AJ3108" s="43" t="str">
        <f ca="1"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33"/>
        <v>#REF!</v>
      </c>
      <c r="AI3109" s="43" t="str">
        <f ca="1">_xll.BInterpol('Base IPCA'!$C$3:$C$14,'Base IPCA'!$E$3:$E$14,AH3109,"Cubic","Extrapolate=Linear","MultiX=Average","Skip=True","Sort=True")</f>
        <v>#N/A Invalid Parameter: Interpolation value</v>
      </c>
      <c r="AJ3109" s="43" t="str">
        <f ca="1"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33"/>
        <v>#REF!</v>
      </c>
      <c r="AI3110" s="43" t="str">
        <f ca="1">_xll.BInterpol('Base IPCA'!$C$3:$C$14,'Base IPCA'!$E$3:$E$14,AH3110,"Cubic","Extrapolate=Linear","MultiX=Average","Skip=True","Sort=True")</f>
        <v>#N/A Invalid Parameter: Interpolation value</v>
      </c>
      <c r="AJ3110" s="43" t="str">
        <f ca="1"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33"/>
        <v>#REF!</v>
      </c>
      <c r="AI3111" s="43" t="str">
        <f ca="1">_xll.BInterpol('Base IPCA'!$C$3:$C$14,'Base IPCA'!$E$3:$E$14,AH3111,"Cubic","Extrapolate=Linear","MultiX=Average","Skip=True","Sort=True")</f>
        <v>#N/A Invalid Parameter: Interpolation value</v>
      </c>
      <c r="AJ3111" s="43" t="str">
        <f ca="1"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33"/>
        <v>#REF!</v>
      </c>
      <c r="AI3112" s="43" t="str">
        <f ca="1">_xll.BInterpol('Base IPCA'!$C$3:$C$14,'Base IPCA'!$E$3:$E$14,AH3112,"Cubic","Extrapolate=Linear","MultiX=Average","Skip=True","Sort=True")</f>
        <v>#N/A Invalid Parameter: Interpolation value</v>
      </c>
      <c r="AJ3112" s="43" t="str">
        <f ca="1"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33"/>
        <v>#REF!</v>
      </c>
      <c r="AI3113" s="43" t="str">
        <f ca="1">_xll.BInterpol('Base IPCA'!$C$3:$C$14,'Base IPCA'!$E$3:$E$14,AH3113,"Cubic","Extrapolate=Linear","MultiX=Average","Skip=True","Sort=True")</f>
        <v>#N/A Invalid Parameter: Interpolation value</v>
      </c>
      <c r="AJ3113" s="43" t="str">
        <f ca="1"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33"/>
        <v>#REF!</v>
      </c>
      <c r="AI3114" s="43" t="str">
        <f ca="1">_xll.BInterpol('Base IPCA'!$C$3:$C$14,'Base IPCA'!$E$3:$E$14,AH3114,"Cubic","Extrapolate=Linear","MultiX=Average","Skip=True","Sort=True")</f>
        <v>#N/A Invalid Parameter: Interpolation value</v>
      </c>
      <c r="AJ3114" s="43" t="str">
        <f ca="1"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33"/>
        <v>#REF!</v>
      </c>
      <c r="AI3115" s="43" t="str">
        <f ca="1">_xll.BInterpol('Base IPCA'!$C$3:$C$14,'Base IPCA'!$E$3:$E$14,AH3115,"Cubic","Extrapolate=Linear","MultiX=Average","Skip=True","Sort=True")</f>
        <v>#N/A Invalid Parameter: Interpolation value</v>
      </c>
      <c r="AJ3115" s="43" t="str">
        <f ca="1"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33"/>
        <v>#REF!</v>
      </c>
      <c r="AI3116" s="43" t="str">
        <f ca="1">_xll.BInterpol('Base IPCA'!$C$3:$C$14,'Base IPCA'!$E$3:$E$14,AH3116,"Cubic","Extrapolate=Linear","MultiX=Average","Skip=True","Sort=True")</f>
        <v>#N/A Invalid Parameter: Interpolation value</v>
      </c>
      <c r="AJ3116" s="43" t="str">
        <f ca="1"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33"/>
        <v>#REF!</v>
      </c>
      <c r="AI3117" s="43" t="str">
        <f ca="1">_xll.BInterpol('Base IPCA'!$C$3:$C$14,'Base IPCA'!$E$3:$E$14,AH3117,"Cubic","Extrapolate=Linear","MultiX=Average","Skip=True","Sort=True")</f>
        <v>#N/A Invalid Parameter: Interpolation value</v>
      </c>
      <c r="AJ3117" s="43" t="str">
        <f ca="1"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33"/>
        <v>#REF!</v>
      </c>
      <c r="AI3118" s="43" t="str">
        <f ca="1">_xll.BInterpol('Base IPCA'!$C$3:$C$14,'Base IPCA'!$E$3:$E$14,AH3118,"Cubic","Extrapolate=Linear","MultiX=Average","Skip=True","Sort=True")</f>
        <v>#N/A Invalid Parameter: Interpolation value</v>
      </c>
      <c r="AJ3118" s="43" t="str">
        <f ca="1"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33"/>
        <v>#REF!</v>
      </c>
      <c r="AI3119" s="43" t="str">
        <f ca="1">_xll.BInterpol('Base IPCA'!$C$3:$C$14,'Base IPCA'!$E$3:$E$14,AH3119,"Cubic","Extrapolate=Linear","MultiX=Average","Skip=True","Sort=True")</f>
        <v>#N/A Invalid Parameter: Interpolation value</v>
      </c>
      <c r="AJ3119" s="43" t="str">
        <f ca="1"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33"/>
        <v>#REF!</v>
      </c>
      <c r="AI3120" s="43" t="str">
        <f ca="1">_xll.BInterpol('Base IPCA'!$C$3:$C$14,'Base IPCA'!$E$3:$E$14,AH3120,"Cubic","Extrapolate=Linear","MultiX=Average","Skip=True","Sort=True")</f>
        <v>#N/A Invalid Parameter: Interpolation value</v>
      </c>
      <c r="AJ3120" s="43" t="str">
        <f ca="1"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33"/>
        <v>#REF!</v>
      </c>
      <c r="AI3121" s="43" t="str">
        <f ca="1">_xll.BInterpol('Base IPCA'!$C$3:$C$14,'Base IPCA'!$E$3:$E$14,AH3121,"Cubic","Extrapolate=Linear","MultiX=Average","Skip=True","Sort=True")</f>
        <v>#N/A Invalid Parameter: Interpolation value</v>
      </c>
      <c r="AJ3121" s="43" t="str">
        <f ca="1"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33"/>
        <v>#REF!</v>
      </c>
      <c r="AI3122" s="43" t="str">
        <f ca="1">_xll.BInterpol('Base IPCA'!$C$3:$C$14,'Base IPCA'!$E$3:$E$14,AH3122,"Cubic","Extrapolate=Linear","MultiX=Average","Skip=True","Sort=True")</f>
        <v>#N/A Invalid Parameter: Interpolation value</v>
      </c>
      <c r="AJ3122" s="43" t="str">
        <f ca="1"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33"/>
        <v>#REF!</v>
      </c>
      <c r="AI3123" s="43" t="str">
        <f ca="1">_xll.BInterpol('Base IPCA'!$C$3:$C$14,'Base IPCA'!$E$3:$E$14,AH3123,"Cubic","Extrapolate=Linear","MultiX=Average","Skip=True","Sort=True")</f>
        <v>#N/A Invalid Parameter: Interpolation value</v>
      </c>
      <c r="AJ3123" s="43" t="str">
        <f ca="1"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33"/>
        <v>#REF!</v>
      </c>
      <c r="AI3124" s="43" t="str">
        <f ca="1">_xll.BInterpol('Base IPCA'!$C$3:$C$14,'Base IPCA'!$E$3:$E$14,AH3124,"Cubic","Extrapolate=Linear","MultiX=Average","Skip=True","Sort=True")</f>
        <v>#N/A Invalid Parameter: Interpolation value</v>
      </c>
      <c r="AJ3124" s="43" t="str">
        <f ca="1"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33"/>
        <v>#REF!</v>
      </c>
      <c r="AI3125" s="43" t="str">
        <f ca="1">_xll.BInterpol('Base IPCA'!$C$3:$C$14,'Base IPCA'!$E$3:$E$14,AH3125,"Cubic","Extrapolate=Linear","MultiX=Average","Skip=True","Sort=True")</f>
        <v>#N/A Invalid Parameter: Interpolation value</v>
      </c>
      <c r="AJ3125" s="43" t="str">
        <f ca="1"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33"/>
        <v>#REF!</v>
      </c>
      <c r="AI3126" s="43" t="str">
        <f ca="1">_xll.BInterpol('Base IPCA'!$C$3:$C$14,'Base IPCA'!$E$3:$E$14,AH3126,"Cubic","Extrapolate=Linear","MultiX=Average","Skip=True","Sort=True")</f>
        <v>#N/A Invalid Parameter: Interpolation value</v>
      </c>
      <c r="AJ3126" s="43" t="str">
        <f ca="1"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33"/>
        <v>#REF!</v>
      </c>
      <c r="AI3127" s="43" t="str">
        <f ca="1">_xll.BInterpol('Base IPCA'!$C$3:$C$14,'Base IPCA'!$E$3:$E$14,AH3127,"Cubic","Extrapolate=Linear","MultiX=Average","Skip=True","Sort=True")</f>
        <v>#N/A Invalid Parameter: Interpolation value</v>
      </c>
      <c r="AJ3127" s="43" t="str">
        <f ca="1"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33"/>
        <v>#REF!</v>
      </c>
      <c r="AI3128" s="43" t="str">
        <f ca="1">_xll.BInterpol('Base IPCA'!$C$3:$C$14,'Base IPCA'!$E$3:$E$14,AH3128,"Cubic","Extrapolate=Linear","MultiX=Average","Skip=True","Sort=True")</f>
        <v>#N/A Invalid Parameter: Interpolation value</v>
      </c>
      <c r="AJ3128" s="43" t="str">
        <f ca="1"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33"/>
        <v>#REF!</v>
      </c>
      <c r="AI3129" s="43" t="str">
        <f ca="1">_xll.BInterpol('Base IPCA'!$C$3:$C$14,'Base IPCA'!$E$3:$E$14,AH3129,"Cubic","Extrapolate=Linear","MultiX=Average","Skip=True","Sort=True")</f>
        <v>#N/A Invalid Parameter: Interpolation value</v>
      </c>
      <c r="AJ3129" s="43" t="str">
        <f ca="1"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33"/>
        <v>#REF!</v>
      </c>
      <c r="AI3130" s="43" t="str">
        <f ca="1">_xll.BInterpol('Base IPCA'!$C$3:$C$14,'Base IPCA'!$E$3:$E$14,AH3130,"Cubic","Extrapolate=Linear","MultiX=Average","Skip=True","Sort=True")</f>
        <v>#N/A Invalid Parameter: Interpolation value</v>
      </c>
      <c r="AJ3130" s="43" t="str">
        <f ca="1"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33"/>
        <v>#REF!</v>
      </c>
      <c r="AI3131" s="43" t="str">
        <f ca="1">_xll.BInterpol('Base IPCA'!$C$3:$C$14,'Base IPCA'!$E$3:$E$14,AH3131,"Cubic","Extrapolate=Linear","MultiX=Average","Skip=True","Sort=True")</f>
        <v>#N/A Invalid Parameter: Interpolation value</v>
      </c>
      <c r="AJ3131" s="43" t="str">
        <f ca="1"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33"/>
        <v>#REF!</v>
      </c>
      <c r="AI3132" s="43" t="str">
        <f ca="1">_xll.BInterpol('Base IPCA'!$C$3:$C$14,'Base IPCA'!$E$3:$E$14,AH3132,"Cubic","Extrapolate=Linear","MultiX=Average","Skip=True","Sort=True")</f>
        <v>#N/A Invalid Parameter: Interpolation value</v>
      </c>
      <c r="AJ3132" s="43" t="str">
        <f ca="1"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33"/>
        <v>#REF!</v>
      </c>
      <c r="AI3133" s="43" t="str">
        <f ca="1">_xll.BInterpol('Base IPCA'!$C$3:$C$14,'Base IPCA'!$E$3:$E$14,AH3133,"Cubic","Extrapolate=Linear","MultiX=Average","Skip=True","Sort=True")</f>
        <v>#N/A Invalid Parameter: Interpolation value</v>
      </c>
      <c r="AJ3133" s="43" t="str">
        <f ca="1"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33"/>
        <v>#REF!</v>
      </c>
      <c r="AI3134" s="43" t="str">
        <f ca="1">_xll.BInterpol('Base IPCA'!$C$3:$C$14,'Base IPCA'!$E$3:$E$14,AH3134,"Cubic","Extrapolate=Linear","MultiX=Average","Skip=True","Sort=True")</f>
        <v>#N/A Invalid Parameter: Interpolation value</v>
      </c>
      <c r="AJ3134" s="43" t="str">
        <f ca="1"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33"/>
        <v>#REF!</v>
      </c>
      <c r="AI3135" s="43" t="str">
        <f ca="1">_xll.BInterpol('Base IPCA'!$C$3:$C$14,'Base IPCA'!$E$3:$E$14,AH3135,"Cubic","Extrapolate=Linear","MultiX=Average","Skip=True","Sort=True")</f>
        <v>#N/A Invalid Parameter: Interpolation value</v>
      </c>
      <c r="AJ3135" s="43" t="str">
        <f ca="1"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33"/>
        <v>#REF!</v>
      </c>
      <c r="AI3136" s="43" t="str">
        <f ca="1">_xll.BInterpol('Base IPCA'!$C$3:$C$14,'Base IPCA'!$E$3:$E$14,AH3136,"Cubic","Extrapolate=Linear","MultiX=Average","Skip=True","Sort=True")</f>
        <v>#N/A Invalid Parameter: Interpolation value</v>
      </c>
      <c r="AJ3136" s="43" t="str">
        <f ca="1"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33"/>
        <v>#REF!</v>
      </c>
      <c r="AI3137" s="43" t="str">
        <f ca="1">_xll.BInterpol('Base IPCA'!$C$3:$C$14,'Base IPCA'!$E$3:$E$14,AH3137,"Cubic","Extrapolate=Linear","MultiX=Average","Skip=True","Sort=True")</f>
        <v>#N/A Invalid Parameter: Interpolation value</v>
      </c>
      <c r="AJ3137" s="43" t="str">
        <f ca="1"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33"/>
        <v>#REF!</v>
      </c>
      <c r="AI3138" s="43" t="str">
        <f ca="1">_xll.BInterpol('Base IPCA'!$C$3:$C$14,'Base IPCA'!$E$3:$E$14,AH3138,"Cubic","Extrapolate=Linear","MultiX=Average","Skip=True","Sort=True")</f>
        <v>#N/A Invalid Parameter: Interpolation value</v>
      </c>
      <c r="AJ3138" s="43" t="str">
        <f ca="1"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33"/>
        <v>#REF!</v>
      </c>
      <c r="AI3139" s="43" t="str">
        <f ca="1">_xll.BInterpol('Base IPCA'!$C$3:$C$14,'Base IPCA'!$E$3:$E$14,AH3139,"Cubic","Extrapolate=Linear","MultiX=Average","Skip=True","Sort=True")</f>
        <v>#N/A Invalid Parameter: Interpolation value</v>
      </c>
      <c r="AJ3139" s="43" t="str">
        <f ca="1"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33"/>
        <v>#REF!</v>
      </c>
      <c r="AI3140" s="43" t="str">
        <f ca="1">_xll.BInterpol('Base IPCA'!$C$3:$C$14,'Base IPCA'!$E$3:$E$14,AH3140,"Cubic","Extrapolate=Linear","MultiX=Average","Skip=True","Sort=True")</f>
        <v>#N/A Invalid Parameter: Interpolation value</v>
      </c>
      <c r="AJ3140" s="43" t="str">
        <f ca="1"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33"/>
        <v>#REF!</v>
      </c>
      <c r="AI3141" s="43" t="str">
        <f ca="1">_xll.BInterpol('Base IPCA'!$C$3:$C$14,'Base IPCA'!$E$3:$E$14,AH3141,"Cubic","Extrapolate=Linear","MultiX=Average","Skip=True","Sort=True")</f>
        <v>#N/A Invalid Parameter: Interpolation value</v>
      </c>
      <c r="AJ3141" s="43" t="str">
        <f ca="1"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34">AH3141+1</f>
        <v>#REF!</v>
      </c>
      <c r="AI3142" s="43" t="str">
        <f ca="1">_xll.BInterpol('Base IPCA'!$C$3:$C$14,'Base IPCA'!$E$3:$E$14,AH3142,"Cubic","Extrapolate=Linear","MultiX=Average","Skip=True","Sort=True")</f>
        <v>#N/A Invalid Parameter: Interpolation value</v>
      </c>
      <c r="AJ3142" s="43" t="str">
        <f ca="1"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34"/>
        <v>#REF!</v>
      </c>
      <c r="AI3143" s="43" t="str">
        <f ca="1">_xll.BInterpol('Base IPCA'!$C$3:$C$14,'Base IPCA'!$E$3:$E$14,AH3143,"Cubic","Extrapolate=Linear","MultiX=Average","Skip=True","Sort=True")</f>
        <v>#N/A Invalid Parameter: Interpolation value</v>
      </c>
      <c r="AJ3143" s="43" t="str">
        <f ca="1"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34"/>
        <v>#REF!</v>
      </c>
      <c r="AI3144" s="43" t="str">
        <f ca="1">_xll.BInterpol('Base IPCA'!$C$3:$C$14,'Base IPCA'!$E$3:$E$14,AH3144,"Cubic","Extrapolate=Linear","MultiX=Average","Skip=True","Sort=True")</f>
        <v>#N/A Invalid Parameter: Interpolation value</v>
      </c>
      <c r="AJ3144" s="43" t="str">
        <f ca="1"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34"/>
        <v>#REF!</v>
      </c>
      <c r="AI3145" s="43" t="str">
        <f ca="1">_xll.BInterpol('Base IPCA'!$C$3:$C$14,'Base IPCA'!$E$3:$E$14,AH3145,"Cubic","Extrapolate=Linear","MultiX=Average","Skip=True","Sort=True")</f>
        <v>#N/A Invalid Parameter: Interpolation value</v>
      </c>
      <c r="AJ3145" s="43" t="str">
        <f ca="1"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34"/>
        <v>#REF!</v>
      </c>
      <c r="AI3146" s="43" t="str">
        <f ca="1">_xll.BInterpol('Base IPCA'!$C$3:$C$14,'Base IPCA'!$E$3:$E$14,AH3146,"Cubic","Extrapolate=Linear","MultiX=Average","Skip=True","Sort=True")</f>
        <v>#N/A Invalid Parameter: Interpolation value</v>
      </c>
      <c r="AJ3146" s="43" t="str">
        <f ca="1"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34"/>
        <v>#REF!</v>
      </c>
      <c r="AI3147" s="43" t="str">
        <f ca="1">_xll.BInterpol('Base IPCA'!$C$3:$C$14,'Base IPCA'!$E$3:$E$14,AH3147,"Cubic","Extrapolate=Linear","MultiX=Average","Skip=True","Sort=True")</f>
        <v>#N/A Invalid Parameter: Interpolation value</v>
      </c>
      <c r="AJ3147" s="43" t="str">
        <f ca="1"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34"/>
        <v>#REF!</v>
      </c>
      <c r="AI3148" s="43" t="str">
        <f ca="1">_xll.BInterpol('Base IPCA'!$C$3:$C$14,'Base IPCA'!$E$3:$E$14,AH3148,"Cubic","Extrapolate=Linear","MultiX=Average","Skip=True","Sort=True")</f>
        <v>#N/A Invalid Parameter: Interpolation value</v>
      </c>
      <c r="AJ3148" s="43" t="str">
        <f ca="1"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34"/>
        <v>#REF!</v>
      </c>
      <c r="AI3149" s="43" t="str">
        <f ca="1">_xll.BInterpol('Base IPCA'!$C$3:$C$14,'Base IPCA'!$E$3:$E$14,AH3149,"Cubic","Extrapolate=Linear","MultiX=Average","Skip=True","Sort=True")</f>
        <v>#N/A Invalid Parameter: Interpolation value</v>
      </c>
      <c r="AJ3149" s="43" t="str">
        <f ca="1"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34"/>
        <v>#REF!</v>
      </c>
      <c r="AI3150" s="43" t="str">
        <f ca="1">_xll.BInterpol('Base IPCA'!$C$3:$C$14,'Base IPCA'!$E$3:$E$14,AH3150,"Cubic","Extrapolate=Linear","MultiX=Average","Skip=True","Sort=True")</f>
        <v>#N/A Invalid Parameter: Interpolation value</v>
      </c>
      <c r="AJ3150" s="43" t="str">
        <f ca="1"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34"/>
        <v>#REF!</v>
      </c>
      <c r="AI3151" s="43" t="str">
        <f ca="1">_xll.BInterpol('Base IPCA'!$C$3:$C$14,'Base IPCA'!$E$3:$E$14,AH3151,"Cubic","Extrapolate=Linear","MultiX=Average","Skip=True","Sort=True")</f>
        <v>#N/A Invalid Parameter: Interpolation value</v>
      </c>
      <c r="AJ3151" s="43" t="str">
        <f ca="1"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34"/>
        <v>#REF!</v>
      </c>
      <c r="AI3152" s="43" t="str">
        <f ca="1">_xll.BInterpol('Base IPCA'!$C$3:$C$14,'Base IPCA'!$E$3:$E$14,AH3152,"Cubic","Extrapolate=Linear","MultiX=Average","Skip=True","Sort=True")</f>
        <v>#N/A Invalid Parameter: Interpolation value</v>
      </c>
      <c r="AJ3152" s="43" t="str">
        <f ca="1"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34"/>
        <v>#REF!</v>
      </c>
      <c r="AI3153" s="43" t="str">
        <f ca="1">_xll.BInterpol('Base IPCA'!$C$3:$C$14,'Base IPCA'!$E$3:$E$14,AH3153,"Cubic","Extrapolate=Linear","MultiX=Average","Skip=True","Sort=True")</f>
        <v>#N/A Invalid Parameter: Interpolation value</v>
      </c>
      <c r="AJ3153" s="43" t="str">
        <f ca="1"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34"/>
        <v>#REF!</v>
      </c>
      <c r="AI3154" s="43" t="str">
        <f ca="1">_xll.BInterpol('Base IPCA'!$C$3:$C$14,'Base IPCA'!$E$3:$E$14,AH3154,"Cubic","Extrapolate=Linear","MultiX=Average","Skip=True","Sort=True")</f>
        <v>#N/A Invalid Parameter: Interpolation value</v>
      </c>
      <c r="AJ3154" s="43" t="str">
        <f ca="1"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34"/>
        <v>#REF!</v>
      </c>
      <c r="AI3155" s="43" t="str">
        <f ca="1">_xll.BInterpol('Base IPCA'!$C$3:$C$14,'Base IPCA'!$E$3:$E$14,AH3155,"Cubic","Extrapolate=Linear","MultiX=Average","Skip=True","Sort=True")</f>
        <v>#N/A Invalid Parameter: Interpolation value</v>
      </c>
      <c r="AJ3155" s="43" t="str">
        <f ca="1"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34"/>
        <v>#REF!</v>
      </c>
      <c r="AI3156" s="43" t="str">
        <f ca="1">_xll.BInterpol('Base IPCA'!$C$3:$C$14,'Base IPCA'!$E$3:$E$14,AH3156,"Cubic","Extrapolate=Linear","MultiX=Average","Skip=True","Sort=True")</f>
        <v>#N/A Invalid Parameter: Interpolation value</v>
      </c>
      <c r="AJ3156" s="43" t="str">
        <f ca="1"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34"/>
        <v>#REF!</v>
      </c>
      <c r="AI3157" s="43" t="str">
        <f ca="1">_xll.BInterpol('Base IPCA'!$C$3:$C$14,'Base IPCA'!$E$3:$E$14,AH3157,"Cubic","Extrapolate=Linear","MultiX=Average","Skip=True","Sort=True")</f>
        <v>#N/A Invalid Parameter: Interpolation value</v>
      </c>
      <c r="AJ3157" s="43" t="str">
        <f ca="1"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34"/>
        <v>#REF!</v>
      </c>
      <c r="AI3158" s="43" t="str">
        <f ca="1">_xll.BInterpol('Base IPCA'!$C$3:$C$14,'Base IPCA'!$E$3:$E$14,AH3158,"Cubic","Extrapolate=Linear","MultiX=Average","Skip=True","Sort=True")</f>
        <v>#N/A Invalid Parameter: Interpolation value</v>
      </c>
      <c r="AJ3158" s="43" t="str">
        <f ca="1"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34"/>
        <v>#REF!</v>
      </c>
      <c r="AI3159" s="43" t="str">
        <f ca="1">_xll.BInterpol('Base IPCA'!$C$3:$C$14,'Base IPCA'!$E$3:$E$14,AH3159,"Cubic","Extrapolate=Linear","MultiX=Average","Skip=True","Sort=True")</f>
        <v>#N/A Invalid Parameter: Interpolation value</v>
      </c>
      <c r="AJ3159" s="43" t="str">
        <f ca="1"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34"/>
        <v>#REF!</v>
      </c>
      <c r="AI3160" s="43" t="str">
        <f ca="1">_xll.BInterpol('Base IPCA'!$C$3:$C$14,'Base IPCA'!$E$3:$E$14,AH3160,"Cubic","Extrapolate=Linear","MultiX=Average","Skip=True","Sort=True")</f>
        <v>#N/A Invalid Parameter: Interpolation value</v>
      </c>
      <c r="AJ3160" s="43" t="str">
        <f ca="1"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34"/>
        <v>#REF!</v>
      </c>
      <c r="AI3161" s="43" t="str">
        <f ca="1">_xll.BInterpol('Base IPCA'!$C$3:$C$14,'Base IPCA'!$E$3:$E$14,AH3161,"Cubic","Extrapolate=Linear","MultiX=Average","Skip=True","Sort=True")</f>
        <v>#N/A Invalid Parameter: Interpolation value</v>
      </c>
      <c r="AJ3161" s="43" t="str">
        <f ca="1"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34"/>
        <v>#REF!</v>
      </c>
      <c r="AI3162" s="43" t="str">
        <f ca="1">_xll.BInterpol('Base IPCA'!$C$3:$C$14,'Base IPCA'!$E$3:$E$14,AH3162,"Cubic","Extrapolate=Linear","MultiX=Average","Skip=True","Sort=True")</f>
        <v>#N/A Invalid Parameter: Interpolation value</v>
      </c>
      <c r="AJ3162" s="43" t="str">
        <f ca="1"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34"/>
        <v>#REF!</v>
      </c>
      <c r="AI3163" s="43" t="str">
        <f ca="1">_xll.BInterpol('Base IPCA'!$C$3:$C$14,'Base IPCA'!$E$3:$E$14,AH3163,"Cubic","Extrapolate=Linear","MultiX=Average","Skip=True","Sort=True")</f>
        <v>#N/A Invalid Parameter: Interpolation value</v>
      </c>
      <c r="AJ3163" s="43" t="str">
        <f ca="1"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34"/>
        <v>#REF!</v>
      </c>
      <c r="AI3164" s="43" t="str">
        <f ca="1">_xll.BInterpol('Base IPCA'!$C$3:$C$14,'Base IPCA'!$E$3:$E$14,AH3164,"Cubic","Extrapolate=Linear","MultiX=Average","Skip=True","Sort=True")</f>
        <v>#N/A Invalid Parameter: Interpolation value</v>
      </c>
      <c r="AJ3164" s="43" t="str">
        <f ca="1"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34"/>
        <v>#REF!</v>
      </c>
      <c r="AI3165" s="43" t="str">
        <f ca="1">_xll.BInterpol('Base IPCA'!$C$3:$C$14,'Base IPCA'!$E$3:$E$14,AH3165,"Cubic","Extrapolate=Linear","MultiX=Average","Skip=True","Sort=True")</f>
        <v>#N/A Invalid Parameter: Interpolation value</v>
      </c>
      <c r="AJ3165" s="43" t="str">
        <f ca="1"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34"/>
        <v>#REF!</v>
      </c>
      <c r="AI3166" s="43" t="str">
        <f ca="1">_xll.BInterpol('Base IPCA'!$C$3:$C$14,'Base IPCA'!$E$3:$E$14,AH3166,"Cubic","Extrapolate=Linear","MultiX=Average","Skip=True","Sort=True")</f>
        <v>#N/A Invalid Parameter: Interpolation value</v>
      </c>
      <c r="AJ3166" s="43" t="str">
        <f ca="1"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34"/>
        <v>#REF!</v>
      </c>
      <c r="AI3167" s="43" t="str">
        <f ca="1">_xll.BInterpol('Base IPCA'!$C$3:$C$14,'Base IPCA'!$E$3:$E$14,AH3167,"Cubic","Extrapolate=Linear","MultiX=Average","Skip=True","Sort=True")</f>
        <v>#N/A Invalid Parameter: Interpolation value</v>
      </c>
      <c r="AJ3167" s="43" t="str">
        <f ca="1"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34"/>
        <v>#REF!</v>
      </c>
      <c r="AI3168" s="43" t="str">
        <f ca="1">_xll.BInterpol('Base IPCA'!$C$3:$C$14,'Base IPCA'!$E$3:$E$14,AH3168,"Cubic","Extrapolate=Linear","MultiX=Average","Skip=True","Sort=True")</f>
        <v>#N/A Invalid Parameter: Interpolation value</v>
      </c>
      <c r="AJ3168" s="43" t="str">
        <f ca="1"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34"/>
        <v>#REF!</v>
      </c>
      <c r="AI3169" s="43" t="str">
        <f ca="1">_xll.BInterpol('Base IPCA'!$C$3:$C$14,'Base IPCA'!$E$3:$E$14,AH3169,"Cubic","Extrapolate=Linear","MultiX=Average","Skip=True","Sort=True")</f>
        <v>#N/A Invalid Parameter: Interpolation value</v>
      </c>
      <c r="AJ3169" s="43" t="str">
        <f ca="1"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34"/>
        <v>#REF!</v>
      </c>
      <c r="AI3170" s="43" t="str">
        <f ca="1">_xll.BInterpol('Base IPCA'!$C$3:$C$14,'Base IPCA'!$E$3:$E$14,AH3170,"Cubic","Extrapolate=Linear","MultiX=Average","Skip=True","Sort=True")</f>
        <v>#N/A Invalid Parameter: Interpolation value</v>
      </c>
      <c r="AJ3170" s="43" t="str">
        <f ca="1"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34"/>
        <v>#REF!</v>
      </c>
      <c r="AI3171" s="43" t="str">
        <f ca="1">_xll.BInterpol('Base IPCA'!$C$3:$C$14,'Base IPCA'!$E$3:$E$14,AH3171,"Cubic","Extrapolate=Linear","MultiX=Average","Skip=True","Sort=True")</f>
        <v>#N/A Invalid Parameter: Interpolation value</v>
      </c>
      <c r="AJ3171" s="43" t="str">
        <f ca="1"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34"/>
        <v>#REF!</v>
      </c>
      <c r="AI3172" s="43" t="str">
        <f ca="1">_xll.BInterpol('Base IPCA'!$C$3:$C$14,'Base IPCA'!$E$3:$E$14,AH3172,"Cubic","Extrapolate=Linear","MultiX=Average","Skip=True","Sort=True")</f>
        <v>#N/A Invalid Parameter: Interpolation value</v>
      </c>
      <c r="AJ3172" s="43" t="str">
        <f ca="1"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34"/>
        <v>#REF!</v>
      </c>
      <c r="AI3173" s="43" t="str">
        <f ca="1">_xll.BInterpol('Base IPCA'!$C$3:$C$14,'Base IPCA'!$E$3:$E$14,AH3173,"Cubic","Extrapolate=Linear","MultiX=Average","Skip=True","Sort=True")</f>
        <v>#N/A Invalid Parameter: Interpolation value</v>
      </c>
      <c r="AJ3173" s="43" t="str">
        <f ca="1"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34"/>
        <v>#REF!</v>
      </c>
      <c r="AI3174" s="43" t="str">
        <f ca="1">_xll.BInterpol('Base IPCA'!$C$3:$C$14,'Base IPCA'!$E$3:$E$14,AH3174,"Cubic","Extrapolate=Linear","MultiX=Average","Skip=True","Sort=True")</f>
        <v>#N/A Invalid Parameter: Interpolation value</v>
      </c>
      <c r="AJ3174" s="43" t="str">
        <f ca="1"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34"/>
        <v>#REF!</v>
      </c>
      <c r="AI3175" s="43" t="str">
        <f ca="1">_xll.BInterpol('Base IPCA'!$C$3:$C$14,'Base IPCA'!$E$3:$E$14,AH3175,"Cubic","Extrapolate=Linear","MultiX=Average","Skip=True","Sort=True")</f>
        <v>#N/A Invalid Parameter: Interpolation value</v>
      </c>
      <c r="AJ3175" s="43" t="str">
        <f ca="1"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34"/>
        <v>#REF!</v>
      </c>
      <c r="AI3176" s="43" t="str">
        <f ca="1">_xll.BInterpol('Base IPCA'!$C$3:$C$14,'Base IPCA'!$E$3:$E$14,AH3176,"Cubic","Extrapolate=Linear","MultiX=Average","Skip=True","Sort=True")</f>
        <v>#N/A Invalid Parameter: Interpolation value</v>
      </c>
      <c r="AJ3176" s="43" t="str">
        <f ca="1"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34"/>
        <v>#REF!</v>
      </c>
      <c r="AI3177" s="43" t="str">
        <f ca="1">_xll.BInterpol('Base IPCA'!$C$3:$C$14,'Base IPCA'!$E$3:$E$14,AH3177,"Cubic","Extrapolate=Linear","MultiX=Average","Skip=True","Sort=True")</f>
        <v>#N/A Invalid Parameter: Interpolation value</v>
      </c>
      <c r="AJ3177" s="43" t="str">
        <f ca="1"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34"/>
        <v>#REF!</v>
      </c>
      <c r="AI3178" s="43" t="str">
        <f ca="1">_xll.BInterpol('Base IPCA'!$C$3:$C$14,'Base IPCA'!$E$3:$E$14,AH3178,"Cubic","Extrapolate=Linear","MultiX=Average","Skip=True","Sort=True")</f>
        <v>#N/A Invalid Parameter: Interpolation value</v>
      </c>
      <c r="AJ3178" s="43" t="str">
        <f ca="1"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34"/>
        <v>#REF!</v>
      </c>
      <c r="AI3179" s="43" t="str">
        <f ca="1">_xll.BInterpol('Base IPCA'!$C$3:$C$14,'Base IPCA'!$E$3:$E$14,AH3179,"Cubic","Extrapolate=Linear","MultiX=Average","Skip=True","Sort=True")</f>
        <v>#N/A Invalid Parameter: Interpolation value</v>
      </c>
      <c r="AJ3179" s="43" t="str">
        <f ca="1"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34"/>
        <v>#REF!</v>
      </c>
      <c r="AI3180" s="43" t="str">
        <f ca="1">_xll.BInterpol('Base IPCA'!$C$3:$C$14,'Base IPCA'!$E$3:$E$14,AH3180,"Cubic","Extrapolate=Linear","MultiX=Average","Skip=True","Sort=True")</f>
        <v>#N/A Invalid Parameter: Interpolation value</v>
      </c>
      <c r="AJ3180" s="43" t="str">
        <f ca="1"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34"/>
        <v>#REF!</v>
      </c>
      <c r="AI3181" s="43" t="str">
        <f ca="1">_xll.BInterpol('Base IPCA'!$C$3:$C$14,'Base IPCA'!$E$3:$E$14,AH3181,"Cubic","Extrapolate=Linear","MultiX=Average","Skip=True","Sort=True")</f>
        <v>#N/A Invalid Parameter: Interpolation value</v>
      </c>
      <c r="AJ3181" s="43" t="str">
        <f ca="1"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34"/>
        <v>#REF!</v>
      </c>
      <c r="AI3182" s="43" t="str">
        <f ca="1">_xll.BInterpol('Base IPCA'!$C$3:$C$14,'Base IPCA'!$E$3:$E$14,AH3182,"Cubic","Extrapolate=Linear","MultiX=Average","Skip=True","Sort=True")</f>
        <v>#N/A Invalid Parameter: Interpolation value</v>
      </c>
      <c r="AJ3182" s="43" t="str">
        <f ca="1"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34"/>
        <v>#REF!</v>
      </c>
      <c r="AI3183" s="43" t="str">
        <f ca="1">_xll.BInterpol('Base IPCA'!$C$3:$C$14,'Base IPCA'!$E$3:$E$14,AH3183,"Cubic","Extrapolate=Linear","MultiX=Average","Skip=True","Sort=True")</f>
        <v>#N/A Invalid Parameter: Interpolation value</v>
      </c>
      <c r="AJ3183" s="43" t="str">
        <f ca="1"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34"/>
        <v>#REF!</v>
      </c>
      <c r="AI3184" s="43" t="str">
        <f ca="1">_xll.BInterpol('Base IPCA'!$C$3:$C$14,'Base IPCA'!$E$3:$E$14,AH3184,"Cubic","Extrapolate=Linear","MultiX=Average","Skip=True","Sort=True")</f>
        <v>#N/A Invalid Parameter: Interpolation value</v>
      </c>
      <c r="AJ3184" s="43" t="str">
        <f ca="1"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34"/>
        <v>#REF!</v>
      </c>
      <c r="AI3185" s="43" t="str">
        <f ca="1">_xll.BInterpol('Base IPCA'!$C$3:$C$14,'Base IPCA'!$E$3:$E$14,AH3185,"Cubic","Extrapolate=Linear","MultiX=Average","Skip=True","Sort=True")</f>
        <v>#N/A Invalid Parameter: Interpolation value</v>
      </c>
      <c r="AJ3185" s="43" t="str">
        <f ca="1"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34"/>
        <v>#REF!</v>
      </c>
      <c r="AI3186" s="43" t="str">
        <f ca="1">_xll.BInterpol('Base IPCA'!$C$3:$C$14,'Base IPCA'!$E$3:$E$14,AH3186,"Cubic","Extrapolate=Linear","MultiX=Average","Skip=True","Sort=True")</f>
        <v>#N/A Invalid Parameter: Interpolation value</v>
      </c>
      <c r="AJ3186" s="43" t="str">
        <f ca="1"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34"/>
        <v>#REF!</v>
      </c>
      <c r="AI3187" s="43" t="str">
        <f ca="1">_xll.BInterpol('Base IPCA'!$C$3:$C$14,'Base IPCA'!$E$3:$E$14,AH3187,"Cubic","Extrapolate=Linear","MultiX=Average","Skip=True","Sort=True")</f>
        <v>#N/A Invalid Parameter: Interpolation value</v>
      </c>
      <c r="AJ3187" s="43" t="str">
        <f ca="1"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34"/>
        <v>#REF!</v>
      </c>
      <c r="AI3188" s="43" t="str">
        <f ca="1">_xll.BInterpol('Base IPCA'!$C$3:$C$14,'Base IPCA'!$E$3:$E$14,AH3188,"Cubic","Extrapolate=Linear","MultiX=Average","Skip=True","Sort=True")</f>
        <v>#N/A Invalid Parameter: Interpolation value</v>
      </c>
      <c r="AJ3188" s="43" t="str">
        <f ca="1"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34"/>
        <v>#REF!</v>
      </c>
      <c r="AI3189" s="43" t="str">
        <f ca="1">_xll.BInterpol('Base IPCA'!$C$3:$C$14,'Base IPCA'!$E$3:$E$14,AH3189,"Cubic","Extrapolate=Linear","MultiX=Average","Skip=True","Sort=True")</f>
        <v>#N/A Invalid Parameter: Interpolation value</v>
      </c>
      <c r="AJ3189" s="43" t="str">
        <f ca="1"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34"/>
        <v>#REF!</v>
      </c>
      <c r="AI3190" s="43" t="str">
        <f ca="1">_xll.BInterpol('Base IPCA'!$C$3:$C$14,'Base IPCA'!$E$3:$E$14,AH3190,"Cubic","Extrapolate=Linear","MultiX=Average","Skip=True","Sort=True")</f>
        <v>#N/A Invalid Parameter: Interpolation value</v>
      </c>
      <c r="AJ3190" s="43" t="str">
        <f ca="1"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34"/>
        <v>#REF!</v>
      </c>
      <c r="AI3191" s="43" t="str">
        <f ca="1">_xll.BInterpol('Base IPCA'!$C$3:$C$14,'Base IPCA'!$E$3:$E$14,AH3191,"Cubic","Extrapolate=Linear","MultiX=Average","Skip=True","Sort=True")</f>
        <v>#N/A Invalid Parameter: Interpolation value</v>
      </c>
      <c r="AJ3191" s="43" t="str">
        <f ca="1"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34"/>
        <v>#REF!</v>
      </c>
      <c r="AI3192" s="43" t="str">
        <f ca="1">_xll.BInterpol('Base IPCA'!$C$3:$C$14,'Base IPCA'!$E$3:$E$14,AH3192,"Cubic","Extrapolate=Linear","MultiX=Average","Skip=True","Sort=True")</f>
        <v>#N/A Invalid Parameter: Interpolation value</v>
      </c>
      <c r="AJ3192" s="43" t="str">
        <f ca="1"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34"/>
        <v>#REF!</v>
      </c>
      <c r="AI3193" s="43" t="str">
        <f ca="1">_xll.BInterpol('Base IPCA'!$C$3:$C$14,'Base IPCA'!$E$3:$E$14,AH3193,"Cubic","Extrapolate=Linear","MultiX=Average","Skip=True","Sort=True")</f>
        <v>#N/A Invalid Parameter: Interpolation value</v>
      </c>
      <c r="AJ3193" s="43" t="str">
        <f ca="1"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34"/>
        <v>#REF!</v>
      </c>
      <c r="AI3194" s="43" t="str">
        <f ca="1">_xll.BInterpol('Base IPCA'!$C$3:$C$14,'Base IPCA'!$E$3:$E$14,AH3194,"Cubic","Extrapolate=Linear","MultiX=Average","Skip=True","Sort=True")</f>
        <v>#N/A Invalid Parameter: Interpolation value</v>
      </c>
      <c r="AJ3194" s="43" t="str">
        <f ca="1"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34"/>
        <v>#REF!</v>
      </c>
      <c r="AI3195" s="43" t="str">
        <f ca="1">_xll.BInterpol('Base IPCA'!$C$3:$C$14,'Base IPCA'!$E$3:$E$14,AH3195,"Cubic","Extrapolate=Linear","MultiX=Average","Skip=True","Sort=True")</f>
        <v>#N/A Invalid Parameter: Interpolation value</v>
      </c>
      <c r="AJ3195" s="43" t="str">
        <f ca="1"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34"/>
        <v>#REF!</v>
      </c>
      <c r="AI3196" s="43" t="str">
        <f ca="1">_xll.BInterpol('Base IPCA'!$C$3:$C$14,'Base IPCA'!$E$3:$E$14,AH3196,"Cubic","Extrapolate=Linear","MultiX=Average","Skip=True","Sort=True")</f>
        <v>#N/A Invalid Parameter: Interpolation value</v>
      </c>
      <c r="AJ3196" s="43" t="str">
        <f ca="1"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34"/>
        <v>#REF!</v>
      </c>
      <c r="AI3197" s="43" t="str">
        <f ca="1">_xll.BInterpol('Base IPCA'!$C$3:$C$14,'Base IPCA'!$E$3:$E$14,AH3197,"Cubic","Extrapolate=Linear","MultiX=Average","Skip=True","Sort=True")</f>
        <v>#N/A Invalid Parameter: Interpolation value</v>
      </c>
      <c r="AJ3197" s="43" t="str">
        <f ca="1"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34"/>
        <v>#REF!</v>
      </c>
      <c r="AI3198" s="43" t="str">
        <f ca="1">_xll.BInterpol('Base IPCA'!$C$3:$C$14,'Base IPCA'!$E$3:$E$14,AH3198,"Cubic","Extrapolate=Linear","MultiX=Average","Skip=True","Sort=True")</f>
        <v>#N/A Invalid Parameter: Interpolation value</v>
      </c>
      <c r="AJ3198" s="43" t="str">
        <f ca="1"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34"/>
        <v>#REF!</v>
      </c>
      <c r="AI3199" s="43" t="str">
        <f ca="1">_xll.BInterpol('Base IPCA'!$C$3:$C$14,'Base IPCA'!$E$3:$E$14,AH3199,"Cubic","Extrapolate=Linear","MultiX=Average","Skip=True","Sort=True")</f>
        <v>#N/A Invalid Parameter: Interpolation value</v>
      </c>
      <c r="AJ3199" s="43" t="str">
        <f ca="1"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34"/>
        <v>#REF!</v>
      </c>
      <c r="AI3200" s="43" t="str">
        <f ca="1">_xll.BInterpol('Base IPCA'!$C$3:$C$14,'Base IPCA'!$E$3:$E$14,AH3200,"Cubic","Extrapolate=Linear","MultiX=Average","Skip=True","Sort=True")</f>
        <v>#N/A Invalid Parameter: Interpolation value</v>
      </c>
      <c r="AJ3200" s="43" t="str">
        <f ca="1"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34"/>
        <v>#REF!</v>
      </c>
      <c r="AI3201" s="43" t="str">
        <f ca="1">_xll.BInterpol('Base IPCA'!$C$3:$C$14,'Base IPCA'!$E$3:$E$14,AH3201,"Cubic","Extrapolate=Linear","MultiX=Average","Skip=True","Sort=True")</f>
        <v>#N/A Invalid Parameter: Interpolation value</v>
      </c>
      <c r="AJ3201" s="43" t="str">
        <f ca="1"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34"/>
        <v>#REF!</v>
      </c>
      <c r="AI3202" s="43" t="str">
        <f ca="1">_xll.BInterpol('Base IPCA'!$C$3:$C$14,'Base IPCA'!$E$3:$E$14,AH3202,"Cubic","Extrapolate=Linear","MultiX=Average","Skip=True","Sort=True")</f>
        <v>#N/A Invalid Parameter: Interpolation value</v>
      </c>
      <c r="AJ3202" s="43" t="str">
        <f ca="1"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34"/>
        <v>#REF!</v>
      </c>
      <c r="AI3203" s="43" t="str">
        <f ca="1">_xll.BInterpol('Base IPCA'!$C$3:$C$14,'Base IPCA'!$E$3:$E$14,AH3203,"Cubic","Extrapolate=Linear","MultiX=Average","Skip=True","Sort=True")</f>
        <v>#N/A Invalid Parameter: Interpolation value</v>
      </c>
      <c r="AJ3203" s="43" t="str">
        <f ca="1"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34"/>
        <v>#REF!</v>
      </c>
      <c r="AI3204" s="43" t="str">
        <f ca="1">_xll.BInterpol('Base IPCA'!$C$3:$C$14,'Base IPCA'!$E$3:$E$14,AH3204,"Cubic","Extrapolate=Linear","MultiX=Average","Skip=True","Sort=True")</f>
        <v>#N/A Invalid Parameter: Interpolation value</v>
      </c>
      <c r="AJ3204" s="43" t="str">
        <f ca="1"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34"/>
        <v>#REF!</v>
      </c>
      <c r="AI3205" s="43" t="str">
        <f ca="1">_xll.BInterpol('Base IPCA'!$C$3:$C$14,'Base IPCA'!$E$3:$E$14,AH3205,"Cubic","Extrapolate=Linear","MultiX=Average","Skip=True","Sort=True")</f>
        <v>#N/A Invalid Parameter: Interpolation value</v>
      </c>
      <c r="AJ3205" s="43" t="str">
        <f ca="1"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35">AH3205+1</f>
        <v>#REF!</v>
      </c>
      <c r="AI3206" s="43" t="str">
        <f ca="1">_xll.BInterpol('Base IPCA'!$C$3:$C$14,'Base IPCA'!$E$3:$E$14,AH3206,"Cubic","Extrapolate=Linear","MultiX=Average","Skip=True","Sort=True")</f>
        <v>#N/A Invalid Parameter: Interpolation value</v>
      </c>
      <c r="AJ3206" s="43" t="str">
        <f ca="1"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35"/>
        <v>#REF!</v>
      </c>
      <c r="AI3207" s="43" t="str">
        <f ca="1">_xll.BInterpol('Base IPCA'!$C$3:$C$14,'Base IPCA'!$E$3:$E$14,AH3207,"Cubic","Extrapolate=Linear","MultiX=Average","Skip=True","Sort=True")</f>
        <v>#N/A Invalid Parameter: Interpolation value</v>
      </c>
      <c r="AJ3207" s="43" t="str">
        <f ca="1"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35"/>
        <v>#REF!</v>
      </c>
      <c r="AI3208" s="43" t="str">
        <f ca="1">_xll.BInterpol('Base IPCA'!$C$3:$C$14,'Base IPCA'!$E$3:$E$14,AH3208,"Cubic","Extrapolate=Linear","MultiX=Average","Skip=True","Sort=True")</f>
        <v>#N/A Invalid Parameter: Interpolation value</v>
      </c>
      <c r="AJ3208" s="43" t="str">
        <f ca="1"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35"/>
        <v>#REF!</v>
      </c>
      <c r="AI3209" s="43" t="str">
        <f ca="1">_xll.BInterpol('Base IPCA'!$C$3:$C$14,'Base IPCA'!$E$3:$E$14,AH3209,"Cubic","Extrapolate=Linear","MultiX=Average","Skip=True","Sort=True")</f>
        <v>#N/A Invalid Parameter: Interpolation value</v>
      </c>
      <c r="AJ3209" s="43" t="str">
        <f ca="1"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35"/>
        <v>#REF!</v>
      </c>
      <c r="AI3210" s="43" t="str">
        <f ca="1">_xll.BInterpol('Base IPCA'!$C$3:$C$14,'Base IPCA'!$E$3:$E$14,AH3210,"Cubic","Extrapolate=Linear","MultiX=Average","Skip=True","Sort=True")</f>
        <v>#N/A Invalid Parameter: Interpolation value</v>
      </c>
      <c r="AJ3210" s="43" t="str">
        <f ca="1"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35"/>
        <v>#REF!</v>
      </c>
      <c r="AI3211" s="43" t="str">
        <f ca="1">_xll.BInterpol('Base IPCA'!$C$3:$C$14,'Base IPCA'!$E$3:$E$14,AH3211,"Cubic","Extrapolate=Linear","MultiX=Average","Skip=True","Sort=True")</f>
        <v>#N/A Invalid Parameter: Interpolation value</v>
      </c>
      <c r="AJ3211" s="43" t="str">
        <f ca="1"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35"/>
        <v>#REF!</v>
      </c>
      <c r="AI3212" s="43" t="str">
        <f ca="1">_xll.BInterpol('Base IPCA'!$C$3:$C$14,'Base IPCA'!$E$3:$E$14,AH3212,"Cubic","Extrapolate=Linear","MultiX=Average","Skip=True","Sort=True")</f>
        <v>#N/A Invalid Parameter: Interpolation value</v>
      </c>
      <c r="AJ3212" s="43" t="str">
        <f ca="1"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35"/>
        <v>#REF!</v>
      </c>
      <c r="AI3213" s="43" t="str">
        <f ca="1">_xll.BInterpol('Base IPCA'!$C$3:$C$14,'Base IPCA'!$E$3:$E$14,AH3213,"Cubic","Extrapolate=Linear","MultiX=Average","Skip=True","Sort=True")</f>
        <v>#N/A Invalid Parameter: Interpolation value</v>
      </c>
      <c r="AJ3213" s="43" t="str">
        <f ca="1"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35"/>
        <v>#REF!</v>
      </c>
      <c r="AI3214" s="43" t="str">
        <f ca="1">_xll.BInterpol('Base IPCA'!$C$3:$C$14,'Base IPCA'!$E$3:$E$14,AH3214,"Cubic","Extrapolate=Linear","MultiX=Average","Skip=True","Sort=True")</f>
        <v>#N/A Invalid Parameter: Interpolation value</v>
      </c>
      <c r="AJ3214" s="43" t="str">
        <f ca="1"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35"/>
        <v>#REF!</v>
      </c>
      <c r="AI3215" s="43" t="str">
        <f ca="1">_xll.BInterpol('Base IPCA'!$C$3:$C$14,'Base IPCA'!$E$3:$E$14,AH3215,"Cubic","Extrapolate=Linear","MultiX=Average","Skip=True","Sort=True")</f>
        <v>#N/A Invalid Parameter: Interpolation value</v>
      </c>
      <c r="AJ3215" s="43" t="str">
        <f ca="1"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35"/>
        <v>#REF!</v>
      </c>
      <c r="AI3216" s="43" t="str">
        <f ca="1">_xll.BInterpol('Base IPCA'!$C$3:$C$14,'Base IPCA'!$E$3:$E$14,AH3216,"Cubic","Extrapolate=Linear","MultiX=Average","Skip=True","Sort=True")</f>
        <v>#N/A Invalid Parameter: Interpolation value</v>
      </c>
      <c r="AJ3216" s="43" t="str">
        <f ca="1"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35"/>
        <v>#REF!</v>
      </c>
      <c r="AI3217" s="43" t="str">
        <f ca="1">_xll.BInterpol('Base IPCA'!$C$3:$C$14,'Base IPCA'!$E$3:$E$14,AH3217,"Cubic","Extrapolate=Linear","MultiX=Average","Skip=True","Sort=True")</f>
        <v>#N/A Invalid Parameter: Interpolation value</v>
      </c>
      <c r="AJ3217" s="43" t="str">
        <f ca="1"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35"/>
        <v>#REF!</v>
      </c>
      <c r="AI3218" s="43" t="str">
        <f ca="1">_xll.BInterpol('Base IPCA'!$C$3:$C$14,'Base IPCA'!$E$3:$E$14,AH3218,"Cubic","Extrapolate=Linear","MultiX=Average","Skip=True","Sort=True")</f>
        <v>#N/A Invalid Parameter: Interpolation value</v>
      </c>
      <c r="AJ3218" s="43" t="str">
        <f ca="1"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35"/>
        <v>#REF!</v>
      </c>
      <c r="AI3219" s="43" t="str">
        <f ca="1">_xll.BInterpol('Base IPCA'!$C$3:$C$14,'Base IPCA'!$E$3:$E$14,AH3219,"Cubic","Extrapolate=Linear","MultiX=Average","Skip=True","Sort=True")</f>
        <v>#N/A Invalid Parameter: Interpolation value</v>
      </c>
      <c r="AJ3219" s="43" t="str">
        <f ca="1"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35"/>
        <v>#REF!</v>
      </c>
      <c r="AI3220" s="43" t="str">
        <f ca="1">_xll.BInterpol('Base IPCA'!$C$3:$C$14,'Base IPCA'!$E$3:$E$14,AH3220,"Cubic","Extrapolate=Linear","MultiX=Average","Skip=True","Sort=True")</f>
        <v>#N/A Invalid Parameter: Interpolation value</v>
      </c>
      <c r="AJ3220" s="43" t="str">
        <f ca="1"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35"/>
        <v>#REF!</v>
      </c>
      <c r="AI3221" s="43" t="str">
        <f ca="1">_xll.BInterpol('Base IPCA'!$C$3:$C$14,'Base IPCA'!$E$3:$E$14,AH3221,"Cubic","Extrapolate=Linear","MultiX=Average","Skip=True","Sort=True")</f>
        <v>#N/A Invalid Parameter: Interpolation value</v>
      </c>
      <c r="AJ3221" s="43" t="str">
        <f ca="1"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35"/>
        <v>#REF!</v>
      </c>
      <c r="AI3222" s="43" t="str">
        <f ca="1">_xll.BInterpol('Base IPCA'!$C$3:$C$14,'Base IPCA'!$E$3:$E$14,AH3222,"Cubic","Extrapolate=Linear","MultiX=Average","Skip=True","Sort=True")</f>
        <v>#N/A Invalid Parameter: Interpolation value</v>
      </c>
      <c r="AJ3222" s="43" t="str">
        <f ca="1"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35"/>
        <v>#REF!</v>
      </c>
      <c r="AI3223" s="43" t="str">
        <f ca="1">_xll.BInterpol('Base IPCA'!$C$3:$C$14,'Base IPCA'!$E$3:$E$14,AH3223,"Cubic","Extrapolate=Linear","MultiX=Average","Skip=True","Sort=True")</f>
        <v>#N/A Invalid Parameter: Interpolation value</v>
      </c>
      <c r="AJ3223" s="43" t="str">
        <f ca="1"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35"/>
        <v>#REF!</v>
      </c>
      <c r="AI3224" s="43" t="str">
        <f ca="1">_xll.BInterpol('Base IPCA'!$C$3:$C$14,'Base IPCA'!$E$3:$E$14,AH3224,"Cubic","Extrapolate=Linear","MultiX=Average","Skip=True","Sort=True")</f>
        <v>#N/A Invalid Parameter: Interpolation value</v>
      </c>
      <c r="AJ3224" s="43" t="str">
        <f ca="1"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35"/>
        <v>#REF!</v>
      </c>
      <c r="AI3225" s="43" t="str">
        <f ca="1">_xll.BInterpol('Base IPCA'!$C$3:$C$14,'Base IPCA'!$E$3:$E$14,AH3225,"Cubic","Extrapolate=Linear","MultiX=Average","Skip=True","Sort=True")</f>
        <v>#N/A Invalid Parameter: Interpolation value</v>
      </c>
      <c r="AJ3225" s="43" t="str">
        <f ca="1"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35"/>
        <v>#REF!</v>
      </c>
      <c r="AI3226" s="43" t="str">
        <f ca="1">_xll.BInterpol('Base IPCA'!$C$3:$C$14,'Base IPCA'!$E$3:$E$14,AH3226,"Cubic","Extrapolate=Linear","MultiX=Average","Skip=True","Sort=True")</f>
        <v>#N/A Invalid Parameter: Interpolation value</v>
      </c>
      <c r="AJ3226" s="43" t="str">
        <f ca="1"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35"/>
        <v>#REF!</v>
      </c>
      <c r="AI3227" s="43" t="str">
        <f ca="1">_xll.BInterpol('Base IPCA'!$C$3:$C$14,'Base IPCA'!$E$3:$E$14,AH3227,"Cubic","Extrapolate=Linear","MultiX=Average","Skip=True","Sort=True")</f>
        <v>#N/A Invalid Parameter: Interpolation value</v>
      </c>
      <c r="AJ3227" s="43" t="str">
        <f ca="1"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35"/>
        <v>#REF!</v>
      </c>
      <c r="AI3228" s="43" t="str">
        <f ca="1">_xll.BInterpol('Base IPCA'!$C$3:$C$14,'Base IPCA'!$E$3:$E$14,AH3228,"Cubic","Extrapolate=Linear","MultiX=Average","Skip=True","Sort=True")</f>
        <v>#N/A Invalid Parameter: Interpolation value</v>
      </c>
      <c r="AJ3228" s="43" t="str">
        <f ca="1"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35"/>
        <v>#REF!</v>
      </c>
      <c r="AI3229" s="43" t="str">
        <f ca="1">_xll.BInterpol('Base IPCA'!$C$3:$C$14,'Base IPCA'!$E$3:$E$14,AH3229,"Cubic","Extrapolate=Linear","MultiX=Average","Skip=True","Sort=True")</f>
        <v>#N/A Invalid Parameter: Interpolation value</v>
      </c>
      <c r="AJ3229" s="43" t="str">
        <f ca="1"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35"/>
        <v>#REF!</v>
      </c>
      <c r="AI3230" s="43" t="str">
        <f ca="1">_xll.BInterpol('Base IPCA'!$C$3:$C$14,'Base IPCA'!$E$3:$E$14,AH3230,"Cubic","Extrapolate=Linear","MultiX=Average","Skip=True","Sort=True")</f>
        <v>#N/A Invalid Parameter: Interpolation value</v>
      </c>
      <c r="AJ3230" s="43" t="str">
        <f ca="1"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35"/>
        <v>#REF!</v>
      </c>
      <c r="AI3231" s="43" t="str">
        <f ca="1">_xll.BInterpol('Base IPCA'!$C$3:$C$14,'Base IPCA'!$E$3:$E$14,AH3231,"Cubic","Extrapolate=Linear","MultiX=Average","Skip=True","Sort=True")</f>
        <v>#N/A Invalid Parameter: Interpolation value</v>
      </c>
      <c r="AJ3231" s="43" t="str">
        <f ca="1"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35"/>
        <v>#REF!</v>
      </c>
      <c r="AI3232" s="43" t="str">
        <f ca="1">_xll.BInterpol('Base IPCA'!$C$3:$C$14,'Base IPCA'!$E$3:$E$14,AH3232,"Cubic","Extrapolate=Linear","MultiX=Average","Skip=True","Sort=True")</f>
        <v>#N/A Invalid Parameter: Interpolation value</v>
      </c>
      <c r="AJ3232" s="43" t="str">
        <f ca="1"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35"/>
        <v>#REF!</v>
      </c>
      <c r="AI3233" s="43" t="str">
        <f ca="1">_xll.BInterpol('Base IPCA'!$C$3:$C$14,'Base IPCA'!$E$3:$E$14,AH3233,"Cubic","Extrapolate=Linear","MultiX=Average","Skip=True","Sort=True")</f>
        <v>#N/A Invalid Parameter: Interpolation value</v>
      </c>
      <c r="AJ3233" s="43" t="str">
        <f ca="1"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35"/>
        <v>#REF!</v>
      </c>
      <c r="AI3234" s="43" t="str">
        <f ca="1">_xll.BInterpol('Base IPCA'!$C$3:$C$14,'Base IPCA'!$E$3:$E$14,AH3234,"Cubic","Extrapolate=Linear","MultiX=Average","Skip=True","Sort=True")</f>
        <v>#N/A Invalid Parameter: Interpolation value</v>
      </c>
      <c r="AJ3234" s="43" t="str">
        <f ca="1"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35"/>
        <v>#REF!</v>
      </c>
      <c r="AI3235" s="43" t="str">
        <f ca="1">_xll.BInterpol('Base IPCA'!$C$3:$C$14,'Base IPCA'!$E$3:$E$14,AH3235,"Cubic","Extrapolate=Linear","MultiX=Average","Skip=True","Sort=True")</f>
        <v>#N/A Invalid Parameter: Interpolation value</v>
      </c>
      <c r="AJ3235" s="43" t="str">
        <f ca="1"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35"/>
        <v>#REF!</v>
      </c>
      <c r="AI3236" s="43" t="str">
        <f ca="1">_xll.BInterpol('Base IPCA'!$C$3:$C$14,'Base IPCA'!$E$3:$E$14,AH3236,"Cubic","Extrapolate=Linear","MultiX=Average","Skip=True","Sort=True")</f>
        <v>#N/A Invalid Parameter: Interpolation value</v>
      </c>
      <c r="AJ3236" s="43" t="str">
        <f ca="1"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35"/>
        <v>#REF!</v>
      </c>
      <c r="AI3237" s="43" t="str">
        <f ca="1">_xll.BInterpol('Base IPCA'!$C$3:$C$14,'Base IPCA'!$E$3:$E$14,AH3237,"Cubic","Extrapolate=Linear","MultiX=Average","Skip=True","Sort=True")</f>
        <v>#N/A Invalid Parameter: Interpolation value</v>
      </c>
      <c r="AJ3237" s="43" t="str">
        <f ca="1"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35"/>
        <v>#REF!</v>
      </c>
      <c r="AI3238" s="43" t="str">
        <f ca="1">_xll.BInterpol('Base IPCA'!$C$3:$C$14,'Base IPCA'!$E$3:$E$14,AH3238,"Cubic","Extrapolate=Linear","MultiX=Average","Skip=True","Sort=True")</f>
        <v>#N/A Invalid Parameter: Interpolation value</v>
      </c>
      <c r="AJ3238" s="43" t="str">
        <f ca="1"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35"/>
        <v>#REF!</v>
      </c>
      <c r="AI3239" s="43" t="str">
        <f ca="1">_xll.BInterpol('Base IPCA'!$C$3:$C$14,'Base IPCA'!$E$3:$E$14,AH3239,"Cubic","Extrapolate=Linear","MultiX=Average","Skip=True","Sort=True")</f>
        <v>#N/A Invalid Parameter: Interpolation value</v>
      </c>
      <c r="AJ3239" s="43" t="str">
        <f ca="1"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35"/>
        <v>#REF!</v>
      </c>
      <c r="AI3240" s="43" t="str">
        <f ca="1">_xll.BInterpol('Base IPCA'!$C$3:$C$14,'Base IPCA'!$E$3:$E$14,AH3240,"Cubic","Extrapolate=Linear","MultiX=Average","Skip=True","Sort=True")</f>
        <v>#N/A Invalid Parameter: Interpolation value</v>
      </c>
      <c r="AJ3240" s="43" t="str">
        <f ca="1"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35"/>
        <v>#REF!</v>
      </c>
      <c r="AI3241" s="43" t="str">
        <f ca="1">_xll.BInterpol('Base IPCA'!$C$3:$C$14,'Base IPCA'!$E$3:$E$14,AH3241,"Cubic","Extrapolate=Linear","MultiX=Average","Skip=True","Sort=True")</f>
        <v>#N/A Invalid Parameter: Interpolation value</v>
      </c>
      <c r="AJ3241" s="43" t="str">
        <f ca="1"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35"/>
        <v>#REF!</v>
      </c>
      <c r="AI3242" s="43" t="str">
        <f ca="1">_xll.BInterpol('Base IPCA'!$C$3:$C$14,'Base IPCA'!$E$3:$E$14,AH3242,"Cubic","Extrapolate=Linear","MultiX=Average","Skip=True","Sort=True")</f>
        <v>#N/A Invalid Parameter: Interpolation value</v>
      </c>
      <c r="AJ3242" s="43" t="str">
        <f ca="1"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35"/>
        <v>#REF!</v>
      </c>
      <c r="AI3243" s="43" t="str">
        <f ca="1">_xll.BInterpol('Base IPCA'!$C$3:$C$14,'Base IPCA'!$E$3:$E$14,AH3243,"Cubic","Extrapolate=Linear","MultiX=Average","Skip=True","Sort=True")</f>
        <v>#N/A Invalid Parameter: Interpolation value</v>
      </c>
      <c r="AJ3243" s="43" t="str">
        <f ca="1"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35"/>
        <v>#REF!</v>
      </c>
      <c r="AI3244" s="43" t="str">
        <f ca="1">_xll.BInterpol('Base IPCA'!$C$3:$C$14,'Base IPCA'!$E$3:$E$14,AH3244,"Cubic","Extrapolate=Linear","MultiX=Average","Skip=True","Sort=True")</f>
        <v>#N/A Invalid Parameter: Interpolation value</v>
      </c>
      <c r="AJ3244" s="43" t="str">
        <f ca="1"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35"/>
        <v>#REF!</v>
      </c>
      <c r="AI3245" s="43" t="str">
        <f ca="1">_xll.BInterpol('Base IPCA'!$C$3:$C$14,'Base IPCA'!$E$3:$E$14,AH3245,"Cubic","Extrapolate=Linear","MultiX=Average","Skip=True","Sort=True")</f>
        <v>#N/A Invalid Parameter: Interpolation value</v>
      </c>
      <c r="AJ3245" s="43" t="str">
        <f ca="1"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35"/>
        <v>#REF!</v>
      </c>
      <c r="AI3246" s="43" t="str">
        <f ca="1">_xll.BInterpol('Base IPCA'!$C$3:$C$14,'Base IPCA'!$E$3:$E$14,AH3246,"Cubic","Extrapolate=Linear","MultiX=Average","Skip=True","Sort=True")</f>
        <v>#N/A Invalid Parameter: Interpolation value</v>
      </c>
      <c r="AJ3246" s="43" t="str">
        <f ca="1"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35"/>
        <v>#REF!</v>
      </c>
      <c r="AI3247" s="43" t="str">
        <f ca="1">_xll.BInterpol('Base IPCA'!$C$3:$C$14,'Base IPCA'!$E$3:$E$14,AH3247,"Cubic","Extrapolate=Linear","MultiX=Average","Skip=True","Sort=True")</f>
        <v>#N/A Invalid Parameter: Interpolation value</v>
      </c>
      <c r="AJ3247" s="43" t="str">
        <f ca="1"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35"/>
        <v>#REF!</v>
      </c>
      <c r="AI3248" s="43" t="str">
        <f ca="1">_xll.BInterpol('Base IPCA'!$C$3:$C$14,'Base IPCA'!$E$3:$E$14,AH3248,"Cubic","Extrapolate=Linear","MultiX=Average","Skip=True","Sort=True")</f>
        <v>#N/A Invalid Parameter: Interpolation value</v>
      </c>
      <c r="AJ3248" s="43" t="str">
        <f ca="1"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35"/>
        <v>#REF!</v>
      </c>
      <c r="AI3249" s="43" t="str">
        <f ca="1">_xll.BInterpol('Base IPCA'!$C$3:$C$14,'Base IPCA'!$E$3:$E$14,AH3249,"Cubic","Extrapolate=Linear","MultiX=Average","Skip=True","Sort=True")</f>
        <v>#N/A Invalid Parameter: Interpolation value</v>
      </c>
      <c r="AJ3249" s="43" t="str">
        <f ca="1"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35"/>
        <v>#REF!</v>
      </c>
      <c r="AI3250" s="43" t="str">
        <f ca="1">_xll.BInterpol('Base IPCA'!$C$3:$C$14,'Base IPCA'!$E$3:$E$14,AH3250,"Cubic","Extrapolate=Linear","MultiX=Average","Skip=True","Sort=True")</f>
        <v>#N/A Invalid Parameter: Interpolation value</v>
      </c>
      <c r="AJ3250" s="43" t="str">
        <f ca="1"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35"/>
        <v>#REF!</v>
      </c>
      <c r="AI3251" s="43" t="str">
        <f ca="1">_xll.BInterpol('Base IPCA'!$C$3:$C$14,'Base IPCA'!$E$3:$E$14,AH3251,"Cubic","Extrapolate=Linear","MultiX=Average","Skip=True","Sort=True")</f>
        <v>#N/A Invalid Parameter: Interpolation value</v>
      </c>
      <c r="AJ3251" s="43" t="str">
        <f ca="1"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35"/>
        <v>#REF!</v>
      </c>
      <c r="AI3252" s="43" t="str">
        <f ca="1">_xll.BInterpol('Base IPCA'!$C$3:$C$14,'Base IPCA'!$E$3:$E$14,AH3252,"Cubic","Extrapolate=Linear","MultiX=Average","Skip=True","Sort=True")</f>
        <v>#N/A Invalid Parameter: Interpolation value</v>
      </c>
      <c r="AJ3252" s="43" t="str">
        <f ca="1"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35"/>
        <v>#REF!</v>
      </c>
      <c r="AI3253" s="43" t="str">
        <f ca="1">_xll.BInterpol('Base IPCA'!$C$3:$C$14,'Base IPCA'!$E$3:$E$14,AH3253,"Cubic","Extrapolate=Linear","MultiX=Average","Skip=True","Sort=True")</f>
        <v>#N/A Invalid Parameter: Interpolation value</v>
      </c>
      <c r="AJ3253" s="43" t="str">
        <f ca="1"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35"/>
        <v>#REF!</v>
      </c>
      <c r="AI3254" s="43" t="str">
        <f ca="1">_xll.BInterpol('Base IPCA'!$C$3:$C$14,'Base IPCA'!$E$3:$E$14,AH3254,"Cubic","Extrapolate=Linear","MultiX=Average","Skip=True","Sort=True")</f>
        <v>#N/A Invalid Parameter: Interpolation value</v>
      </c>
      <c r="AJ3254" s="43" t="str">
        <f ca="1"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35"/>
        <v>#REF!</v>
      </c>
      <c r="AI3255" s="43" t="str">
        <f ca="1">_xll.BInterpol('Base IPCA'!$C$3:$C$14,'Base IPCA'!$E$3:$E$14,AH3255,"Cubic","Extrapolate=Linear","MultiX=Average","Skip=True","Sort=True")</f>
        <v>#N/A Invalid Parameter: Interpolation value</v>
      </c>
      <c r="AJ3255" s="43" t="str">
        <f ca="1"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35"/>
        <v>#REF!</v>
      </c>
      <c r="AI3256" s="43" t="str">
        <f ca="1">_xll.BInterpol('Base IPCA'!$C$3:$C$14,'Base IPCA'!$E$3:$E$14,AH3256,"Cubic","Extrapolate=Linear","MultiX=Average","Skip=True","Sort=True")</f>
        <v>#N/A Invalid Parameter: Interpolation value</v>
      </c>
      <c r="AJ3256" s="43" t="str">
        <f ca="1"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35"/>
        <v>#REF!</v>
      </c>
      <c r="AI3257" s="43" t="str">
        <f ca="1">_xll.BInterpol('Base IPCA'!$C$3:$C$14,'Base IPCA'!$E$3:$E$14,AH3257,"Cubic","Extrapolate=Linear","MultiX=Average","Skip=True","Sort=True")</f>
        <v>#N/A Invalid Parameter: Interpolation value</v>
      </c>
      <c r="AJ3257" s="43" t="str">
        <f ca="1"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35"/>
        <v>#REF!</v>
      </c>
      <c r="AI3258" s="43" t="str">
        <f ca="1">_xll.BInterpol('Base IPCA'!$C$3:$C$14,'Base IPCA'!$E$3:$E$14,AH3258,"Cubic","Extrapolate=Linear","MultiX=Average","Skip=True","Sort=True")</f>
        <v>#N/A Invalid Parameter: Interpolation value</v>
      </c>
      <c r="AJ3258" s="43" t="str">
        <f ca="1"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35"/>
        <v>#REF!</v>
      </c>
      <c r="AI3259" s="43" t="str">
        <f ca="1">_xll.BInterpol('Base IPCA'!$C$3:$C$14,'Base IPCA'!$E$3:$E$14,AH3259,"Cubic","Extrapolate=Linear","MultiX=Average","Skip=True","Sort=True")</f>
        <v>#N/A Invalid Parameter: Interpolation value</v>
      </c>
      <c r="AJ3259" s="43" t="str">
        <f ca="1"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35"/>
        <v>#REF!</v>
      </c>
      <c r="AI3260" s="43" t="str">
        <f ca="1">_xll.BInterpol('Base IPCA'!$C$3:$C$14,'Base IPCA'!$E$3:$E$14,AH3260,"Cubic","Extrapolate=Linear","MultiX=Average","Skip=True","Sort=True")</f>
        <v>#N/A Invalid Parameter: Interpolation value</v>
      </c>
      <c r="AJ3260" s="43" t="str">
        <f ca="1"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35"/>
        <v>#REF!</v>
      </c>
      <c r="AI3261" s="43" t="str">
        <f ca="1">_xll.BInterpol('Base IPCA'!$C$3:$C$14,'Base IPCA'!$E$3:$E$14,AH3261,"Cubic","Extrapolate=Linear","MultiX=Average","Skip=True","Sort=True")</f>
        <v>#N/A Invalid Parameter: Interpolation value</v>
      </c>
      <c r="AJ3261" s="43" t="str">
        <f ca="1"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35"/>
        <v>#REF!</v>
      </c>
      <c r="AI3262" s="43" t="str">
        <f ca="1">_xll.BInterpol('Base IPCA'!$C$3:$C$14,'Base IPCA'!$E$3:$E$14,AH3262,"Cubic","Extrapolate=Linear","MultiX=Average","Skip=True","Sort=True")</f>
        <v>#N/A Invalid Parameter: Interpolation value</v>
      </c>
      <c r="AJ3262" s="43" t="str">
        <f ca="1"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35"/>
        <v>#REF!</v>
      </c>
      <c r="AI3263" s="43" t="str">
        <f ca="1">_xll.BInterpol('Base IPCA'!$C$3:$C$14,'Base IPCA'!$E$3:$E$14,AH3263,"Cubic","Extrapolate=Linear","MultiX=Average","Skip=True","Sort=True")</f>
        <v>#N/A Invalid Parameter: Interpolation value</v>
      </c>
      <c r="AJ3263" s="43" t="str">
        <f ca="1"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35"/>
        <v>#REF!</v>
      </c>
      <c r="AI3264" s="43" t="str">
        <f ca="1">_xll.BInterpol('Base IPCA'!$C$3:$C$14,'Base IPCA'!$E$3:$E$14,AH3264,"Cubic","Extrapolate=Linear","MultiX=Average","Skip=True","Sort=True")</f>
        <v>#N/A Invalid Parameter: Interpolation value</v>
      </c>
      <c r="AJ3264" s="43" t="str">
        <f ca="1"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35"/>
        <v>#REF!</v>
      </c>
      <c r="AI3265" s="43" t="str">
        <f ca="1">_xll.BInterpol('Base IPCA'!$C$3:$C$14,'Base IPCA'!$E$3:$E$14,AH3265,"Cubic","Extrapolate=Linear","MultiX=Average","Skip=True","Sort=True")</f>
        <v>#N/A Invalid Parameter: Interpolation value</v>
      </c>
      <c r="AJ3265" s="43" t="str">
        <f ca="1"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35"/>
        <v>#REF!</v>
      </c>
      <c r="AI3266" s="43" t="str">
        <f ca="1">_xll.BInterpol('Base IPCA'!$C$3:$C$14,'Base IPCA'!$E$3:$E$14,AH3266,"Cubic","Extrapolate=Linear","MultiX=Average","Skip=True","Sort=True")</f>
        <v>#N/A Invalid Parameter: Interpolation value</v>
      </c>
      <c r="AJ3266" s="43" t="str">
        <f ca="1"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35"/>
        <v>#REF!</v>
      </c>
      <c r="AI3267" s="43" t="str">
        <f ca="1">_xll.BInterpol('Base IPCA'!$C$3:$C$14,'Base IPCA'!$E$3:$E$14,AH3267,"Cubic","Extrapolate=Linear","MultiX=Average","Skip=True","Sort=True")</f>
        <v>#N/A Invalid Parameter: Interpolation value</v>
      </c>
      <c r="AJ3267" s="43" t="str">
        <f ca="1"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35"/>
        <v>#REF!</v>
      </c>
      <c r="AI3268" s="43" t="str">
        <f ca="1">_xll.BInterpol('Base IPCA'!$C$3:$C$14,'Base IPCA'!$E$3:$E$14,AH3268,"Cubic","Extrapolate=Linear","MultiX=Average","Skip=True","Sort=True")</f>
        <v>#N/A Invalid Parameter: Interpolation value</v>
      </c>
      <c r="AJ3268" s="43" t="str">
        <f ca="1"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35"/>
        <v>#REF!</v>
      </c>
      <c r="AI3269" s="43" t="str">
        <f ca="1">_xll.BInterpol('Base IPCA'!$C$3:$C$14,'Base IPCA'!$E$3:$E$14,AH3269,"Cubic","Extrapolate=Linear","MultiX=Average","Skip=True","Sort=True")</f>
        <v>#N/A Invalid Parameter: Interpolation value</v>
      </c>
      <c r="AJ3269" s="43" t="str">
        <f ca="1"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36">AH3269+1</f>
        <v>#REF!</v>
      </c>
      <c r="AI3270" s="43" t="str">
        <f ca="1">_xll.BInterpol('Base IPCA'!$C$3:$C$14,'Base IPCA'!$E$3:$E$14,AH3270,"Cubic","Extrapolate=Linear","MultiX=Average","Skip=True","Sort=True")</f>
        <v>#N/A Invalid Parameter: Interpolation value</v>
      </c>
      <c r="AJ3270" s="43" t="str">
        <f ca="1"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36"/>
        <v>#REF!</v>
      </c>
      <c r="AI3271" s="43" t="str">
        <f ca="1">_xll.BInterpol('Base IPCA'!$C$3:$C$14,'Base IPCA'!$E$3:$E$14,AH3271,"Cubic","Extrapolate=Linear","MultiX=Average","Skip=True","Sort=True")</f>
        <v>#N/A Invalid Parameter: Interpolation value</v>
      </c>
      <c r="AJ3271" s="43" t="str">
        <f ca="1"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36"/>
        <v>#REF!</v>
      </c>
      <c r="AI3272" s="43" t="str">
        <f ca="1">_xll.BInterpol('Base IPCA'!$C$3:$C$14,'Base IPCA'!$E$3:$E$14,AH3272,"Cubic","Extrapolate=Linear","MultiX=Average","Skip=True","Sort=True")</f>
        <v>#N/A Invalid Parameter: Interpolation value</v>
      </c>
      <c r="AJ3272" s="43" t="str">
        <f ca="1"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36"/>
        <v>#REF!</v>
      </c>
      <c r="AI3273" s="43" t="str">
        <f ca="1">_xll.BInterpol('Base IPCA'!$C$3:$C$14,'Base IPCA'!$E$3:$E$14,AH3273,"Cubic","Extrapolate=Linear","MultiX=Average","Skip=True","Sort=True")</f>
        <v>#N/A Invalid Parameter: Interpolation value</v>
      </c>
      <c r="AJ3273" s="43" t="str">
        <f ca="1"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36"/>
        <v>#REF!</v>
      </c>
      <c r="AI3274" s="43" t="str">
        <f ca="1">_xll.BInterpol('Base IPCA'!$C$3:$C$14,'Base IPCA'!$E$3:$E$14,AH3274,"Cubic","Extrapolate=Linear","MultiX=Average","Skip=True","Sort=True")</f>
        <v>#N/A Invalid Parameter: Interpolation value</v>
      </c>
      <c r="AJ3274" s="43" t="str">
        <f ca="1"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36"/>
        <v>#REF!</v>
      </c>
      <c r="AI3275" s="43" t="str">
        <f ca="1">_xll.BInterpol('Base IPCA'!$C$3:$C$14,'Base IPCA'!$E$3:$E$14,AH3275,"Cubic","Extrapolate=Linear","MultiX=Average","Skip=True","Sort=True")</f>
        <v>#N/A Invalid Parameter: Interpolation value</v>
      </c>
      <c r="AJ3275" s="43" t="str">
        <f ca="1"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36"/>
        <v>#REF!</v>
      </c>
      <c r="AI3276" s="43" t="str">
        <f ca="1">_xll.BInterpol('Base IPCA'!$C$3:$C$14,'Base IPCA'!$E$3:$E$14,AH3276,"Cubic","Extrapolate=Linear","MultiX=Average","Skip=True","Sort=True")</f>
        <v>#N/A Invalid Parameter: Interpolation value</v>
      </c>
      <c r="AJ3276" s="43" t="str">
        <f ca="1"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36"/>
        <v>#REF!</v>
      </c>
      <c r="AI3277" s="43" t="str">
        <f ca="1">_xll.BInterpol('Base IPCA'!$C$3:$C$14,'Base IPCA'!$E$3:$E$14,AH3277,"Cubic","Extrapolate=Linear","MultiX=Average","Skip=True","Sort=True")</f>
        <v>#N/A Invalid Parameter: Interpolation value</v>
      </c>
      <c r="AJ3277" s="43" t="str">
        <f ca="1"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36"/>
        <v>#REF!</v>
      </c>
      <c r="AI3278" s="43" t="str">
        <f ca="1">_xll.BInterpol('Base IPCA'!$C$3:$C$14,'Base IPCA'!$E$3:$E$14,AH3278,"Cubic","Extrapolate=Linear","MultiX=Average","Skip=True","Sort=True")</f>
        <v>#N/A Invalid Parameter: Interpolation value</v>
      </c>
      <c r="AJ3278" s="43" t="str">
        <f ca="1"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36"/>
        <v>#REF!</v>
      </c>
      <c r="AI3279" s="43" t="str">
        <f ca="1">_xll.BInterpol('Base IPCA'!$C$3:$C$14,'Base IPCA'!$E$3:$E$14,AH3279,"Cubic","Extrapolate=Linear","MultiX=Average","Skip=True","Sort=True")</f>
        <v>#N/A Invalid Parameter: Interpolation value</v>
      </c>
      <c r="AJ3279" s="43" t="str">
        <f ca="1"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36"/>
        <v>#REF!</v>
      </c>
      <c r="AI3280" s="43" t="str">
        <f ca="1">_xll.BInterpol('Base IPCA'!$C$3:$C$14,'Base IPCA'!$E$3:$E$14,AH3280,"Cubic","Extrapolate=Linear","MultiX=Average","Skip=True","Sort=True")</f>
        <v>#N/A Invalid Parameter: Interpolation value</v>
      </c>
      <c r="AJ3280" s="43" t="str">
        <f ca="1"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36"/>
        <v>#REF!</v>
      </c>
      <c r="AI3281" s="43" t="str">
        <f ca="1">_xll.BInterpol('Base IPCA'!$C$3:$C$14,'Base IPCA'!$E$3:$E$14,AH3281,"Cubic","Extrapolate=Linear","MultiX=Average","Skip=True","Sort=True")</f>
        <v>#N/A Invalid Parameter: Interpolation value</v>
      </c>
      <c r="AJ3281" s="43" t="str">
        <f ca="1"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36"/>
        <v>#REF!</v>
      </c>
      <c r="AI3282" s="43" t="str">
        <f ca="1">_xll.BInterpol('Base IPCA'!$C$3:$C$14,'Base IPCA'!$E$3:$E$14,AH3282,"Cubic","Extrapolate=Linear","MultiX=Average","Skip=True","Sort=True")</f>
        <v>#N/A Invalid Parameter: Interpolation value</v>
      </c>
      <c r="AJ3282" s="43" t="str">
        <f ca="1"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36"/>
        <v>#REF!</v>
      </c>
      <c r="AI3283" s="43" t="str">
        <f ca="1">_xll.BInterpol('Base IPCA'!$C$3:$C$14,'Base IPCA'!$E$3:$E$14,AH3283,"Cubic","Extrapolate=Linear","MultiX=Average","Skip=True","Sort=True")</f>
        <v>#N/A Invalid Parameter: Interpolation value</v>
      </c>
      <c r="AJ3283" s="43" t="str">
        <f ca="1"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36"/>
        <v>#REF!</v>
      </c>
      <c r="AI3284" s="43" t="str">
        <f ca="1">_xll.BInterpol('Base IPCA'!$C$3:$C$14,'Base IPCA'!$E$3:$E$14,AH3284,"Cubic","Extrapolate=Linear","MultiX=Average","Skip=True","Sort=True")</f>
        <v>#N/A Invalid Parameter: Interpolation value</v>
      </c>
      <c r="AJ3284" s="43" t="str">
        <f ca="1"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36"/>
        <v>#REF!</v>
      </c>
      <c r="AI3285" s="43" t="str">
        <f ca="1">_xll.BInterpol('Base IPCA'!$C$3:$C$14,'Base IPCA'!$E$3:$E$14,AH3285,"Cubic","Extrapolate=Linear","MultiX=Average","Skip=True","Sort=True")</f>
        <v>#N/A Invalid Parameter: Interpolation value</v>
      </c>
      <c r="AJ3285" s="43" t="str">
        <f ca="1"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36"/>
        <v>#REF!</v>
      </c>
      <c r="AI3286" s="43" t="str">
        <f ca="1">_xll.BInterpol('Base IPCA'!$C$3:$C$14,'Base IPCA'!$E$3:$E$14,AH3286,"Cubic","Extrapolate=Linear","MultiX=Average","Skip=True","Sort=True")</f>
        <v>#N/A Invalid Parameter: Interpolation value</v>
      </c>
      <c r="AJ3286" s="43" t="str">
        <f ca="1"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36"/>
        <v>#REF!</v>
      </c>
      <c r="AI3287" s="43" t="str">
        <f ca="1">_xll.BInterpol('Base IPCA'!$C$3:$C$14,'Base IPCA'!$E$3:$E$14,AH3287,"Cubic","Extrapolate=Linear","MultiX=Average","Skip=True","Sort=True")</f>
        <v>#N/A Invalid Parameter: Interpolation value</v>
      </c>
      <c r="AJ3287" s="43" t="str">
        <f ca="1"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36"/>
        <v>#REF!</v>
      </c>
      <c r="AI3288" s="43" t="str">
        <f ca="1">_xll.BInterpol('Base IPCA'!$C$3:$C$14,'Base IPCA'!$E$3:$E$14,AH3288,"Cubic","Extrapolate=Linear","MultiX=Average","Skip=True","Sort=True")</f>
        <v>#N/A Invalid Parameter: Interpolation value</v>
      </c>
      <c r="AJ3288" s="43" t="str">
        <f ca="1"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36"/>
        <v>#REF!</v>
      </c>
      <c r="AI3289" s="43" t="str">
        <f ca="1">_xll.BInterpol('Base IPCA'!$C$3:$C$14,'Base IPCA'!$E$3:$E$14,AH3289,"Cubic","Extrapolate=Linear","MultiX=Average","Skip=True","Sort=True")</f>
        <v>#N/A Invalid Parameter: Interpolation value</v>
      </c>
      <c r="AJ3289" s="43" t="str">
        <f ca="1"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36"/>
        <v>#REF!</v>
      </c>
      <c r="AI3290" s="43" t="str">
        <f ca="1">_xll.BInterpol('Base IPCA'!$C$3:$C$14,'Base IPCA'!$E$3:$E$14,AH3290,"Cubic","Extrapolate=Linear","MultiX=Average","Skip=True","Sort=True")</f>
        <v>#N/A Invalid Parameter: Interpolation value</v>
      </c>
      <c r="AJ3290" s="43" t="str">
        <f ca="1"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36"/>
        <v>#REF!</v>
      </c>
      <c r="AI3291" s="43" t="str">
        <f ca="1">_xll.BInterpol('Base IPCA'!$C$3:$C$14,'Base IPCA'!$E$3:$E$14,AH3291,"Cubic","Extrapolate=Linear","MultiX=Average","Skip=True","Sort=True")</f>
        <v>#N/A Invalid Parameter: Interpolation value</v>
      </c>
      <c r="AJ3291" s="43" t="str">
        <f ca="1"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36"/>
        <v>#REF!</v>
      </c>
      <c r="AI3292" s="43" t="str">
        <f ca="1">_xll.BInterpol('Base IPCA'!$C$3:$C$14,'Base IPCA'!$E$3:$E$14,AH3292,"Cubic","Extrapolate=Linear","MultiX=Average","Skip=True","Sort=True")</f>
        <v>#N/A Invalid Parameter: Interpolation value</v>
      </c>
      <c r="AJ3292" s="43" t="str">
        <f ca="1"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36"/>
        <v>#REF!</v>
      </c>
      <c r="AI3293" s="43" t="str">
        <f ca="1">_xll.BInterpol('Base IPCA'!$C$3:$C$14,'Base IPCA'!$E$3:$E$14,AH3293,"Cubic","Extrapolate=Linear","MultiX=Average","Skip=True","Sort=True")</f>
        <v>#N/A Invalid Parameter: Interpolation value</v>
      </c>
      <c r="AJ3293" s="43" t="str">
        <f ca="1"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36"/>
        <v>#REF!</v>
      </c>
      <c r="AI3294" s="43" t="str">
        <f ca="1">_xll.BInterpol('Base IPCA'!$C$3:$C$14,'Base IPCA'!$E$3:$E$14,AH3294,"Cubic","Extrapolate=Linear","MultiX=Average","Skip=True","Sort=True")</f>
        <v>#N/A Invalid Parameter: Interpolation value</v>
      </c>
      <c r="AJ3294" s="43" t="str">
        <f ca="1"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36"/>
        <v>#REF!</v>
      </c>
      <c r="AI3295" s="43" t="str">
        <f ca="1">_xll.BInterpol('Base IPCA'!$C$3:$C$14,'Base IPCA'!$E$3:$E$14,AH3295,"Cubic","Extrapolate=Linear","MultiX=Average","Skip=True","Sort=True")</f>
        <v>#N/A Invalid Parameter: Interpolation value</v>
      </c>
      <c r="AJ3295" s="43" t="str">
        <f ca="1"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36"/>
        <v>#REF!</v>
      </c>
      <c r="AI3296" s="43" t="str">
        <f ca="1">_xll.BInterpol('Base IPCA'!$C$3:$C$14,'Base IPCA'!$E$3:$E$14,AH3296,"Cubic","Extrapolate=Linear","MultiX=Average","Skip=True","Sort=True")</f>
        <v>#N/A Invalid Parameter: Interpolation value</v>
      </c>
      <c r="AJ3296" s="43" t="str">
        <f ca="1"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36"/>
        <v>#REF!</v>
      </c>
      <c r="AI3297" s="43" t="str">
        <f ca="1">_xll.BInterpol('Base IPCA'!$C$3:$C$14,'Base IPCA'!$E$3:$E$14,AH3297,"Cubic","Extrapolate=Linear","MultiX=Average","Skip=True","Sort=True")</f>
        <v>#N/A Invalid Parameter: Interpolation value</v>
      </c>
      <c r="AJ3297" s="43" t="str">
        <f ca="1"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36"/>
        <v>#REF!</v>
      </c>
      <c r="AI3298" s="43" t="str">
        <f ca="1">_xll.BInterpol('Base IPCA'!$C$3:$C$14,'Base IPCA'!$E$3:$E$14,AH3298,"Cubic","Extrapolate=Linear","MultiX=Average","Skip=True","Sort=True")</f>
        <v>#N/A Invalid Parameter: Interpolation value</v>
      </c>
      <c r="AJ3298" s="43" t="str">
        <f ca="1"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36"/>
        <v>#REF!</v>
      </c>
      <c r="AI3299" s="43" t="str">
        <f ca="1">_xll.BInterpol('Base IPCA'!$C$3:$C$14,'Base IPCA'!$E$3:$E$14,AH3299,"Cubic","Extrapolate=Linear","MultiX=Average","Skip=True","Sort=True")</f>
        <v>#N/A Invalid Parameter: Interpolation value</v>
      </c>
      <c r="AJ3299" s="43" t="str">
        <f ca="1"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36"/>
        <v>#REF!</v>
      </c>
      <c r="AI3300" s="43" t="str">
        <f ca="1">_xll.BInterpol('Base IPCA'!$C$3:$C$14,'Base IPCA'!$E$3:$E$14,AH3300,"Cubic","Extrapolate=Linear","MultiX=Average","Skip=True","Sort=True")</f>
        <v>#N/A Invalid Parameter: Interpolation value</v>
      </c>
      <c r="AJ3300" s="43" t="str">
        <f ca="1"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36"/>
        <v>#REF!</v>
      </c>
      <c r="AI3301" s="43" t="str">
        <f ca="1">_xll.BInterpol('Base IPCA'!$C$3:$C$14,'Base IPCA'!$E$3:$E$14,AH3301,"Cubic","Extrapolate=Linear","MultiX=Average","Skip=True","Sort=True")</f>
        <v>#N/A Invalid Parameter: Interpolation value</v>
      </c>
      <c r="AJ3301" s="43" t="str">
        <f ca="1"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36"/>
        <v>#REF!</v>
      </c>
      <c r="AI3302" s="43" t="str">
        <f ca="1">_xll.BInterpol('Base IPCA'!$C$3:$C$14,'Base IPCA'!$E$3:$E$14,AH3302,"Cubic","Extrapolate=Linear","MultiX=Average","Skip=True","Sort=True")</f>
        <v>#N/A Invalid Parameter: Interpolation value</v>
      </c>
      <c r="AJ3302" s="43" t="str">
        <f ca="1"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36"/>
        <v>#REF!</v>
      </c>
      <c r="AI3303" s="43" t="str">
        <f ca="1">_xll.BInterpol('Base IPCA'!$C$3:$C$14,'Base IPCA'!$E$3:$E$14,AH3303,"Cubic","Extrapolate=Linear","MultiX=Average","Skip=True","Sort=True")</f>
        <v>#N/A Invalid Parameter: Interpolation value</v>
      </c>
      <c r="AJ3303" s="43" t="str">
        <f ca="1"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36"/>
        <v>#REF!</v>
      </c>
      <c r="AI3304" s="43" t="str">
        <f ca="1">_xll.BInterpol('Base IPCA'!$C$3:$C$14,'Base IPCA'!$E$3:$E$14,AH3304,"Cubic","Extrapolate=Linear","MultiX=Average","Skip=True","Sort=True")</f>
        <v>#N/A Invalid Parameter: Interpolation value</v>
      </c>
      <c r="AJ3304" s="43" t="str">
        <f ca="1"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36"/>
        <v>#REF!</v>
      </c>
      <c r="AI3305" s="43" t="str">
        <f ca="1">_xll.BInterpol('Base IPCA'!$C$3:$C$14,'Base IPCA'!$E$3:$E$14,AH3305,"Cubic","Extrapolate=Linear","MultiX=Average","Skip=True","Sort=True")</f>
        <v>#N/A Invalid Parameter: Interpolation value</v>
      </c>
      <c r="AJ3305" s="43" t="str">
        <f ca="1"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36"/>
        <v>#REF!</v>
      </c>
      <c r="AI3306" s="43" t="str">
        <f ca="1">_xll.BInterpol('Base IPCA'!$C$3:$C$14,'Base IPCA'!$E$3:$E$14,AH3306,"Cubic","Extrapolate=Linear","MultiX=Average","Skip=True","Sort=True")</f>
        <v>#N/A Invalid Parameter: Interpolation value</v>
      </c>
      <c r="AJ3306" s="43" t="str">
        <f ca="1"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36"/>
        <v>#REF!</v>
      </c>
      <c r="AI3307" s="43" t="str">
        <f ca="1">_xll.BInterpol('Base IPCA'!$C$3:$C$14,'Base IPCA'!$E$3:$E$14,AH3307,"Cubic","Extrapolate=Linear","MultiX=Average","Skip=True","Sort=True")</f>
        <v>#N/A Invalid Parameter: Interpolation value</v>
      </c>
      <c r="AJ3307" s="43" t="str">
        <f ca="1"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36"/>
        <v>#REF!</v>
      </c>
      <c r="AI3308" s="43" t="str">
        <f ca="1">_xll.BInterpol('Base IPCA'!$C$3:$C$14,'Base IPCA'!$E$3:$E$14,AH3308,"Cubic","Extrapolate=Linear","MultiX=Average","Skip=True","Sort=True")</f>
        <v>#N/A Invalid Parameter: Interpolation value</v>
      </c>
      <c r="AJ3308" s="43" t="str">
        <f ca="1"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36"/>
        <v>#REF!</v>
      </c>
      <c r="AI3309" s="43" t="str">
        <f ca="1">_xll.BInterpol('Base IPCA'!$C$3:$C$14,'Base IPCA'!$E$3:$E$14,AH3309,"Cubic","Extrapolate=Linear","MultiX=Average","Skip=True","Sort=True")</f>
        <v>#N/A Invalid Parameter: Interpolation value</v>
      </c>
      <c r="AJ3309" s="43" t="str">
        <f ca="1"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36"/>
        <v>#REF!</v>
      </c>
      <c r="AI3310" s="43" t="str">
        <f ca="1">_xll.BInterpol('Base IPCA'!$C$3:$C$14,'Base IPCA'!$E$3:$E$14,AH3310,"Cubic","Extrapolate=Linear","MultiX=Average","Skip=True","Sort=True")</f>
        <v>#N/A Invalid Parameter: Interpolation value</v>
      </c>
      <c r="AJ3310" s="43" t="str">
        <f ca="1"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36"/>
        <v>#REF!</v>
      </c>
      <c r="AI3311" s="43" t="str">
        <f ca="1">_xll.BInterpol('Base IPCA'!$C$3:$C$14,'Base IPCA'!$E$3:$E$14,AH3311,"Cubic","Extrapolate=Linear","MultiX=Average","Skip=True","Sort=True")</f>
        <v>#N/A Invalid Parameter: Interpolation value</v>
      </c>
      <c r="AJ3311" s="43" t="str">
        <f ca="1"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36"/>
        <v>#REF!</v>
      </c>
      <c r="AI3312" s="43" t="str">
        <f ca="1">_xll.BInterpol('Base IPCA'!$C$3:$C$14,'Base IPCA'!$E$3:$E$14,AH3312,"Cubic","Extrapolate=Linear","MultiX=Average","Skip=True","Sort=True")</f>
        <v>#N/A Invalid Parameter: Interpolation value</v>
      </c>
      <c r="AJ3312" s="43" t="str">
        <f ca="1"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36"/>
        <v>#REF!</v>
      </c>
      <c r="AI3313" s="43" t="str">
        <f ca="1">_xll.BInterpol('Base IPCA'!$C$3:$C$14,'Base IPCA'!$E$3:$E$14,AH3313,"Cubic","Extrapolate=Linear","MultiX=Average","Skip=True","Sort=True")</f>
        <v>#N/A Invalid Parameter: Interpolation value</v>
      </c>
      <c r="AJ3313" s="43" t="str">
        <f ca="1"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36"/>
        <v>#REF!</v>
      </c>
      <c r="AI3314" s="43" t="str">
        <f ca="1">_xll.BInterpol('Base IPCA'!$C$3:$C$14,'Base IPCA'!$E$3:$E$14,AH3314,"Cubic","Extrapolate=Linear","MultiX=Average","Skip=True","Sort=True")</f>
        <v>#N/A Invalid Parameter: Interpolation value</v>
      </c>
      <c r="AJ3314" s="43" t="str">
        <f ca="1"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36"/>
        <v>#REF!</v>
      </c>
      <c r="AI3315" s="43" t="str">
        <f ca="1">_xll.BInterpol('Base IPCA'!$C$3:$C$14,'Base IPCA'!$E$3:$E$14,AH3315,"Cubic","Extrapolate=Linear","MultiX=Average","Skip=True","Sort=True")</f>
        <v>#N/A Invalid Parameter: Interpolation value</v>
      </c>
      <c r="AJ3315" s="43" t="str">
        <f ca="1"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36"/>
        <v>#REF!</v>
      </c>
      <c r="AI3316" s="43" t="str">
        <f ca="1">_xll.BInterpol('Base IPCA'!$C$3:$C$14,'Base IPCA'!$E$3:$E$14,AH3316,"Cubic","Extrapolate=Linear","MultiX=Average","Skip=True","Sort=True")</f>
        <v>#N/A Invalid Parameter: Interpolation value</v>
      </c>
      <c r="AJ3316" s="43" t="str">
        <f ca="1"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36"/>
        <v>#REF!</v>
      </c>
      <c r="AI3317" s="43" t="str">
        <f ca="1">_xll.BInterpol('Base IPCA'!$C$3:$C$14,'Base IPCA'!$E$3:$E$14,AH3317,"Cubic","Extrapolate=Linear","MultiX=Average","Skip=True","Sort=True")</f>
        <v>#N/A Invalid Parameter: Interpolation value</v>
      </c>
      <c r="AJ3317" s="43" t="str">
        <f ca="1"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36"/>
        <v>#REF!</v>
      </c>
      <c r="AI3318" s="43" t="str">
        <f ca="1">_xll.BInterpol('Base IPCA'!$C$3:$C$14,'Base IPCA'!$E$3:$E$14,AH3318,"Cubic","Extrapolate=Linear","MultiX=Average","Skip=True","Sort=True")</f>
        <v>#N/A Invalid Parameter: Interpolation value</v>
      </c>
      <c r="AJ3318" s="43" t="str">
        <f ca="1"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36"/>
        <v>#REF!</v>
      </c>
      <c r="AI3319" s="43" t="str">
        <f ca="1">_xll.BInterpol('Base IPCA'!$C$3:$C$14,'Base IPCA'!$E$3:$E$14,AH3319,"Cubic","Extrapolate=Linear","MultiX=Average","Skip=True","Sort=True")</f>
        <v>#N/A Invalid Parameter: Interpolation value</v>
      </c>
      <c r="AJ3319" s="43" t="str">
        <f ca="1"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36"/>
        <v>#REF!</v>
      </c>
      <c r="AI3320" s="43" t="str">
        <f ca="1">_xll.BInterpol('Base IPCA'!$C$3:$C$14,'Base IPCA'!$E$3:$E$14,AH3320,"Cubic","Extrapolate=Linear","MultiX=Average","Skip=True","Sort=True")</f>
        <v>#N/A Invalid Parameter: Interpolation value</v>
      </c>
      <c r="AJ3320" s="43" t="str">
        <f ca="1"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36"/>
        <v>#REF!</v>
      </c>
      <c r="AI3321" s="43" t="str">
        <f ca="1">_xll.BInterpol('Base IPCA'!$C$3:$C$14,'Base IPCA'!$E$3:$E$14,AH3321,"Cubic","Extrapolate=Linear","MultiX=Average","Skip=True","Sort=True")</f>
        <v>#N/A Invalid Parameter: Interpolation value</v>
      </c>
      <c r="AJ3321" s="43" t="str">
        <f ca="1"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36"/>
        <v>#REF!</v>
      </c>
      <c r="AI3322" s="43" t="str">
        <f ca="1">_xll.BInterpol('Base IPCA'!$C$3:$C$14,'Base IPCA'!$E$3:$E$14,AH3322,"Cubic","Extrapolate=Linear","MultiX=Average","Skip=True","Sort=True")</f>
        <v>#N/A Invalid Parameter: Interpolation value</v>
      </c>
      <c r="AJ3322" s="43" t="str">
        <f ca="1"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36"/>
        <v>#REF!</v>
      </c>
      <c r="AI3323" s="43" t="str">
        <f ca="1">_xll.BInterpol('Base IPCA'!$C$3:$C$14,'Base IPCA'!$E$3:$E$14,AH3323,"Cubic","Extrapolate=Linear","MultiX=Average","Skip=True","Sort=True")</f>
        <v>#N/A Invalid Parameter: Interpolation value</v>
      </c>
      <c r="AJ3323" s="43" t="str">
        <f ca="1"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36"/>
        <v>#REF!</v>
      </c>
      <c r="AI3324" s="43" t="str">
        <f ca="1">_xll.BInterpol('Base IPCA'!$C$3:$C$14,'Base IPCA'!$E$3:$E$14,AH3324,"Cubic","Extrapolate=Linear","MultiX=Average","Skip=True","Sort=True")</f>
        <v>#N/A Invalid Parameter: Interpolation value</v>
      </c>
      <c r="AJ3324" s="43" t="str">
        <f ca="1"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36"/>
        <v>#REF!</v>
      </c>
      <c r="AI3325" s="43" t="str">
        <f ca="1">_xll.BInterpol('Base IPCA'!$C$3:$C$14,'Base IPCA'!$E$3:$E$14,AH3325,"Cubic","Extrapolate=Linear","MultiX=Average","Skip=True","Sort=True")</f>
        <v>#N/A Invalid Parameter: Interpolation value</v>
      </c>
      <c r="AJ3325" s="43" t="str">
        <f ca="1"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36"/>
        <v>#REF!</v>
      </c>
      <c r="AI3326" s="43" t="str">
        <f ca="1">_xll.BInterpol('Base IPCA'!$C$3:$C$14,'Base IPCA'!$E$3:$E$14,AH3326,"Cubic","Extrapolate=Linear","MultiX=Average","Skip=True","Sort=True")</f>
        <v>#N/A Invalid Parameter: Interpolation value</v>
      </c>
      <c r="AJ3326" s="43" t="str">
        <f ca="1"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36"/>
        <v>#REF!</v>
      </c>
      <c r="AI3327" s="43" t="str">
        <f ca="1">_xll.BInterpol('Base IPCA'!$C$3:$C$14,'Base IPCA'!$E$3:$E$14,AH3327,"Cubic","Extrapolate=Linear","MultiX=Average","Skip=True","Sort=True")</f>
        <v>#N/A Invalid Parameter: Interpolation value</v>
      </c>
      <c r="AJ3327" s="43" t="str">
        <f ca="1"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36"/>
        <v>#REF!</v>
      </c>
      <c r="AI3328" s="43" t="str">
        <f ca="1">_xll.BInterpol('Base IPCA'!$C$3:$C$14,'Base IPCA'!$E$3:$E$14,AH3328,"Cubic","Extrapolate=Linear","MultiX=Average","Skip=True","Sort=True")</f>
        <v>#N/A Invalid Parameter: Interpolation value</v>
      </c>
      <c r="AJ3328" s="43" t="str">
        <f ca="1"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36"/>
        <v>#REF!</v>
      </c>
      <c r="AI3329" s="43" t="str">
        <f ca="1">_xll.BInterpol('Base IPCA'!$C$3:$C$14,'Base IPCA'!$E$3:$E$14,AH3329,"Cubic","Extrapolate=Linear","MultiX=Average","Skip=True","Sort=True")</f>
        <v>#N/A Invalid Parameter: Interpolation value</v>
      </c>
      <c r="AJ3329" s="43" t="str">
        <f ca="1"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36"/>
        <v>#REF!</v>
      </c>
      <c r="AI3330" s="43" t="str">
        <f ca="1">_xll.BInterpol('Base IPCA'!$C$3:$C$14,'Base IPCA'!$E$3:$E$14,AH3330,"Cubic","Extrapolate=Linear","MultiX=Average","Skip=True","Sort=True")</f>
        <v>#N/A Invalid Parameter: Interpolation value</v>
      </c>
      <c r="AJ3330" s="43" t="str">
        <f ca="1"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36"/>
        <v>#REF!</v>
      </c>
      <c r="AI3331" s="43" t="str">
        <f ca="1">_xll.BInterpol('Base IPCA'!$C$3:$C$14,'Base IPCA'!$E$3:$E$14,AH3331,"Cubic","Extrapolate=Linear","MultiX=Average","Skip=True","Sort=True")</f>
        <v>#N/A Invalid Parameter: Interpolation value</v>
      </c>
      <c r="AJ3331" s="43" t="str">
        <f ca="1"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36"/>
        <v>#REF!</v>
      </c>
      <c r="AI3332" s="43" t="str">
        <f ca="1">_xll.BInterpol('Base IPCA'!$C$3:$C$14,'Base IPCA'!$E$3:$E$14,AH3332,"Cubic","Extrapolate=Linear","MultiX=Average","Skip=True","Sort=True")</f>
        <v>#N/A Invalid Parameter: Interpolation value</v>
      </c>
      <c r="AJ3332" s="43" t="str">
        <f ca="1"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36"/>
        <v>#REF!</v>
      </c>
      <c r="AI3333" s="43" t="str">
        <f ca="1">_xll.BInterpol('Base IPCA'!$C$3:$C$14,'Base IPCA'!$E$3:$E$14,AH3333,"Cubic","Extrapolate=Linear","MultiX=Average","Skip=True","Sort=True")</f>
        <v>#N/A Invalid Parameter: Interpolation value</v>
      </c>
      <c r="AJ3333" s="43" t="str">
        <f ca="1"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37">AH3333+1</f>
        <v>#REF!</v>
      </c>
      <c r="AI3334" s="43" t="str">
        <f ca="1">_xll.BInterpol('Base IPCA'!$C$3:$C$14,'Base IPCA'!$E$3:$E$14,AH3334,"Cubic","Extrapolate=Linear","MultiX=Average","Skip=True","Sort=True")</f>
        <v>#N/A Invalid Parameter: Interpolation value</v>
      </c>
      <c r="AJ3334" s="43" t="str">
        <f ca="1"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37"/>
        <v>#REF!</v>
      </c>
      <c r="AI3335" s="43" t="str">
        <f ca="1">_xll.BInterpol('Base IPCA'!$C$3:$C$14,'Base IPCA'!$E$3:$E$14,AH3335,"Cubic","Extrapolate=Linear","MultiX=Average","Skip=True","Sort=True")</f>
        <v>#N/A Invalid Parameter: Interpolation value</v>
      </c>
      <c r="AJ3335" s="43" t="str">
        <f ca="1"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37"/>
        <v>#REF!</v>
      </c>
      <c r="AI3336" s="43" t="str">
        <f ca="1">_xll.BInterpol('Base IPCA'!$C$3:$C$14,'Base IPCA'!$E$3:$E$14,AH3336,"Cubic","Extrapolate=Linear","MultiX=Average","Skip=True","Sort=True")</f>
        <v>#N/A Invalid Parameter: Interpolation value</v>
      </c>
      <c r="AJ3336" s="43" t="str">
        <f ca="1"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37"/>
        <v>#REF!</v>
      </c>
      <c r="AI3337" s="43" t="str">
        <f ca="1">_xll.BInterpol('Base IPCA'!$C$3:$C$14,'Base IPCA'!$E$3:$E$14,AH3337,"Cubic","Extrapolate=Linear","MultiX=Average","Skip=True","Sort=True")</f>
        <v>#N/A Invalid Parameter: Interpolation value</v>
      </c>
      <c r="AJ3337" s="43" t="str">
        <f ca="1"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37"/>
        <v>#REF!</v>
      </c>
      <c r="AI3338" s="43" t="str">
        <f ca="1">_xll.BInterpol('Base IPCA'!$C$3:$C$14,'Base IPCA'!$E$3:$E$14,AH3338,"Cubic","Extrapolate=Linear","MultiX=Average","Skip=True","Sort=True")</f>
        <v>#N/A Invalid Parameter: Interpolation value</v>
      </c>
      <c r="AJ3338" s="43" t="str">
        <f ca="1"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37"/>
        <v>#REF!</v>
      </c>
      <c r="AI3339" s="43" t="str">
        <f ca="1">_xll.BInterpol('Base IPCA'!$C$3:$C$14,'Base IPCA'!$E$3:$E$14,AH3339,"Cubic","Extrapolate=Linear","MultiX=Average","Skip=True","Sort=True")</f>
        <v>#N/A Invalid Parameter: Interpolation value</v>
      </c>
      <c r="AJ3339" s="43" t="str">
        <f ca="1"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37"/>
        <v>#REF!</v>
      </c>
      <c r="AI3340" s="43" t="str">
        <f ca="1">_xll.BInterpol('Base IPCA'!$C$3:$C$14,'Base IPCA'!$E$3:$E$14,AH3340,"Cubic","Extrapolate=Linear","MultiX=Average","Skip=True","Sort=True")</f>
        <v>#N/A Invalid Parameter: Interpolation value</v>
      </c>
      <c r="AJ3340" s="43" t="str">
        <f ca="1"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37"/>
        <v>#REF!</v>
      </c>
      <c r="AI3341" s="43" t="str">
        <f ca="1">_xll.BInterpol('Base IPCA'!$C$3:$C$14,'Base IPCA'!$E$3:$E$14,AH3341,"Cubic","Extrapolate=Linear","MultiX=Average","Skip=True","Sort=True")</f>
        <v>#N/A Invalid Parameter: Interpolation value</v>
      </c>
      <c r="AJ3341" s="43" t="str">
        <f ca="1"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37"/>
        <v>#REF!</v>
      </c>
      <c r="AI3342" s="43" t="str">
        <f ca="1">_xll.BInterpol('Base IPCA'!$C$3:$C$14,'Base IPCA'!$E$3:$E$14,AH3342,"Cubic","Extrapolate=Linear","MultiX=Average","Skip=True","Sort=True")</f>
        <v>#N/A Invalid Parameter: Interpolation value</v>
      </c>
      <c r="AJ3342" s="43" t="str">
        <f ca="1"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37"/>
        <v>#REF!</v>
      </c>
      <c r="AI3343" s="43" t="str">
        <f ca="1">_xll.BInterpol('Base IPCA'!$C$3:$C$14,'Base IPCA'!$E$3:$E$14,AH3343,"Cubic","Extrapolate=Linear","MultiX=Average","Skip=True","Sort=True")</f>
        <v>#N/A Invalid Parameter: Interpolation value</v>
      </c>
      <c r="AJ3343" s="43" t="str">
        <f ca="1"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37"/>
        <v>#REF!</v>
      </c>
      <c r="AI3344" s="43" t="str">
        <f ca="1">_xll.BInterpol('Base IPCA'!$C$3:$C$14,'Base IPCA'!$E$3:$E$14,AH3344,"Cubic","Extrapolate=Linear","MultiX=Average","Skip=True","Sort=True")</f>
        <v>#N/A Invalid Parameter: Interpolation value</v>
      </c>
      <c r="AJ3344" s="43" t="str">
        <f ca="1"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37"/>
        <v>#REF!</v>
      </c>
      <c r="AI3345" s="43" t="str">
        <f ca="1">_xll.BInterpol('Base IPCA'!$C$3:$C$14,'Base IPCA'!$E$3:$E$14,AH3345,"Cubic","Extrapolate=Linear","MultiX=Average","Skip=True","Sort=True")</f>
        <v>#N/A Invalid Parameter: Interpolation value</v>
      </c>
      <c r="AJ3345" s="43" t="str">
        <f ca="1"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37"/>
        <v>#REF!</v>
      </c>
      <c r="AI3346" s="43" t="str">
        <f ca="1">_xll.BInterpol('Base IPCA'!$C$3:$C$14,'Base IPCA'!$E$3:$E$14,AH3346,"Cubic","Extrapolate=Linear","MultiX=Average","Skip=True","Sort=True")</f>
        <v>#N/A Invalid Parameter: Interpolation value</v>
      </c>
      <c r="AJ3346" s="43" t="str">
        <f ca="1"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37"/>
        <v>#REF!</v>
      </c>
      <c r="AI3347" s="43" t="str">
        <f ca="1">_xll.BInterpol('Base IPCA'!$C$3:$C$14,'Base IPCA'!$E$3:$E$14,AH3347,"Cubic","Extrapolate=Linear","MultiX=Average","Skip=True","Sort=True")</f>
        <v>#N/A Invalid Parameter: Interpolation value</v>
      </c>
      <c r="AJ3347" s="43" t="str">
        <f ca="1"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37"/>
        <v>#REF!</v>
      </c>
      <c r="AI3348" s="43" t="str">
        <f ca="1">_xll.BInterpol('Base IPCA'!$C$3:$C$14,'Base IPCA'!$E$3:$E$14,AH3348,"Cubic","Extrapolate=Linear","MultiX=Average","Skip=True","Sort=True")</f>
        <v>#N/A Invalid Parameter: Interpolation value</v>
      </c>
      <c r="AJ3348" s="43" t="str">
        <f ca="1"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37"/>
        <v>#REF!</v>
      </c>
      <c r="AI3349" s="43" t="str">
        <f ca="1">_xll.BInterpol('Base IPCA'!$C$3:$C$14,'Base IPCA'!$E$3:$E$14,AH3349,"Cubic","Extrapolate=Linear","MultiX=Average","Skip=True","Sort=True")</f>
        <v>#N/A Invalid Parameter: Interpolation value</v>
      </c>
      <c r="AJ3349" s="43" t="str">
        <f ca="1"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37"/>
        <v>#REF!</v>
      </c>
      <c r="AI3350" s="43" t="str">
        <f ca="1">_xll.BInterpol('Base IPCA'!$C$3:$C$14,'Base IPCA'!$E$3:$E$14,AH3350,"Cubic","Extrapolate=Linear","MultiX=Average","Skip=True","Sort=True")</f>
        <v>#N/A Invalid Parameter: Interpolation value</v>
      </c>
      <c r="AJ3350" s="43" t="str">
        <f ca="1"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37"/>
        <v>#REF!</v>
      </c>
      <c r="AI3351" s="43" t="str">
        <f ca="1">_xll.BInterpol('Base IPCA'!$C$3:$C$14,'Base IPCA'!$E$3:$E$14,AH3351,"Cubic","Extrapolate=Linear","MultiX=Average","Skip=True","Sort=True")</f>
        <v>#N/A Invalid Parameter: Interpolation value</v>
      </c>
      <c r="AJ3351" s="43" t="str">
        <f ca="1"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37"/>
        <v>#REF!</v>
      </c>
      <c r="AI3352" s="43" t="str">
        <f ca="1">_xll.BInterpol('Base IPCA'!$C$3:$C$14,'Base IPCA'!$E$3:$E$14,AH3352,"Cubic","Extrapolate=Linear","MultiX=Average","Skip=True","Sort=True")</f>
        <v>#N/A Invalid Parameter: Interpolation value</v>
      </c>
      <c r="AJ3352" s="43" t="str">
        <f ca="1"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37"/>
        <v>#REF!</v>
      </c>
      <c r="AI3353" s="43" t="str">
        <f ca="1">_xll.BInterpol('Base IPCA'!$C$3:$C$14,'Base IPCA'!$E$3:$E$14,AH3353,"Cubic","Extrapolate=Linear","MultiX=Average","Skip=True","Sort=True")</f>
        <v>#N/A Invalid Parameter: Interpolation value</v>
      </c>
      <c r="AJ3353" s="43" t="str">
        <f ca="1"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37"/>
        <v>#REF!</v>
      </c>
      <c r="AI3354" s="43" t="str">
        <f ca="1">_xll.BInterpol('Base IPCA'!$C$3:$C$14,'Base IPCA'!$E$3:$E$14,AH3354,"Cubic","Extrapolate=Linear","MultiX=Average","Skip=True","Sort=True")</f>
        <v>#N/A Invalid Parameter: Interpolation value</v>
      </c>
      <c r="AJ3354" s="43" t="str">
        <f ca="1"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37"/>
        <v>#REF!</v>
      </c>
      <c r="AI3355" s="43" t="str">
        <f ca="1">_xll.BInterpol('Base IPCA'!$C$3:$C$14,'Base IPCA'!$E$3:$E$14,AH3355,"Cubic","Extrapolate=Linear","MultiX=Average","Skip=True","Sort=True")</f>
        <v>#N/A Invalid Parameter: Interpolation value</v>
      </c>
      <c r="AJ3355" s="43" t="str">
        <f ca="1"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37"/>
        <v>#REF!</v>
      </c>
      <c r="AI3356" s="43" t="str">
        <f ca="1">_xll.BInterpol('Base IPCA'!$C$3:$C$14,'Base IPCA'!$E$3:$E$14,AH3356,"Cubic","Extrapolate=Linear","MultiX=Average","Skip=True","Sort=True")</f>
        <v>#N/A Invalid Parameter: Interpolation value</v>
      </c>
      <c r="AJ3356" s="43" t="str">
        <f ca="1"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37"/>
        <v>#REF!</v>
      </c>
      <c r="AI3357" s="43" t="str">
        <f ca="1">_xll.BInterpol('Base IPCA'!$C$3:$C$14,'Base IPCA'!$E$3:$E$14,AH3357,"Cubic","Extrapolate=Linear","MultiX=Average","Skip=True","Sort=True")</f>
        <v>#N/A Invalid Parameter: Interpolation value</v>
      </c>
      <c r="AJ3357" s="43" t="str">
        <f ca="1"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37"/>
        <v>#REF!</v>
      </c>
      <c r="AI3358" s="43" t="str">
        <f ca="1">_xll.BInterpol('Base IPCA'!$C$3:$C$14,'Base IPCA'!$E$3:$E$14,AH3358,"Cubic","Extrapolate=Linear","MultiX=Average","Skip=True","Sort=True")</f>
        <v>#N/A Invalid Parameter: Interpolation value</v>
      </c>
      <c r="AJ3358" s="43" t="str">
        <f ca="1"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37"/>
        <v>#REF!</v>
      </c>
      <c r="AI3359" s="43" t="str">
        <f ca="1">_xll.BInterpol('Base IPCA'!$C$3:$C$14,'Base IPCA'!$E$3:$E$14,AH3359,"Cubic","Extrapolate=Linear","MultiX=Average","Skip=True","Sort=True")</f>
        <v>#N/A Invalid Parameter: Interpolation value</v>
      </c>
      <c r="AJ3359" s="43" t="str">
        <f ca="1"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37"/>
        <v>#REF!</v>
      </c>
      <c r="AI3360" s="43" t="str">
        <f ca="1">_xll.BInterpol('Base IPCA'!$C$3:$C$14,'Base IPCA'!$E$3:$E$14,AH3360,"Cubic","Extrapolate=Linear","MultiX=Average","Skip=True","Sort=True")</f>
        <v>#N/A Invalid Parameter: Interpolation value</v>
      </c>
      <c r="AJ3360" s="43" t="str">
        <f ca="1"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37"/>
        <v>#REF!</v>
      </c>
      <c r="AI3361" s="43" t="str">
        <f ca="1">_xll.BInterpol('Base IPCA'!$C$3:$C$14,'Base IPCA'!$E$3:$E$14,AH3361,"Cubic","Extrapolate=Linear","MultiX=Average","Skip=True","Sort=True")</f>
        <v>#N/A Invalid Parameter: Interpolation value</v>
      </c>
      <c r="AJ3361" s="43" t="str">
        <f ca="1"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37"/>
        <v>#REF!</v>
      </c>
      <c r="AI3362" s="43" t="str">
        <f ca="1">_xll.BInterpol('Base IPCA'!$C$3:$C$14,'Base IPCA'!$E$3:$E$14,AH3362,"Cubic","Extrapolate=Linear","MultiX=Average","Skip=True","Sort=True")</f>
        <v>#N/A Invalid Parameter: Interpolation value</v>
      </c>
      <c r="AJ3362" s="43" t="str">
        <f ca="1"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37"/>
        <v>#REF!</v>
      </c>
      <c r="AI3363" s="43" t="str">
        <f ca="1">_xll.BInterpol('Base IPCA'!$C$3:$C$14,'Base IPCA'!$E$3:$E$14,AH3363,"Cubic","Extrapolate=Linear","MultiX=Average","Skip=True","Sort=True")</f>
        <v>#N/A Invalid Parameter: Interpolation value</v>
      </c>
      <c r="AJ3363" s="43" t="str">
        <f ca="1"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37"/>
        <v>#REF!</v>
      </c>
      <c r="AI3364" s="43" t="str">
        <f ca="1">_xll.BInterpol('Base IPCA'!$C$3:$C$14,'Base IPCA'!$E$3:$E$14,AH3364,"Cubic","Extrapolate=Linear","MultiX=Average","Skip=True","Sort=True")</f>
        <v>#N/A Invalid Parameter: Interpolation value</v>
      </c>
      <c r="AJ3364" s="43" t="str">
        <f ca="1"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37"/>
        <v>#REF!</v>
      </c>
      <c r="AI3365" s="43" t="str">
        <f ca="1">_xll.BInterpol('Base IPCA'!$C$3:$C$14,'Base IPCA'!$E$3:$E$14,AH3365,"Cubic","Extrapolate=Linear","MultiX=Average","Skip=True","Sort=True")</f>
        <v>#N/A Invalid Parameter: Interpolation value</v>
      </c>
      <c r="AJ3365" s="43" t="str">
        <f ca="1"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37"/>
        <v>#REF!</v>
      </c>
      <c r="AI3366" s="43" t="str">
        <f ca="1">_xll.BInterpol('Base IPCA'!$C$3:$C$14,'Base IPCA'!$E$3:$E$14,AH3366,"Cubic","Extrapolate=Linear","MultiX=Average","Skip=True","Sort=True")</f>
        <v>#N/A Invalid Parameter: Interpolation value</v>
      </c>
      <c r="AJ3366" s="43" t="str">
        <f ca="1"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37"/>
        <v>#REF!</v>
      </c>
      <c r="AI3367" s="43" t="str">
        <f ca="1">_xll.BInterpol('Base IPCA'!$C$3:$C$14,'Base IPCA'!$E$3:$E$14,AH3367,"Cubic","Extrapolate=Linear","MultiX=Average","Skip=True","Sort=True")</f>
        <v>#N/A Invalid Parameter: Interpolation value</v>
      </c>
      <c r="AJ3367" s="43" t="str">
        <f ca="1"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37"/>
        <v>#REF!</v>
      </c>
      <c r="AI3368" s="43" t="str">
        <f ca="1">_xll.BInterpol('Base IPCA'!$C$3:$C$14,'Base IPCA'!$E$3:$E$14,AH3368,"Cubic","Extrapolate=Linear","MultiX=Average","Skip=True","Sort=True")</f>
        <v>#N/A Invalid Parameter: Interpolation value</v>
      </c>
      <c r="AJ3368" s="43" t="str">
        <f ca="1"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37"/>
        <v>#REF!</v>
      </c>
      <c r="AI3369" s="43" t="str">
        <f ca="1">_xll.BInterpol('Base IPCA'!$C$3:$C$14,'Base IPCA'!$E$3:$E$14,AH3369,"Cubic","Extrapolate=Linear","MultiX=Average","Skip=True","Sort=True")</f>
        <v>#N/A Invalid Parameter: Interpolation value</v>
      </c>
      <c r="AJ3369" s="43" t="str">
        <f ca="1"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37"/>
        <v>#REF!</v>
      </c>
      <c r="AI3370" s="43" t="str">
        <f ca="1">_xll.BInterpol('Base IPCA'!$C$3:$C$14,'Base IPCA'!$E$3:$E$14,AH3370,"Cubic","Extrapolate=Linear","MultiX=Average","Skip=True","Sort=True")</f>
        <v>#N/A Invalid Parameter: Interpolation value</v>
      </c>
      <c r="AJ3370" s="43" t="str">
        <f ca="1"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37"/>
        <v>#REF!</v>
      </c>
      <c r="AI3371" s="43" t="str">
        <f ca="1">_xll.BInterpol('Base IPCA'!$C$3:$C$14,'Base IPCA'!$E$3:$E$14,AH3371,"Cubic","Extrapolate=Linear","MultiX=Average","Skip=True","Sort=True")</f>
        <v>#N/A Invalid Parameter: Interpolation value</v>
      </c>
      <c r="AJ3371" s="43" t="str">
        <f ca="1"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37"/>
        <v>#REF!</v>
      </c>
      <c r="AI3372" s="43" t="str">
        <f ca="1">_xll.BInterpol('Base IPCA'!$C$3:$C$14,'Base IPCA'!$E$3:$E$14,AH3372,"Cubic","Extrapolate=Linear","MultiX=Average","Skip=True","Sort=True")</f>
        <v>#N/A Invalid Parameter: Interpolation value</v>
      </c>
      <c r="AJ3372" s="43" t="str">
        <f ca="1"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37"/>
        <v>#REF!</v>
      </c>
      <c r="AI3373" s="43" t="str">
        <f ca="1">_xll.BInterpol('Base IPCA'!$C$3:$C$14,'Base IPCA'!$E$3:$E$14,AH3373,"Cubic","Extrapolate=Linear","MultiX=Average","Skip=True","Sort=True")</f>
        <v>#N/A Invalid Parameter: Interpolation value</v>
      </c>
      <c r="AJ3373" s="43" t="str">
        <f ca="1"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37"/>
        <v>#REF!</v>
      </c>
      <c r="AI3374" s="43" t="str">
        <f ca="1">_xll.BInterpol('Base IPCA'!$C$3:$C$14,'Base IPCA'!$E$3:$E$14,AH3374,"Cubic","Extrapolate=Linear","MultiX=Average","Skip=True","Sort=True")</f>
        <v>#N/A Invalid Parameter: Interpolation value</v>
      </c>
      <c r="AJ3374" s="43" t="str">
        <f ca="1"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37"/>
        <v>#REF!</v>
      </c>
      <c r="AI3375" s="43" t="str">
        <f ca="1">_xll.BInterpol('Base IPCA'!$C$3:$C$14,'Base IPCA'!$E$3:$E$14,AH3375,"Cubic","Extrapolate=Linear","MultiX=Average","Skip=True","Sort=True")</f>
        <v>#N/A Invalid Parameter: Interpolation value</v>
      </c>
      <c r="AJ3375" s="43" t="str">
        <f ca="1"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37"/>
        <v>#REF!</v>
      </c>
      <c r="AI3376" s="43" t="str">
        <f ca="1">_xll.BInterpol('Base IPCA'!$C$3:$C$14,'Base IPCA'!$E$3:$E$14,AH3376,"Cubic","Extrapolate=Linear","MultiX=Average","Skip=True","Sort=True")</f>
        <v>#N/A Invalid Parameter: Interpolation value</v>
      </c>
      <c r="AJ3376" s="43" t="str">
        <f ca="1"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37"/>
        <v>#REF!</v>
      </c>
      <c r="AI3377" s="43" t="str">
        <f ca="1">_xll.BInterpol('Base IPCA'!$C$3:$C$14,'Base IPCA'!$E$3:$E$14,AH3377,"Cubic","Extrapolate=Linear","MultiX=Average","Skip=True","Sort=True")</f>
        <v>#N/A Invalid Parameter: Interpolation value</v>
      </c>
      <c r="AJ3377" s="43" t="str">
        <f ca="1"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37"/>
        <v>#REF!</v>
      </c>
      <c r="AI3378" s="43" t="str">
        <f ca="1">_xll.BInterpol('Base IPCA'!$C$3:$C$14,'Base IPCA'!$E$3:$E$14,AH3378,"Cubic","Extrapolate=Linear","MultiX=Average","Skip=True","Sort=True")</f>
        <v>#N/A Invalid Parameter: Interpolation value</v>
      </c>
      <c r="AJ3378" s="43" t="str">
        <f ca="1"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37"/>
        <v>#REF!</v>
      </c>
      <c r="AI3379" s="43" t="str">
        <f ca="1">_xll.BInterpol('Base IPCA'!$C$3:$C$14,'Base IPCA'!$E$3:$E$14,AH3379,"Cubic","Extrapolate=Linear","MultiX=Average","Skip=True","Sort=True")</f>
        <v>#N/A Invalid Parameter: Interpolation value</v>
      </c>
      <c r="AJ3379" s="43" t="str">
        <f ca="1"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37"/>
        <v>#REF!</v>
      </c>
      <c r="AI3380" s="43" t="str">
        <f ca="1">_xll.BInterpol('Base IPCA'!$C$3:$C$14,'Base IPCA'!$E$3:$E$14,AH3380,"Cubic","Extrapolate=Linear","MultiX=Average","Skip=True","Sort=True")</f>
        <v>#N/A Invalid Parameter: Interpolation value</v>
      </c>
      <c r="AJ3380" s="43" t="str">
        <f ca="1"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37"/>
        <v>#REF!</v>
      </c>
      <c r="AI3381" s="43" t="str">
        <f ca="1">_xll.BInterpol('Base IPCA'!$C$3:$C$14,'Base IPCA'!$E$3:$E$14,AH3381,"Cubic","Extrapolate=Linear","MultiX=Average","Skip=True","Sort=True")</f>
        <v>#N/A Invalid Parameter: Interpolation value</v>
      </c>
      <c r="AJ3381" s="43" t="str">
        <f ca="1"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37"/>
        <v>#REF!</v>
      </c>
      <c r="AI3382" s="43" t="str">
        <f ca="1">_xll.BInterpol('Base IPCA'!$C$3:$C$14,'Base IPCA'!$E$3:$E$14,AH3382,"Cubic","Extrapolate=Linear","MultiX=Average","Skip=True","Sort=True")</f>
        <v>#N/A Invalid Parameter: Interpolation value</v>
      </c>
      <c r="AJ3382" s="43" t="str">
        <f ca="1"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37"/>
        <v>#REF!</v>
      </c>
      <c r="AI3383" s="43" t="str">
        <f ca="1">_xll.BInterpol('Base IPCA'!$C$3:$C$14,'Base IPCA'!$E$3:$E$14,AH3383,"Cubic","Extrapolate=Linear","MultiX=Average","Skip=True","Sort=True")</f>
        <v>#N/A Invalid Parameter: Interpolation value</v>
      </c>
      <c r="AJ3383" s="43" t="str">
        <f ca="1"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37"/>
        <v>#REF!</v>
      </c>
      <c r="AI3384" s="43" t="str">
        <f ca="1">_xll.BInterpol('Base IPCA'!$C$3:$C$14,'Base IPCA'!$E$3:$E$14,AH3384,"Cubic","Extrapolate=Linear","MultiX=Average","Skip=True","Sort=True")</f>
        <v>#N/A Invalid Parameter: Interpolation value</v>
      </c>
      <c r="AJ3384" s="43" t="str">
        <f ca="1"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37"/>
        <v>#REF!</v>
      </c>
      <c r="AI3385" s="43" t="str">
        <f ca="1">_xll.BInterpol('Base IPCA'!$C$3:$C$14,'Base IPCA'!$E$3:$E$14,AH3385,"Cubic","Extrapolate=Linear","MultiX=Average","Skip=True","Sort=True")</f>
        <v>#N/A Invalid Parameter: Interpolation value</v>
      </c>
      <c r="AJ3385" s="43" t="str">
        <f ca="1"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37"/>
        <v>#REF!</v>
      </c>
      <c r="AI3386" s="43" t="str">
        <f ca="1">_xll.BInterpol('Base IPCA'!$C$3:$C$14,'Base IPCA'!$E$3:$E$14,AH3386,"Cubic","Extrapolate=Linear","MultiX=Average","Skip=True","Sort=True")</f>
        <v>#N/A Invalid Parameter: Interpolation value</v>
      </c>
      <c r="AJ3386" s="43" t="str">
        <f ca="1"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37"/>
        <v>#REF!</v>
      </c>
      <c r="AI3387" s="43" t="str">
        <f ca="1">_xll.BInterpol('Base IPCA'!$C$3:$C$14,'Base IPCA'!$E$3:$E$14,AH3387,"Cubic","Extrapolate=Linear","MultiX=Average","Skip=True","Sort=True")</f>
        <v>#N/A Invalid Parameter: Interpolation value</v>
      </c>
      <c r="AJ3387" s="43" t="str">
        <f ca="1"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37"/>
        <v>#REF!</v>
      </c>
      <c r="AI3388" s="43" t="str">
        <f ca="1">_xll.BInterpol('Base IPCA'!$C$3:$C$14,'Base IPCA'!$E$3:$E$14,AH3388,"Cubic","Extrapolate=Linear","MultiX=Average","Skip=True","Sort=True")</f>
        <v>#N/A Invalid Parameter: Interpolation value</v>
      </c>
      <c r="AJ3388" s="43" t="str">
        <f ca="1"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37"/>
        <v>#REF!</v>
      </c>
      <c r="AI3389" s="43" t="str">
        <f ca="1">_xll.BInterpol('Base IPCA'!$C$3:$C$14,'Base IPCA'!$E$3:$E$14,AH3389,"Cubic","Extrapolate=Linear","MultiX=Average","Skip=True","Sort=True")</f>
        <v>#N/A Invalid Parameter: Interpolation value</v>
      </c>
      <c r="AJ3389" s="43" t="str">
        <f ca="1"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37"/>
        <v>#REF!</v>
      </c>
      <c r="AI3390" s="43" t="str">
        <f ca="1">_xll.BInterpol('Base IPCA'!$C$3:$C$14,'Base IPCA'!$E$3:$E$14,AH3390,"Cubic","Extrapolate=Linear","MultiX=Average","Skip=True","Sort=True")</f>
        <v>#N/A Invalid Parameter: Interpolation value</v>
      </c>
      <c r="AJ3390" s="43" t="str">
        <f ca="1"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37"/>
        <v>#REF!</v>
      </c>
      <c r="AI3391" s="43" t="str">
        <f ca="1">_xll.BInterpol('Base IPCA'!$C$3:$C$14,'Base IPCA'!$E$3:$E$14,AH3391,"Cubic","Extrapolate=Linear","MultiX=Average","Skip=True","Sort=True")</f>
        <v>#N/A Invalid Parameter: Interpolation value</v>
      </c>
      <c r="AJ3391" s="43" t="str">
        <f ca="1"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37"/>
        <v>#REF!</v>
      </c>
      <c r="AI3392" s="43" t="str">
        <f ca="1">_xll.BInterpol('Base IPCA'!$C$3:$C$14,'Base IPCA'!$E$3:$E$14,AH3392,"Cubic","Extrapolate=Linear","MultiX=Average","Skip=True","Sort=True")</f>
        <v>#N/A Invalid Parameter: Interpolation value</v>
      </c>
      <c r="AJ3392" s="43" t="str">
        <f ca="1"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37"/>
        <v>#REF!</v>
      </c>
      <c r="AI3393" s="43" t="str">
        <f ca="1">_xll.BInterpol('Base IPCA'!$C$3:$C$14,'Base IPCA'!$E$3:$E$14,AH3393,"Cubic","Extrapolate=Linear","MultiX=Average","Skip=True","Sort=True")</f>
        <v>#N/A Invalid Parameter: Interpolation value</v>
      </c>
      <c r="AJ3393" s="43" t="str">
        <f ca="1"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37"/>
        <v>#REF!</v>
      </c>
      <c r="AI3394" s="43" t="str">
        <f ca="1">_xll.BInterpol('Base IPCA'!$C$3:$C$14,'Base IPCA'!$E$3:$E$14,AH3394,"Cubic","Extrapolate=Linear","MultiX=Average","Skip=True","Sort=True")</f>
        <v>#N/A Invalid Parameter: Interpolation value</v>
      </c>
      <c r="AJ3394" s="43" t="str">
        <f ca="1"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37"/>
        <v>#REF!</v>
      </c>
      <c r="AI3395" s="43" t="str">
        <f ca="1">_xll.BInterpol('Base IPCA'!$C$3:$C$14,'Base IPCA'!$E$3:$E$14,AH3395,"Cubic","Extrapolate=Linear","MultiX=Average","Skip=True","Sort=True")</f>
        <v>#N/A Invalid Parameter: Interpolation value</v>
      </c>
      <c r="AJ3395" s="43" t="str">
        <f ca="1"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37"/>
        <v>#REF!</v>
      </c>
      <c r="AI3396" s="43" t="str">
        <f ca="1">_xll.BInterpol('Base IPCA'!$C$3:$C$14,'Base IPCA'!$E$3:$E$14,AH3396,"Cubic","Extrapolate=Linear","MultiX=Average","Skip=True","Sort=True")</f>
        <v>#N/A Invalid Parameter: Interpolation value</v>
      </c>
      <c r="AJ3396" s="43" t="str">
        <f ca="1"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37"/>
        <v>#REF!</v>
      </c>
      <c r="AI3397" s="43" t="str">
        <f ca="1">_xll.BInterpol('Base IPCA'!$C$3:$C$14,'Base IPCA'!$E$3:$E$14,AH3397,"Cubic","Extrapolate=Linear","MultiX=Average","Skip=True","Sort=True")</f>
        <v>#N/A Invalid Parameter: Interpolation value</v>
      </c>
      <c r="AJ3397" s="43" t="str">
        <f ca="1"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38">AH3397+1</f>
        <v>#REF!</v>
      </c>
      <c r="AI3398" s="43" t="str">
        <f ca="1">_xll.BInterpol('Base IPCA'!$C$3:$C$14,'Base IPCA'!$E$3:$E$14,AH3398,"Cubic","Extrapolate=Linear","MultiX=Average","Skip=True","Sort=True")</f>
        <v>#N/A Invalid Parameter: Interpolation value</v>
      </c>
      <c r="AJ3398" s="43" t="str">
        <f ca="1"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38"/>
        <v>#REF!</v>
      </c>
      <c r="AI3399" s="43" t="str">
        <f ca="1">_xll.BInterpol('Base IPCA'!$C$3:$C$14,'Base IPCA'!$E$3:$E$14,AH3399,"Cubic","Extrapolate=Linear","MultiX=Average","Skip=True","Sort=True")</f>
        <v>#N/A Invalid Parameter: Interpolation value</v>
      </c>
      <c r="AJ3399" s="43" t="str">
        <f ca="1"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38"/>
        <v>#REF!</v>
      </c>
      <c r="AI3400" s="43" t="str">
        <f ca="1">_xll.BInterpol('Base IPCA'!$C$3:$C$14,'Base IPCA'!$E$3:$E$14,AH3400,"Cubic","Extrapolate=Linear","MultiX=Average","Skip=True","Sort=True")</f>
        <v>#N/A Invalid Parameter: Interpolation value</v>
      </c>
      <c r="AJ3400" s="43" t="str">
        <f ca="1"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38"/>
        <v>#REF!</v>
      </c>
      <c r="AI3401" s="43" t="str">
        <f ca="1">_xll.BInterpol('Base IPCA'!$C$3:$C$14,'Base IPCA'!$E$3:$E$14,AH3401,"Cubic","Extrapolate=Linear","MultiX=Average","Skip=True","Sort=True")</f>
        <v>#N/A Invalid Parameter: Interpolation value</v>
      </c>
      <c r="AJ3401" s="43" t="str">
        <f ca="1"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38"/>
        <v>#REF!</v>
      </c>
      <c r="AI3402" s="43" t="str">
        <f ca="1">_xll.BInterpol('Base IPCA'!$C$3:$C$14,'Base IPCA'!$E$3:$E$14,AH3402,"Cubic","Extrapolate=Linear","MultiX=Average","Skip=True","Sort=True")</f>
        <v>#N/A Invalid Parameter: Interpolation value</v>
      </c>
      <c r="AJ3402" s="43" t="str">
        <f ca="1"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38"/>
        <v>#REF!</v>
      </c>
      <c r="AI3403" s="43" t="str">
        <f ca="1">_xll.BInterpol('Base IPCA'!$C$3:$C$14,'Base IPCA'!$E$3:$E$14,AH3403,"Cubic","Extrapolate=Linear","MultiX=Average","Skip=True","Sort=True")</f>
        <v>#N/A Invalid Parameter: Interpolation value</v>
      </c>
      <c r="AJ3403" s="43" t="str">
        <f ca="1"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38"/>
        <v>#REF!</v>
      </c>
      <c r="AI3404" s="43" t="str">
        <f ca="1">_xll.BInterpol('Base IPCA'!$C$3:$C$14,'Base IPCA'!$E$3:$E$14,AH3404,"Cubic","Extrapolate=Linear","MultiX=Average","Skip=True","Sort=True")</f>
        <v>#N/A Invalid Parameter: Interpolation value</v>
      </c>
      <c r="AJ3404" s="43" t="str">
        <f ca="1"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38"/>
        <v>#REF!</v>
      </c>
      <c r="AI3405" s="43" t="str">
        <f ca="1">_xll.BInterpol('Base IPCA'!$C$3:$C$14,'Base IPCA'!$E$3:$E$14,AH3405,"Cubic","Extrapolate=Linear","MultiX=Average","Skip=True","Sort=True")</f>
        <v>#N/A Invalid Parameter: Interpolation value</v>
      </c>
      <c r="AJ3405" s="43" t="str">
        <f ca="1"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38"/>
        <v>#REF!</v>
      </c>
      <c r="AI3406" s="43" t="str">
        <f ca="1">_xll.BInterpol('Base IPCA'!$C$3:$C$14,'Base IPCA'!$E$3:$E$14,AH3406,"Cubic","Extrapolate=Linear","MultiX=Average","Skip=True","Sort=True")</f>
        <v>#N/A Invalid Parameter: Interpolation value</v>
      </c>
      <c r="AJ3406" s="43" t="str">
        <f ca="1"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38"/>
        <v>#REF!</v>
      </c>
      <c r="AI3407" s="43" t="str">
        <f ca="1">_xll.BInterpol('Base IPCA'!$C$3:$C$14,'Base IPCA'!$E$3:$E$14,AH3407,"Cubic","Extrapolate=Linear","MultiX=Average","Skip=True","Sort=True")</f>
        <v>#N/A Invalid Parameter: Interpolation value</v>
      </c>
      <c r="AJ3407" s="43" t="str">
        <f ca="1"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38"/>
        <v>#REF!</v>
      </c>
      <c r="AI3408" s="43" t="str">
        <f ca="1">_xll.BInterpol('Base IPCA'!$C$3:$C$14,'Base IPCA'!$E$3:$E$14,AH3408,"Cubic","Extrapolate=Linear","MultiX=Average","Skip=True","Sort=True")</f>
        <v>#N/A Invalid Parameter: Interpolation value</v>
      </c>
      <c r="AJ3408" s="43" t="str">
        <f ca="1"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38"/>
        <v>#REF!</v>
      </c>
      <c r="AI3409" s="43" t="str">
        <f ca="1">_xll.BInterpol('Base IPCA'!$C$3:$C$14,'Base IPCA'!$E$3:$E$14,AH3409,"Cubic","Extrapolate=Linear","MultiX=Average","Skip=True","Sort=True")</f>
        <v>#N/A Invalid Parameter: Interpolation value</v>
      </c>
      <c r="AJ3409" s="43" t="str">
        <f ca="1"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38"/>
        <v>#REF!</v>
      </c>
      <c r="AI3410" s="43" t="str">
        <f ca="1">_xll.BInterpol('Base IPCA'!$C$3:$C$14,'Base IPCA'!$E$3:$E$14,AH3410,"Cubic","Extrapolate=Linear","MultiX=Average","Skip=True","Sort=True")</f>
        <v>#N/A Invalid Parameter: Interpolation value</v>
      </c>
      <c r="AJ3410" s="43" t="str">
        <f ca="1"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38"/>
        <v>#REF!</v>
      </c>
      <c r="AI3411" s="43" t="str">
        <f ca="1">_xll.BInterpol('Base IPCA'!$C$3:$C$14,'Base IPCA'!$E$3:$E$14,AH3411,"Cubic","Extrapolate=Linear","MultiX=Average","Skip=True","Sort=True")</f>
        <v>#N/A Invalid Parameter: Interpolation value</v>
      </c>
      <c r="AJ3411" s="43" t="str">
        <f ca="1"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38"/>
        <v>#REF!</v>
      </c>
      <c r="AI3412" s="43" t="str">
        <f ca="1">_xll.BInterpol('Base IPCA'!$C$3:$C$14,'Base IPCA'!$E$3:$E$14,AH3412,"Cubic","Extrapolate=Linear","MultiX=Average","Skip=True","Sort=True")</f>
        <v>#N/A Invalid Parameter: Interpolation value</v>
      </c>
      <c r="AJ3412" s="43" t="str">
        <f ca="1"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38"/>
        <v>#REF!</v>
      </c>
      <c r="AI3413" s="43" t="str">
        <f ca="1">_xll.BInterpol('Base IPCA'!$C$3:$C$14,'Base IPCA'!$E$3:$E$14,AH3413,"Cubic","Extrapolate=Linear","MultiX=Average","Skip=True","Sort=True")</f>
        <v>#N/A Invalid Parameter: Interpolation value</v>
      </c>
      <c r="AJ3413" s="43" t="str">
        <f ca="1"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38"/>
        <v>#REF!</v>
      </c>
      <c r="AI3414" s="43" t="str">
        <f ca="1">_xll.BInterpol('Base IPCA'!$C$3:$C$14,'Base IPCA'!$E$3:$E$14,AH3414,"Cubic","Extrapolate=Linear","MultiX=Average","Skip=True","Sort=True")</f>
        <v>#N/A Invalid Parameter: Interpolation value</v>
      </c>
      <c r="AJ3414" s="43" t="str">
        <f ca="1"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38"/>
        <v>#REF!</v>
      </c>
      <c r="AI3415" s="43" t="str">
        <f ca="1">_xll.BInterpol('Base IPCA'!$C$3:$C$14,'Base IPCA'!$E$3:$E$14,AH3415,"Cubic","Extrapolate=Linear","MultiX=Average","Skip=True","Sort=True")</f>
        <v>#N/A Invalid Parameter: Interpolation value</v>
      </c>
      <c r="AJ3415" s="43" t="str">
        <f ca="1"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38"/>
        <v>#REF!</v>
      </c>
      <c r="AI3416" s="43" t="str">
        <f ca="1">_xll.BInterpol('Base IPCA'!$C$3:$C$14,'Base IPCA'!$E$3:$E$14,AH3416,"Cubic","Extrapolate=Linear","MultiX=Average","Skip=True","Sort=True")</f>
        <v>#N/A Invalid Parameter: Interpolation value</v>
      </c>
      <c r="AJ3416" s="43" t="str">
        <f ca="1"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38"/>
        <v>#REF!</v>
      </c>
      <c r="AI3417" s="43" t="str">
        <f ca="1">_xll.BInterpol('Base IPCA'!$C$3:$C$14,'Base IPCA'!$E$3:$E$14,AH3417,"Cubic","Extrapolate=Linear","MultiX=Average","Skip=True","Sort=True")</f>
        <v>#N/A Invalid Parameter: Interpolation value</v>
      </c>
      <c r="AJ3417" s="43" t="str">
        <f ca="1"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38"/>
        <v>#REF!</v>
      </c>
      <c r="AI3418" s="43" t="str">
        <f ca="1">_xll.BInterpol('Base IPCA'!$C$3:$C$14,'Base IPCA'!$E$3:$E$14,AH3418,"Cubic","Extrapolate=Linear","MultiX=Average","Skip=True","Sort=True")</f>
        <v>#N/A Invalid Parameter: Interpolation value</v>
      </c>
      <c r="AJ3418" s="43" t="str">
        <f ca="1"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38"/>
        <v>#REF!</v>
      </c>
      <c r="AI3419" s="43" t="str">
        <f ca="1">_xll.BInterpol('Base IPCA'!$C$3:$C$14,'Base IPCA'!$E$3:$E$14,AH3419,"Cubic","Extrapolate=Linear","MultiX=Average","Skip=True","Sort=True")</f>
        <v>#N/A Invalid Parameter: Interpolation value</v>
      </c>
      <c r="AJ3419" s="43" t="str">
        <f ca="1"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38"/>
        <v>#REF!</v>
      </c>
      <c r="AI3420" s="43" t="str">
        <f ca="1">_xll.BInterpol('Base IPCA'!$C$3:$C$14,'Base IPCA'!$E$3:$E$14,AH3420,"Cubic","Extrapolate=Linear","MultiX=Average","Skip=True","Sort=True")</f>
        <v>#N/A Invalid Parameter: Interpolation value</v>
      </c>
      <c r="AJ3420" s="43" t="str">
        <f ca="1"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38"/>
        <v>#REF!</v>
      </c>
      <c r="AI3421" s="43" t="str">
        <f ca="1">_xll.BInterpol('Base IPCA'!$C$3:$C$14,'Base IPCA'!$E$3:$E$14,AH3421,"Cubic","Extrapolate=Linear","MultiX=Average","Skip=True","Sort=True")</f>
        <v>#N/A Invalid Parameter: Interpolation value</v>
      </c>
      <c r="AJ3421" s="43" t="str">
        <f ca="1"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38"/>
        <v>#REF!</v>
      </c>
      <c r="AI3422" s="43" t="str">
        <f ca="1">_xll.BInterpol('Base IPCA'!$C$3:$C$14,'Base IPCA'!$E$3:$E$14,AH3422,"Cubic","Extrapolate=Linear","MultiX=Average","Skip=True","Sort=True")</f>
        <v>#N/A Invalid Parameter: Interpolation value</v>
      </c>
      <c r="AJ3422" s="43" t="str">
        <f ca="1"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38"/>
        <v>#REF!</v>
      </c>
      <c r="AI3423" s="43" t="str">
        <f ca="1">_xll.BInterpol('Base IPCA'!$C$3:$C$14,'Base IPCA'!$E$3:$E$14,AH3423,"Cubic","Extrapolate=Linear","MultiX=Average","Skip=True","Sort=True")</f>
        <v>#N/A Invalid Parameter: Interpolation value</v>
      </c>
      <c r="AJ3423" s="43" t="str">
        <f ca="1"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38"/>
        <v>#REF!</v>
      </c>
      <c r="AI3424" s="43" t="str">
        <f ca="1">_xll.BInterpol('Base IPCA'!$C$3:$C$14,'Base IPCA'!$E$3:$E$14,AH3424,"Cubic","Extrapolate=Linear","MultiX=Average","Skip=True","Sort=True")</f>
        <v>#N/A Invalid Parameter: Interpolation value</v>
      </c>
      <c r="AJ3424" s="43" t="str">
        <f ca="1"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38"/>
        <v>#REF!</v>
      </c>
      <c r="AI3425" s="43" t="str">
        <f ca="1">_xll.BInterpol('Base IPCA'!$C$3:$C$14,'Base IPCA'!$E$3:$E$14,AH3425,"Cubic","Extrapolate=Linear","MultiX=Average","Skip=True","Sort=True")</f>
        <v>#N/A Invalid Parameter: Interpolation value</v>
      </c>
      <c r="AJ3425" s="43" t="str">
        <f ca="1"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38"/>
        <v>#REF!</v>
      </c>
      <c r="AI3426" s="43" t="str">
        <f ca="1">_xll.BInterpol('Base IPCA'!$C$3:$C$14,'Base IPCA'!$E$3:$E$14,AH3426,"Cubic","Extrapolate=Linear","MultiX=Average","Skip=True","Sort=True")</f>
        <v>#N/A Invalid Parameter: Interpolation value</v>
      </c>
      <c r="AJ3426" s="43" t="str">
        <f ca="1"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38"/>
        <v>#REF!</v>
      </c>
      <c r="AI3427" s="43" t="str">
        <f ca="1">_xll.BInterpol('Base IPCA'!$C$3:$C$14,'Base IPCA'!$E$3:$E$14,AH3427,"Cubic","Extrapolate=Linear","MultiX=Average","Skip=True","Sort=True")</f>
        <v>#N/A Invalid Parameter: Interpolation value</v>
      </c>
      <c r="AJ3427" s="43" t="str">
        <f ca="1"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38"/>
        <v>#REF!</v>
      </c>
      <c r="AI3428" s="43" t="str">
        <f ca="1">_xll.BInterpol('Base IPCA'!$C$3:$C$14,'Base IPCA'!$E$3:$E$14,AH3428,"Cubic","Extrapolate=Linear","MultiX=Average","Skip=True","Sort=True")</f>
        <v>#N/A Invalid Parameter: Interpolation value</v>
      </c>
      <c r="AJ3428" s="43" t="str">
        <f ca="1"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38"/>
        <v>#REF!</v>
      </c>
      <c r="AI3429" s="43" t="str">
        <f ca="1">_xll.BInterpol('Base IPCA'!$C$3:$C$14,'Base IPCA'!$E$3:$E$14,AH3429,"Cubic","Extrapolate=Linear","MultiX=Average","Skip=True","Sort=True")</f>
        <v>#N/A Invalid Parameter: Interpolation value</v>
      </c>
      <c r="AJ3429" s="43" t="str">
        <f ca="1"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38"/>
        <v>#REF!</v>
      </c>
      <c r="AI3430" s="43" t="str">
        <f ca="1">_xll.BInterpol('Base IPCA'!$C$3:$C$14,'Base IPCA'!$E$3:$E$14,AH3430,"Cubic","Extrapolate=Linear","MultiX=Average","Skip=True","Sort=True")</f>
        <v>#N/A Invalid Parameter: Interpolation value</v>
      </c>
      <c r="AJ3430" s="43" t="str">
        <f ca="1"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38"/>
        <v>#REF!</v>
      </c>
      <c r="AI3431" s="43" t="str">
        <f ca="1">_xll.BInterpol('Base IPCA'!$C$3:$C$14,'Base IPCA'!$E$3:$E$14,AH3431,"Cubic","Extrapolate=Linear","MultiX=Average","Skip=True","Sort=True")</f>
        <v>#N/A Invalid Parameter: Interpolation value</v>
      </c>
      <c r="AJ3431" s="43" t="str">
        <f ca="1"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38"/>
        <v>#REF!</v>
      </c>
      <c r="AI3432" s="43" t="str">
        <f ca="1">_xll.BInterpol('Base IPCA'!$C$3:$C$14,'Base IPCA'!$E$3:$E$14,AH3432,"Cubic","Extrapolate=Linear","MultiX=Average","Skip=True","Sort=True")</f>
        <v>#N/A Invalid Parameter: Interpolation value</v>
      </c>
      <c r="AJ3432" s="43" t="str">
        <f ca="1"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38"/>
        <v>#REF!</v>
      </c>
      <c r="AI3433" s="43" t="str">
        <f ca="1">_xll.BInterpol('Base IPCA'!$C$3:$C$14,'Base IPCA'!$E$3:$E$14,AH3433,"Cubic","Extrapolate=Linear","MultiX=Average","Skip=True","Sort=True")</f>
        <v>#N/A Invalid Parameter: Interpolation value</v>
      </c>
      <c r="AJ3433" s="43" t="str">
        <f ca="1"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38"/>
        <v>#REF!</v>
      </c>
      <c r="AI3434" s="43" t="str">
        <f ca="1">_xll.BInterpol('Base IPCA'!$C$3:$C$14,'Base IPCA'!$E$3:$E$14,AH3434,"Cubic","Extrapolate=Linear","MultiX=Average","Skip=True","Sort=True")</f>
        <v>#N/A Invalid Parameter: Interpolation value</v>
      </c>
      <c r="AJ3434" s="43" t="str">
        <f ca="1"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38"/>
        <v>#REF!</v>
      </c>
      <c r="AI3435" s="43" t="str">
        <f ca="1">_xll.BInterpol('Base IPCA'!$C$3:$C$14,'Base IPCA'!$E$3:$E$14,AH3435,"Cubic","Extrapolate=Linear","MultiX=Average","Skip=True","Sort=True")</f>
        <v>#N/A Invalid Parameter: Interpolation value</v>
      </c>
      <c r="AJ3435" s="43" t="str">
        <f ca="1"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38"/>
        <v>#REF!</v>
      </c>
      <c r="AI3436" s="43" t="str">
        <f ca="1">_xll.BInterpol('Base IPCA'!$C$3:$C$14,'Base IPCA'!$E$3:$E$14,AH3436,"Cubic","Extrapolate=Linear","MultiX=Average","Skip=True","Sort=True")</f>
        <v>#N/A Invalid Parameter: Interpolation value</v>
      </c>
      <c r="AJ3436" s="43" t="str">
        <f ca="1"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38"/>
        <v>#REF!</v>
      </c>
      <c r="AI3437" s="43" t="str">
        <f ca="1">_xll.BInterpol('Base IPCA'!$C$3:$C$14,'Base IPCA'!$E$3:$E$14,AH3437,"Cubic","Extrapolate=Linear","MultiX=Average","Skip=True","Sort=True")</f>
        <v>#N/A Invalid Parameter: Interpolation value</v>
      </c>
      <c r="AJ3437" s="43" t="str">
        <f ca="1"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38"/>
        <v>#REF!</v>
      </c>
      <c r="AI3438" s="43" t="str">
        <f ca="1">_xll.BInterpol('Base IPCA'!$C$3:$C$14,'Base IPCA'!$E$3:$E$14,AH3438,"Cubic","Extrapolate=Linear","MultiX=Average","Skip=True","Sort=True")</f>
        <v>#N/A Invalid Parameter: Interpolation value</v>
      </c>
      <c r="AJ3438" s="43" t="str">
        <f ca="1"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38"/>
        <v>#REF!</v>
      </c>
      <c r="AI3439" s="43" t="str">
        <f ca="1">_xll.BInterpol('Base IPCA'!$C$3:$C$14,'Base IPCA'!$E$3:$E$14,AH3439,"Cubic","Extrapolate=Linear","MultiX=Average","Skip=True","Sort=True")</f>
        <v>#N/A Invalid Parameter: Interpolation value</v>
      </c>
      <c r="AJ3439" s="43" t="str">
        <f ca="1"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38"/>
        <v>#REF!</v>
      </c>
      <c r="AI3440" s="43" t="str">
        <f ca="1">_xll.BInterpol('Base IPCA'!$C$3:$C$14,'Base IPCA'!$E$3:$E$14,AH3440,"Cubic","Extrapolate=Linear","MultiX=Average","Skip=True","Sort=True")</f>
        <v>#N/A Invalid Parameter: Interpolation value</v>
      </c>
      <c r="AJ3440" s="43" t="str">
        <f ca="1"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38"/>
        <v>#REF!</v>
      </c>
      <c r="AI3441" s="43" t="str">
        <f ca="1">_xll.BInterpol('Base IPCA'!$C$3:$C$14,'Base IPCA'!$E$3:$E$14,AH3441,"Cubic","Extrapolate=Linear","MultiX=Average","Skip=True","Sort=True")</f>
        <v>#N/A Invalid Parameter: Interpolation value</v>
      </c>
      <c r="AJ3441" s="43" t="str">
        <f ca="1"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38"/>
        <v>#REF!</v>
      </c>
      <c r="AI3442" s="43" t="str">
        <f ca="1">_xll.BInterpol('Base IPCA'!$C$3:$C$14,'Base IPCA'!$E$3:$E$14,AH3442,"Cubic","Extrapolate=Linear","MultiX=Average","Skip=True","Sort=True")</f>
        <v>#N/A Invalid Parameter: Interpolation value</v>
      </c>
      <c r="AJ3442" s="43" t="str">
        <f ca="1"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38"/>
        <v>#REF!</v>
      </c>
      <c r="AI3443" s="43" t="str">
        <f ca="1">_xll.BInterpol('Base IPCA'!$C$3:$C$14,'Base IPCA'!$E$3:$E$14,AH3443,"Cubic","Extrapolate=Linear","MultiX=Average","Skip=True","Sort=True")</f>
        <v>#N/A Invalid Parameter: Interpolation value</v>
      </c>
      <c r="AJ3443" s="43" t="str">
        <f ca="1"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38"/>
        <v>#REF!</v>
      </c>
      <c r="AI3444" s="43" t="str">
        <f ca="1">_xll.BInterpol('Base IPCA'!$C$3:$C$14,'Base IPCA'!$E$3:$E$14,AH3444,"Cubic","Extrapolate=Linear","MultiX=Average","Skip=True","Sort=True")</f>
        <v>#N/A Invalid Parameter: Interpolation value</v>
      </c>
      <c r="AJ3444" s="43" t="str">
        <f ca="1"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38"/>
        <v>#REF!</v>
      </c>
      <c r="AI3445" s="43" t="str">
        <f ca="1">_xll.BInterpol('Base IPCA'!$C$3:$C$14,'Base IPCA'!$E$3:$E$14,AH3445,"Cubic","Extrapolate=Linear","MultiX=Average","Skip=True","Sort=True")</f>
        <v>#N/A Invalid Parameter: Interpolation value</v>
      </c>
      <c r="AJ3445" s="43" t="str">
        <f ca="1"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38"/>
        <v>#REF!</v>
      </c>
      <c r="AI3446" s="43" t="str">
        <f ca="1">_xll.BInterpol('Base IPCA'!$C$3:$C$14,'Base IPCA'!$E$3:$E$14,AH3446,"Cubic","Extrapolate=Linear","MultiX=Average","Skip=True","Sort=True")</f>
        <v>#N/A Invalid Parameter: Interpolation value</v>
      </c>
      <c r="AJ3446" s="43" t="str">
        <f ca="1"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38"/>
        <v>#REF!</v>
      </c>
      <c r="AI3447" s="43" t="str">
        <f ca="1">_xll.BInterpol('Base IPCA'!$C$3:$C$14,'Base IPCA'!$E$3:$E$14,AH3447,"Cubic","Extrapolate=Linear","MultiX=Average","Skip=True","Sort=True")</f>
        <v>#N/A Invalid Parameter: Interpolation value</v>
      </c>
      <c r="AJ3447" s="43" t="str">
        <f ca="1"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38"/>
        <v>#REF!</v>
      </c>
      <c r="AI3448" s="43" t="str">
        <f ca="1">_xll.BInterpol('Base IPCA'!$C$3:$C$14,'Base IPCA'!$E$3:$E$14,AH3448,"Cubic","Extrapolate=Linear","MultiX=Average","Skip=True","Sort=True")</f>
        <v>#N/A Invalid Parameter: Interpolation value</v>
      </c>
      <c r="AJ3448" s="43" t="str">
        <f ca="1"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38"/>
        <v>#REF!</v>
      </c>
      <c r="AI3449" s="43" t="str">
        <f ca="1">_xll.BInterpol('Base IPCA'!$C$3:$C$14,'Base IPCA'!$E$3:$E$14,AH3449,"Cubic","Extrapolate=Linear","MultiX=Average","Skip=True","Sort=True")</f>
        <v>#N/A Invalid Parameter: Interpolation value</v>
      </c>
      <c r="AJ3449" s="43" t="str">
        <f ca="1"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38"/>
        <v>#REF!</v>
      </c>
      <c r="AI3450" s="43" t="str">
        <f ca="1">_xll.BInterpol('Base IPCA'!$C$3:$C$14,'Base IPCA'!$E$3:$E$14,AH3450,"Cubic","Extrapolate=Linear","MultiX=Average","Skip=True","Sort=True")</f>
        <v>#N/A Invalid Parameter: Interpolation value</v>
      </c>
      <c r="AJ3450" s="43" t="str">
        <f ca="1"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38"/>
        <v>#REF!</v>
      </c>
      <c r="AI3451" s="43" t="str">
        <f ca="1">_xll.BInterpol('Base IPCA'!$C$3:$C$14,'Base IPCA'!$E$3:$E$14,AH3451,"Cubic","Extrapolate=Linear","MultiX=Average","Skip=True","Sort=True")</f>
        <v>#N/A Invalid Parameter: Interpolation value</v>
      </c>
      <c r="AJ3451" s="43" t="str">
        <f ca="1"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38"/>
        <v>#REF!</v>
      </c>
      <c r="AI3452" s="43" t="str">
        <f ca="1">_xll.BInterpol('Base IPCA'!$C$3:$C$14,'Base IPCA'!$E$3:$E$14,AH3452,"Cubic","Extrapolate=Linear","MultiX=Average","Skip=True","Sort=True")</f>
        <v>#N/A Invalid Parameter: Interpolation value</v>
      </c>
      <c r="AJ3452" s="43" t="str">
        <f ca="1"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38"/>
        <v>#REF!</v>
      </c>
      <c r="AI3453" s="43" t="str">
        <f ca="1">_xll.BInterpol('Base IPCA'!$C$3:$C$14,'Base IPCA'!$E$3:$E$14,AH3453,"Cubic","Extrapolate=Linear","MultiX=Average","Skip=True","Sort=True")</f>
        <v>#N/A Invalid Parameter: Interpolation value</v>
      </c>
      <c r="AJ3453" s="43" t="str">
        <f ca="1"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38"/>
        <v>#REF!</v>
      </c>
      <c r="AI3454" s="43" t="str">
        <f ca="1">_xll.BInterpol('Base IPCA'!$C$3:$C$14,'Base IPCA'!$E$3:$E$14,AH3454,"Cubic","Extrapolate=Linear","MultiX=Average","Skip=True","Sort=True")</f>
        <v>#N/A Invalid Parameter: Interpolation value</v>
      </c>
      <c r="AJ3454" s="43" t="str">
        <f ca="1"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38"/>
        <v>#REF!</v>
      </c>
      <c r="AI3455" s="43" t="str">
        <f ca="1">_xll.BInterpol('Base IPCA'!$C$3:$C$14,'Base IPCA'!$E$3:$E$14,AH3455,"Cubic","Extrapolate=Linear","MultiX=Average","Skip=True","Sort=True")</f>
        <v>#N/A Invalid Parameter: Interpolation value</v>
      </c>
      <c r="AJ3455" s="43" t="str">
        <f ca="1"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38"/>
        <v>#REF!</v>
      </c>
      <c r="AI3456" s="43" t="str">
        <f ca="1">_xll.BInterpol('Base IPCA'!$C$3:$C$14,'Base IPCA'!$E$3:$E$14,AH3456,"Cubic","Extrapolate=Linear","MultiX=Average","Skip=True","Sort=True")</f>
        <v>#N/A Invalid Parameter: Interpolation value</v>
      </c>
      <c r="AJ3456" s="43" t="str">
        <f ca="1"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38"/>
        <v>#REF!</v>
      </c>
      <c r="AI3457" s="43" t="str">
        <f ca="1">_xll.BInterpol('Base IPCA'!$C$3:$C$14,'Base IPCA'!$E$3:$E$14,AH3457,"Cubic","Extrapolate=Linear","MultiX=Average","Skip=True","Sort=True")</f>
        <v>#N/A Invalid Parameter: Interpolation value</v>
      </c>
      <c r="AJ3457" s="43" t="str">
        <f ca="1"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38"/>
        <v>#REF!</v>
      </c>
      <c r="AI3458" s="43" t="str">
        <f ca="1">_xll.BInterpol('Base IPCA'!$C$3:$C$14,'Base IPCA'!$E$3:$E$14,AH3458,"Cubic","Extrapolate=Linear","MultiX=Average","Skip=True","Sort=True")</f>
        <v>#N/A Invalid Parameter: Interpolation value</v>
      </c>
      <c r="AJ3458" s="43" t="str">
        <f ca="1"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38"/>
        <v>#REF!</v>
      </c>
      <c r="AI3459" s="43" t="str">
        <f ca="1">_xll.BInterpol('Base IPCA'!$C$3:$C$14,'Base IPCA'!$E$3:$E$14,AH3459,"Cubic","Extrapolate=Linear","MultiX=Average","Skip=True","Sort=True")</f>
        <v>#N/A Invalid Parameter: Interpolation value</v>
      </c>
      <c r="AJ3459" s="43" t="str">
        <f ca="1"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38"/>
        <v>#REF!</v>
      </c>
      <c r="AI3460" s="43" t="str">
        <f ca="1">_xll.BInterpol('Base IPCA'!$C$3:$C$14,'Base IPCA'!$E$3:$E$14,AH3460,"Cubic","Extrapolate=Linear","MultiX=Average","Skip=True","Sort=True")</f>
        <v>#N/A Invalid Parameter: Interpolation value</v>
      </c>
      <c r="AJ3460" s="43" t="str">
        <f ca="1"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38"/>
        <v>#REF!</v>
      </c>
      <c r="AI3461" s="43" t="str">
        <f ca="1">_xll.BInterpol('Base IPCA'!$C$3:$C$14,'Base IPCA'!$E$3:$E$14,AH3461,"Cubic","Extrapolate=Linear","MultiX=Average","Skip=True","Sort=True")</f>
        <v>#N/A Invalid Parameter: Interpolation value</v>
      </c>
      <c r="AJ3461" s="43" t="str">
        <f ca="1"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39">AH3461+1</f>
        <v>#REF!</v>
      </c>
      <c r="AI3462" s="43" t="str">
        <f ca="1">_xll.BInterpol('Base IPCA'!$C$3:$C$14,'Base IPCA'!$E$3:$E$14,AH3462,"Cubic","Extrapolate=Linear","MultiX=Average","Skip=True","Sort=True")</f>
        <v>#N/A Invalid Parameter: Interpolation value</v>
      </c>
      <c r="AJ3462" s="43" t="str">
        <f ca="1"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39"/>
        <v>#REF!</v>
      </c>
      <c r="AI3463" s="43" t="str">
        <f ca="1">_xll.BInterpol('Base IPCA'!$C$3:$C$14,'Base IPCA'!$E$3:$E$14,AH3463,"Cubic","Extrapolate=Linear","MultiX=Average","Skip=True","Sort=True")</f>
        <v>#N/A Invalid Parameter: Interpolation value</v>
      </c>
      <c r="AJ3463" s="43" t="str">
        <f ca="1"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39"/>
        <v>#REF!</v>
      </c>
      <c r="AI3464" s="43" t="str">
        <f ca="1">_xll.BInterpol('Base IPCA'!$C$3:$C$14,'Base IPCA'!$E$3:$E$14,AH3464,"Cubic","Extrapolate=Linear","MultiX=Average","Skip=True","Sort=True")</f>
        <v>#N/A Invalid Parameter: Interpolation value</v>
      </c>
      <c r="AJ3464" s="43" t="str">
        <f ca="1"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39"/>
        <v>#REF!</v>
      </c>
      <c r="AI3465" s="43" t="str">
        <f ca="1">_xll.BInterpol('Base IPCA'!$C$3:$C$14,'Base IPCA'!$E$3:$E$14,AH3465,"Cubic","Extrapolate=Linear","MultiX=Average","Skip=True","Sort=True")</f>
        <v>#N/A Invalid Parameter: Interpolation value</v>
      </c>
      <c r="AJ3465" s="43" t="str">
        <f ca="1"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39"/>
        <v>#REF!</v>
      </c>
      <c r="AI3466" s="43" t="str">
        <f ca="1">_xll.BInterpol('Base IPCA'!$C$3:$C$14,'Base IPCA'!$E$3:$E$14,AH3466,"Cubic","Extrapolate=Linear","MultiX=Average","Skip=True","Sort=True")</f>
        <v>#N/A Invalid Parameter: Interpolation value</v>
      </c>
      <c r="AJ3466" s="43" t="str">
        <f ca="1"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39"/>
        <v>#REF!</v>
      </c>
      <c r="AI3467" s="43" t="str">
        <f ca="1">_xll.BInterpol('Base IPCA'!$C$3:$C$14,'Base IPCA'!$E$3:$E$14,AH3467,"Cubic","Extrapolate=Linear","MultiX=Average","Skip=True","Sort=True")</f>
        <v>#N/A Invalid Parameter: Interpolation value</v>
      </c>
      <c r="AJ3467" s="43" t="str">
        <f ca="1"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39"/>
        <v>#REF!</v>
      </c>
      <c r="AI3468" s="43" t="str">
        <f ca="1">_xll.BInterpol('Base IPCA'!$C$3:$C$14,'Base IPCA'!$E$3:$E$14,AH3468,"Cubic","Extrapolate=Linear","MultiX=Average","Skip=True","Sort=True")</f>
        <v>#N/A Invalid Parameter: Interpolation value</v>
      </c>
      <c r="AJ3468" s="43" t="str">
        <f ca="1"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39"/>
        <v>#REF!</v>
      </c>
      <c r="AI3469" s="43" t="str">
        <f ca="1">_xll.BInterpol('Base IPCA'!$C$3:$C$14,'Base IPCA'!$E$3:$E$14,AH3469,"Cubic","Extrapolate=Linear","MultiX=Average","Skip=True","Sort=True")</f>
        <v>#N/A Invalid Parameter: Interpolation value</v>
      </c>
      <c r="AJ3469" s="43" t="str">
        <f ca="1"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39"/>
        <v>#REF!</v>
      </c>
      <c r="AI3470" s="43" t="str">
        <f ca="1">_xll.BInterpol('Base IPCA'!$C$3:$C$14,'Base IPCA'!$E$3:$E$14,AH3470,"Cubic","Extrapolate=Linear","MultiX=Average","Skip=True","Sort=True")</f>
        <v>#N/A Invalid Parameter: Interpolation value</v>
      </c>
      <c r="AJ3470" s="43" t="str">
        <f ca="1"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39"/>
        <v>#REF!</v>
      </c>
      <c r="AI3471" s="43" t="str">
        <f ca="1">_xll.BInterpol('Base IPCA'!$C$3:$C$14,'Base IPCA'!$E$3:$E$14,AH3471,"Cubic","Extrapolate=Linear","MultiX=Average","Skip=True","Sort=True")</f>
        <v>#N/A Invalid Parameter: Interpolation value</v>
      </c>
      <c r="AJ3471" s="43" t="str">
        <f ca="1"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39"/>
        <v>#REF!</v>
      </c>
      <c r="AI3472" s="43" t="str">
        <f ca="1">_xll.BInterpol('Base IPCA'!$C$3:$C$14,'Base IPCA'!$E$3:$E$14,AH3472,"Cubic","Extrapolate=Linear","MultiX=Average","Skip=True","Sort=True")</f>
        <v>#N/A Invalid Parameter: Interpolation value</v>
      </c>
      <c r="AJ3472" s="43" t="str">
        <f ca="1"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39"/>
        <v>#REF!</v>
      </c>
      <c r="AI3473" s="43" t="str">
        <f ca="1">_xll.BInterpol('Base IPCA'!$C$3:$C$14,'Base IPCA'!$E$3:$E$14,AH3473,"Cubic","Extrapolate=Linear","MultiX=Average","Skip=True","Sort=True")</f>
        <v>#N/A Invalid Parameter: Interpolation value</v>
      </c>
      <c r="AJ3473" s="43" t="str">
        <f ca="1"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39"/>
        <v>#REF!</v>
      </c>
      <c r="AI3474" s="43" t="str">
        <f ca="1">_xll.BInterpol('Base IPCA'!$C$3:$C$14,'Base IPCA'!$E$3:$E$14,AH3474,"Cubic","Extrapolate=Linear","MultiX=Average","Skip=True","Sort=True")</f>
        <v>#N/A Invalid Parameter: Interpolation value</v>
      </c>
      <c r="AJ3474" s="43" t="str">
        <f ca="1"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39"/>
        <v>#REF!</v>
      </c>
      <c r="AI3475" s="43" t="str">
        <f ca="1">_xll.BInterpol('Base IPCA'!$C$3:$C$14,'Base IPCA'!$E$3:$E$14,AH3475,"Cubic","Extrapolate=Linear","MultiX=Average","Skip=True","Sort=True")</f>
        <v>#N/A Invalid Parameter: Interpolation value</v>
      </c>
      <c r="AJ3475" s="43" t="str">
        <f ca="1"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39"/>
        <v>#REF!</v>
      </c>
      <c r="AI3476" s="43" t="str">
        <f ca="1">_xll.BInterpol('Base IPCA'!$C$3:$C$14,'Base IPCA'!$E$3:$E$14,AH3476,"Cubic","Extrapolate=Linear","MultiX=Average","Skip=True","Sort=True")</f>
        <v>#N/A Invalid Parameter: Interpolation value</v>
      </c>
      <c r="AJ3476" s="43" t="str">
        <f ca="1"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39"/>
        <v>#REF!</v>
      </c>
      <c r="AI3477" s="43" t="str">
        <f ca="1">_xll.BInterpol('Base IPCA'!$C$3:$C$14,'Base IPCA'!$E$3:$E$14,AH3477,"Cubic","Extrapolate=Linear","MultiX=Average","Skip=True","Sort=True")</f>
        <v>#N/A Invalid Parameter: Interpolation value</v>
      </c>
      <c r="AJ3477" s="43" t="str">
        <f ca="1"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39"/>
        <v>#REF!</v>
      </c>
      <c r="AI3478" s="43" t="str">
        <f ca="1">_xll.BInterpol('Base IPCA'!$C$3:$C$14,'Base IPCA'!$E$3:$E$14,AH3478,"Cubic","Extrapolate=Linear","MultiX=Average","Skip=True","Sort=True")</f>
        <v>#N/A Invalid Parameter: Interpolation value</v>
      </c>
      <c r="AJ3478" s="43" t="str">
        <f ca="1"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39"/>
        <v>#REF!</v>
      </c>
      <c r="AI3479" s="43" t="str">
        <f ca="1">_xll.BInterpol('Base IPCA'!$C$3:$C$14,'Base IPCA'!$E$3:$E$14,AH3479,"Cubic","Extrapolate=Linear","MultiX=Average","Skip=True","Sort=True")</f>
        <v>#N/A Invalid Parameter: Interpolation value</v>
      </c>
      <c r="AJ3479" s="43" t="str">
        <f ca="1"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39"/>
        <v>#REF!</v>
      </c>
      <c r="AI3480" s="43" t="str">
        <f ca="1">_xll.BInterpol('Base IPCA'!$C$3:$C$14,'Base IPCA'!$E$3:$E$14,AH3480,"Cubic","Extrapolate=Linear","MultiX=Average","Skip=True","Sort=True")</f>
        <v>#N/A Invalid Parameter: Interpolation value</v>
      </c>
      <c r="AJ3480" s="43" t="str">
        <f ca="1"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39"/>
        <v>#REF!</v>
      </c>
      <c r="AI3481" s="43" t="str">
        <f ca="1">_xll.BInterpol('Base IPCA'!$C$3:$C$14,'Base IPCA'!$E$3:$E$14,AH3481,"Cubic","Extrapolate=Linear","MultiX=Average","Skip=True","Sort=True")</f>
        <v>#N/A Invalid Parameter: Interpolation value</v>
      </c>
      <c r="AJ3481" s="43" t="str">
        <f ca="1"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39"/>
        <v>#REF!</v>
      </c>
      <c r="AI3482" s="43" t="str">
        <f ca="1">_xll.BInterpol('Base IPCA'!$C$3:$C$14,'Base IPCA'!$E$3:$E$14,AH3482,"Cubic","Extrapolate=Linear","MultiX=Average","Skip=True","Sort=True")</f>
        <v>#N/A Invalid Parameter: Interpolation value</v>
      </c>
      <c r="AJ3482" s="43" t="str">
        <f ca="1"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39"/>
        <v>#REF!</v>
      </c>
      <c r="AI3483" s="43" t="str">
        <f ca="1">_xll.BInterpol('Base IPCA'!$C$3:$C$14,'Base IPCA'!$E$3:$E$14,AH3483,"Cubic","Extrapolate=Linear","MultiX=Average","Skip=True","Sort=True")</f>
        <v>#N/A Invalid Parameter: Interpolation value</v>
      </c>
      <c r="AJ3483" s="43" t="str">
        <f ca="1"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39"/>
        <v>#REF!</v>
      </c>
      <c r="AI3484" s="43" t="str">
        <f ca="1">_xll.BInterpol('Base IPCA'!$C$3:$C$14,'Base IPCA'!$E$3:$E$14,AH3484,"Cubic","Extrapolate=Linear","MultiX=Average","Skip=True","Sort=True")</f>
        <v>#N/A Invalid Parameter: Interpolation value</v>
      </c>
      <c r="AJ3484" s="43" t="str">
        <f ca="1"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39"/>
        <v>#REF!</v>
      </c>
      <c r="AI3485" s="43" t="str">
        <f ca="1">_xll.BInterpol('Base IPCA'!$C$3:$C$14,'Base IPCA'!$E$3:$E$14,AH3485,"Cubic","Extrapolate=Linear","MultiX=Average","Skip=True","Sort=True")</f>
        <v>#N/A Invalid Parameter: Interpolation value</v>
      </c>
      <c r="AJ3485" s="43" t="str">
        <f ca="1"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39"/>
        <v>#REF!</v>
      </c>
      <c r="AI3486" s="43" t="str">
        <f ca="1">_xll.BInterpol('Base IPCA'!$C$3:$C$14,'Base IPCA'!$E$3:$E$14,AH3486,"Cubic","Extrapolate=Linear","MultiX=Average","Skip=True","Sort=True")</f>
        <v>#N/A Invalid Parameter: Interpolation value</v>
      </c>
      <c r="AJ3486" s="43" t="str">
        <f ca="1"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39"/>
        <v>#REF!</v>
      </c>
      <c r="AI3487" s="43" t="str">
        <f ca="1">_xll.BInterpol('Base IPCA'!$C$3:$C$14,'Base IPCA'!$E$3:$E$14,AH3487,"Cubic","Extrapolate=Linear","MultiX=Average","Skip=True","Sort=True")</f>
        <v>#N/A Invalid Parameter: Interpolation value</v>
      </c>
      <c r="AJ3487" s="43" t="str">
        <f ca="1"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39"/>
        <v>#REF!</v>
      </c>
      <c r="AI3488" s="43" t="str">
        <f ca="1">_xll.BInterpol('Base IPCA'!$C$3:$C$14,'Base IPCA'!$E$3:$E$14,AH3488,"Cubic","Extrapolate=Linear","MultiX=Average","Skip=True","Sort=True")</f>
        <v>#N/A Invalid Parameter: Interpolation value</v>
      </c>
      <c r="AJ3488" s="43" t="str">
        <f ca="1"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39"/>
        <v>#REF!</v>
      </c>
      <c r="AI3489" s="43" t="str">
        <f ca="1">_xll.BInterpol('Base IPCA'!$C$3:$C$14,'Base IPCA'!$E$3:$E$14,AH3489,"Cubic","Extrapolate=Linear","MultiX=Average","Skip=True","Sort=True")</f>
        <v>#N/A Invalid Parameter: Interpolation value</v>
      </c>
      <c r="AJ3489" s="43" t="str">
        <f ca="1"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39"/>
        <v>#REF!</v>
      </c>
      <c r="AI3490" s="43" t="str">
        <f ca="1">_xll.BInterpol('Base IPCA'!$C$3:$C$14,'Base IPCA'!$E$3:$E$14,AH3490,"Cubic","Extrapolate=Linear","MultiX=Average","Skip=True","Sort=True")</f>
        <v>#N/A Invalid Parameter: Interpolation value</v>
      </c>
      <c r="AJ3490" s="43" t="str">
        <f ca="1"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39"/>
        <v>#REF!</v>
      </c>
      <c r="AI3491" s="43" t="str">
        <f ca="1">_xll.BInterpol('Base IPCA'!$C$3:$C$14,'Base IPCA'!$E$3:$E$14,AH3491,"Cubic","Extrapolate=Linear","MultiX=Average","Skip=True","Sort=True")</f>
        <v>#N/A Invalid Parameter: Interpolation value</v>
      </c>
      <c r="AJ3491" s="43" t="str">
        <f ca="1"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39"/>
        <v>#REF!</v>
      </c>
      <c r="AI3492" s="43" t="str">
        <f ca="1">_xll.BInterpol('Base IPCA'!$C$3:$C$14,'Base IPCA'!$E$3:$E$14,AH3492,"Cubic","Extrapolate=Linear","MultiX=Average","Skip=True","Sort=True")</f>
        <v>#N/A Invalid Parameter: Interpolation value</v>
      </c>
      <c r="AJ3492" s="43" t="str">
        <f ca="1"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39"/>
        <v>#REF!</v>
      </c>
      <c r="AI3493" s="43" t="str">
        <f ca="1">_xll.BInterpol('Base IPCA'!$C$3:$C$14,'Base IPCA'!$E$3:$E$14,AH3493,"Cubic","Extrapolate=Linear","MultiX=Average","Skip=True","Sort=True")</f>
        <v>#N/A Invalid Parameter: Interpolation value</v>
      </c>
      <c r="AJ3493" s="43" t="str">
        <f ca="1"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39"/>
        <v>#REF!</v>
      </c>
      <c r="AI3494" s="43" t="str">
        <f ca="1">_xll.BInterpol('Base IPCA'!$C$3:$C$14,'Base IPCA'!$E$3:$E$14,AH3494,"Cubic","Extrapolate=Linear","MultiX=Average","Skip=True","Sort=True")</f>
        <v>#N/A Invalid Parameter: Interpolation value</v>
      </c>
      <c r="AJ3494" s="43" t="str">
        <f ca="1"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39"/>
        <v>#REF!</v>
      </c>
      <c r="AI3495" s="43" t="str">
        <f ca="1">_xll.BInterpol('Base IPCA'!$C$3:$C$14,'Base IPCA'!$E$3:$E$14,AH3495,"Cubic","Extrapolate=Linear","MultiX=Average","Skip=True","Sort=True")</f>
        <v>#N/A Invalid Parameter: Interpolation value</v>
      </c>
      <c r="AJ3495" s="43" t="str">
        <f ca="1"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39"/>
        <v>#REF!</v>
      </c>
      <c r="AI3496" s="43" t="str">
        <f ca="1">_xll.BInterpol('Base IPCA'!$C$3:$C$14,'Base IPCA'!$E$3:$E$14,AH3496,"Cubic","Extrapolate=Linear","MultiX=Average","Skip=True","Sort=True")</f>
        <v>#N/A Invalid Parameter: Interpolation value</v>
      </c>
      <c r="AJ3496" s="43" t="str">
        <f ca="1"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39"/>
        <v>#REF!</v>
      </c>
      <c r="AI3497" s="43" t="str">
        <f ca="1">_xll.BInterpol('Base IPCA'!$C$3:$C$14,'Base IPCA'!$E$3:$E$14,AH3497,"Cubic","Extrapolate=Linear","MultiX=Average","Skip=True","Sort=True")</f>
        <v>#N/A Invalid Parameter: Interpolation value</v>
      </c>
      <c r="AJ3497" s="43" t="str">
        <f ca="1"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39"/>
        <v>#REF!</v>
      </c>
      <c r="AI3498" s="43" t="str">
        <f ca="1">_xll.BInterpol('Base IPCA'!$C$3:$C$14,'Base IPCA'!$E$3:$E$14,AH3498,"Cubic","Extrapolate=Linear","MultiX=Average","Skip=True","Sort=True")</f>
        <v>#N/A Invalid Parameter: Interpolation value</v>
      </c>
      <c r="AJ3498" s="43" t="str">
        <f ca="1"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39"/>
        <v>#REF!</v>
      </c>
      <c r="AI3499" s="43" t="str">
        <f ca="1">_xll.BInterpol('Base IPCA'!$C$3:$C$14,'Base IPCA'!$E$3:$E$14,AH3499,"Cubic","Extrapolate=Linear","MultiX=Average","Skip=True","Sort=True")</f>
        <v>#N/A Invalid Parameter: Interpolation value</v>
      </c>
      <c r="AJ3499" s="43" t="str">
        <f ca="1"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39"/>
        <v>#REF!</v>
      </c>
      <c r="AI3500" s="43" t="str">
        <f ca="1">_xll.BInterpol('Base IPCA'!$C$3:$C$14,'Base IPCA'!$E$3:$E$14,AH3500,"Cubic","Extrapolate=Linear","MultiX=Average","Skip=True","Sort=True")</f>
        <v>#N/A Invalid Parameter: Interpolation value</v>
      </c>
      <c r="AJ3500" s="43" t="str">
        <f ca="1"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39"/>
        <v>#REF!</v>
      </c>
      <c r="AI3501" s="43" t="str">
        <f ca="1">_xll.BInterpol('Base IPCA'!$C$3:$C$14,'Base IPCA'!$E$3:$E$14,AH3501,"Cubic","Extrapolate=Linear","MultiX=Average","Skip=True","Sort=True")</f>
        <v>#N/A Invalid Parameter: Interpolation value</v>
      </c>
      <c r="AJ3501" s="43" t="str">
        <f ca="1"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39"/>
        <v>#REF!</v>
      </c>
      <c r="AI3502" s="43" t="str">
        <f ca="1">_xll.BInterpol('Base IPCA'!$C$3:$C$14,'Base IPCA'!$E$3:$E$14,AH3502,"Cubic","Extrapolate=Linear","MultiX=Average","Skip=True","Sort=True")</f>
        <v>#N/A Invalid Parameter: Interpolation value</v>
      </c>
      <c r="AJ3502" s="43" t="str">
        <f ca="1"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39"/>
        <v>#REF!</v>
      </c>
      <c r="AI3503" s="43" t="str">
        <f ca="1">_xll.BInterpol('Base IPCA'!$C$3:$C$14,'Base IPCA'!$E$3:$E$14,AH3503,"Cubic","Extrapolate=Linear","MultiX=Average","Skip=True","Sort=True")</f>
        <v>#N/A Invalid Parameter: Interpolation value</v>
      </c>
      <c r="AJ3503" s="43" t="str">
        <f ca="1"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39"/>
        <v>#REF!</v>
      </c>
      <c r="AI3504" s="43" t="str">
        <f ca="1">_xll.BInterpol('Base IPCA'!$C$3:$C$14,'Base IPCA'!$E$3:$E$14,AH3504,"Cubic","Extrapolate=Linear","MultiX=Average","Skip=True","Sort=True")</f>
        <v>#N/A Invalid Parameter: Interpolation value</v>
      </c>
      <c r="AJ3504" s="43" t="str">
        <f ca="1"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39"/>
        <v>#REF!</v>
      </c>
      <c r="AI3505" s="43" t="str">
        <f ca="1">_xll.BInterpol('Base IPCA'!$C$3:$C$14,'Base IPCA'!$E$3:$E$14,AH3505,"Cubic","Extrapolate=Linear","MultiX=Average","Skip=True","Sort=True")</f>
        <v>#N/A Invalid Parameter: Interpolation value</v>
      </c>
      <c r="AJ3505" s="43" t="str">
        <f ca="1"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39"/>
        <v>#REF!</v>
      </c>
      <c r="AI3506" s="43" t="str">
        <f ca="1">_xll.BInterpol('Base IPCA'!$C$3:$C$14,'Base IPCA'!$E$3:$E$14,AH3506,"Cubic","Extrapolate=Linear","MultiX=Average","Skip=True","Sort=True")</f>
        <v>#N/A Invalid Parameter: Interpolation value</v>
      </c>
      <c r="AJ3506" s="43" t="str">
        <f ca="1"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39"/>
        <v>#REF!</v>
      </c>
      <c r="AI3507" s="43" t="str">
        <f ca="1">_xll.BInterpol('Base IPCA'!$C$3:$C$14,'Base IPCA'!$E$3:$E$14,AH3507,"Cubic","Extrapolate=Linear","MultiX=Average","Skip=True","Sort=True")</f>
        <v>#N/A Invalid Parameter: Interpolation value</v>
      </c>
      <c r="AJ3507" s="43" t="str">
        <f ca="1"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39"/>
        <v>#REF!</v>
      </c>
      <c r="AI3508" s="43" t="str">
        <f ca="1">_xll.BInterpol('Base IPCA'!$C$3:$C$14,'Base IPCA'!$E$3:$E$14,AH3508,"Cubic","Extrapolate=Linear","MultiX=Average","Skip=True","Sort=True")</f>
        <v>#N/A Invalid Parameter: Interpolation value</v>
      </c>
      <c r="AJ3508" s="43" t="str">
        <f ca="1"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39"/>
        <v>#REF!</v>
      </c>
      <c r="AI3509" s="43" t="str">
        <f ca="1">_xll.BInterpol('Base IPCA'!$C$3:$C$14,'Base IPCA'!$E$3:$E$14,AH3509,"Cubic","Extrapolate=Linear","MultiX=Average","Skip=True","Sort=True")</f>
        <v>#N/A Invalid Parameter: Interpolation value</v>
      </c>
      <c r="AJ3509" s="43" t="str">
        <f ca="1"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39"/>
        <v>#REF!</v>
      </c>
      <c r="AI3510" s="43" t="str">
        <f ca="1">_xll.BInterpol('Base IPCA'!$C$3:$C$14,'Base IPCA'!$E$3:$E$14,AH3510,"Cubic","Extrapolate=Linear","MultiX=Average","Skip=True","Sort=True")</f>
        <v>#N/A Invalid Parameter: Interpolation value</v>
      </c>
      <c r="AJ3510" s="43" t="str">
        <f ca="1"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39"/>
        <v>#REF!</v>
      </c>
      <c r="AI3511" s="43" t="str">
        <f ca="1">_xll.BInterpol('Base IPCA'!$C$3:$C$14,'Base IPCA'!$E$3:$E$14,AH3511,"Cubic","Extrapolate=Linear","MultiX=Average","Skip=True","Sort=True")</f>
        <v>#N/A Invalid Parameter: Interpolation value</v>
      </c>
      <c r="AJ3511" s="43" t="str">
        <f ca="1"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39"/>
        <v>#REF!</v>
      </c>
      <c r="AI3512" s="43" t="str">
        <f ca="1">_xll.BInterpol('Base IPCA'!$C$3:$C$14,'Base IPCA'!$E$3:$E$14,AH3512,"Cubic","Extrapolate=Linear","MultiX=Average","Skip=True","Sort=True")</f>
        <v>#N/A Invalid Parameter: Interpolation value</v>
      </c>
      <c r="AJ3512" s="43" t="str">
        <f ca="1"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39"/>
        <v>#REF!</v>
      </c>
      <c r="AI3513" s="43" t="str">
        <f ca="1">_xll.BInterpol('Base IPCA'!$C$3:$C$14,'Base IPCA'!$E$3:$E$14,AH3513,"Cubic","Extrapolate=Linear","MultiX=Average","Skip=True","Sort=True")</f>
        <v>#N/A Invalid Parameter: Interpolation value</v>
      </c>
      <c r="AJ3513" s="43" t="str">
        <f ca="1"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39"/>
        <v>#REF!</v>
      </c>
      <c r="AI3514" s="43" t="str">
        <f ca="1">_xll.BInterpol('Base IPCA'!$C$3:$C$14,'Base IPCA'!$E$3:$E$14,AH3514,"Cubic","Extrapolate=Linear","MultiX=Average","Skip=True","Sort=True")</f>
        <v>#N/A Invalid Parameter: Interpolation value</v>
      </c>
      <c r="AJ3514" s="43" t="str">
        <f ca="1"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39"/>
        <v>#REF!</v>
      </c>
      <c r="AI3515" s="43" t="str">
        <f ca="1">_xll.BInterpol('Base IPCA'!$C$3:$C$14,'Base IPCA'!$E$3:$E$14,AH3515,"Cubic","Extrapolate=Linear","MultiX=Average","Skip=True","Sort=True")</f>
        <v>#N/A Invalid Parameter: Interpolation value</v>
      </c>
      <c r="AJ3515" s="43" t="str">
        <f ca="1"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39"/>
        <v>#REF!</v>
      </c>
      <c r="AI3516" s="43" t="str">
        <f ca="1">_xll.BInterpol('Base IPCA'!$C$3:$C$14,'Base IPCA'!$E$3:$E$14,AH3516,"Cubic","Extrapolate=Linear","MultiX=Average","Skip=True","Sort=True")</f>
        <v>#N/A Invalid Parameter: Interpolation value</v>
      </c>
      <c r="AJ3516" s="43" t="str">
        <f ca="1"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39"/>
        <v>#REF!</v>
      </c>
      <c r="AI3517" s="43" t="str">
        <f ca="1">_xll.BInterpol('Base IPCA'!$C$3:$C$14,'Base IPCA'!$E$3:$E$14,AH3517,"Cubic","Extrapolate=Linear","MultiX=Average","Skip=True","Sort=True")</f>
        <v>#N/A Invalid Parameter: Interpolation value</v>
      </c>
      <c r="AJ3517" s="43" t="str">
        <f ca="1"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39"/>
        <v>#REF!</v>
      </c>
      <c r="AI3518" s="43" t="str">
        <f ca="1">_xll.BInterpol('Base IPCA'!$C$3:$C$14,'Base IPCA'!$E$3:$E$14,AH3518,"Cubic","Extrapolate=Linear","MultiX=Average","Skip=True","Sort=True")</f>
        <v>#N/A Invalid Parameter: Interpolation value</v>
      </c>
      <c r="AJ3518" s="43" t="str">
        <f ca="1"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39"/>
        <v>#REF!</v>
      </c>
      <c r="AI3519" s="43" t="str">
        <f ca="1">_xll.BInterpol('Base IPCA'!$C$3:$C$14,'Base IPCA'!$E$3:$E$14,AH3519,"Cubic","Extrapolate=Linear","MultiX=Average","Skip=True","Sort=True")</f>
        <v>#N/A Invalid Parameter: Interpolation value</v>
      </c>
      <c r="AJ3519" s="43" t="str">
        <f ca="1"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39"/>
        <v>#REF!</v>
      </c>
      <c r="AI3520" s="43" t="str">
        <f ca="1">_xll.BInterpol('Base IPCA'!$C$3:$C$14,'Base IPCA'!$E$3:$E$14,AH3520,"Cubic","Extrapolate=Linear","MultiX=Average","Skip=True","Sort=True")</f>
        <v>#N/A Invalid Parameter: Interpolation value</v>
      </c>
      <c r="AJ3520" s="43" t="str">
        <f ca="1"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39"/>
        <v>#REF!</v>
      </c>
      <c r="AI3521" s="43" t="str">
        <f ca="1">_xll.BInterpol('Base IPCA'!$C$3:$C$14,'Base IPCA'!$E$3:$E$14,AH3521,"Cubic","Extrapolate=Linear","MultiX=Average","Skip=True","Sort=True")</f>
        <v>#N/A Invalid Parameter: Interpolation value</v>
      </c>
      <c r="AJ3521" s="43" t="str">
        <f ca="1"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39"/>
        <v>#REF!</v>
      </c>
      <c r="AI3522" s="43" t="str">
        <f ca="1">_xll.BInterpol('Base IPCA'!$C$3:$C$14,'Base IPCA'!$E$3:$E$14,AH3522,"Cubic","Extrapolate=Linear","MultiX=Average","Skip=True","Sort=True")</f>
        <v>#N/A Invalid Parameter: Interpolation value</v>
      </c>
      <c r="AJ3522" s="43" t="str">
        <f ca="1"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39"/>
        <v>#REF!</v>
      </c>
      <c r="AI3523" s="43" t="str">
        <f ca="1">_xll.BInterpol('Base IPCA'!$C$3:$C$14,'Base IPCA'!$E$3:$E$14,AH3523,"Cubic","Extrapolate=Linear","MultiX=Average","Skip=True","Sort=True")</f>
        <v>#N/A Invalid Parameter: Interpolation value</v>
      </c>
      <c r="AJ3523" s="43" t="str">
        <f ca="1"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39"/>
        <v>#REF!</v>
      </c>
      <c r="AI3524" s="43" t="str">
        <f ca="1">_xll.BInterpol('Base IPCA'!$C$3:$C$14,'Base IPCA'!$E$3:$E$14,AH3524,"Cubic","Extrapolate=Linear","MultiX=Average","Skip=True","Sort=True")</f>
        <v>#N/A Invalid Parameter: Interpolation value</v>
      </c>
      <c r="AJ3524" s="43" t="str">
        <f ca="1"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39"/>
        <v>#REF!</v>
      </c>
      <c r="AI3525" s="43" t="str">
        <f ca="1">_xll.BInterpol('Base IPCA'!$C$3:$C$14,'Base IPCA'!$E$3:$E$14,AH3525,"Cubic","Extrapolate=Linear","MultiX=Average","Skip=True","Sort=True")</f>
        <v>#N/A Invalid Parameter: Interpolation value</v>
      </c>
      <c r="AJ3525" s="43" t="str">
        <f ca="1"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0">AH3525+1</f>
        <v>#REF!</v>
      </c>
      <c r="AI3526" s="43" t="str">
        <f ca="1">_xll.BInterpol('Base IPCA'!$C$3:$C$14,'Base IPCA'!$E$3:$E$14,AH3526,"Cubic","Extrapolate=Linear","MultiX=Average","Skip=True","Sort=True")</f>
        <v>#N/A Invalid Parameter: Interpolation value</v>
      </c>
      <c r="AJ3526" s="43" t="str">
        <f ca="1"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0"/>
        <v>#REF!</v>
      </c>
      <c r="AI3527" s="43" t="str">
        <f ca="1">_xll.BInterpol('Base IPCA'!$C$3:$C$14,'Base IPCA'!$E$3:$E$14,AH3527,"Cubic","Extrapolate=Linear","MultiX=Average","Skip=True","Sort=True")</f>
        <v>#N/A Invalid Parameter: Interpolation value</v>
      </c>
      <c r="AJ3527" s="43" t="str">
        <f ca="1"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0"/>
        <v>#REF!</v>
      </c>
      <c r="AI3528" s="43" t="str">
        <f ca="1">_xll.BInterpol('Base IPCA'!$C$3:$C$14,'Base IPCA'!$E$3:$E$14,AH3528,"Cubic","Extrapolate=Linear","MultiX=Average","Skip=True","Sort=True")</f>
        <v>#N/A Invalid Parameter: Interpolation value</v>
      </c>
      <c r="AJ3528" s="43" t="str">
        <f ca="1"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0"/>
        <v>#REF!</v>
      </c>
      <c r="AI3529" s="43" t="str">
        <f ca="1">_xll.BInterpol('Base IPCA'!$C$3:$C$14,'Base IPCA'!$E$3:$E$14,AH3529,"Cubic","Extrapolate=Linear","MultiX=Average","Skip=True","Sort=True")</f>
        <v>#N/A Invalid Parameter: Interpolation value</v>
      </c>
      <c r="AJ3529" s="43" t="str">
        <f ca="1"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0"/>
        <v>#REF!</v>
      </c>
      <c r="AI3530" s="43" t="str">
        <f ca="1">_xll.BInterpol('Base IPCA'!$C$3:$C$14,'Base IPCA'!$E$3:$E$14,AH3530,"Cubic","Extrapolate=Linear","MultiX=Average","Skip=True","Sort=True")</f>
        <v>#N/A Invalid Parameter: Interpolation value</v>
      </c>
      <c r="AJ3530" s="43" t="str">
        <f ca="1"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0"/>
        <v>#REF!</v>
      </c>
      <c r="AI3531" s="43" t="str">
        <f ca="1">_xll.BInterpol('Base IPCA'!$C$3:$C$14,'Base IPCA'!$E$3:$E$14,AH3531,"Cubic","Extrapolate=Linear","MultiX=Average","Skip=True","Sort=True")</f>
        <v>#N/A Invalid Parameter: Interpolation value</v>
      </c>
      <c r="AJ3531" s="43" t="str">
        <f ca="1"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0"/>
        <v>#REF!</v>
      </c>
      <c r="AI3532" s="43" t="str">
        <f ca="1">_xll.BInterpol('Base IPCA'!$C$3:$C$14,'Base IPCA'!$E$3:$E$14,AH3532,"Cubic","Extrapolate=Linear","MultiX=Average","Skip=True","Sort=True")</f>
        <v>#N/A Invalid Parameter: Interpolation value</v>
      </c>
      <c r="AJ3532" s="43" t="str">
        <f ca="1"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0"/>
        <v>#REF!</v>
      </c>
      <c r="AI3533" s="43" t="str">
        <f ca="1">_xll.BInterpol('Base IPCA'!$C$3:$C$14,'Base IPCA'!$E$3:$E$14,AH3533,"Cubic","Extrapolate=Linear","MultiX=Average","Skip=True","Sort=True")</f>
        <v>#N/A Invalid Parameter: Interpolation value</v>
      </c>
      <c r="AJ3533" s="43" t="str">
        <f ca="1"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0"/>
        <v>#REF!</v>
      </c>
      <c r="AI3534" s="43" t="str">
        <f ca="1">_xll.BInterpol('Base IPCA'!$C$3:$C$14,'Base IPCA'!$E$3:$E$14,AH3534,"Cubic","Extrapolate=Linear","MultiX=Average","Skip=True","Sort=True")</f>
        <v>#N/A Invalid Parameter: Interpolation value</v>
      </c>
      <c r="AJ3534" s="43" t="str">
        <f ca="1"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0"/>
        <v>#REF!</v>
      </c>
      <c r="AI3535" s="43" t="str">
        <f ca="1">_xll.BInterpol('Base IPCA'!$C$3:$C$14,'Base IPCA'!$E$3:$E$14,AH3535,"Cubic","Extrapolate=Linear","MultiX=Average","Skip=True","Sort=True")</f>
        <v>#N/A Invalid Parameter: Interpolation value</v>
      </c>
      <c r="AJ3535" s="43" t="str">
        <f ca="1"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0"/>
        <v>#REF!</v>
      </c>
      <c r="AI3536" s="43" t="str">
        <f ca="1">_xll.BInterpol('Base IPCA'!$C$3:$C$14,'Base IPCA'!$E$3:$E$14,AH3536,"Cubic","Extrapolate=Linear","MultiX=Average","Skip=True","Sort=True")</f>
        <v>#N/A Invalid Parameter: Interpolation value</v>
      </c>
      <c r="AJ3536" s="43" t="str">
        <f ca="1"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0"/>
        <v>#REF!</v>
      </c>
      <c r="AI3537" s="43" t="str">
        <f ca="1">_xll.BInterpol('Base IPCA'!$C$3:$C$14,'Base IPCA'!$E$3:$E$14,AH3537,"Cubic","Extrapolate=Linear","MultiX=Average","Skip=True","Sort=True")</f>
        <v>#N/A Invalid Parameter: Interpolation value</v>
      </c>
      <c r="AJ3537" s="43" t="str">
        <f ca="1"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0"/>
        <v>#REF!</v>
      </c>
      <c r="AI3538" s="43" t="str">
        <f ca="1">_xll.BInterpol('Base IPCA'!$C$3:$C$14,'Base IPCA'!$E$3:$E$14,AH3538,"Cubic","Extrapolate=Linear","MultiX=Average","Skip=True","Sort=True")</f>
        <v>#N/A Invalid Parameter: Interpolation value</v>
      </c>
      <c r="AJ3538" s="43" t="str">
        <f ca="1"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0"/>
        <v>#REF!</v>
      </c>
      <c r="AI3539" s="43" t="str">
        <f ca="1">_xll.BInterpol('Base IPCA'!$C$3:$C$14,'Base IPCA'!$E$3:$E$14,AH3539,"Cubic","Extrapolate=Linear","MultiX=Average","Skip=True","Sort=True")</f>
        <v>#N/A Invalid Parameter: Interpolation value</v>
      </c>
      <c r="AJ3539" s="43" t="str">
        <f ca="1"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0"/>
        <v>#REF!</v>
      </c>
      <c r="AI3540" s="43" t="str">
        <f ca="1">_xll.BInterpol('Base IPCA'!$C$3:$C$14,'Base IPCA'!$E$3:$E$14,AH3540,"Cubic","Extrapolate=Linear","MultiX=Average","Skip=True","Sort=True")</f>
        <v>#N/A Invalid Parameter: Interpolation value</v>
      </c>
      <c r="AJ3540" s="43" t="str">
        <f ca="1"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0"/>
        <v>#REF!</v>
      </c>
      <c r="AI3541" s="43" t="str">
        <f ca="1">_xll.BInterpol('Base IPCA'!$C$3:$C$14,'Base IPCA'!$E$3:$E$14,AH3541,"Cubic","Extrapolate=Linear","MultiX=Average","Skip=True","Sort=True")</f>
        <v>#N/A Invalid Parameter: Interpolation value</v>
      </c>
      <c r="AJ3541" s="43" t="str">
        <f ca="1"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0"/>
        <v>#REF!</v>
      </c>
      <c r="AI3542" s="43" t="str">
        <f ca="1">_xll.BInterpol('Base IPCA'!$C$3:$C$14,'Base IPCA'!$E$3:$E$14,AH3542,"Cubic","Extrapolate=Linear","MultiX=Average","Skip=True","Sort=True")</f>
        <v>#N/A Invalid Parameter: Interpolation value</v>
      </c>
      <c r="AJ3542" s="43" t="str">
        <f ca="1"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0"/>
        <v>#REF!</v>
      </c>
      <c r="AI3543" s="43" t="str">
        <f ca="1">_xll.BInterpol('Base IPCA'!$C$3:$C$14,'Base IPCA'!$E$3:$E$14,AH3543,"Cubic","Extrapolate=Linear","MultiX=Average","Skip=True","Sort=True")</f>
        <v>#N/A Invalid Parameter: Interpolation value</v>
      </c>
      <c r="AJ3543" s="43" t="str">
        <f ca="1"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0"/>
        <v>#REF!</v>
      </c>
      <c r="AI3544" s="43" t="str">
        <f ca="1">_xll.BInterpol('Base IPCA'!$C$3:$C$14,'Base IPCA'!$E$3:$E$14,AH3544,"Cubic","Extrapolate=Linear","MultiX=Average","Skip=True","Sort=True")</f>
        <v>#N/A Invalid Parameter: Interpolation value</v>
      </c>
      <c r="AJ3544" s="43" t="str">
        <f ca="1"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0"/>
        <v>#REF!</v>
      </c>
      <c r="AI3545" s="43" t="str">
        <f ca="1">_xll.BInterpol('Base IPCA'!$C$3:$C$14,'Base IPCA'!$E$3:$E$14,AH3545,"Cubic","Extrapolate=Linear","MultiX=Average","Skip=True","Sort=True")</f>
        <v>#N/A Invalid Parameter: Interpolation value</v>
      </c>
      <c r="AJ3545" s="43" t="str">
        <f ca="1"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0"/>
        <v>#REF!</v>
      </c>
      <c r="AI3546" s="43" t="str">
        <f ca="1">_xll.BInterpol('Base IPCA'!$C$3:$C$14,'Base IPCA'!$E$3:$E$14,AH3546,"Cubic","Extrapolate=Linear","MultiX=Average","Skip=True","Sort=True")</f>
        <v>#N/A Invalid Parameter: Interpolation value</v>
      </c>
      <c r="AJ3546" s="43" t="str">
        <f ca="1"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0"/>
        <v>#REF!</v>
      </c>
      <c r="AI3547" s="43" t="str">
        <f ca="1">_xll.BInterpol('Base IPCA'!$C$3:$C$14,'Base IPCA'!$E$3:$E$14,AH3547,"Cubic","Extrapolate=Linear","MultiX=Average","Skip=True","Sort=True")</f>
        <v>#N/A Invalid Parameter: Interpolation value</v>
      </c>
      <c r="AJ3547" s="43" t="str">
        <f ca="1"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0"/>
        <v>#REF!</v>
      </c>
      <c r="AI3548" s="43" t="str">
        <f ca="1">_xll.BInterpol('Base IPCA'!$C$3:$C$14,'Base IPCA'!$E$3:$E$14,AH3548,"Cubic","Extrapolate=Linear","MultiX=Average","Skip=True","Sort=True")</f>
        <v>#N/A Invalid Parameter: Interpolation value</v>
      </c>
      <c r="AJ3548" s="43" t="str">
        <f ca="1"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0"/>
        <v>#REF!</v>
      </c>
      <c r="AI3549" s="43" t="str">
        <f ca="1">_xll.BInterpol('Base IPCA'!$C$3:$C$14,'Base IPCA'!$E$3:$E$14,AH3549,"Cubic","Extrapolate=Linear","MultiX=Average","Skip=True","Sort=True")</f>
        <v>#N/A Invalid Parameter: Interpolation value</v>
      </c>
      <c r="AJ3549" s="43" t="str">
        <f ca="1"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0"/>
        <v>#REF!</v>
      </c>
      <c r="AI3550" s="43" t="str">
        <f ca="1">_xll.BInterpol('Base IPCA'!$C$3:$C$14,'Base IPCA'!$E$3:$E$14,AH3550,"Cubic","Extrapolate=Linear","MultiX=Average","Skip=True","Sort=True")</f>
        <v>#N/A Invalid Parameter: Interpolation value</v>
      </c>
      <c r="AJ3550" s="43" t="str">
        <f ca="1"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0"/>
        <v>#REF!</v>
      </c>
      <c r="AI3551" s="43" t="str">
        <f ca="1">_xll.BInterpol('Base IPCA'!$C$3:$C$14,'Base IPCA'!$E$3:$E$14,AH3551,"Cubic","Extrapolate=Linear","MultiX=Average","Skip=True","Sort=True")</f>
        <v>#N/A Invalid Parameter: Interpolation value</v>
      </c>
      <c r="AJ3551" s="43" t="str">
        <f ca="1"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0"/>
        <v>#REF!</v>
      </c>
      <c r="AI3552" s="43" t="str">
        <f ca="1">_xll.BInterpol('Base IPCA'!$C$3:$C$14,'Base IPCA'!$E$3:$E$14,AH3552,"Cubic","Extrapolate=Linear","MultiX=Average","Skip=True","Sort=True")</f>
        <v>#N/A Invalid Parameter: Interpolation value</v>
      </c>
      <c r="AJ3552" s="43" t="str">
        <f ca="1"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0"/>
        <v>#REF!</v>
      </c>
      <c r="AI3553" s="43" t="str">
        <f ca="1">_xll.BInterpol('Base IPCA'!$C$3:$C$14,'Base IPCA'!$E$3:$E$14,AH3553,"Cubic","Extrapolate=Linear","MultiX=Average","Skip=True","Sort=True")</f>
        <v>#N/A Invalid Parameter: Interpolation value</v>
      </c>
      <c r="AJ3553" s="43" t="str">
        <f ca="1"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0"/>
        <v>#REF!</v>
      </c>
      <c r="AI3554" s="43" t="str">
        <f ca="1">_xll.BInterpol('Base IPCA'!$C$3:$C$14,'Base IPCA'!$E$3:$E$14,AH3554,"Cubic","Extrapolate=Linear","MultiX=Average","Skip=True","Sort=True")</f>
        <v>#N/A Invalid Parameter: Interpolation value</v>
      </c>
      <c r="AJ3554" s="43" t="str">
        <f ca="1"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0"/>
        <v>#REF!</v>
      </c>
      <c r="AI3555" s="43" t="str">
        <f ca="1">_xll.BInterpol('Base IPCA'!$C$3:$C$14,'Base IPCA'!$E$3:$E$14,AH3555,"Cubic","Extrapolate=Linear","MultiX=Average","Skip=True","Sort=True")</f>
        <v>#N/A Invalid Parameter: Interpolation value</v>
      </c>
      <c r="AJ3555" s="43" t="str">
        <f ca="1"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0"/>
        <v>#REF!</v>
      </c>
      <c r="AI3556" s="43" t="str">
        <f ca="1">_xll.BInterpol('Base IPCA'!$C$3:$C$14,'Base IPCA'!$E$3:$E$14,AH3556,"Cubic","Extrapolate=Linear","MultiX=Average","Skip=True","Sort=True")</f>
        <v>#N/A Invalid Parameter: Interpolation value</v>
      </c>
      <c r="AJ3556" s="43" t="str">
        <f ca="1"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0"/>
        <v>#REF!</v>
      </c>
      <c r="AI3557" s="43" t="str">
        <f ca="1">_xll.BInterpol('Base IPCA'!$C$3:$C$14,'Base IPCA'!$E$3:$E$14,AH3557,"Cubic","Extrapolate=Linear","MultiX=Average","Skip=True","Sort=True")</f>
        <v>#N/A Invalid Parameter: Interpolation value</v>
      </c>
      <c r="AJ3557" s="43" t="str">
        <f ca="1"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0"/>
        <v>#REF!</v>
      </c>
      <c r="AI3558" s="43" t="str">
        <f ca="1">_xll.BInterpol('Base IPCA'!$C$3:$C$14,'Base IPCA'!$E$3:$E$14,AH3558,"Cubic","Extrapolate=Linear","MultiX=Average","Skip=True","Sort=True")</f>
        <v>#N/A Invalid Parameter: Interpolation value</v>
      </c>
      <c r="AJ3558" s="43" t="str">
        <f ca="1"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0"/>
        <v>#REF!</v>
      </c>
      <c r="AI3559" s="43" t="str">
        <f ca="1">_xll.BInterpol('Base IPCA'!$C$3:$C$14,'Base IPCA'!$E$3:$E$14,AH3559,"Cubic","Extrapolate=Linear","MultiX=Average","Skip=True","Sort=True")</f>
        <v>#N/A Invalid Parameter: Interpolation value</v>
      </c>
      <c r="AJ3559" s="43" t="str">
        <f ca="1"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0"/>
        <v>#REF!</v>
      </c>
      <c r="AI3560" s="43" t="str">
        <f ca="1">_xll.BInterpol('Base IPCA'!$C$3:$C$14,'Base IPCA'!$E$3:$E$14,AH3560,"Cubic","Extrapolate=Linear","MultiX=Average","Skip=True","Sort=True")</f>
        <v>#N/A Invalid Parameter: Interpolation value</v>
      </c>
      <c r="AJ3560" s="43" t="str">
        <f ca="1"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0"/>
        <v>#REF!</v>
      </c>
      <c r="AI3561" s="43" t="str">
        <f ca="1">_xll.BInterpol('Base IPCA'!$C$3:$C$14,'Base IPCA'!$E$3:$E$14,AH3561,"Cubic","Extrapolate=Linear","MultiX=Average","Skip=True","Sort=True")</f>
        <v>#N/A Invalid Parameter: Interpolation value</v>
      </c>
      <c r="AJ3561" s="43" t="str">
        <f ca="1"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0"/>
        <v>#REF!</v>
      </c>
      <c r="AI3562" s="43" t="str">
        <f ca="1">_xll.BInterpol('Base IPCA'!$C$3:$C$14,'Base IPCA'!$E$3:$E$14,AH3562,"Cubic","Extrapolate=Linear","MultiX=Average","Skip=True","Sort=True")</f>
        <v>#N/A Invalid Parameter: Interpolation value</v>
      </c>
      <c r="AJ3562" s="43" t="str">
        <f ca="1"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0"/>
        <v>#REF!</v>
      </c>
      <c r="AI3563" s="43" t="str">
        <f ca="1">_xll.BInterpol('Base IPCA'!$C$3:$C$14,'Base IPCA'!$E$3:$E$14,AH3563,"Cubic","Extrapolate=Linear","MultiX=Average","Skip=True","Sort=True")</f>
        <v>#N/A Invalid Parameter: Interpolation value</v>
      </c>
      <c r="AJ3563" s="43" t="str">
        <f ca="1"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0"/>
        <v>#REF!</v>
      </c>
      <c r="AI3564" s="43" t="str">
        <f ca="1">_xll.BInterpol('Base IPCA'!$C$3:$C$14,'Base IPCA'!$E$3:$E$14,AH3564,"Cubic","Extrapolate=Linear","MultiX=Average","Skip=True","Sort=True")</f>
        <v>#N/A Invalid Parameter: Interpolation value</v>
      </c>
      <c r="AJ3564" s="43" t="str">
        <f ca="1"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0"/>
        <v>#REF!</v>
      </c>
      <c r="AI3565" s="43" t="str">
        <f ca="1">_xll.BInterpol('Base IPCA'!$C$3:$C$14,'Base IPCA'!$E$3:$E$14,AH3565,"Cubic","Extrapolate=Linear","MultiX=Average","Skip=True","Sort=True")</f>
        <v>#N/A Invalid Parameter: Interpolation value</v>
      </c>
      <c r="AJ3565" s="43" t="str">
        <f ca="1"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0"/>
        <v>#REF!</v>
      </c>
      <c r="AI3566" s="43" t="str">
        <f ca="1">_xll.BInterpol('Base IPCA'!$C$3:$C$14,'Base IPCA'!$E$3:$E$14,AH3566,"Cubic","Extrapolate=Linear","MultiX=Average","Skip=True","Sort=True")</f>
        <v>#N/A Invalid Parameter: Interpolation value</v>
      </c>
      <c r="AJ3566" s="43" t="str">
        <f ca="1"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0"/>
        <v>#REF!</v>
      </c>
      <c r="AI3567" s="43" t="str">
        <f ca="1">_xll.BInterpol('Base IPCA'!$C$3:$C$14,'Base IPCA'!$E$3:$E$14,AH3567,"Cubic","Extrapolate=Linear","MultiX=Average","Skip=True","Sort=True")</f>
        <v>#N/A Invalid Parameter: Interpolation value</v>
      </c>
      <c r="AJ3567" s="43" t="str">
        <f ca="1"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0"/>
        <v>#REF!</v>
      </c>
      <c r="AI3568" s="43" t="str">
        <f ca="1">_xll.BInterpol('Base IPCA'!$C$3:$C$14,'Base IPCA'!$E$3:$E$14,AH3568,"Cubic","Extrapolate=Linear","MultiX=Average","Skip=True","Sort=True")</f>
        <v>#N/A Invalid Parameter: Interpolation value</v>
      </c>
      <c r="AJ3568" s="43" t="str">
        <f ca="1"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0"/>
        <v>#REF!</v>
      </c>
      <c r="AI3569" s="43" t="str">
        <f ca="1">_xll.BInterpol('Base IPCA'!$C$3:$C$14,'Base IPCA'!$E$3:$E$14,AH3569,"Cubic","Extrapolate=Linear","MultiX=Average","Skip=True","Sort=True")</f>
        <v>#N/A Invalid Parameter: Interpolation value</v>
      </c>
      <c r="AJ3569" s="43" t="str">
        <f ca="1"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0"/>
        <v>#REF!</v>
      </c>
      <c r="AI3570" s="43" t="str">
        <f ca="1">_xll.BInterpol('Base IPCA'!$C$3:$C$14,'Base IPCA'!$E$3:$E$14,AH3570,"Cubic","Extrapolate=Linear","MultiX=Average","Skip=True","Sort=True")</f>
        <v>#N/A Invalid Parameter: Interpolation value</v>
      </c>
      <c r="AJ3570" s="43" t="str">
        <f ca="1"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0"/>
        <v>#REF!</v>
      </c>
      <c r="AI3571" s="43" t="str">
        <f ca="1">_xll.BInterpol('Base IPCA'!$C$3:$C$14,'Base IPCA'!$E$3:$E$14,AH3571,"Cubic","Extrapolate=Linear","MultiX=Average","Skip=True","Sort=True")</f>
        <v>#N/A Invalid Parameter: Interpolation value</v>
      </c>
      <c r="AJ3571" s="43" t="str">
        <f ca="1"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0"/>
        <v>#REF!</v>
      </c>
      <c r="AI3572" s="43" t="str">
        <f ca="1">_xll.BInterpol('Base IPCA'!$C$3:$C$14,'Base IPCA'!$E$3:$E$14,AH3572,"Cubic","Extrapolate=Linear","MultiX=Average","Skip=True","Sort=True")</f>
        <v>#N/A Invalid Parameter: Interpolation value</v>
      </c>
      <c r="AJ3572" s="43" t="str">
        <f ca="1"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0"/>
        <v>#REF!</v>
      </c>
      <c r="AI3573" s="43" t="str">
        <f ca="1">_xll.BInterpol('Base IPCA'!$C$3:$C$14,'Base IPCA'!$E$3:$E$14,AH3573,"Cubic","Extrapolate=Linear","MultiX=Average","Skip=True","Sort=True")</f>
        <v>#N/A Invalid Parameter: Interpolation value</v>
      </c>
      <c r="AJ3573" s="43" t="str">
        <f ca="1"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0"/>
        <v>#REF!</v>
      </c>
      <c r="AI3574" s="43" t="str">
        <f ca="1">_xll.BInterpol('Base IPCA'!$C$3:$C$14,'Base IPCA'!$E$3:$E$14,AH3574,"Cubic","Extrapolate=Linear","MultiX=Average","Skip=True","Sort=True")</f>
        <v>#N/A Invalid Parameter: Interpolation value</v>
      </c>
      <c r="AJ3574" s="43" t="str">
        <f ca="1"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0"/>
        <v>#REF!</v>
      </c>
      <c r="AI3575" s="43" t="str">
        <f ca="1">_xll.BInterpol('Base IPCA'!$C$3:$C$14,'Base IPCA'!$E$3:$E$14,AH3575,"Cubic","Extrapolate=Linear","MultiX=Average","Skip=True","Sort=True")</f>
        <v>#N/A Invalid Parameter: Interpolation value</v>
      </c>
      <c r="AJ3575" s="43" t="str">
        <f ca="1"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0"/>
        <v>#REF!</v>
      </c>
      <c r="AI3576" s="43" t="str">
        <f ca="1">_xll.BInterpol('Base IPCA'!$C$3:$C$14,'Base IPCA'!$E$3:$E$14,AH3576,"Cubic","Extrapolate=Linear","MultiX=Average","Skip=True","Sort=True")</f>
        <v>#N/A Invalid Parameter: Interpolation value</v>
      </c>
      <c r="AJ3576" s="43" t="str">
        <f ca="1"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0"/>
        <v>#REF!</v>
      </c>
      <c r="AI3577" s="43" t="str">
        <f ca="1">_xll.BInterpol('Base IPCA'!$C$3:$C$14,'Base IPCA'!$E$3:$E$14,AH3577,"Cubic","Extrapolate=Linear","MultiX=Average","Skip=True","Sort=True")</f>
        <v>#N/A Invalid Parameter: Interpolation value</v>
      </c>
      <c r="AJ3577" s="43" t="str">
        <f ca="1"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0"/>
        <v>#REF!</v>
      </c>
      <c r="AI3578" s="43" t="str">
        <f ca="1">_xll.BInterpol('Base IPCA'!$C$3:$C$14,'Base IPCA'!$E$3:$E$14,AH3578,"Cubic","Extrapolate=Linear","MultiX=Average","Skip=True","Sort=True")</f>
        <v>#N/A Invalid Parameter: Interpolation value</v>
      </c>
      <c r="AJ3578" s="43" t="str">
        <f ca="1"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0"/>
        <v>#REF!</v>
      </c>
      <c r="AI3579" s="43" t="str">
        <f ca="1">_xll.BInterpol('Base IPCA'!$C$3:$C$14,'Base IPCA'!$E$3:$E$14,AH3579,"Cubic","Extrapolate=Linear","MultiX=Average","Skip=True","Sort=True")</f>
        <v>#N/A Invalid Parameter: Interpolation value</v>
      </c>
      <c r="AJ3579" s="43" t="str">
        <f ca="1"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0"/>
        <v>#REF!</v>
      </c>
      <c r="AI3580" s="43" t="str">
        <f ca="1">_xll.BInterpol('Base IPCA'!$C$3:$C$14,'Base IPCA'!$E$3:$E$14,AH3580,"Cubic","Extrapolate=Linear","MultiX=Average","Skip=True","Sort=True")</f>
        <v>#N/A Invalid Parameter: Interpolation value</v>
      </c>
      <c r="AJ3580" s="43" t="str">
        <f ca="1"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0"/>
        <v>#REF!</v>
      </c>
      <c r="AI3581" s="43" t="str">
        <f ca="1">_xll.BInterpol('Base IPCA'!$C$3:$C$14,'Base IPCA'!$E$3:$E$14,AH3581,"Cubic","Extrapolate=Linear","MultiX=Average","Skip=True","Sort=True")</f>
        <v>#N/A Invalid Parameter: Interpolation value</v>
      </c>
      <c r="AJ3581" s="43" t="str">
        <f ca="1"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0"/>
        <v>#REF!</v>
      </c>
      <c r="AI3582" s="43" t="str">
        <f ca="1">_xll.BInterpol('Base IPCA'!$C$3:$C$14,'Base IPCA'!$E$3:$E$14,AH3582,"Cubic","Extrapolate=Linear","MultiX=Average","Skip=True","Sort=True")</f>
        <v>#N/A Invalid Parameter: Interpolation value</v>
      </c>
      <c r="AJ3582" s="43" t="str">
        <f ca="1"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0"/>
        <v>#REF!</v>
      </c>
      <c r="AI3583" s="43" t="str">
        <f ca="1">_xll.BInterpol('Base IPCA'!$C$3:$C$14,'Base IPCA'!$E$3:$E$14,AH3583,"Cubic","Extrapolate=Linear","MultiX=Average","Skip=True","Sort=True")</f>
        <v>#N/A Invalid Parameter: Interpolation value</v>
      </c>
      <c r="AJ3583" s="43" t="str">
        <f ca="1"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0"/>
        <v>#REF!</v>
      </c>
      <c r="AI3584" s="43" t="str">
        <f ca="1">_xll.BInterpol('Base IPCA'!$C$3:$C$14,'Base IPCA'!$E$3:$E$14,AH3584,"Cubic","Extrapolate=Linear","MultiX=Average","Skip=True","Sort=True")</f>
        <v>#N/A Invalid Parameter: Interpolation value</v>
      </c>
      <c r="AJ3584" s="43" t="str">
        <f ca="1"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0"/>
        <v>#REF!</v>
      </c>
      <c r="AI3585" s="43" t="str">
        <f ca="1">_xll.BInterpol('Base IPCA'!$C$3:$C$14,'Base IPCA'!$E$3:$E$14,AH3585,"Cubic","Extrapolate=Linear","MultiX=Average","Skip=True","Sort=True")</f>
        <v>#N/A Invalid Parameter: Interpolation value</v>
      </c>
      <c r="AJ3585" s="43" t="str">
        <f ca="1"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0"/>
        <v>#REF!</v>
      </c>
      <c r="AI3586" s="43" t="str">
        <f ca="1">_xll.BInterpol('Base IPCA'!$C$3:$C$14,'Base IPCA'!$E$3:$E$14,AH3586,"Cubic","Extrapolate=Linear","MultiX=Average","Skip=True","Sort=True")</f>
        <v>#N/A Invalid Parameter: Interpolation value</v>
      </c>
      <c r="AJ3586" s="43" t="str">
        <f ca="1"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0"/>
        <v>#REF!</v>
      </c>
      <c r="AI3587" s="43" t="str">
        <f ca="1">_xll.BInterpol('Base IPCA'!$C$3:$C$14,'Base IPCA'!$E$3:$E$14,AH3587,"Cubic","Extrapolate=Linear","MultiX=Average","Skip=True","Sort=True")</f>
        <v>#N/A Invalid Parameter: Interpolation value</v>
      </c>
      <c r="AJ3587" s="43" t="str">
        <f ca="1"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0"/>
        <v>#REF!</v>
      </c>
      <c r="AI3588" s="43" t="str">
        <f ca="1">_xll.BInterpol('Base IPCA'!$C$3:$C$14,'Base IPCA'!$E$3:$E$14,AH3588,"Cubic","Extrapolate=Linear","MultiX=Average","Skip=True","Sort=True")</f>
        <v>#N/A Invalid Parameter: Interpolation value</v>
      </c>
      <c r="AJ3588" s="43" t="str">
        <f ca="1"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0"/>
        <v>#REF!</v>
      </c>
      <c r="AI3589" s="43" t="str">
        <f ca="1">_xll.BInterpol('Base IPCA'!$C$3:$C$14,'Base IPCA'!$E$3:$E$14,AH3589,"Cubic","Extrapolate=Linear","MultiX=Average","Skip=True","Sort=True")</f>
        <v>#N/A Invalid Parameter: Interpolation value</v>
      </c>
      <c r="AJ3589" s="43" t="str">
        <f ca="1"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1">AH3589+1</f>
        <v>#REF!</v>
      </c>
      <c r="AI3590" s="43" t="str">
        <f ca="1">_xll.BInterpol('Base IPCA'!$C$3:$C$14,'Base IPCA'!$E$3:$E$14,AH3590,"Cubic","Extrapolate=Linear","MultiX=Average","Skip=True","Sort=True")</f>
        <v>#N/A Invalid Parameter: Interpolation value</v>
      </c>
      <c r="AJ3590" s="43" t="str">
        <f ca="1"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1"/>
        <v>#REF!</v>
      </c>
      <c r="AI3591" s="43" t="str">
        <f ca="1">_xll.BInterpol('Base IPCA'!$C$3:$C$14,'Base IPCA'!$E$3:$E$14,AH3591,"Cubic","Extrapolate=Linear","MultiX=Average","Skip=True","Sort=True")</f>
        <v>#N/A Invalid Parameter: Interpolation value</v>
      </c>
      <c r="AJ3591" s="43" t="str">
        <f ca="1"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1"/>
        <v>#REF!</v>
      </c>
      <c r="AI3592" s="43" t="str">
        <f ca="1">_xll.BInterpol('Base IPCA'!$C$3:$C$14,'Base IPCA'!$E$3:$E$14,AH3592,"Cubic","Extrapolate=Linear","MultiX=Average","Skip=True","Sort=True")</f>
        <v>#N/A Invalid Parameter: Interpolation value</v>
      </c>
      <c r="AJ3592" s="43" t="str">
        <f ca="1"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1"/>
        <v>#REF!</v>
      </c>
      <c r="AI3593" s="43" t="str">
        <f ca="1">_xll.BInterpol('Base IPCA'!$C$3:$C$14,'Base IPCA'!$E$3:$E$14,AH3593,"Cubic","Extrapolate=Linear","MultiX=Average","Skip=True","Sort=True")</f>
        <v>#N/A Invalid Parameter: Interpolation value</v>
      </c>
      <c r="AJ3593" s="43" t="str">
        <f ca="1"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1"/>
        <v>#REF!</v>
      </c>
      <c r="AI3594" s="43" t="str">
        <f ca="1">_xll.BInterpol('Base IPCA'!$C$3:$C$14,'Base IPCA'!$E$3:$E$14,AH3594,"Cubic","Extrapolate=Linear","MultiX=Average","Skip=True","Sort=True")</f>
        <v>#N/A Invalid Parameter: Interpolation value</v>
      </c>
      <c r="AJ3594" s="43" t="str">
        <f ca="1"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1"/>
        <v>#REF!</v>
      </c>
      <c r="AI3595" s="43" t="str">
        <f ca="1">_xll.BInterpol('Base IPCA'!$C$3:$C$14,'Base IPCA'!$E$3:$E$14,AH3595,"Cubic","Extrapolate=Linear","MultiX=Average","Skip=True","Sort=True")</f>
        <v>#N/A Invalid Parameter: Interpolation value</v>
      </c>
      <c r="AJ3595" s="43" t="str">
        <f ca="1"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1"/>
        <v>#REF!</v>
      </c>
      <c r="AI3596" s="43" t="str">
        <f ca="1">_xll.BInterpol('Base IPCA'!$C$3:$C$14,'Base IPCA'!$E$3:$E$14,AH3596,"Cubic","Extrapolate=Linear","MultiX=Average","Skip=True","Sort=True")</f>
        <v>#N/A Invalid Parameter: Interpolation value</v>
      </c>
      <c r="AJ3596" s="43" t="str">
        <f ca="1"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1"/>
        <v>#REF!</v>
      </c>
      <c r="AI3597" s="43" t="str">
        <f ca="1">_xll.BInterpol('Base IPCA'!$C$3:$C$14,'Base IPCA'!$E$3:$E$14,AH3597,"Cubic","Extrapolate=Linear","MultiX=Average","Skip=True","Sort=True")</f>
        <v>#N/A Invalid Parameter: Interpolation value</v>
      </c>
      <c r="AJ3597" s="43" t="str">
        <f ca="1"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1"/>
        <v>#REF!</v>
      </c>
      <c r="AI3598" s="43" t="str">
        <f ca="1">_xll.BInterpol('Base IPCA'!$C$3:$C$14,'Base IPCA'!$E$3:$E$14,AH3598,"Cubic","Extrapolate=Linear","MultiX=Average","Skip=True","Sort=True")</f>
        <v>#N/A Invalid Parameter: Interpolation value</v>
      </c>
      <c r="AJ3598" s="43" t="str">
        <f ca="1"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1"/>
        <v>#REF!</v>
      </c>
      <c r="AI3599" s="43" t="str">
        <f ca="1">_xll.BInterpol('Base IPCA'!$C$3:$C$14,'Base IPCA'!$E$3:$E$14,AH3599,"Cubic","Extrapolate=Linear","MultiX=Average","Skip=True","Sort=True")</f>
        <v>#N/A Invalid Parameter: Interpolation value</v>
      </c>
      <c r="AJ3599" s="43" t="str">
        <f ca="1"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1"/>
        <v>#REF!</v>
      </c>
      <c r="AI3600" s="43" t="str">
        <f ca="1">_xll.BInterpol('Base IPCA'!$C$3:$C$14,'Base IPCA'!$E$3:$E$14,AH3600,"Cubic","Extrapolate=Linear","MultiX=Average","Skip=True","Sort=True")</f>
        <v>#N/A Invalid Parameter: Interpolation value</v>
      </c>
      <c r="AJ3600" s="43" t="str">
        <f ca="1"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1"/>
        <v>#REF!</v>
      </c>
      <c r="AI3601" s="43" t="str">
        <f ca="1">_xll.BInterpol('Base IPCA'!$C$3:$C$14,'Base IPCA'!$E$3:$E$14,AH3601,"Cubic","Extrapolate=Linear","MultiX=Average","Skip=True","Sort=True")</f>
        <v>#N/A Invalid Parameter: Interpolation value</v>
      </c>
      <c r="AJ3601" s="43" t="str">
        <f ca="1"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1"/>
        <v>#REF!</v>
      </c>
      <c r="AI3602" s="43" t="str">
        <f ca="1">_xll.BInterpol('Base IPCA'!$C$3:$C$14,'Base IPCA'!$E$3:$E$14,AH3602,"Cubic","Extrapolate=Linear","MultiX=Average","Skip=True","Sort=True")</f>
        <v>#N/A Invalid Parameter: Interpolation value</v>
      </c>
      <c r="AJ3602" s="43" t="str">
        <f ca="1"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1"/>
        <v>#REF!</v>
      </c>
      <c r="AI3603" s="43" t="str">
        <f ca="1">_xll.BInterpol('Base IPCA'!$C$3:$C$14,'Base IPCA'!$E$3:$E$14,AH3603,"Cubic","Extrapolate=Linear","MultiX=Average","Skip=True","Sort=True")</f>
        <v>#N/A Invalid Parameter: Interpolation value</v>
      </c>
      <c r="AJ3603" s="43" t="str">
        <f ca="1"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1"/>
        <v>#REF!</v>
      </c>
      <c r="AI3604" s="43" t="str">
        <f ca="1">_xll.BInterpol('Base IPCA'!$C$3:$C$14,'Base IPCA'!$E$3:$E$14,AH3604,"Cubic","Extrapolate=Linear","MultiX=Average","Skip=True","Sort=True")</f>
        <v>#N/A Invalid Parameter: Interpolation value</v>
      </c>
      <c r="AJ3604" s="43" t="str">
        <f ca="1"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1"/>
        <v>#REF!</v>
      </c>
      <c r="AI3605" s="43" t="str">
        <f ca="1">_xll.BInterpol('Base IPCA'!$C$3:$C$14,'Base IPCA'!$E$3:$E$14,AH3605,"Cubic","Extrapolate=Linear","MultiX=Average","Skip=True","Sort=True")</f>
        <v>#N/A Invalid Parameter: Interpolation value</v>
      </c>
      <c r="AJ3605" s="43" t="str">
        <f ca="1"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1"/>
        <v>#REF!</v>
      </c>
      <c r="AI3606" s="43" t="str">
        <f ca="1">_xll.BInterpol('Base IPCA'!$C$3:$C$14,'Base IPCA'!$E$3:$E$14,AH3606,"Cubic","Extrapolate=Linear","MultiX=Average","Skip=True","Sort=True")</f>
        <v>#N/A Invalid Parameter: Interpolation value</v>
      </c>
      <c r="AJ3606" s="43" t="str">
        <f ca="1"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1"/>
        <v>#REF!</v>
      </c>
      <c r="AI3607" s="43" t="str">
        <f ca="1">_xll.BInterpol('Base IPCA'!$C$3:$C$14,'Base IPCA'!$E$3:$E$14,AH3607,"Cubic","Extrapolate=Linear","MultiX=Average","Skip=True","Sort=True")</f>
        <v>#N/A Invalid Parameter: Interpolation value</v>
      </c>
      <c r="AJ3607" s="43" t="str">
        <f ca="1"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1"/>
        <v>#REF!</v>
      </c>
      <c r="AI3608" s="43" t="str">
        <f ca="1">_xll.BInterpol('Base IPCA'!$C$3:$C$14,'Base IPCA'!$E$3:$E$14,AH3608,"Cubic","Extrapolate=Linear","MultiX=Average","Skip=True","Sort=True")</f>
        <v>#N/A Invalid Parameter: Interpolation value</v>
      </c>
      <c r="AJ3608" s="43" t="str">
        <f ca="1"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1"/>
        <v>#REF!</v>
      </c>
      <c r="AI3609" s="43" t="str">
        <f ca="1">_xll.BInterpol('Base IPCA'!$C$3:$C$14,'Base IPCA'!$E$3:$E$14,AH3609,"Cubic","Extrapolate=Linear","MultiX=Average","Skip=True","Sort=True")</f>
        <v>#N/A Invalid Parameter: Interpolation value</v>
      </c>
      <c r="AJ3609" s="43" t="str">
        <f ca="1"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1"/>
        <v>#REF!</v>
      </c>
      <c r="AI3610" s="43" t="str">
        <f ca="1">_xll.BInterpol('Base IPCA'!$C$3:$C$14,'Base IPCA'!$E$3:$E$14,AH3610,"Cubic","Extrapolate=Linear","MultiX=Average","Skip=True","Sort=True")</f>
        <v>#N/A Invalid Parameter: Interpolation value</v>
      </c>
      <c r="AJ3610" s="43" t="str">
        <f ca="1"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1"/>
        <v>#REF!</v>
      </c>
      <c r="AI3611" s="43" t="str">
        <f ca="1">_xll.BInterpol('Base IPCA'!$C$3:$C$14,'Base IPCA'!$E$3:$E$14,AH3611,"Cubic","Extrapolate=Linear","MultiX=Average","Skip=True","Sort=True")</f>
        <v>#N/A Invalid Parameter: Interpolation value</v>
      </c>
      <c r="AJ3611" s="43" t="str">
        <f ca="1"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1"/>
        <v>#REF!</v>
      </c>
      <c r="AI3612" s="43" t="str">
        <f ca="1">_xll.BInterpol('Base IPCA'!$C$3:$C$14,'Base IPCA'!$E$3:$E$14,AH3612,"Cubic","Extrapolate=Linear","MultiX=Average","Skip=True","Sort=True")</f>
        <v>#N/A Invalid Parameter: Interpolation value</v>
      </c>
      <c r="AJ3612" s="43" t="str">
        <f ca="1"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1"/>
        <v>#REF!</v>
      </c>
      <c r="AI3613" s="43" t="str">
        <f ca="1">_xll.BInterpol('Base IPCA'!$C$3:$C$14,'Base IPCA'!$E$3:$E$14,AH3613,"Cubic","Extrapolate=Linear","MultiX=Average","Skip=True","Sort=True")</f>
        <v>#N/A Invalid Parameter: Interpolation value</v>
      </c>
      <c r="AJ3613" s="43" t="str">
        <f ca="1"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1"/>
        <v>#REF!</v>
      </c>
      <c r="AI3614" s="43" t="str">
        <f ca="1">_xll.BInterpol('Base IPCA'!$C$3:$C$14,'Base IPCA'!$E$3:$E$14,AH3614,"Cubic","Extrapolate=Linear","MultiX=Average","Skip=True","Sort=True")</f>
        <v>#N/A Invalid Parameter: Interpolation value</v>
      </c>
      <c r="AJ3614" s="43" t="str">
        <f ca="1"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1"/>
        <v>#REF!</v>
      </c>
      <c r="AI3615" s="43" t="str">
        <f ca="1">_xll.BInterpol('Base IPCA'!$C$3:$C$14,'Base IPCA'!$E$3:$E$14,AH3615,"Cubic","Extrapolate=Linear","MultiX=Average","Skip=True","Sort=True")</f>
        <v>#N/A Invalid Parameter: Interpolation value</v>
      </c>
      <c r="AJ3615" s="43" t="str">
        <f ca="1"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1"/>
        <v>#REF!</v>
      </c>
      <c r="AI3616" s="43" t="str">
        <f ca="1">_xll.BInterpol('Base IPCA'!$C$3:$C$14,'Base IPCA'!$E$3:$E$14,AH3616,"Cubic","Extrapolate=Linear","MultiX=Average","Skip=True","Sort=True")</f>
        <v>#N/A Invalid Parameter: Interpolation value</v>
      </c>
      <c r="AJ3616" s="43" t="str">
        <f ca="1"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1"/>
        <v>#REF!</v>
      </c>
      <c r="AI3617" s="43" t="str">
        <f ca="1">_xll.BInterpol('Base IPCA'!$C$3:$C$14,'Base IPCA'!$E$3:$E$14,AH3617,"Cubic","Extrapolate=Linear","MultiX=Average","Skip=True","Sort=True")</f>
        <v>#N/A Invalid Parameter: Interpolation value</v>
      </c>
      <c r="AJ3617" s="43" t="str">
        <f ca="1"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1"/>
        <v>#REF!</v>
      </c>
      <c r="AI3618" s="43" t="str">
        <f ca="1">_xll.BInterpol('Base IPCA'!$C$3:$C$14,'Base IPCA'!$E$3:$E$14,AH3618,"Cubic","Extrapolate=Linear","MultiX=Average","Skip=True","Sort=True")</f>
        <v>#N/A Invalid Parameter: Interpolation value</v>
      </c>
      <c r="AJ3618" s="43" t="str">
        <f ca="1"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1"/>
        <v>#REF!</v>
      </c>
      <c r="AI3619" s="43" t="str">
        <f ca="1">_xll.BInterpol('Base IPCA'!$C$3:$C$14,'Base IPCA'!$E$3:$E$14,AH3619,"Cubic","Extrapolate=Linear","MultiX=Average","Skip=True","Sort=True")</f>
        <v>#N/A Invalid Parameter: Interpolation value</v>
      </c>
      <c r="AJ3619" s="43" t="str">
        <f ca="1"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1"/>
        <v>#REF!</v>
      </c>
      <c r="AI3620" s="43" t="str">
        <f ca="1">_xll.BInterpol('Base IPCA'!$C$3:$C$14,'Base IPCA'!$E$3:$E$14,AH3620,"Cubic","Extrapolate=Linear","MultiX=Average","Skip=True","Sort=True")</f>
        <v>#N/A Invalid Parameter: Interpolation value</v>
      </c>
      <c r="AJ3620" s="43" t="str">
        <f ca="1"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1"/>
        <v>#REF!</v>
      </c>
      <c r="AI3621" s="43" t="str">
        <f ca="1">_xll.BInterpol('Base IPCA'!$C$3:$C$14,'Base IPCA'!$E$3:$E$14,AH3621,"Cubic","Extrapolate=Linear","MultiX=Average","Skip=True","Sort=True")</f>
        <v>#N/A Invalid Parameter: Interpolation value</v>
      </c>
      <c r="AJ3621" s="43" t="str">
        <f ca="1"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1"/>
        <v>#REF!</v>
      </c>
      <c r="AI3622" s="43" t="str">
        <f ca="1">_xll.BInterpol('Base IPCA'!$C$3:$C$14,'Base IPCA'!$E$3:$E$14,AH3622,"Cubic","Extrapolate=Linear","MultiX=Average","Skip=True","Sort=True")</f>
        <v>#N/A Invalid Parameter: Interpolation value</v>
      </c>
      <c r="AJ3622" s="43" t="str">
        <f ca="1"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1"/>
        <v>#REF!</v>
      </c>
      <c r="AI3623" s="43" t="str">
        <f ca="1">_xll.BInterpol('Base IPCA'!$C$3:$C$14,'Base IPCA'!$E$3:$E$14,AH3623,"Cubic","Extrapolate=Linear","MultiX=Average","Skip=True","Sort=True")</f>
        <v>#N/A Invalid Parameter: Interpolation value</v>
      </c>
      <c r="AJ3623" s="43" t="str">
        <f ca="1"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1"/>
        <v>#REF!</v>
      </c>
      <c r="AI3624" s="43" t="str">
        <f ca="1">_xll.BInterpol('Base IPCA'!$C$3:$C$14,'Base IPCA'!$E$3:$E$14,AH3624,"Cubic","Extrapolate=Linear","MultiX=Average","Skip=True","Sort=True")</f>
        <v>#N/A Invalid Parameter: Interpolation value</v>
      </c>
      <c r="AJ3624" s="43" t="str">
        <f ca="1"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1"/>
        <v>#REF!</v>
      </c>
      <c r="AI3625" s="43" t="str">
        <f ca="1">_xll.BInterpol('Base IPCA'!$C$3:$C$14,'Base IPCA'!$E$3:$E$14,AH3625,"Cubic","Extrapolate=Linear","MultiX=Average","Skip=True","Sort=True")</f>
        <v>#N/A Invalid Parameter: Interpolation value</v>
      </c>
      <c r="AJ3625" s="43" t="str">
        <f ca="1"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1"/>
        <v>#REF!</v>
      </c>
      <c r="AI3626" s="43" t="str">
        <f ca="1">_xll.BInterpol('Base IPCA'!$C$3:$C$14,'Base IPCA'!$E$3:$E$14,AH3626,"Cubic","Extrapolate=Linear","MultiX=Average","Skip=True","Sort=True")</f>
        <v>#N/A Invalid Parameter: Interpolation value</v>
      </c>
      <c r="AJ3626" s="43" t="str">
        <f ca="1"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1"/>
        <v>#REF!</v>
      </c>
      <c r="AI3627" s="43" t="str">
        <f ca="1">_xll.BInterpol('Base IPCA'!$C$3:$C$14,'Base IPCA'!$E$3:$E$14,AH3627,"Cubic","Extrapolate=Linear","MultiX=Average","Skip=True","Sort=True")</f>
        <v>#N/A Invalid Parameter: Interpolation value</v>
      </c>
      <c r="AJ3627" s="43" t="str">
        <f ca="1"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1"/>
        <v>#REF!</v>
      </c>
      <c r="AI3628" s="43" t="str">
        <f ca="1">_xll.BInterpol('Base IPCA'!$C$3:$C$14,'Base IPCA'!$E$3:$E$14,AH3628,"Cubic","Extrapolate=Linear","MultiX=Average","Skip=True","Sort=True")</f>
        <v>#N/A Invalid Parameter: Interpolation value</v>
      </c>
      <c r="AJ3628" s="43" t="str">
        <f ca="1"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1"/>
        <v>#REF!</v>
      </c>
      <c r="AI3629" s="43" t="str">
        <f ca="1">_xll.BInterpol('Base IPCA'!$C$3:$C$14,'Base IPCA'!$E$3:$E$14,AH3629,"Cubic","Extrapolate=Linear","MultiX=Average","Skip=True","Sort=True")</f>
        <v>#N/A Invalid Parameter: Interpolation value</v>
      </c>
      <c r="AJ3629" s="43" t="str">
        <f ca="1"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1"/>
        <v>#REF!</v>
      </c>
      <c r="AI3630" s="43" t="str">
        <f ca="1">_xll.BInterpol('Base IPCA'!$C$3:$C$14,'Base IPCA'!$E$3:$E$14,AH3630,"Cubic","Extrapolate=Linear","MultiX=Average","Skip=True","Sort=True")</f>
        <v>#N/A Invalid Parameter: Interpolation value</v>
      </c>
      <c r="AJ3630" s="43" t="str">
        <f ca="1"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1"/>
        <v>#REF!</v>
      </c>
      <c r="AI3631" s="43" t="str">
        <f ca="1">_xll.BInterpol('Base IPCA'!$C$3:$C$14,'Base IPCA'!$E$3:$E$14,AH3631,"Cubic","Extrapolate=Linear","MultiX=Average","Skip=True","Sort=True")</f>
        <v>#N/A Invalid Parameter: Interpolation value</v>
      </c>
      <c r="AJ3631" s="43" t="str">
        <f ca="1"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1"/>
        <v>#REF!</v>
      </c>
      <c r="AI3632" s="43" t="str">
        <f ca="1">_xll.BInterpol('Base IPCA'!$C$3:$C$14,'Base IPCA'!$E$3:$E$14,AH3632,"Cubic","Extrapolate=Linear","MultiX=Average","Skip=True","Sort=True")</f>
        <v>#N/A Invalid Parameter: Interpolation value</v>
      </c>
      <c r="AJ3632" s="43" t="str">
        <f ca="1"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1"/>
        <v>#REF!</v>
      </c>
      <c r="AI3633" s="43" t="str">
        <f ca="1">_xll.BInterpol('Base IPCA'!$C$3:$C$14,'Base IPCA'!$E$3:$E$14,AH3633,"Cubic","Extrapolate=Linear","MultiX=Average","Skip=True","Sort=True")</f>
        <v>#N/A Invalid Parameter: Interpolation value</v>
      </c>
      <c r="AJ3633" s="43" t="str">
        <f ca="1"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1"/>
        <v>#REF!</v>
      </c>
      <c r="AI3634" s="43" t="str">
        <f ca="1">_xll.BInterpol('Base IPCA'!$C$3:$C$14,'Base IPCA'!$E$3:$E$14,AH3634,"Cubic","Extrapolate=Linear","MultiX=Average","Skip=True","Sort=True")</f>
        <v>#N/A Invalid Parameter: Interpolation value</v>
      </c>
      <c r="AJ3634" s="43" t="str">
        <f ca="1"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1"/>
        <v>#REF!</v>
      </c>
      <c r="AI3635" s="43" t="str">
        <f ca="1">_xll.BInterpol('Base IPCA'!$C$3:$C$14,'Base IPCA'!$E$3:$E$14,AH3635,"Cubic","Extrapolate=Linear","MultiX=Average","Skip=True","Sort=True")</f>
        <v>#N/A Invalid Parameter: Interpolation value</v>
      </c>
      <c r="AJ3635" s="43" t="str">
        <f ca="1"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1"/>
        <v>#REF!</v>
      </c>
      <c r="AI3636" s="43" t="str">
        <f ca="1">_xll.BInterpol('Base IPCA'!$C$3:$C$14,'Base IPCA'!$E$3:$E$14,AH3636,"Cubic","Extrapolate=Linear","MultiX=Average","Skip=True","Sort=True")</f>
        <v>#N/A Invalid Parameter: Interpolation value</v>
      </c>
      <c r="AJ3636" s="43" t="str">
        <f ca="1"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1"/>
        <v>#REF!</v>
      </c>
      <c r="AI3637" s="43" t="str">
        <f ca="1">_xll.BInterpol('Base IPCA'!$C$3:$C$14,'Base IPCA'!$E$3:$E$14,AH3637,"Cubic","Extrapolate=Linear","MultiX=Average","Skip=True","Sort=True")</f>
        <v>#N/A Invalid Parameter: Interpolation value</v>
      </c>
      <c r="AJ3637" s="43" t="str">
        <f ca="1"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1"/>
        <v>#REF!</v>
      </c>
      <c r="AI3638" s="43" t="str">
        <f ca="1">_xll.BInterpol('Base IPCA'!$C$3:$C$14,'Base IPCA'!$E$3:$E$14,AH3638,"Cubic","Extrapolate=Linear","MultiX=Average","Skip=True","Sort=True")</f>
        <v>#N/A Invalid Parameter: Interpolation value</v>
      </c>
      <c r="AJ3638" s="43" t="str">
        <f ca="1"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1"/>
        <v>#REF!</v>
      </c>
      <c r="AI3639" s="43" t="str">
        <f ca="1">_xll.BInterpol('Base IPCA'!$C$3:$C$14,'Base IPCA'!$E$3:$E$14,AH3639,"Cubic","Extrapolate=Linear","MultiX=Average","Skip=True","Sort=True")</f>
        <v>#N/A Invalid Parameter: Interpolation value</v>
      </c>
      <c r="AJ3639" s="43" t="str">
        <f ca="1"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1"/>
        <v>#REF!</v>
      </c>
      <c r="AI3640" s="43" t="str">
        <f ca="1">_xll.BInterpol('Base IPCA'!$C$3:$C$14,'Base IPCA'!$E$3:$E$14,AH3640,"Cubic","Extrapolate=Linear","MultiX=Average","Skip=True","Sort=True")</f>
        <v>#N/A Invalid Parameter: Interpolation value</v>
      </c>
      <c r="AJ3640" s="43" t="str">
        <f ca="1"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1"/>
        <v>#REF!</v>
      </c>
      <c r="AI3641" s="43" t="str">
        <f ca="1">_xll.BInterpol('Base IPCA'!$C$3:$C$14,'Base IPCA'!$E$3:$E$14,AH3641,"Cubic","Extrapolate=Linear","MultiX=Average","Skip=True","Sort=True")</f>
        <v>#N/A Invalid Parameter: Interpolation value</v>
      </c>
      <c r="AJ3641" s="43" t="str">
        <f ca="1"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1"/>
        <v>#REF!</v>
      </c>
      <c r="AI3642" s="43" t="str">
        <f ca="1">_xll.BInterpol('Base IPCA'!$C$3:$C$14,'Base IPCA'!$E$3:$E$14,AH3642,"Cubic","Extrapolate=Linear","MultiX=Average","Skip=True","Sort=True")</f>
        <v>#N/A Invalid Parameter: Interpolation value</v>
      </c>
      <c r="AJ3642" s="43" t="str">
        <f ca="1"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1"/>
        <v>#REF!</v>
      </c>
      <c r="AI3643" s="43" t="str">
        <f ca="1">_xll.BInterpol('Base IPCA'!$C$3:$C$14,'Base IPCA'!$E$3:$E$14,AH3643,"Cubic","Extrapolate=Linear","MultiX=Average","Skip=True","Sort=True")</f>
        <v>#N/A Invalid Parameter: Interpolation value</v>
      </c>
      <c r="AJ3643" s="43" t="str">
        <f ca="1"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1"/>
        <v>#REF!</v>
      </c>
      <c r="AI3644" s="43" t="str">
        <f ca="1">_xll.BInterpol('Base IPCA'!$C$3:$C$14,'Base IPCA'!$E$3:$E$14,AH3644,"Cubic","Extrapolate=Linear","MultiX=Average","Skip=True","Sort=True")</f>
        <v>#N/A Invalid Parameter: Interpolation value</v>
      </c>
      <c r="AJ3644" s="43" t="str">
        <f ca="1"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1"/>
        <v>#REF!</v>
      </c>
      <c r="AI3645" s="43" t="str">
        <f ca="1">_xll.BInterpol('Base IPCA'!$C$3:$C$14,'Base IPCA'!$E$3:$E$14,AH3645,"Cubic","Extrapolate=Linear","MultiX=Average","Skip=True","Sort=True")</f>
        <v>#N/A Invalid Parameter: Interpolation value</v>
      </c>
      <c r="AJ3645" s="43" t="str">
        <f ca="1"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1"/>
        <v>#REF!</v>
      </c>
      <c r="AI3646" s="43" t="str">
        <f ca="1">_xll.BInterpol('Base IPCA'!$C$3:$C$14,'Base IPCA'!$E$3:$E$14,AH3646,"Cubic","Extrapolate=Linear","MultiX=Average","Skip=True","Sort=True")</f>
        <v>#N/A Invalid Parameter: Interpolation value</v>
      </c>
      <c r="AJ3646" s="43" t="str">
        <f ca="1"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1"/>
        <v>#REF!</v>
      </c>
      <c r="AI3647" s="43" t="str">
        <f ca="1">_xll.BInterpol('Base IPCA'!$C$3:$C$14,'Base IPCA'!$E$3:$E$14,AH3647,"Cubic","Extrapolate=Linear","MultiX=Average","Skip=True","Sort=True")</f>
        <v>#N/A Invalid Parameter: Interpolation value</v>
      </c>
      <c r="AJ3647" s="43" t="str">
        <f ca="1"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1"/>
        <v>#REF!</v>
      </c>
      <c r="AI3648" s="43" t="str">
        <f ca="1">_xll.BInterpol('Base IPCA'!$C$3:$C$14,'Base IPCA'!$E$3:$E$14,AH3648,"Cubic","Extrapolate=Linear","MultiX=Average","Skip=True","Sort=True")</f>
        <v>#N/A Invalid Parameter: Interpolation value</v>
      </c>
      <c r="AJ3648" s="43" t="str">
        <f ca="1"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1"/>
        <v>#REF!</v>
      </c>
      <c r="AI3649" s="43" t="str">
        <f ca="1">_xll.BInterpol('Base IPCA'!$C$3:$C$14,'Base IPCA'!$E$3:$E$14,AH3649,"Cubic","Extrapolate=Linear","MultiX=Average","Skip=True","Sort=True")</f>
        <v>#N/A Invalid Parameter: Interpolation value</v>
      </c>
      <c r="AJ3649" s="43" t="str">
        <f ca="1"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1"/>
        <v>#REF!</v>
      </c>
      <c r="AI3650" s="43" t="str">
        <f ca="1">_xll.BInterpol('Base IPCA'!$C$3:$C$14,'Base IPCA'!$E$3:$E$14,AH3650,"Cubic","Extrapolate=Linear","MultiX=Average","Skip=True","Sort=True")</f>
        <v>#N/A Invalid Parameter: Interpolation value</v>
      </c>
      <c r="AJ3650" s="43" t="str">
        <f ca="1"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1"/>
        <v>#REF!</v>
      </c>
      <c r="AI3651" s="43" t="str">
        <f ca="1">_xll.BInterpol('Base IPCA'!$C$3:$C$14,'Base IPCA'!$E$3:$E$14,AH3651,"Cubic","Extrapolate=Linear","MultiX=Average","Skip=True","Sort=True")</f>
        <v>#N/A Invalid Parameter: Interpolation value</v>
      </c>
      <c r="AJ3651" s="43" t="str">
        <f ca="1"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1"/>
        <v>#REF!</v>
      </c>
      <c r="AI3652" s="43" t="str">
        <f ca="1">_xll.BInterpol('Base IPCA'!$C$3:$C$14,'Base IPCA'!$E$3:$E$14,AH3652,"Cubic","Extrapolate=Linear","MultiX=Average","Skip=True","Sort=True")</f>
        <v>#N/A Invalid Parameter: Interpolation value</v>
      </c>
      <c r="AJ3652" s="43" t="str">
        <f ca="1"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1"/>
        <v>#REF!</v>
      </c>
      <c r="AI3653" s="43" t="str">
        <f ca="1">_xll.BInterpol('Base IPCA'!$C$3:$C$14,'Base IPCA'!$E$3:$E$14,AH3653,"Cubic","Extrapolate=Linear","MultiX=Average","Skip=True","Sort=True")</f>
        <v>#N/A Invalid Parameter: Interpolation value</v>
      </c>
      <c r="AJ3653" s="43" t="str">
        <f ca="1"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42">AH3653+1</f>
        <v>#REF!</v>
      </c>
      <c r="AI3654" s="43" t="str">
        <f ca="1">_xll.BInterpol('Base IPCA'!$C$3:$C$14,'Base IPCA'!$E$3:$E$14,AH3654,"Cubic","Extrapolate=Linear","MultiX=Average","Skip=True","Sort=True")</f>
        <v>#N/A Invalid Parameter: Interpolation value</v>
      </c>
      <c r="AJ3654" s="43" t="str">
        <f ca="1"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42"/>
        <v>#REF!</v>
      </c>
      <c r="AI3655" s="43" t="str">
        <f ca="1">_xll.BInterpol('Base IPCA'!$C$3:$C$14,'Base IPCA'!$E$3:$E$14,AH3655,"Cubic","Extrapolate=Linear","MultiX=Average","Skip=True","Sort=True")</f>
        <v>#N/A Invalid Parameter: Interpolation value</v>
      </c>
      <c r="AJ3655" s="43" t="str">
        <f ca="1"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42"/>
        <v>#REF!</v>
      </c>
      <c r="AI3656" s="43" t="str">
        <f ca="1">_xll.BInterpol('Base IPCA'!$C$3:$C$14,'Base IPCA'!$E$3:$E$14,AH3656,"Cubic","Extrapolate=Linear","MultiX=Average","Skip=True","Sort=True")</f>
        <v>#N/A Invalid Parameter: Interpolation value</v>
      </c>
      <c r="AJ3656" s="43" t="str">
        <f ca="1"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42"/>
        <v>#REF!</v>
      </c>
      <c r="AI3657" s="43" t="str">
        <f ca="1">_xll.BInterpol('Base IPCA'!$C$3:$C$14,'Base IPCA'!$E$3:$E$14,AH3657,"Cubic","Extrapolate=Linear","MultiX=Average","Skip=True","Sort=True")</f>
        <v>#N/A Invalid Parameter: Interpolation value</v>
      </c>
      <c r="AJ3657" s="43" t="str">
        <f ca="1"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42"/>
        <v>#REF!</v>
      </c>
      <c r="AI3658" s="43" t="str">
        <f ca="1">_xll.BInterpol('Base IPCA'!$C$3:$C$14,'Base IPCA'!$E$3:$E$14,AH3658,"Cubic","Extrapolate=Linear","MultiX=Average","Skip=True","Sort=True")</f>
        <v>#N/A Invalid Parameter: Interpolation value</v>
      </c>
      <c r="AJ3658" s="43" t="str">
        <f ca="1"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42"/>
        <v>#REF!</v>
      </c>
      <c r="AI3659" s="43" t="str">
        <f ca="1">_xll.BInterpol('Base IPCA'!$C$3:$C$14,'Base IPCA'!$E$3:$E$14,AH3659,"Cubic","Extrapolate=Linear","MultiX=Average","Skip=True","Sort=True")</f>
        <v>#N/A Invalid Parameter: Interpolation value</v>
      </c>
      <c r="AJ3659" s="43" t="str">
        <f ca="1"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42"/>
        <v>#REF!</v>
      </c>
      <c r="AI3660" s="43" t="str">
        <f ca="1">_xll.BInterpol('Base IPCA'!$C$3:$C$14,'Base IPCA'!$E$3:$E$14,AH3660,"Cubic","Extrapolate=Linear","MultiX=Average","Skip=True","Sort=True")</f>
        <v>#N/A Invalid Parameter: Interpolation value</v>
      </c>
      <c r="AJ3660" s="43" t="str">
        <f ca="1"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42"/>
        <v>#REF!</v>
      </c>
      <c r="AI3661" s="43" t="str">
        <f ca="1">_xll.BInterpol('Base IPCA'!$C$3:$C$14,'Base IPCA'!$E$3:$E$14,AH3661,"Cubic","Extrapolate=Linear","MultiX=Average","Skip=True","Sort=True")</f>
        <v>#N/A Invalid Parameter: Interpolation value</v>
      </c>
      <c r="AJ3661" s="43" t="str">
        <f ca="1"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42"/>
        <v>#REF!</v>
      </c>
      <c r="AI3662" s="43" t="str">
        <f ca="1">_xll.BInterpol('Base IPCA'!$C$3:$C$14,'Base IPCA'!$E$3:$E$14,AH3662,"Cubic","Extrapolate=Linear","MultiX=Average","Skip=True","Sort=True")</f>
        <v>#N/A Invalid Parameter: Interpolation value</v>
      </c>
      <c r="AJ3662" s="43" t="str">
        <f ca="1"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42"/>
        <v>#REF!</v>
      </c>
      <c r="AI3663" s="43" t="str">
        <f ca="1">_xll.BInterpol('Base IPCA'!$C$3:$C$14,'Base IPCA'!$E$3:$E$14,AH3663,"Cubic","Extrapolate=Linear","MultiX=Average","Skip=True","Sort=True")</f>
        <v>#N/A Invalid Parameter: Interpolation value</v>
      </c>
      <c r="AJ3663" s="43" t="str">
        <f ca="1"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42"/>
        <v>#REF!</v>
      </c>
      <c r="AI3664" s="43" t="str">
        <f ca="1">_xll.BInterpol('Base IPCA'!$C$3:$C$14,'Base IPCA'!$E$3:$E$14,AH3664,"Cubic","Extrapolate=Linear","MultiX=Average","Skip=True","Sort=True")</f>
        <v>#N/A Invalid Parameter: Interpolation value</v>
      </c>
      <c r="AJ3664" s="43" t="str">
        <f ca="1"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42"/>
        <v>#REF!</v>
      </c>
      <c r="AI3665" s="43" t="str">
        <f ca="1">_xll.BInterpol('Base IPCA'!$C$3:$C$14,'Base IPCA'!$E$3:$E$14,AH3665,"Cubic","Extrapolate=Linear","MultiX=Average","Skip=True","Sort=True")</f>
        <v>#N/A Invalid Parameter: Interpolation value</v>
      </c>
      <c r="AJ3665" s="43" t="str">
        <f ca="1"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42"/>
        <v>#REF!</v>
      </c>
      <c r="AI3666" s="43" t="str">
        <f ca="1">_xll.BInterpol('Base IPCA'!$C$3:$C$14,'Base IPCA'!$E$3:$E$14,AH3666,"Cubic","Extrapolate=Linear","MultiX=Average","Skip=True","Sort=True")</f>
        <v>#N/A Invalid Parameter: Interpolation value</v>
      </c>
      <c r="AJ3666" s="43" t="str">
        <f ca="1"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42"/>
        <v>#REF!</v>
      </c>
      <c r="AI3667" s="43" t="str">
        <f ca="1">_xll.BInterpol('Base IPCA'!$C$3:$C$14,'Base IPCA'!$E$3:$E$14,AH3667,"Cubic","Extrapolate=Linear","MultiX=Average","Skip=True","Sort=True")</f>
        <v>#N/A Invalid Parameter: Interpolation value</v>
      </c>
      <c r="AJ3667" s="43" t="str">
        <f ca="1"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42"/>
        <v>#REF!</v>
      </c>
      <c r="AI3668" s="43" t="str">
        <f ca="1">_xll.BInterpol('Base IPCA'!$C$3:$C$14,'Base IPCA'!$E$3:$E$14,AH3668,"Cubic","Extrapolate=Linear","MultiX=Average","Skip=True","Sort=True")</f>
        <v>#N/A Invalid Parameter: Interpolation value</v>
      </c>
      <c r="AJ3668" s="43" t="str">
        <f ca="1"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42"/>
        <v>#REF!</v>
      </c>
      <c r="AI3669" s="43" t="str">
        <f ca="1">_xll.BInterpol('Base IPCA'!$C$3:$C$14,'Base IPCA'!$E$3:$E$14,AH3669,"Cubic","Extrapolate=Linear","MultiX=Average","Skip=True","Sort=True")</f>
        <v>#N/A Invalid Parameter: Interpolation value</v>
      </c>
      <c r="AJ3669" s="43" t="str">
        <f ca="1"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42"/>
        <v>#REF!</v>
      </c>
      <c r="AI3670" s="43" t="str">
        <f ca="1">_xll.BInterpol('Base IPCA'!$C$3:$C$14,'Base IPCA'!$E$3:$E$14,AH3670,"Cubic","Extrapolate=Linear","MultiX=Average","Skip=True","Sort=True")</f>
        <v>#N/A Invalid Parameter: Interpolation value</v>
      </c>
      <c r="AJ3670" s="43" t="str">
        <f ca="1"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42"/>
        <v>#REF!</v>
      </c>
      <c r="AI3671" s="43" t="str">
        <f ca="1">_xll.BInterpol('Base IPCA'!$C$3:$C$14,'Base IPCA'!$E$3:$E$14,AH3671,"Cubic","Extrapolate=Linear","MultiX=Average","Skip=True","Sort=True")</f>
        <v>#N/A Invalid Parameter: Interpolation value</v>
      </c>
      <c r="AJ3671" s="43" t="str">
        <f ca="1"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42"/>
        <v>#REF!</v>
      </c>
      <c r="AI3672" s="43" t="str">
        <f ca="1">_xll.BInterpol('Base IPCA'!$C$3:$C$14,'Base IPCA'!$E$3:$E$14,AH3672,"Cubic","Extrapolate=Linear","MultiX=Average","Skip=True","Sort=True")</f>
        <v>#N/A Invalid Parameter: Interpolation value</v>
      </c>
      <c r="AJ3672" s="43" t="str">
        <f ca="1"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42"/>
        <v>#REF!</v>
      </c>
      <c r="AI3673" s="43" t="str">
        <f ca="1">_xll.BInterpol('Base IPCA'!$C$3:$C$14,'Base IPCA'!$E$3:$E$14,AH3673,"Cubic","Extrapolate=Linear","MultiX=Average","Skip=True","Sort=True")</f>
        <v>#N/A Invalid Parameter: Interpolation value</v>
      </c>
      <c r="AJ3673" s="43" t="str">
        <f ca="1"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42"/>
        <v>#REF!</v>
      </c>
      <c r="AI3674" s="43" t="str">
        <f ca="1">_xll.BInterpol('Base IPCA'!$C$3:$C$14,'Base IPCA'!$E$3:$E$14,AH3674,"Cubic","Extrapolate=Linear","MultiX=Average","Skip=True","Sort=True")</f>
        <v>#N/A Invalid Parameter: Interpolation value</v>
      </c>
      <c r="AJ3674" s="43" t="str">
        <f ca="1"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42"/>
        <v>#REF!</v>
      </c>
      <c r="AI3675" s="43" t="str">
        <f ca="1">_xll.BInterpol('Base IPCA'!$C$3:$C$14,'Base IPCA'!$E$3:$E$14,AH3675,"Cubic","Extrapolate=Linear","MultiX=Average","Skip=True","Sort=True")</f>
        <v>#N/A Invalid Parameter: Interpolation value</v>
      </c>
      <c r="AJ3675" s="43" t="str">
        <f ca="1"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42"/>
        <v>#REF!</v>
      </c>
      <c r="AI3676" s="43" t="str">
        <f ca="1">_xll.BInterpol('Base IPCA'!$C$3:$C$14,'Base IPCA'!$E$3:$E$14,AH3676,"Cubic","Extrapolate=Linear","MultiX=Average","Skip=True","Sort=True")</f>
        <v>#N/A Invalid Parameter: Interpolation value</v>
      </c>
      <c r="AJ3676" s="43" t="str">
        <f ca="1"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42"/>
        <v>#REF!</v>
      </c>
      <c r="AI3677" s="43" t="str">
        <f ca="1">_xll.BInterpol('Base IPCA'!$C$3:$C$14,'Base IPCA'!$E$3:$E$14,AH3677,"Cubic","Extrapolate=Linear","MultiX=Average","Skip=True","Sort=True")</f>
        <v>#N/A Invalid Parameter: Interpolation value</v>
      </c>
      <c r="AJ3677" s="43" t="str">
        <f ca="1"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42"/>
        <v>#REF!</v>
      </c>
      <c r="AI3678" s="43" t="str">
        <f ca="1">_xll.BInterpol('Base IPCA'!$C$3:$C$14,'Base IPCA'!$E$3:$E$14,AH3678,"Cubic","Extrapolate=Linear","MultiX=Average","Skip=True","Sort=True")</f>
        <v>#N/A Invalid Parameter: Interpolation value</v>
      </c>
      <c r="AJ3678" s="43" t="str">
        <f ca="1"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42"/>
        <v>#REF!</v>
      </c>
      <c r="AI3679" s="43" t="str">
        <f ca="1">_xll.BInterpol('Base IPCA'!$C$3:$C$14,'Base IPCA'!$E$3:$E$14,AH3679,"Cubic","Extrapolate=Linear","MultiX=Average","Skip=True","Sort=True")</f>
        <v>#N/A Invalid Parameter: Interpolation value</v>
      </c>
      <c r="AJ3679" s="43" t="str">
        <f ca="1"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42"/>
        <v>#REF!</v>
      </c>
      <c r="AI3680" s="43" t="str">
        <f ca="1">_xll.BInterpol('Base IPCA'!$C$3:$C$14,'Base IPCA'!$E$3:$E$14,AH3680,"Cubic","Extrapolate=Linear","MultiX=Average","Skip=True","Sort=True")</f>
        <v>#N/A Invalid Parameter: Interpolation value</v>
      </c>
      <c r="AJ3680" s="43" t="str">
        <f ca="1"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42"/>
        <v>#REF!</v>
      </c>
      <c r="AI3681" s="43" t="str">
        <f ca="1">_xll.BInterpol('Base IPCA'!$C$3:$C$14,'Base IPCA'!$E$3:$E$14,AH3681,"Cubic","Extrapolate=Linear","MultiX=Average","Skip=True","Sort=True")</f>
        <v>#N/A Invalid Parameter: Interpolation value</v>
      </c>
      <c r="AJ3681" s="43" t="str">
        <f ca="1"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42"/>
        <v>#REF!</v>
      </c>
      <c r="AI3682" s="43" t="str">
        <f ca="1">_xll.BInterpol('Base IPCA'!$C$3:$C$14,'Base IPCA'!$E$3:$E$14,AH3682,"Cubic","Extrapolate=Linear","MultiX=Average","Skip=True","Sort=True")</f>
        <v>#N/A Invalid Parameter: Interpolation value</v>
      </c>
      <c r="AJ3682" s="43" t="str">
        <f ca="1"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42"/>
        <v>#REF!</v>
      </c>
      <c r="AI3683" s="43" t="str">
        <f ca="1">_xll.BInterpol('Base IPCA'!$C$3:$C$14,'Base IPCA'!$E$3:$E$14,AH3683,"Cubic","Extrapolate=Linear","MultiX=Average","Skip=True","Sort=True")</f>
        <v>#N/A Invalid Parameter: Interpolation value</v>
      </c>
      <c r="AJ3683" s="43" t="str">
        <f ca="1"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42"/>
        <v>#REF!</v>
      </c>
      <c r="AI3684" s="43" t="str">
        <f ca="1">_xll.BInterpol('Base IPCA'!$C$3:$C$14,'Base IPCA'!$E$3:$E$14,AH3684,"Cubic","Extrapolate=Linear","MultiX=Average","Skip=True","Sort=True")</f>
        <v>#N/A Invalid Parameter: Interpolation value</v>
      </c>
      <c r="AJ3684" s="43" t="str">
        <f ca="1"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42"/>
        <v>#REF!</v>
      </c>
      <c r="AI3685" s="43" t="str">
        <f ca="1">_xll.BInterpol('Base IPCA'!$C$3:$C$14,'Base IPCA'!$E$3:$E$14,AH3685,"Cubic","Extrapolate=Linear","MultiX=Average","Skip=True","Sort=True")</f>
        <v>#N/A Invalid Parameter: Interpolation value</v>
      </c>
      <c r="AJ3685" s="43" t="str">
        <f ca="1"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42"/>
        <v>#REF!</v>
      </c>
      <c r="AI3686" s="43" t="str">
        <f ca="1">_xll.BInterpol('Base IPCA'!$C$3:$C$14,'Base IPCA'!$E$3:$E$14,AH3686,"Cubic","Extrapolate=Linear","MultiX=Average","Skip=True","Sort=True")</f>
        <v>#N/A Invalid Parameter: Interpolation value</v>
      </c>
      <c r="AJ3686" s="43" t="str">
        <f ca="1"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42"/>
        <v>#REF!</v>
      </c>
      <c r="AI3687" s="43" t="str">
        <f ca="1">_xll.BInterpol('Base IPCA'!$C$3:$C$14,'Base IPCA'!$E$3:$E$14,AH3687,"Cubic","Extrapolate=Linear","MultiX=Average","Skip=True","Sort=True")</f>
        <v>#N/A Invalid Parameter: Interpolation value</v>
      </c>
      <c r="AJ3687" s="43" t="str">
        <f ca="1"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42"/>
        <v>#REF!</v>
      </c>
      <c r="AI3688" s="43" t="str">
        <f ca="1">_xll.BInterpol('Base IPCA'!$C$3:$C$14,'Base IPCA'!$E$3:$E$14,AH3688,"Cubic","Extrapolate=Linear","MultiX=Average","Skip=True","Sort=True")</f>
        <v>#N/A Invalid Parameter: Interpolation value</v>
      </c>
      <c r="AJ3688" s="43" t="str">
        <f ca="1"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42"/>
        <v>#REF!</v>
      </c>
      <c r="AI3689" s="43" t="str">
        <f ca="1">_xll.BInterpol('Base IPCA'!$C$3:$C$14,'Base IPCA'!$E$3:$E$14,AH3689,"Cubic","Extrapolate=Linear","MultiX=Average","Skip=True","Sort=True")</f>
        <v>#N/A Invalid Parameter: Interpolation value</v>
      </c>
      <c r="AJ3689" s="43" t="str">
        <f ca="1"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42"/>
        <v>#REF!</v>
      </c>
      <c r="AI3690" s="43" t="str">
        <f ca="1">_xll.BInterpol('Base IPCA'!$C$3:$C$14,'Base IPCA'!$E$3:$E$14,AH3690,"Cubic","Extrapolate=Linear","MultiX=Average","Skip=True","Sort=True")</f>
        <v>#N/A Invalid Parameter: Interpolation value</v>
      </c>
      <c r="AJ3690" s="43" t="str">
        <f ca="1"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42"/>
        <v>#REF!</v>
      </c>
      <c r="AI3691" s="43" t="str">
        <f ca="1">_xll.BInterpol('Base IPCA'!$C$3:$C$14,'Base IPCA'!$E$3:$E$14,AH3691,"Cubic","Extrapolate=Linear","MultiX=Average","Skip=True","Sort=True")</f>
        <v>#N/A Invalid Parameter: Interpolation value</v>
      </c>
      <c r="AJ3691" s="43" t="str">
        <f ca="1"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42"/>
        <v>#REF!</v>
      </c>
      <c r="AI3692" s="43" t="str">
        <f ca="1">_xll.BInterpol('Base IPCA'!$C$3:$C$14,'Base IPCA'!$E$3:$E$14,AH3692,"Cubic","Extrapolate=Linear","MultiX=Average","Skip=True","Sort=True")</f>
        <v>#N/A Invalid Parameter: Interpolation value</v>
      </c>
      <c r="AJ3692" s="43" t="str">
        <f ca="1"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42"/>
        <v>#REF!</v>
      </c>
      <c r="AI3693" s="43" t="str">
        <f ca="1">_xll.BInterpol('Base IPCA'!$C$3:$C$14,'Base IPCA'!$E$3:$E$14,AH3693,"Cubic","Extrapolate=Linear","MultiX=Average","Skip=True","Sort=True")</f>
        <v>#N/A Invalid Parameter: Interpolation value</v>
      </c>
      <c r="AJ3693" s="43" t="str">
        <f ca="1"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42"/>
        <v>#REF!</v>
      </c>
      <c r="AI3694" s="43" t="str">
        <f ca="1">_xll.BInterpol('Base IPCA'!$C$3:$C$14,'Base IPCA'!$E$3:$E$14,AH3694,"Cubic","Extrapolate=Linear","MultiX=Average","Skip=True","Sort=True")</f>
        <v>#N/A Invalid Parameter: Interpolation value</v>
      </c>
      <c r="AJ3694" s="43" t="str">
        <f ca="1"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42"/>
        <v>#REF!</v>
      </c>
      <c r="AI3695" s="43" t="str">
        <f ca="1">_xll.BInterpol('Base IPCA'!$C$3:$C$14,'Base IPCA'!$E$3:$E$14,AH3695,"Cubic","Extrapolate=Linear","MultiX=Average","Skip=True","Sort=True")</f>
        <v>#N/A Invalid Parameter: Interpolation value</v>
      </c>
      <c r="AJ3695" s="43" t="str">
        <f ca="1"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42"/>
        <v>#REF!</v>
      </c>
      <c r="AI3696" s="43" t="str">
        <f ca="1">_xll.BInterpol('Base IPCA'!$C$3:$C$14,'Base IPCA'!$E$3:$E$14,AH3696,"Cubic","Extrapolate=Linear","MultiX=Average","Skip=True","Sort=True")</f>
        <v>#N/A Invalid Parameter: Interpolation value</v>
      </c>
      <c r="AJ3696" s="43" t="str">
        <f ca="1"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42"/>
        <v>#REF!</v>
      </c>
      <c r="AI3697" s="43" t="str">
        <f ca="1">_xll.BInterpol('Base IPCA'!$C$3:$C$14,'Base IPCA'!$E$3:$E$14,AH3697,"Cubic","Extrapolate=Linear","MultiX=Average","Skip=True","Sort=True")</f>
        <v>#N/A Invalid Parameter: Interpolation value</v>
      </c>
      <c r="AJ3697" s="43" t="str">
        <f ca="1"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42"/>
        <v>#REF!</v>
      </c>
      <c r="AI3698" s="43" t="str">
        <f ca="1">_xll.BInterpol('Base IPCA'!$C$3:$C$14,'Base IPCA'!$E$3:$E$14,AH3698,"Cubic","Extrapolate=Linear","MultiX=Average","Skip=True","Sort=True")</f>
        <v>#N/A Invalid Parameter: Interpolation value</v>
      </c>
      <c r="AJ3698" s="43" t="str">
        <f ca="1"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42"/>
        <v>#REF!</v>
      </c>
      <c r="AI3699" s="43" t="str">
        <f ca="1">_xll.BInterpol('Base IPCA'!$C$3:$C$14,'Base IPCA'!$E$3:$E$14,AH3699,"Cubic","Extrapolate=Linear","MultiX=Average","Skip=True","Sort=True")</f>
        <v>#N/A Invalid Parameter: Interpolation value</v>
      </c>
      <c r="AJ3699" s="43" t="str">
        <f ca="1"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42"/>
        <v>#REF!</v>
      </c>
      <c r="AI3700" s="43" t="str">
        <f ca="1">_xll.BInterpol('Base IPCA'!$C$3:$C$14,'Base IPCA'!$E$3:$E$14,AH3700,"Cubic","Extrapolate=Linear","MultiX=Average","Skip=True","Sort=True")</f>
        <v>#N/A Invalid Parameter: Interpolation value</v>
      </c>
      <c r="AJ3700" s="43" t="str">
        <f ca="1"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42"/>
        <v>#REF!</v>
      </c>
      <c r="AI3701" s="43" t="str">
        <f ca="1">_xll.BInterpol('Base IPCA'!$C$3:$C$14,'Base IPCA'!$E$3:$E$14,AH3701,"Cubic","Extrapolate=Linear","MultiX=Average","Skip=True","Sort=True")</f>
        <v>#N/A Invalid Parameter: Interpolation value</v>
      </c>
      <c r="AJ3701" s="43" t="str">
        <f ca="1"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42"/>
        <v>#REF!</v>
      </c>
      <c r="AI3702" s="43" t="str">
        <f ca="1">_xll.BInterpol('Base IPCA'!$C$3:$C$14,'Base IPCA'!$E$3:$E$14,AH3702,"Cubic","Extrapolate=Linear","MultiX=Average","Skip=True","Sort=True")</f>
        <v>#N/A Invalid Parameter: Interpolation value</v>
      </c>
      <c r="AJ3702" s="43" t="str">
        <f ca="1"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42"/>
        <v>#REF!</v>
      </c>
      <c r="AI3703" s="43" t="str">
        <f ca="1">_xll.BInterpol('Base IPCA'!$C$3:$C$14,'Base IPCA'!$E$3:$E$14,AH3703,"Cubic","Extrapolate=Linear","MultiX=Average","Skip=True","Sort=True")</f>
        <v>#N/A Invalid Parameter: Interpolation value</v>
      </c>
      <c r="AJ3703" s="43" t="str">
        <f ca="1"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42"/>
        <v>#REF!</v>
      </c>
      <c r="AI3704" s="43" t="str">
        <f ca="1">_xll.BInterpol('Base IPCA'!$C$3:$C$14,'Base IPCA'!$E$3:$E$14,AH3704,"Cubic","Extrapolate=Linear","MultiX=Average","Skip=True","Sort=True")</f>
        <v>#N/A Invalid Parameter: Interpolation value</v>
      </c>
      <c r="AJ3704" s="43" t="str">
        <f ca="1"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42"/>
        <v>#REF!</v>
      </c>
      <c r="AI3705" s="43" t="str">
        <f ca="1">_xll.BInterpol('Base IPCA'!$C$3:$C$14,'Base IPCA'!$E$3:$E$14,AH3705,"Cubic","Extrapolate=Linear","MultiX=Average","Skip=True","Sort=True")</f>
        <v>#N/A Invalid Parameter: Interpolation value</v>
      </c>
      <c r="AJ3705" s="43" t="str">
        <f ca="1"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42"/>
        <v>#REF!</v>
      </c>
      <c r="AI3706" s="43" t="str">
        <f ca="1">_xll.BInterpol('Base IPCA'!$C$3:$C$14,'Base IPCA'!$E$3:$E$14,AH3706,"Cubic","Extrapolate=Linear","MultiX=Average","Skip=True","Sort=True")</f>
        <v>#N/A Invalid Parameter: Interpolation value</v>
      </c>
      <c r="AJ3706" s="43" t="str">
        <f ca="1"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42"/>
        <v>#REF!</v>
      </c>
      <c r="AI3707" s="43" t="str">
        <f ca="1">_xll.BInterpol('Base IPCA'!$C$3:$C$14,'Base IPCA'!$E$3:$E$14,AH3707,"Cubic","Extrapolate=Linear","MultiX=Average","Skip=True","Sort=True")</f>
        <v>#N/A Invalid Parameter: Interpolation value</v>
      </c>
      <c r="AJ3707" s="43" t="str">
        <f ca="1"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42"/>
        <v>#REF!</v>
      </c>
      <c r="AI3708" s="43" t="str">
        <f ca="1">_xll.BInterpol('Base IPCA'!$C$3:$C$14,'Base IPCA'!$E$3:$E$14,AH3708,"Cubic","Extrapolate=Linear","MultiX=Average","Skip=True","Sort=True")</f>
        <v>#N/A Invalid Parameter: Interpolation value</v>
      </c>
      <c r="AJ3708" s="43" t="str">
        <f ca="1"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42"/>
        <v>#REF!</v>
      </c>
      <c r="AI3709" s="43" t="str">
        <f ca="1">_xll.BInterpol('Base IPCA'!$C$3:$C$14,'Base IPCA'!$E$3:$E$14,AH3709,"Cubic","Extrapolate=Linear","MultiX=Average","Skip=True","Sort=True")</f>
        <v>#N/A Invalid Parameter: Interpolation value</v>
      </c>
      <c r="AJ3709" s="43" t="str">
        <f ca="1"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42"/>
        <v>#REF!</v>
      </c>
      <c r="AI3710" s="43" t="str">
        <f ca="1">_xll.BInterpol('Base IPCA'!$C$3:$C$14,'Base IPCA'!$E$3:$E$14,AH3710,"Cubic","Extrapolate=Linear","MultiX=Average","Skip=True","Sort=True")</f>
        <v>#N/A Invalid Parameter: Interpolation value</v>
      </c>
      <c r="AJ3710" s="43" t="str">
        <f ca="1"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42"/>
        <v>#REF!</v>
      </c>
      <c r="AI3711" s="43" t="str">
        <f ca="1">_xll.BInterpol('Base IPCA'!$C$3:$C$14,'Base IPCA'!$E$3:$E$14,AH3711,"Cubic","Extrapolate=Linear","MultiX=Average","Skip=True","Sort=True")</f>
        <v>#N/A Invalid Parameter: Interpolation value</v>
      </c>
      <c r="AJ3711" s="43" t="str">
        <f ca="1"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42"/>
        <v>#REF!</v>
      </c>
      <c r="AI3712" s="43" t="str">
        <f ca="1">_xll.BInterpol('Base IPCA'!$C$3:$C$14,'Base IPCA'!$E$3:$E$14,AH3712,"Cubic","Extrapolate=Linear","MultiX=Average","Skip=True","Sort=True")</f>
        <v>#N/A Invalid Parameter: Interpolation value</v>
      </c>
      <c r="AJ3712" s="43" t="str">
        <f ca="1"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42"/>
        <v>#REF!</v>
      </c>
      <c r="AI3713" s="43" t="str">
        <f ca="1">_xll.BInterpol('Base IPCA'!$C$3:$C$14,'Base IPCA'!$E$3:$E$14,AH3713,"Cubic","Extrapolate=Linear","MultiX=Average","Skip=True","Sort=True")</f>
        <v>#N/A Invalid Parameter: Interpolation value</v>
      </c>
      <c r="AJ3713" s="43" t="str">
        <f ca="1"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42"/>
        <v>#REF!</v>
      </c>
      <c r="AI3714" s="43" t="str">
        <f ca="1">_xll.BInterpol('Base IPCA'!$C$3:$C$14,'Base IPCA'!$E$3:$E$14,AH3714,"Cubic","Extrapolate=Linear","MultiX=Average","Skip=True","Sort=True")</f>
        <v>#N/A Invalid Parameter: Interpolation value</v>
      </c>
      <c r="AJ3714" s="43" t="str">
        <f ca="1"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42"/>
        <v>#REF!</v>
      </c>
      <c r="AI3715" s="43" t="str">
        <f ca="1">_xll.BInterpol('Base IPCA'!$C$3:$C$14,'Base IPCA'!$E$3:$E$14,AH3715,"Cubic","Extrapolate=Linear","MultiX=Average","Skip=True","Sort=True")</f>
        <v>#N/A Invalid Parameter: Interpolation value</v>
      </c>
      <c r="AJ3715" s="43" t="str">
        <f ca="1"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42"/>
        <v>#REF!</v>
      </c>
      <c r="AI3716" s="43" t="str">
        <f ca="1">_xll.BInterpol('Base IPCA'!$C$3:$C$14,'Base IPCA'!$E$3:$E$14,AH3716,"Cubic","Extrapolate=Linear","MultiX=Average","Skip=True","Sort=True")</f>
        <v>#N/A Invalid Parameter: Interpolation value</v>
      </c>
      <c r="AJ3716" s="43" t="str">
        <f ca="1"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42"/>
        <v>#REF!</v>
      </c>
      <c r="AI3717" s="43" t="str">
        <f ca="1">_xll.BInterpol('Base IPCA'!$C$3:$C$14,'Base IPCA'!$E$3:$E$14,AH3717,"Cubic","Extrapolate=Linear","MultiX=Average","Skip=True","Sort=True")</f>
        <v>#N/A Invalid Parameter: Interpolation value</v>
      </c>
      <c r="AJ3717" s="43" t="str">
        <f ca="1"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43">AH3717+1</f>
        <v>#REF!</v>
      </c>
      <c r="AI3718" s="43" t="str">
        <f ca="1">_xll.BInterpol('Base IPCA'!$C$3:$C$14,'Base IPCA'!$E$3:$E$14,AH3718,"Cubic","Extrapolate=Linear","MultiX=Average","Skip=True","Sort=True")</f>
        <v>#N/A Invalid Parameter: Interpolation value</v>
      </c>
      <c r="AJ3718" s="43" t="str">
        <f ca="1"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43"/>
        <v>#REF!</v>
      </c>
      <c r="AI3719" s="43" t="str">
        <f ca="1">_xll.BInterpol('Base IPCA'!$C$3:$C$14,'Base IPCA'!$E$3:$E$14,AH3719,"Cubic","Extrapolate=Linear","MultiX=Average","Skip=True","Sort=True")</f>
        <v>#N/A Invalid Parameter: Interpolation value</v>
      </c>
      <c r="AJ3719" s="43" t="str">
        <f ca="1"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43"/>
        <v>#REF!</v>
      </c>
      <c r="AI3720" s="43" t="str">
        <f ca="1">_xll.BInterpol('Base IPCA'!$C$3:$C$14,'Base IPCA'!$E$3:$E$14,AH3720,"Cubic","Extrapolate=Linear","MultiX=Average","Skip=True","Sort=True")</f>
        <v>#N/A Invalid Parameter: Interpolation value</v>
      </c>
      <c r="AJ3720" s="43" t="str">
        <f ca="1"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43"/>
        <v>#REF!</v>
      </c>
      <c r="AI3721" s="43" t="str">
        <f ca="1">_xll.BInterpol('Base IPCA'!$C$3:$C$14,'Base IPCA'!$E$3:$E$14,AH3721,"Cubic","Extrapolate=Linear","MultiX=Average","Skip=True","Sort=True")</f>
        <v>#N/A Invalid Parameter: Interpolation value</v>
      </c>
      <c r="AJ3721" s="43" t="str">
        <f ca="1"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43"/>
        <v>#REF!</v>
      </c>
      <c r="AI3722" s="43" t="str">
        <f ca="1">_xll.BInterpol('Base IPCA'!$C$3:$C$14,'Base IPCA'!$E$3:$E$14,AH3722,"Cubic","Extrapolate=Linear","MultiX=Average","Skip=True","Sort=True")</f>
        <v>#N/A Invalid Parameter: Interpolation value</v>
      </c>
      <c r="AJ3722" s="43" t="str">
        <f ca="1"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43"/>
        <v>#REF!</v>
      </c>
      <c r="AI3723" s="43" t="str">
        <f ca="1">_xll.BInterpol('Base IPCA'!$C$3:$C$14,'Base IPCA'!$E$3:$E$14,AH3723,"Cubic","Extrapolate=Linear","MultiX=Average","Skip=True","Sort=True")</f>
        <v>#N/A Invalid Parameter: Interpolation value</v>
      </c>
      <c r="AJ3723" s="43" t="str">
        <f ca="1"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43"/>
        <v>#REF!</v>
      </c>
      <c r="AI3724" s="43" t="str">
        <f ca="1">_xll.BInterpol('Base IPCA'!$C$3:$C$14,'Base IPCA'!$E$3:$E$14,AH3724,"Cubic","Extrapolate=Linear","MultiX=Average","Skip=True","Sort=True")</f>
        <v>#N/A Invalid Parameter: Interpolation value</v>
      </c>
      <c r="AJ3724" s="43" t="str">
        <f ca="1"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43"/>
        <v>#REF!</v>
      </c>
      <c r="AI3725" s="43" t="str">
        <f ca="1">_xll.BInterpol('Base IPCA'!$C$3:$C$14,'Base IPCA'!$E$3:$E$14,AH3725,"Cubic","Extrapolate=Linear","MultiX=Average","Skip=True","Sort=True")</f>
        <v>#N/A Invalid Parameter: Interpolation value</v>
      </c>
      <c r="AJ3725" s="43" t="str">
        <f ca="1"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43"/>
        <v>#REF!</v>
      </c>
      <c r="AI3726" s="43" t="str">
        <f ca="1">_xll.BInterpol('Base IPCA'!$C$3:$C$14,'Base IPCA'!$E$3:$E$14,AH3726,"Cubic","Extrapolate=Linear","MultiX=Average","Skip=True","Sort=True")</f>
        <v>#N/A Invalid Parameter: Interpolation value</v>
      </c>
      <c r="AJ3726" s="43" t="str">
        <f ca="1"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43"/>
        <v>#REF!</v>
      </c>
      <c r="AI3727" s="43" t="str">
        <f ca="1">_xll.BInterpol('Base IPCA'!$C$3:$C$14,'Base IPCA'!$E$3:$E$14,AH3727,"Cubic","Extrapolate=Linear","MultiX=Average","Skip=True","Sort=True")</f>
        <v>#N/A Invalid Parameter: Interpolation value</v>
      </c>
      <c r="AJ3727" s="43" t="str">
        <f ca="1"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43"/>
        <v>#REF!</v>
      </c>
      <c r="AI3728" s="43" t="str">
        <f ca="1">_xll.BInterpol('Base IPCA'!$C$3:$C$14,'Base IPCA'!$E$3:$E$14,AH3728,"Cubic","Extrapolate=Linear","MultiX=Average","Skip=True","Sort=True")</f>
        <v>#N/A Invalid Parameter: Interpolation value</v>
      </c>
      <c r="AJ3728" s="43" t="str">
        <f ca="1"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43"/>
        <v>#REF!</v>
      </c>
      <c r="AI3729" s="43" t="str">
        <f ca="1">_xll.BInterpol('Base IPCA'!$C$3:$C$14,'Base IPCA'!$E$3:$E$14,AH3729,"Cubic","Extrapolate=Linear","MultiX=Average","Skip=True","Sort=True")</f>
        <v>#N/A Invalid Parameter: Interpolation value</v>
      </c>
      <c r="AJ3729" s="43" t="str">
        <f ca="1"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43"/>
        <v>#REF!</v>
      </c>
      <c r="AI3730" s="43" t="str">
        <f ca="1">_xll.BInterpol('Base IPCA'!$C$3:$C$14,'Base IPCA'!$E$3:$E$14,AH3730,"Cubic","Extrapolate=Linear","MultiX=Average","Skip=True","Sort=True")</f>
        <v>#N/A Invalid Parameter: Interpolation value</v>
      </c>
      <c r="AJ3730" s="43" t="str">
        <f ca="1"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43"/>
        <v>#REF!</v>
      </c>
      <c r="AI3731" s="43" t="str">
        <f ca="1">_xll.BInterpol('Base IPCA'!$C$3:$C$14,'Base IPCA'!$E$3:$E$14,AH3731,"Cubic","Extrapolate=Linear","MultiX=Average","Skip=True","Sort=True")</f>
        <v>#N/A Invalid Parameter: Interpolation value</v>
      </c>
      <c r="AJ3731" s="43" t="str">
        <f ca="1"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43"/>
        <v>#REF!</v>
      </c>
      <c r="AI3732" s="43" t="str">
        <f ca="1">_xll.BInterpol('Base IPCA'!$C$3:$C$14,'Base IPCA'!$E$3:$E$14,AH3732,"Cubic","Extrapolate=Linear","MultiX=Average","Skip=True","Sort=True")</f>
        <v>#N/A Invalid Parameter: Interpolation value</v>
      </c>
      <c r="AJ3732" s="43" t="str">
        <f ca="1"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43"/>
        <v>#REF!</v>
      </c>
      <c r="AI3733" s="43" t="str">
        <f ca="1">_xll.BInterpol('Base IPCA'!$C$3:$C$14,'Base IPCA'!$E$3:$E$14,AH3733,"Cubic","Extrapolate=Linear","MultiX=Average","Skip=True","Sort=True")</f>
        <v>#N/A Invalid Parameter: Interpolation value</v>
      </c>
      <c r="AJ3733" s="43" t="str">
        <f ca="1"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43"/>
        <v>#REF!</v>
      </c>
      <c r="AI3734" s="43" t="str">
        <f ca="1">_xll.BInterpol('Base IPCA'!$C$3:$C$14,'Base IPCA'!$E$3:$E$14,AH3734,"Cubic","Extrapolate=Linear","MultiX=Average","Skip=True","Sort=True")</f>
        <v>#N/A Invalid Parameter: Interpolation value</v>
      </c>
      <c r="AJ3734" s="43" t="str">
        <f ca="1"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43"/>
        <v>#REF!</v>
      </c>
      <c r="AI3735" s="43" t="str">
        <f ca="1">_xll.BInterpol('Base IPCA'!$C$3:$C$14,'Base IPCA'!$E$3:$E$14,AH3735,"Cubic","Extrapolate=Linear","MultiX=Average","Skip=True","Sort=True")</f>
        <v>#N/A Invalid Parameter: Interpolation value</v>
      </c>
      <c r="AJ3735" s="43" t="str">
        <f ca="1"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43"/>
        <v>#REF!</v>
      </c>
      <c r="AI3736" s="43" t="str">
        <f ca="1">_xll.BInterpol('Base IPCA'!$C$3:$C$14,'Base IPCA'!$E$3:$E$14,AH3736,"Cubic","Extrapolate=Linear","MultiX=Average","Skip=True","Sort=True")</f>
        <v>#N/A Invalid Parameter: Interpolation value</v>
      </c>
      <c r="AJ3736" s="43" t="str">
        <f ca="1"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43"/>
        <v>#REF!</v>
      </c>
      <c r="AI3737" s="43" t="str">
        <f ca="1">_xll.BInterpol('Base IPCA'!$C$3:$C$14,'Base IPCA'!$E$3:$E$14,AH3737,"Cubic","Extrapolate=Linear","MultiX=Average","Skip=True","Sort=True")</f>
        <v>#N/A Invalid Parameter: Interpolation value</v>
      </c>
      <c r="AJ3737" s="43" t="str">
        <f ca="1"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43"/>
        <v>#REF!</v>
      </c>
      <c r="AI3738" s="43" t="str">
        <f ca="1">_xll.BInterpol('Base IPCA'!$C$3:$C$14,'Base IPCA'!$E$3:$E$14,AH3738,"Cubic","Extrapolate=Linear","MultiX=Average","Skip=True","Sort=True")</f>
        <v>#N/A Invalid Parameter: Interpolation value</v>
      </c>
      <c r="AJ3738" s="43" t="str">
        <f ca="1"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43"/>
        <v>#REF!</v>
      </c>
      <c r="AI3739" s="43" t="str">
        <f ca="1">_xll.BInterpol('Base IPCA'!$C$3:$C$14,'Base IPCA'!$E$3:$E$14,AH3739,"Cubic","Extrapolate=Linear","MultiX=Average","Skip=True","Sort=True")</f>
        <v>#N/A Invalid Parameter: Interpolation value</v>
      </c>
      <c r="AJ3739" s="43" t="str">
        <f ca="1"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43"/>
        <v>#REF!</v>
      </c>
      <c r="AI3740" s="43" t="str">
        <f ca="1">_xll.BInterpol('Base IPCA'!$C$3:$C$14,'Base IPCA'!$E$3:$E$14,AH3740,"Cubic","Extrapolate=Linear","MultiX=Average","Skip=True","Sort=True")</f>
        <v>#N/A Invalid Parameter: Interpolation value</v>
      </c>
      <c r="AJ3740" s="43" t="str">
        <f ca="1"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43"/>
        <v>#REF!</v>
      </c>
      <c r="AI3741" s="43" t="str">
        <f ca="1">_xll.BInterpol('Base IPCA'!$C$3:$C$14,'Base IPCA'!$E$3:$E$14,AH3741,"Cubic","Extrapolate=Linear","MultiX=Average","Skip=True","Sort=True")</f>
        <v>#N/A Invalid Parameter: Interpolation value</v>
      </c>
      <c r="AJ3741" s="43" t="str">
        <f ca="1"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43"/>
        <v>#REF!</v>
      </c>
      <c r="AI3742" s="43" t="str">
        <f ca="1">_xll.BInterpol('Base IPCA'!$C$3:$C$14,'Base IPCA'!$E$3:$E$14,AH3742,"Cubic","Extrapolate=Linear","MultiX=Average","Skip=True","Sort=True")</f>
        <v>#N/A Invalid Parameter: Interpolation value</v>
      </c>
      <c r="AJ3742" s="43" t="str">
        <f ca="1"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43"/>
        <v>#REF!</v>
      </c>
      <c r="AI3743" s="43" t="str">
        <f ca="1">_xll.BInterpol('Base IPCA'!$C$3:$C$14,'Base IPCA'!$E$3:$E$14,AH3743,"Cubic","Extrapolate=Linear","MultiX=Average","Skip=True","Sort=True")</f>
        <v>#N/A Invalid Parameter: Interpolation value</v>
      </c>
      <c r="AJ3743" s="43" t="str">
        <f ca="1"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43"/>
        <v>#REF!</v>
      </c>
      <c r="AI3744" s="43" t="str">
        <f ca="1">_xll.BInterpol('Base IPCA'!$C$3:$C$14,'Base IPCA'!$E$3:$E$14,AH3744,"Cubic","Extrapolate=Linear","MultiX=Average","Skip=True","Sort=True")</f>
        <v>#N/A Invalid Parameter: Interpolation value</v>
      </c>
      <c r="AJ3744" s="43" t="str">
        <f ca="1"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43"/>
        <v>#REF!</v>
      </c>
      <c r="AI3745" s="43" t="str">
        <f ca="1">_xll.BInterpol('Base IPCA'!$C$3:$C$14,'Base IPCA'!$E$3:$E$14,AH3745,"Cubic","Extrapolate=Linear","MultiX=Average","Skip=True","Sort=True")</f>
        <v>#N/A Invalid Parameter: Interpolation value</v>
      </c>
      <c r="AJ3745" s="43" t="str">
        <f ca="1"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43"/>
        <v>#REF!</v>
      </c>
      <c r="AI3746" s="43" t="str">
        <f ca="1">_xll.BInterpol('Base IPCA'!$C$3:$C$14,'Base IPCA'!$E$3:$E$14,AH3746,"Cubic","Extrapolate=Linear","MultiX=Average","Skip=True","Sort=True")</f>
        <v>#N/A Invalid Parameter: Interpolation value</v>
      </c>
      <c r="AJ3746" s="43" t="str">
        <f ca="1"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43"/>
        <v>#REF!</v>
      </c>
      <c r="AI3747" s="43" t="str">
        <f ca="1">_xll.BInterpol('Base IPCA'!$C$3:$C$14,'Base IPCA'!$E$3:$E$14,AH3747,"Cubic","Extrapolate=Linear","MultiX=Average","Skip=True","Sort=True")</f>
        <v>#N/A Invalid Parameter: Interpolation value</v>
      </c>
      <c r="AJ3747" s="43" t="str">
        <f ca="1"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43"/>
        <v>#REF!</v>
      </c>
      <c r="AI3748" s="43" t="str">
        <f ca="1">_xll.BInterpol('Base IPCA'!$C$3:$C$14,'Base IPCA'!$E$3:$E$14,AH3748,"Cubic","Extrapolate=Linear","MultiX=Average","Skip=True","Sort=True")</f>
        <v>#N/A Invalid Parameter: Interpolation value</v>
      </c>
      <c r="AJ3748" s="43" t="str">
        <f ca="1"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43"/>
        <v>#REF!</v>
      </c>
      <c r="AI3749" s="43" t="str">
        <f ca="1">_xll.BInterpol('Base IPCA'!$C$3:$C$14,'Base IPCA'!$E$3:$E$14,AH3749,"Cubic","Extrapolate=Linear","MultiX=Average","Skip=True","Sort=True")</f>
        <v>#N/A Invalid Parameter: Interpolation value</v>
      </c>
      <c r="AJ3749" s="43" t="str">
        <f ca="1"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43"/>
        <v>#REF!</v>
      </c>
      <c r="AI3750" s="43" t="str">
        <f ca="1">_xll.BInterpol('Base IPCA'!$C$3:$C$14,'Base IPCA'!$E$3:$E$14,AH3750,"Cubic","Extrapolate=Linear","MultiX=Average","Skip=True","Sort=True")</f>
        <v>#N/A Invalid Parameter: Interpolation value</v>
      </c>
      <c r="AJ3750" s="43" t="str">
        <f ca="1"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43"/>
        <v>#REF!</v>
      </c>
      <c r="AI3751" s="43" t="str">
        <f ca="1">_xll.BInterpol('Base IPCA'!$C$3:$C$14,'Base IPCA'!$E$3:$E$14,AH3751,"Cubic","Extrapolate=Linear","MultiX=Average","Skip=True","Sort=True")</f>
        <v>#N/A Invalid Parameter: Interpolation value</v>
      </c>
      <c r="AJ3751" s="43" t="str">
        <f ca="1"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43"/>
        <v>#REF!</v>
      </c>
      <c r="AI3752" s="43" t="str">
        <f ca="1">_xll.BInterpol('Base IPCA'!$C$3:$C$14,'Base IPCA'!$E$3:$E$14,AH3752,"Cubic","Extrapolate=Linear","MultiX=Average","Skip=True","Sort=True")</f>
        <v>#N/A Invalid Parameter: Interpolation value</v>
      </c>
      <c r="AJ3752" s="43" t="str">
        <f ca="1"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43"/>
        <v>#REF!</v>
      </c>
      <c r="AI3753" s="43" t="str">
        <f ca="1">_xll.BInterpol('Base IPCA'!$C$3:$C$14,'Base IPCA'!$E$3:$E$14,AH3753,"Cubic","Extrapolate=Linear","MultiX=Average","Skip=True","Sort=True")</f>
        <v>#N/A Invalid Parameter: Interpolation value</v>
      </c>
      <c r="AJ3753" s="43" t="str">
        <f ca="1"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43"/>
        <v>#REF!</v>
      </c>
      <c r="AI3754" s="43" t="str">
        <f ca="1">_xll.BInterpol('Base IPCA'!$C$3:$C$14,'Base IPCA'!$E$3:$E$14,AH3754,"Cubic","Extrapolate=Linear","MultiX=Average","Skip=True","Sort=True")</f>
        <v>#N/A Invalid Parameter: Interpolation value</v>
      </c>
      <c r="AJ3754" s="43" t="str">
        <f ca="1"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43"/>
        <v>#REF!</v>
      </c>
      <c r="AI3755" s="43" t="str">
        <f ca="1">_xll.BInterpol('Base IPCA'!$C$3:$C$14,'Base IPCA'!$E$3:$E$14,AH3755,"Cubic","Extrapolate=Linear","MultiX=Average","Skip=True","Sort=True")</f>
        <v>#N/A Invalid Parameter: Interpolation value</v>
      </c>
      <c r="AJ3755" s="43" t="str">
        <f ca="1"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43"/>
        <v>#REF!</v>
      </c>
      <c r="AI3756" s="43" t="str">
        <f ca="1">_xll.BInterpol('Base IPCA'!$C$3:$C$14,'Base IPCA'!$E$3:$E$14,AH3756,"Cubic","Extrapolate=Linear","MultiX=Average","Skip=True","Sort=True")</f>
        <v>#N/A Invalid Parameter: Interpolation value</v>
      </c>
      <c r="AJ3756" s="43" t="str">
        <f ca="1"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43"/>
        <v>#REF!</v>
      </c>
      <c r="AI3757" s="43" t="str">
        <f ca="1">_xll.BInterpol('Base IPCA'!$C$3:$C$14,'Base IPCA'!$E$3:$E$14,AH3757,"Cubic","Extrapolate=Linear","MultiX=Average","Skip=True","Sort=True")</f>
        <v>#N/A Invalid Parameter: Interpolation value</v>
      </c>
      <c r="AJ3757" s="43" t="str">
        <f ca="1"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43"/>
        <v>#REF!</v>
      </c>
      <c r="AI3758" s="43" t="str">
        <f ca="1">_xll.BInterpol('Base IPCA'!$C$3:$C$14,'Base IPCA'!$E$3:$E$14,AH3758,"Cubic","Extrapolate=Linear","MultiX=Average","Skip=True","Sort=True")</f>
        <v>#N/A Invalid Parameter: Interpolation value</v>
      </c>
      <c r="AJ3758" s="43" t="str">
        <f ca="1"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43"/>
        <v>#REF!</v>
      </c>
      <c r="AI3759" s="43" t="str">
        <f ca="1">_xll.BInterpol('Base IPCA'!$C$3:$C$14,'Base IPCA'!$E$3:$E$14,AH3759,"Cubic","Extrapolate=Linear","MultiX=Average","Skip=True","Sort=True")</f>
        <v>#N/A Invalid Parameter: Interpolation value</v>
      </c>
      <c r="AJ3759" s="43" t="str">
        <f ca="1"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43"/>
        <v>#REF!</v>
      </c>
      <c r="AI3760" s="43" t="str">
        <f ca="1">_xll.BInterpol('Base IPCA'!$C$3:$C$14,'Base IPCA'!$E$3:$E$14,AH3760,"Cubic","Extrapolate=Linear","MultiX=Average","Skip=True","Sort=True")</f>
        <v>#N/A Invalid Parameter: Interpolation value</v>
      </c>
      <c r="AJ3760" s="43" t="str">
        <f ca="1"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43"/>
        <v>#REF!</v>
      </c>
      <c r="AI3761" s="43" t="str">
        <f ca="1">_xll.BInterpol('Base IPCA'!$C$3:$C$14,'Base IPCA'!$E$3:$E$14,AH3761,"Cubic","Extrapolate=Linear","MultiX=Average","Skip=True","Sort=True")</f>
        <v>#N/A Invalid Parameter: Interpolation value</v>
      </c>
      <c r="AJ3761" s="43" t="str">
        <f ca="1"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43"/>
        <v>#REF!</v>
      </c>
      <c r="AI3762" s="43" t="str">
        <f ca="1">_xll.BInterpol('Base IPCA'!$C$3:$C$14,'Base IPCA'!$E$3:$E$14,AH3762,"Cubic","Extrapolate=Linear","MultiX=Average","Skip=True","Sort=True")</f>
        <v>#N/A Invalid Parameter: Interpolation value</v>
      </c>
      <c r="AJ3762" s="43" t="str">
        <f ca="1"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43"/>
        <v>#REF!</v>
      </c>
      <c r="AI3763" s="43" t="str">
        <f ca="1">_xll.BInterpol('Base IPCA'!$C$3:$C$14,'Base IPCA'!$E$3:$E$14,AH3763,"Cubic","Extrapolate=Linear","MultiX=Average","Skip=True","Sort=True")</f>
        <v>#N/A Invalid Parameter: Interpolation value</v>
      </c>
      <c r="AJ3763" s="43" t="str">
        <f ca="1"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43"/>
        <v>#REF!</v>
      </c>
      <c r="AI3764" s="43" t="str">
        <f ca="1">_xll.BInterpol('Base IPCA'!$C$3:$C$14,'Base IPCA'!$E$3:$E$14,AH3764,"Cubic","Extrapolate=Linear","MultiX=Average","Skip=True","Sort=True")</f>
        <v>#N/A Invalid Parameter: Interpolation value</v>
      </c>
      <c r="AJ3764" s="43" t="str">
        <f ca="1"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43"/>
        <v>#REF!</v>
      </c>
      <c r="AI3765" s="43" t="str">
        <f ca="1">_xll.BInterpol('Base IPCA'!$C$3:$C$14,'Base IPCA'!$E$3:$E$14,AH3765,"Cubic","Extrapolate=Linear","MultiX=Average","Skip=True","Sort=True")</f>
        <v>#N/A Invalid Parameter: Interpolation value</v>
      </c>
      <c r="AJ3765" s="43" t="str">
        <f ca="1"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43"/>
        <v>#REF!</v>
      </c>
      <c r="AI3766" s="43" t="str">
        <f ca="1">_xll.BInterpol('Base IPCA'!$C$3:$C$14,'Base IPCA'!$E$3:$E$14,AH3766,"Cubic","Extrapolate=Linear","MultiX=Average","Skip=True","Sort=True")</f>
        <v>#N/A Invalid Parameter: Interpolation value</v>
      </c>
      <c r="AJ3766" s="43" t="str">
        <f ca="1"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43"/>
        <v>#REF!</v>
      </c>
      <c r="AI3767" s="43" t="str">
        <f ca="1">_xll.BInterpol('Base IPCA'!$C$3:$C$14,'Base IPCA'!$E$3:$E$14,AH3767,"Cubic","Extrapolate=Linear","MultiX=Average","Skip=True","Sort=True")</f>
        <v>#N/A Invalid Parameter: Interpolation value</v>
      </c>
      <c r="AJ3767" s="43" t="str">
        <f ca="1"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43"/>
        <v>#REF!</v>
      </c>
      <c r="AI3768" s="43" t="str">
        <f ca="1">_xll.BInterpol('Base IPCA'!$C$3:$C$14,'Base IPCA'!$E$3:$E$14,AH3768,"Cubic","Extrapolate=Linear","MultiX=Average","Skip=True","Sort=True")</f>
        <v>#N/A Invalid Parameter: Interpolation value</v>
      </c>
      <c r="AJ3768" s="43" t="str">
        <f ca="1"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43"/>
        <v>#REF!</v>
      </c>
      <c r="AI3769" s="43" t="str">
        <f ca="1">_xll.BInterpol('Base IPCA'!$C$3:$C$14,'Base IPCA'!$E$3:$E$14,AH3769,"Cubic","Extrapolate=Linear","MultiX=Average","Skip=True","Sort=True")</f>
        <v>#N/A Invalid Parameter: Interpolation value</v>
      </c>
      <c r="AJ3769" s="43" t="str">
        <f ca="1"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43"/>
        <v>#REF!</v>
      </c>
      <c r="AI3770" s="43" t="str">
        <f ca="1">_xll.BInterpol('Base IPCA'!$C$3:$C$14,'Base IPCA'!$E$3:$E$14,AH3770,"Cubic","Extrapolate=Linear","MultiX=Average","Skip=True","Sort=True")</f>
        <v>#N/A Invalid Parameter: Interpolation value</v>
      </c>
      <c r="AJ3770" s="43" t="str">
        <f ca="1"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43"/>
        <v>#REF!</v>
      </c>
      <c r="AI3771" s="43" t="str">
        <f ca="1">_xll.BInterpol('Base IPCA'!$C$3:$C$14,'Base IPCA'!$E$3:$E$14,AH3771,"Cubic","Extrapolate=Linear","MultiX=Average","Skip=True","Sort=True")</f>
        <v>#N/A Invalid Parameter: Interpolation value</v>
      </c>
      <c r="AJ3771" s="43" t="str">
        <f ca="1"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43"/>
        <v>#REF!</v>
      </c>
      <c r="AI3772" s="43" t="str">
        <f ca="1">_xll.BInterpol('Base IPCA'!$C$3:$C$14,'Base IPCA'!$E$3:$E$14,AH3772,"Cubic","Extrapolate=Linear","MultiX=Average","Skip=True","Sort=True")</f>
        <v>#N/A Invalid Parameter: Interpolation value</v>
      </c>
      <c r="AJ3772" s="43" t="str">
        <f ca="1"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43"/>
        <v>#REF!</v>
      </c>
      <c r="AI3773" s="43" t="str">
        <f ca="1">_xll.BInterpol('Base IPCA'!$C$3:$C$14,'Base IPCA'!$E$3:$E$14,AH3773,"Cubic","Extrapolate=Linear","MultiX=Average","Skip=True","Sort=True")</f>
        <v>#N/A Invalid Parameter: Interpolation value</v>
      </c>
      <c r="AJ3773" s="43" t="str">
        <f ca="1"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43"/>
        <v>#REF!</v>
      </c>
      <c r="AI3774" s="43" t="str">
        <f ca="1">_xll.BInterpol('Base IPCA'!$C$3:$C$14,'Base IPCA'!$E$3:$E$14,AH3774,"Cubic","Extrapolate=Linear","MultiX=Average","Skip=True","Sort=True")</f>
        <v>#N/A Invalid Parameter: Interpolation value</v>
      </c>
      <c r="AJ3774" s="43" t="str">
        <f ca="1"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43"/>
        <v>#REF!</v>
      </c>
      <c r="AI3775" s="43" t="str">
        <f ca="1">_xll.BInterpol('Base IPCA'!$C$3:$C$14,'Base IPCA'!$E$3:$E$14,AH3775,"Cubic","Extrapolate=Linear","MultiX=Average","Skip=True","Sort=True")</f>
        <v>#N/A Invalid Parameter: Interpolation value</v>
      </c>
      <c r="AJ3775" s="43" t="str">
        <f ca="1"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43"/>
        <v>#REF!</v>
      </c>
      <c r="AI3776" s="43" t="str">
        <f ca="1">_xll.BInterpol('Base IPCA'!$C$3:$C$14,'Base IPCA'!$E$3:$E$14,AH3776,"Cubic","Extrapolate=Linear","MultiX=Average","Skip=True","Sort=True")</f>
        <v>#N/A Invalid Parameter: Interpolation value</v>
      </c>
      <c r="AJ3776" s="43" t="str">
        <f ca="1"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43"/>
        <v>#REF!</v>
      </c>
      <c r="AI3777" s="43" t="str">
        <f ca="1">_xll.BInterpol('Base IPCA'!$C$3:$C$14,'Base IPCA'!$E$3:$E$14,AH3777,"Cubic","Extrapolate=Linear","MultiX=Average","Skip=True","Sort=True")</f>
        <v>#N/A Invalid Parameter: Interpolation value</v>
      </c>
      <c r="AJ3777" s="43" t="str">
        <f ca="1"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43"/>
        <v>#REF!</v>
      </c>
      <c r="AI3778" s="43" t="str">
        <f ca="1">_xll.BInterpol('Base IPCA'!$C$3:$C$14,'Base IPCA'!$E$3:$E$14,AH3778,"Cubic","Extrapolate=Linear","MultiX=Average","Skip=True","Sort=True")</f>
        <v>#N/A Invalid Parameter: Interpolation value</v>
      </c>
      <c r="AJ3778" s="43" t="str">
        <f ca="1"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43"/>
        <v>#REF!</v>
      </c>
      <c r="AI3779" s="43" t="str">
        <f ca="1">_xll.BInterpol('Base IPCA'!$C$3:$C$14,'Base IPCA'!$E$3:$E$14,AH3779,"Cubic","Extrapolate=Linear","MultiX=Average","Skip=True","Sort=True")</f>
        <v>#N/A Invalid Parameter: Interpolation value</v>
      </c>
      <c r="AJ3779" s="43" t="str">
        <f ca="1"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43"/>
        <v>#REF!</v>
      </c>
      <c r="AI3780" s="43" t="str">
        <f ca="1">_xll.BInterpol('Base IPCA'!$C$3:$C$14,'Base IPCA'!$E$3:$E$14,AH3780,"Cubic","Extrapolate=Linear","MultiX=Average","Skip=True","Sort=True")</f>
        <v>#N/A Invalid Parameter: Interpolation value</v>
      </c>
      <c r="AJ3780" s="43" t="str">
        <f ca="1"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43"/>
        <v>#REF!</v>
      </c>
      <c r="AI3781" s="43" t="str">
        <f ca="1">_xll.BInterpol('Base IPCA'!$C$3:$C$14,'Base IPCA'!$E$3:$E$14,AH3781,"Cubic","Extrapolate=Linear","MultiX=Average","Skip=True","Sort=True")</f>
        <v>#N/A Invalid Parameter: Interpolation value</v>
      </c>
      <c r="AJ3781" s="43" t="str">
        <f ca="1"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44">AH3781+1</f>
        <v>#REF!</v>
      </c>
      <c r="AI3782" s="43" t="str">
        <f ca="1">_xll.BInterpol('Base IPCA'!$C$3:$C$14,'Base IPCA'!$E$3:$E$14,AH3782,"Cubic","Extrapolate=Linear","MultiX=Average","Skip=True","Sort=True")</f>
        <v>#N/A Invalid Parameter: Interpolation value</v>
      </c>
      <c r="AJ3782" s="43" t="str">
        <f ca="1"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44"/>
        <v>#REF!</v>
      </c>
      <c r="AI3783" s="43" t="str">
        <f ca="1">_xll.BInterpol('Base IPCA'!$C$3:$C$14,'Base IPCA'!$E$3:$E$14,AH3783,"Cubic","Extrapolate=Linear","MultiX=Average","Skip=True","Sort=True")</f>
        <v>#N/A Invalid Parameter: Interpolation value</v>
      </c>
      <c r="AJ3783" s="43" t="str">
        <f ca="1"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44"/>
        <v>#REF!</v>
      </c>
      <c r="AI3784" s="43" t="str">
        <f ca="1">_xll.BInterpol('Base IPCA'!$C$3:$C$14,'Base IPCA'!$E$3:$E$14,AH3784,"Cubic","Extrapolate=Linear","MultiX=Average","Skip=True","Sort=True")</f>
        <v>#N/A Invalid Parameter: Interpolation value</v>
      </c>
      <c r="AJ3784" s="43" t="str">
        <f ca="1"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44"/>
        <v>#REF!</v>
      </c>
      <c r="AI3785" s="43" t="str">
        <f ca="1">_xll.BInterpol('Base IPCA'!$C$3:$C$14,'Base IPCA'!$E$3:$E$14,AH3785,"Cubic","Extrapolate=Linear","MultiX=Average","Skip=True","Sort=True")</f>
        <v>#N/A Invalid Parameter: Interpolation value</v>
      </c>
      <c r="AJ3785" s="43" t="str">
        <f ca="1"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44"/>
        <v>#REF!</v>
      </c>
      <c r="AI3786" s="43" t="str">
        <f ca="1">_xll.BInterpol('Base IPCA'!$C$3:$C$14,'Base IPCA'!$E$3:$E$14,AH3786,"Cubic","Extrapolate=Linear","MultiX=Average","Skip=True","Sort=True")</f>
        <v>#N/A Invalid Parameter: Interpolation value</v>
      </c>
      <c r="AJ3786" s="43" t="str">
        <f ca="1"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44"/>
        <v>#REF!</v>
      </c>
      <c r="AI3787" s="43" t="str">
        <f ca="1">_xll.BInterpol('Base IPCA'!$C$3:$C$14,'Base IPCA'!$E$3:$E$14,AH3787,"Cubic","Extrapolate=Linear","MultiX=Average","Skip=True","Sort=True")</f>
        <v>#N/A Invalid Parameter: Interpolation value</v>
      </c>
      <c r="AJ3787" s="43" t="str">
        <f ca="1"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44"/>
        <v>#REF!</v>
      </c>
      <c r="AI3788" s="43" t="str">
        <f ca="1">_xll.BInterpol('Base IPCA'!$C$3:$C$14,'Base IPCA'!$E$3:$E$14,AH3788,"Cubic","Extrapolate=Linear","MultiX=Average","Skip=True","Sort=True")</f>
        <v>#N/A Invalid Parameter: Interpolation value</v>
      </c>
      <c r="AJ3788" s="43" t="str">
        <f ca="1"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44"/>
        <v>#REF!</v>
      </c>
      <c r="AI3789" s="43" t="str">
        <f ca="1">_xll.BInterpol('Base IPCA'!$C$3:$C$14,'Base IPCA'!$E$3:$E$14,AH3789,"Cubic","Extrapolate=Linear","MultiX=Average","Skip=True","Sort=True")</f>
        <v>#N/A Invalid Parameter: Interpolation value</v>
      </c>
      <c r="AJ3789" s="43" t="str">
        <f ca="1"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44"/>
        <v>#REF!</v>
      </c>
      <c r="AI3790" s="43" t="str">
        <f ca="1">_xll.BInterpol('Base IPCA'!$C$3:$C$14,'Base IPCA'!$E$3:$E$14,AH3790,"Cubic","Extrapolate=Linear","MultiX=Average","Skip=True","Sort=True")</f>
        <v>#N/A Invalid Parameter: Interpolation value</v>
      </c>
      <c r="AJ3790" s="43" t="str">
        <f ca="1"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44"/>
        <v>#REF!</v>
      </c>
      <c r="AI3791" s="43" t="str">
        <f ca="1">_xll.BInterpol('Base IPCA'!$C$3:$C$14,'Base IPCA'!$E$3:$E$14,AH3791,"Cubic","Extrapolate=Linear","MultiX=Average","Skip=True","Sort=True")</f>
        <v>#N/A Invalid Parameter: Interpolation value</v>
      </c>
      <c r="AJ3791" s="43" t="str">
        <f ca="1"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44"/>
        <v>#REF!</v>
      </c>
      <c r="AI3792" s="43" t="str">
        <f ca="1">_xll.BInterpol('Base IPCA'!$C$3:$C$14,'Base IPCA'!$E$3:$E$14,AH3792,"Cubic","Extrapolate=Linear","MultiX=Average","Skip=True","Sort=True")</f>
        <v>#N/A Invalid Parameter: Interpolation value</v>
      </c>
      <c r="AJ3792" s="43" t="str">
        <f ca="1"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44"/>
        <v>#REF!</v>
      </c>
      <c r="AI3793" s="43" t="str">
        <f ca="1">_xll.BInterpol('Base IPCA'!$C$3:$C$14,'Base IPCA'!$E$3:$E$14,AH3793,"Cubic","Extrapolate=Linear","MultiX=Average","Skip=True","Sort=True")</f>
        <v>#N/A Invalid Parameter: Interpolation value</v>
      </c>
      <c r="AJ3793" s="43" t="str">
        <f ca="1"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44"/>
        <v>#REF!</v>
      </c>
      <c r="AI3794" s="43" t="str">
        <f ca="1">_xll.BInterpol('Base IPCA'!$C$3:$C$14,'Base IPCA'!$E$3:$E$14,AH3794,"Cubic","Extrapolate=Linear","MultiX=Average","Skip=True","Sort=True")</f>
        <v>#N/A Invalid Parameter: Interpolation value</v>
      </c>
      <c r="AJ3794" s="43" t="str">
        <f ca="1"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44"/>
        <v>#REF!</v>
      </c>
      <c r="AI3795" s="43" t="str">
        <f ca="1">_xll.BInterpol('Base IPCA'!$C$3:$C$14,'Base IPCA'!$E$3:$E$14,AH3795,"Cubic","Extrapolate=Linear","MultiX=Average","Skip=True","Sort=True")</f>
        <v>#N/A Invalid Parameter: Interpolation value</v>
      </c>
      <c r="AJ3795" s="43" t="str">
        <f ca="1"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44"/>
        <v>#REF!</v>
      </c>
      <c r="AI3796" s="43" t="str">
        <f ca="1">_xll.BInterpol('Base IPCA'!$C$3:$C$14,'Base IPCA'!$E$3:$E$14,AH3796,"Cubic","Extrapolate=Linear","MultiX=Average","Skip=True","Sort=True")</f>
        <v>#N/A Invalid Parameter: Interpolation value</v>
      </c>
      <c r="AJ3796" s="43" t="str">
        <f ca="1"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44"/>
        <v>#REF!</v>
      </c>
      <c r="AI3797" s="43" t="str">
        <f ca="1">_xll.BInterpol('Base IPCA'!$C$3:$C$14,'Base IPCA'!$E$3:$E$14,AH3797,"Cubic","Extrapolate=Linear","MultiX=Average","Skip=True","Sort=True")</f>
        <v>#N/A Invalid Parameter: Interpolation value</v>
      </c>
      <c r="AJ3797" s="43" t="str">
        <f ca="1"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44"/>
        <v>#REF!</v>
      </c>
      <c r="AI3798" s="43" t="str">
        <f ca="1">_xll.BInterpol('Base IPCA'!$C$3:$C$14,'Base IPCA'!$E$3:$E$14,AH3798,"Cubic","Extrapolate=Linear","MultiX=Average","Skip=True","Sort=True")</f>
        <v>#N/A Invalid Parameter: Interpolation value</v>
      </c>
      <c r="AJ3798" s="43" t="str">
        <f ca="1"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44"/>
        <v>#REF!</v>
      </c>
      <c r="AI3799" s="43" t="str">
        <f ca="1">_xll.BInterpol('Base IPCA'!$C$3:$C$14,'Base IPCA'!$E$3:$E$14,AH3799,"Cubic","Extrapolate=Linear","MultiX=Average","Skip=True","Sort=True")</f>
        <v>#N/A Invalid Parameter: Interpolation value</v>
      </c>
      <c r="AJ3799" s="43" t="str">
        <f ca="1"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44"/>
        <v>#REF!</v>
      </c>
      <c r="AI3800" s="43" t="str">
        <f ca="1">_xll.BInterpol('Base IPCA'!$C$3:$C$14,'Base IPCA'!$E$3:$E$14,AH3800,"Cubic","Extrapolate=Linear","MultiX=Average","Skip=True","Sort=True")</f>
        <v>#N/A Invalid Parameter: Interpolation value</v>
      </c>
      <c r="AJ3800" s="43" t="str">
        <f ca="1"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44"/>
        <v>#REF!</v>
      </c>
      <c r="AI3801" s="43" t="str">
        <f ca="1">_xll.BInterpol('Base IPCA'!$C$3:$C$14,'Base IPCA'!$E$3:$E$14,AH3801,"Cubic","Extrapolate=Linear","MultiX=Average","Skip=True","Sort=True")</f>
        <v>#N/A Invalid Parameter: Interpolation value</v>
      </c>
      <c r="AJ3801" s="43" t="str">
        <f ca="1"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44"/>
        <v>#REF!</v>
      </c>
      <c r="AI3802" s="43" t="str">
        <f ca="1">_xll.BInterpol('Base IPCA'!$C$3:$C$14,'Base IPCA'!$E$3:$E$14,AH3802,"Cubic","Extrapolate=Linear","MultiX=Average","Skip=True","Sort=True")</f>
        <v>#N/A Invalid Parameter: Interpolation value</v>
      </c>
      <c r="AJ3802" s="43" t="str">
        <f ca="1"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44"/>
        <v>#REF!</v>
      </c>
      <c r="AI3803" s="43" t="str">
        <f ca="1">_xll.BInterpol('Base IPCA'!$C$3:$C$14,'Base IPCA'!$E$3:$E$14,AH3803,"Cubic","Extrapolate=Linear","MultiX=Average","Skip=True","Sort=True")</f>
        <v>#N/A Invalid Parameter: Interpolation value</v>
      </c>
      <c r="AJ3803" s="43" t="str">
        <f ca="1"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44"/>
        <v>#REF!</v>
      </c>
      <c r="AI3804" s="43" t="str">
        <f ca="1">_xll.BInterpol('Base IPCA'!$C$3:$C$14,'Base IPCA'!$E$3:$E$14,AH3804,"Cubic","Extrapolate=Linear","MultiX=Average","Skip=True","Sort=True")</f>
        <v>#N/A Invalid Parameter: Interpolation value</v>
      </c>
      <c r="AJ3804" s="43" t="str">
        <f ca="1"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44"/>
        <v>#REF!</v>
      </c>
      <c r="AI3805" s="43" t="str">
        <f ca="1">_xll.BInterpol('Base IPCA'!$C$3:$C$14,'Base IPCA'!$E$3:$E$14,AH3805,"Cubic","Extrapolate=Linear","MultiX=Average","Skip=True","Sort=True")</f>
        <v>#N/A Invalid Parameter: Interpolation value</v>
      </c>
      <c r="AJ3805" s="43" t="str">
        <f ca="1"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44"/>
        <v>#REF!</v>
      </c>
      <c r="AI3806" s="43" t="str">
        <f ca="1">_xll.BInterpol('Base IPCA'!$C$3:$C$14,'Base IPCA'!$E$3:$E$14,AH3806,"Cubic","Extrapolate=Linear","MultiX=Average","Skip=True","Sort=True")</f>
        <v>#N/A Invalid Parameter: Interpolation value</v>
      </c>
      <c r="AJ3806" s="43" t="str">
        <f ca="1"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44"/>
        <v>#REF!</v>
      </c>
      <c r="AI3807" s="43" t="str">
        <f ca="1">_xll.BInterpol('Base IPCA'!$C$3:$C$14,'Base IPCA'!$E$3:$E$14,AH3807,"Cubic","Extrapolate=Linear","MultiX=Average","Skip=True","Sort=True")</f>
        <v>#N/A Invalid Parameter: Interpolation value</v>
      </c>
      <c r="AJ3807" s="43" t="str">
        <f ca="1"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44"/>
        <v>#REF!</v>
      </c>
      <c r="AI3808" s="43" t="str">
        <f ca="1">_xll.BInterpol('Base IPCA'!$C$3:$C$14,'Base IPCA'!$E$3:$E$14,AH3808,"Cubic","Extrapolate=Linear","MultiX=Average","Skip=True","Sort=True")</f>
        <v>#N/A Invalid Parameter: Interpolation value</v>
      </c>
      <c r="AJ3808" s="43" t="str">
        <f ca="1"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44"/>
        <v>#REF!</v>
      </c>
      <c r="AI3809" s="43" t="str">
        <f ca="1">_xll.BInterpol('Base IPCA'!$C$3:$C$14,'Base IPCA'!$E$3:$E$14,AH3809,"Cubic","Extrapolate=Linear","MultiX=Average","Skip=True","Sort=True")</f>
        <v>#N/A Invalid Parameter: Interpolation value</v>
      </c>
      <c r="AJ3809" s="43" t="str">
        <f ca="1"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44"/>
        <v>#REF!</v>
      </c>
      <c r="AI3810" s="43" t="str">
        <f ca="1">_xll.BInterpol('Base IPCA'!$C$3:$C$14,'Base IPCA'!$E$3:$E$14,AH3810,"Cubic","Extrapolate=Linear","MultiX=Average","Skip=True","Sort=True")</f>
        <v>#N/A Invalid Parameter: Interpolation value</v>
      </c>
      <c r="AJ3810" s="43" t="str">
        <f ca="1"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44"/>
        <v>#REF!</v>
      </c>
      <c r="AI3811" s="43" t="str">
        <f ca="1">_xll.BInterpol('Base IPCA'!$C$3:$C$14,'Base IPCA'!$E$3:$E$14,AH3811,"Cubic","Extrapolate=Linear","MultiX=Average","Skip=True","Sort=True")</f>
        <v>#N/A Invalid Parameter: Interpolation value</v>
      </c>
      <c r="AJ3811" s="43" t="str">
        <f ca="1"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44"/>
        <v>#REF!</v>
      </c>
      <c r="AI3812" s="43" t="str">
        <f ca="1">_xll.BInterpol('Base IPCA'!$C$3:$C$14,'Base IPCA'!$E$3:$E$14,AH3812,"Cubic","Extrapolate=Linear","MultiX=Average","Skip=True","Sort=True")</f>
        <v>#N/A Invalid Parameter: Interpolation value</v>
      </c>
      <c r="AJ3812" s="43" t="str">
        <f ca="1"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44"/>
        <v>#REF!</v>
      </c>
      <c r="AI3813" s="43" t="str">
        <f ca="1">_xll.BInterpol('Base IPCA'!$C$3:$C$14,'Base IPCA'!$E$3:$E$14,AH3813,"Cubic","Extrapolate=Linear","MultiX=Average","Skip=True","Sort=True")</f>
        <v>#N/A Invalid Parameter: Interpolation value</v>
      </c>
      <c r="AJ3813" s="43" t="str">
        <f ca="1"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44"/>
        <v>#REF!</v>
      </c>
      <c r="AI3814" s="43" t="str">
        <f ca="1">_xll.BInterpol('Base IPCA'!$C$3:$C$14,'Base IPCA'!$E$3:$E$14,AH3814,"Cubic","Extrapolate=Linear","MultiX=Average","Skip=True","Sort=True")</f>
        <v>#N/A Invalid Parameter: Interpolation value</v>
      </c>
      <c r="AJ3814" s="43" t="str">
        <f ca="1"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44"/>
        <v>#REF!</v>
      </c>
      <c r="AI3815" s="43" t="str">
        <f ca="1">_xll.BInterpol('Base IPCA'!$C$3:$C$14,'Base IPCA'!$E$3:$E$14,AH3815,"Cubic","Extrapolate=Linear","MultiX=Average","Skip=True","Sort=True")</f>
        <v>#N/A Invalid Parameter: Interpolation value</v>
      </c>
      <c r="AJ3815" s="43" t="str">
        <f ca="1"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44"/>
        <v>#REF!</v>
      </c>
      <c r="AI3816" s="43" t="str">
        <f ca="1">_xll.BInterpol('Base IPCA'!$C$3:$C$14,'Base IPCA'!$E$3:$E$14,AH3816,"Cubic","Extrapolate=Linear","MultiX=Average","Skip=True","Sort=True")</f>
        <v>#N/A Invalid Parameter: Interpolation value</v>
      </c>
      <c r="AJ3816" s="43" t="str">
        <f ca="1"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44"/>
        <v>#REF!</v>
      </c>
      <c r="AI3817" s="43" t="str">
        <f ca="1">_xll.BInterpol('Base IPCA'!$C$3:$C$14,'Base IPCA'!$E$3:$E$14,AH3817,"Cubic","Extrapolate=Linear","MultiX=Average","Skip=True","Sort=True")</f>
        <v>#N/A Invalid Parameter: Interpolation value</v>
      </c>
      <c r="AJ3817" s="43" t="str">
        <f ca="1"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44"/>
        <v>#REF!</v>
      </c>
      <c r="AI3818" s="43" t="str">
        <f ca="1">_xll.BInterpol('Base IPCA'!$C$3:$C$14,'Base IPCA'!$E$3:$E$14,AH3818,"Cubic","Extrapolate=Linear","MultiX=Average","Skip=True","Sort=True")</f>
        <v>#N/A Invalid Parameter: Interpolation value</v>
      </c>
      <c r="AJ3818" s="43" t="str">
        <f ca="1"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44"/>
        <v>#REF!</v>
      </c>
      <c r="AI3819" s="43" t="str">
        <f ca="1">_xll.BInterpol('Base IPCA'!$C$3:$C$14,'Base IPCA'!$E$3:$E$14,AH3819,"Cubic","Extrapolate=Linear","MultiX=Average","Skip=True","Sort=True")</f>
        <v>#N/A Invalid Parameter: Interpolation value</v>
      </c>
      <c r="AJ3819" s="43" t="str">
        <f ca="1"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44"/>
        <v>#REF!</v>
      </c>
      <c r="AI3820" s="43" t="str">
        <f ca="1">_xll.BInterpol('Base IPCA'!$C$3:$C$14,'Base IPCA'!$E$3:$E$14,AH3820,"Cubic","Extrapolate=Linear","MultiX=Average","Skip=True","Sort=True")</f>
        <v>#N/A Invalid Parameter: Interpolation value</v>
      </c>
      <c r="AJ3820" s="43" t="str">
        <f ca="1"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44"/>
        <v>#REF!</v>
      </c>
      <c r="AI3821" s="43" t="str">
        <f ca="1">_xll.BInterpol('Base IPCA'!$C$3:$C$14,'Base IPCA'!$E$3:$E$14,AH3821,"Cubic","Extrapolate=Linear","MultiX=Average","Skip=True","Sort=True")</f>
        <v>#N/A Invalid Parameter: Interpolation value</v>
      </c>
      <c r="AJ3821" s="43" t="str">
        <f ca="1"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44"/>
        <v>#REF!</v>
      </c>
      <c r="AI3822" s="43" t="str">
        <f ca="1">_xll.BInterpol('Base IPCA'!$C$3:$C$14,'Base IPCA'!$E$3:$E$14,AH3822,"Cubic","Extrapolate=Linear","MultiX=Average","Skip=True","Sort=True")</f>
        <v>#N/A Invalid Parameter: Interpolation value</v>
      </c>
      <c r="AJ3822" s="43" t="str">
        <f ca="1"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44"/>
        <v>#REF!</v>
      </c>
      <c r="AI3823" s="43" t="str">
        <f ca="1">_xll.BInterpol('Base IPCA'!$C$3:$C$14,'Base IPCA'!$E$3:$E$14,AH3823,"Cubic","Extrapolate=Linear","MultiX=Average","Skip=True","Sort=True")</f>
        <v>#N/A Invalid Parameter: Interpolation value</v>
      </c>
      <c r="AJ3823" s="43" t="str">
        <f ca="1"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44"/>
        <v>#REF!</v>
      </c>
      <c r="AI3824" s="43" t="str">
        <f ca="1">_xll.BInterpol('Base IPCA'!$C$3:$C$14,'Base IPCA'!$E$3:$E$14,AH3824,"Cubic","Extrapolate=Linear","MultiX=Average","Skip=True","Sort=True")</f>
        <v>#N/A Invalid Parameter: Interpolation value</v>
      </c>
      <c r="AJ3824" s="43" t="str">
        <f ca="1"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44"/>
        <v>#REF!</v>
      </c>
      <c r="AI3825" s="43" t="str">
        <f ca="1">_xll.BInterpol('Base IPCA'!$C$3:$C$14,'Base IPCA'!$E$3:$E$14,AH3825,"Cubic","Extrapolate=Linear","MultiX=Average","Skip=True","Sort=True")</f>
        <v>#N/A Invalid Parameter: Interpolation value</v>
      </c>
      <c r="AJ3825" s="43" t="str">
        <f ca="1"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44"/>
        <v>#REF!</v>
      </c>
      <c r="AI3826" s="43" t="str">
        <f ca="1">_xll.BInterpol('Base IPCA'!$C$3:$C$14,'Base IPCA'!$E$3:$E$14,AH3826,"Cubic","Extrapolate=Linear","MultiX=Average","Skip=True","Sort=True")</f>
        <v>#N/A Invalid Parameter: Interpolation value</v>
      </c>
      <c r="AJ3826" s="43" t="str">
        <f ca="1"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44"/>
        <v>#REF!</v>
      </c>
      <c r="AI3827" s="43" t="str">
        <f ca="1">_xll.BInterpol('Base IPCA'!$C$3:$C$14,'Base IPCA'!$E$3:$E$14,AH3827,"Cubic","Extrapolate=Linear","MultiX=Average","Skip=True","Sort=True")</f>
        <v>#N/A Invalid Parameter: Interpolation value</v>
      </c>
      <c r="AJ3827" s="43" t="str">
        <f ca="1"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44"/>
        <v>#REF!</v>
      </c>
      <c r="AI3828" s="43" t="str">
        <f ca="1">_xll.BInterpol('Base IPCA'!$C$3:$C$14,'Base IPCA'!$E$3:$E$14,AH3828,"Cubic","Extrapolate=Linear","MultiX=Average","Skip=True","Sort=True")</f>
        <v>#N/A Invalid Parameter: Interpolation value</v>
      </c>
      <c r="AJ3828" s="43" t="str">
        <f ca="1"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44"/>
        <v>#REF!</v>
      </c>
      <c r="AI3829" s="43" t="str">
        <f ca="1">_xll.BInterpol('Base IPCA'!$C$3:$C$14,'Base IPCA'!$E$3:$E$14,AH3829,"Cubic","Extrapolate=Linear","MultiX=Average","Skip=True","Sort=True")</f>
        <v>#N/A Invalid Parameter: Interpolation value</v>
      </c>
      <c r="AJ3829" s="43" t="str">
        <f ca="1"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44"/>
        <v>#REF!</v>
      </c>
      <c r="AI3830" s="43" t="str">
        <f ca="1">_xll.BInterpol('Base IPCA'!$C$3:$C$14,'Base IPCA'!$E$3:$E$14,AH3830,"Cubic","Extrapolate=Linear","MultiX=Average","Skip=True","Sort=True")</f>
        <v>#N/A Invalid Parameter: Interpolation value</v>
      </c>
      <c r="AJ3830" s="43" t="str">
        <f ca="1"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44"/>
        <v>#REF!</v>
      </c>
      <c r="AI3831" s="43" t="str">
        <f ca="1">_xll.BInterpol('Base IPCA'!$C$3:$C$14,'Base IPCA'!$E$3:$E$14,AH3831,"Cubic","Extrapolate=Linear","MultiX=Average","Skip=True","Sort=True")</f>
        <v>#N/A Invalid Parameter: Interpolation value</v>
      </c>
      <c r="AJ3831" s="43" t="str">
        <f ca="1"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44"/>
        <v>#REF!</v>
      </c>
      <c r="AI3832" s="43" t="str">
        <f ca="1">_xll.BInterpol('Base IPCA'!$C$3:$C$14,'Base IPCA'!$E$3:$E$14,AH3832,"Cubic","Extrapolate=Linear","MultiX=Average","Skip=True","Sort=True")</f>
        <v>#N/A Invalid Parameter: Interpolation value</v>
      </c>
      <c r="AJ3832" s="43" t="str">
        <f ca="1"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44"/>
        <v>#REF!</v>
      </c>
      <c r="AI3833" s="43" t="str">
        <f ca="1">_xll.BInterpol('Base IPCA'!$C$3:$C$14,'Base IPCA'!$E$3:$E$14,AH3833,"Cubic","Extrapolate=Linear","MultiX=Average","Skip=True","Sort=True")</f>
        <v>#N/A Invalid Parameter: Interpolation value</v>
      </c>
      <c r="AJ3833" s="43" t="str">
        <f ca="1"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44"/>
        <v>#REF!</v>
      </c>
      <c r="AI3834" s="43" t="str">
        <f ca="1">_xll.BInterpol('Base IPCA'!$C$3:$C$14,'Base IPCA'!$E$3:$E$14,AH3834,"Cubic","Extrapolate=Linear","MultiX=Average","Skip=True","Sort=True")</f>
        <v>#N/A Invalid Parameter: Interpolation value</v>
      </c>
      <c r="AJ3834" s="43" t="str">
        <f ca="1"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44"/>
        <v>#REF!</v>
      </c>
      <c r="AI3835" s="43" t="str">
        <f ca="1">_xll.BInterpol('Base IPCA'!$C$3:$C$14,'Base IPCA'!$E$3:$E$14,AH3835,"Cubic","Extrapolate=Linear","MultiX=Average","Skip=True","Sort=True")</f>
        <v>#N/A Invalid Parameter: Interpolation value</v>
      </c>
      <c r="AJ3835" s="43" t="str">
        <f ca="1"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44"/>
        <v>#REF!</v>
      </c>
      <c r="AI3836" s="43" t="str">
        <f ca="1">_xll.BInterpol('Base IPCA'!$C$3:$C$14,'Base IPCA'!$E$3:$E$14,AH3836,"Cubic","Extrapolate=Linear","MultiX=Average","Skip=True","Sort=True")</f>
        <v>#N/A Invalid Parameter: Interpolation value</v>
      </c>
      <c r="AJ3836" s="43" t="str">
        <f ca="1"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44"/>
        <v>#REF!</v>
      </c>
      <c r="AI3837" s="43" t="str">
        <f ca="1">_xll.BInterpol('Base IPCA'!$C$3:$C$14,'Base IPCA'!$E$3:$E$14,AH3837,"Cubic","Extrapolate=Linear","MultiX=Average","Skip=True","Sort=True")</f>
        <v>#N/A Invalid Parameter: Interpolation value</v>
      </c>
      <c r="AJ3837" s="43" t="str">
        <f ca="1"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44"/>
        <v>#REF!</v>
      </c>
      <c r="AI3838" s="43" t="str">
        <f ca="1">_xll.BInterpol('Base IPCA'!$C$3:$C$14,'Base IPCA'!$E$3:$E$14,AH3838,"Cubic","Extrapolate=Linear","MultiX=Average","Skip=True","Sort=True")</f>
        <v>#N/A Invalid Parameter: Interpolation value</v>
      </c>
      <c r="AJ3838" s="43" t="str">
        <f ca="1"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44"/>
        <v>#REF!</v>
      </c>
      <c r="AI3839" s="43" t="str">
        <f ca="1">_xll.BInterpol('Base IPCA'!$C$3:$C$14,'Base IPCA'!$E$3:$E$14,AH3839,"Cubic","Extrapolate=Linear","MultiX=Average","Skip=True","Sort=True")</f>
        <v>#N/A Invalid Parameter: Interpolation value</v>
      </c>
      <c r="AJ3839" s="43" t="str">
        <f ca="1"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44"/>
        <v>#REF!</v>
      </c>
      <c r="AI3840" s="43" t="str">
        <f ca="1">_xll.BInterpol('Base IPCA'!$C$3:$C$14,'Base IPCA'!$E$3:$E$14,AH3840,"Cubic","Extrapolate=Linear","MultiX=Average","Skip=True","Sort=True")</f>
        <v>#N/A Invalid Parameter: Interpolation value</v>
      </c>
      <c r="AJ3840" s="43" t="str">
        <f ca="1"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44"/>
        <v>#REF!</v>
      </c>
      <c r="AI3841" s="43" t="str">
        <f ca="1">_xll.BInterpol('Base IPCA'!$C$3:$C$14,'Base IPCA'!$E$3:$E$14,AH3841,"Cubic","Extrapolate=Linear","MultiX=Average","Skip=True","Sort=True")</f>
        <v>#N/A Invalid Parameter: Interpolation value</v>
      </c>
      <c r="AJ3841" s="43" t="str">
        <f ca="1"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44"/>
        <v>#REF!</v>
      </c>
      <c r="AI3842" s="43" t="str">
        <f ca="1">_xll.BInterpol('Base IPCA'!$C$3:$C$14,'Base IPCA'!$E$3:$E$14,AH3842,"Cubic","Extrapolate=Linear","MultiX=Average","Skip=True","Sort=True")</f>
        <v>#N/A Invalid Parameter: Interpolation value</v>
      </c>
      <c r="AJ3842" s="43" t="str">
        <f ca="1"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44"/>
        <v>#REF!</v>
      </c>
      <c r="AI3843" s="43" t="str">
        <f ca="1">_xll.BInterpol('Base IPCA'!$C$3:$C$14,'Base IPCA'!$E$3:$E$14,AH3843,"Cubic","Extrapolate=Linear","MultiX=Average","Skip=True","Sort=True")</f>
        <v>#N/A Invalid Parameter: Interpolation value</v>
      </c>
      <c r="AJ3843" s="43" t="str">
        <f ca="1"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44"/>
        <v>#REF!</v>
      </c>
      <c r="AI3844" s="43" t="str">
        <f ca="1">_xll.BInterpol('Base IPCA'!$C$3:$C$14,'Base IPCA'!$E$3:$E$14,AH3844,"Cubic","Extrapolate=Linear","MultiX=Average","Skip=True","Sort=True")</f>
        <v>#N/A Invalid Parameter: Interpolation value</v>
      </c>
      <c r="AJ3844" s="43" t="str">
        <f ca="1"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44"/>
        <v>#REF!</v>
      </c>
      <c r="AI3845" s="43" t="str">
        <f ca="1">_xll.BInterpol('Base IPCA'!$C$3:$C$14,'Base IPCA'!$E$3:$E$14,AH3845,"Cubic","Extrapolate=Linear","MultiX=Average","Skip=True","Sort=True")</f>
        <v>#N/A Invalid Parameter: Interpolation value</v>
      </c>
      <c r="AJ3845" s="43" t="str">
        <f ca="1"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45">AH3845+1</f>
        <v>#REF!</v>
      </c>
      <c r="AI3846" s="43" t="str">
        <f ca="1">_xll.BInterpol('Base IPCA'!$C$3:$C$14,'Base IPCA'!$E$3:$E$14,AH3846,"Cubic","Extrapolate=Linear","MultiX=Average","Skip=True","Sort=True")</f>
        <v>#N/A Invalid Parameter: Interpolation value</v>
      </c>
      <c r="AJ3846" s="43" t="str">
        <f ca="1"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45"/>
        <v>#REF!</v>
      </c>
      <c r="AI3847" s="43" t="str">
        <f ca="1">_xll.BInterpol('Base IPCA'!$C$3:$C$14,'Base IPCA'!$E$3:$E$14,AH3847,"Cubic","Extrapolate=Linear","MultiX=Average","Skip=True","Sort=True")</f>
        <v>#N/A Invalid Parameter: Interpolation value</v>
      </c>
      <c r="AJ3847" s="43" t="str">
        <f ca="1"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45"/>
        <v>#REF!</v>
      </c>
      <c r="AI3848" s="43" t="str">
        <f ca="1">_xll.BInterpol('Base IPCA'!$C$3:$C$14,'Base IPCA'!$E$3:$E$14,AH3848,"Cubic","Extrapolate=Linear","MultiX=Average","Skip=True","Sort=True")</f>
        <v>#N/A Invalid Parameter: Interpolation value</v>
      </c>
      <c r="AJ3848" s="43" t="str">
        <f ca="1"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45"/>
        <v>#REF!</v>
      </c>
      <c r="AI3849" s="43" t="str">
        <f ca="1">_xll.BInterpol('Base IPCA'!$C$3:$C$14,'Base IPCA'!$E$3:$E$14,AH3849,"Cubic","Extrapolate=Linear","MultiX=Average","Skip=True","Sort=True")</f>
        <v>#N/A Invalid Parameter: Interpolation value</v>
      </c>
      <c r="AJ3849" s="43" t="str">
        <f ca="1"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45"/>
        <v>#REF!</v>
      </c>
      <c r="AI3850" s="43" t="str">
        <f ca="1">_xll.BInterpol('Base IPCA'!$C$3:$C$14,'Base IPCA'!$E$3:$E$14,AH3850,"Cubic","Extrapolate=Linear","MultiX=Average","Skip=True","Sort=True")</f>
        <v>#N/A Invalid Parameter: Interpolation value</v>
      </c>
      <c r="AJ3850" s="43" t="str">
        <f ca="1"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45"/>
        <v>#REF!</v>
      </c>
      <c r="AI3851" s="43" t="str">
        <f ca="1">_xll.BInterpol('Base IPCA'!$C$3:$C$14,'Base IPCA'!$E$3:$E$14,AH3851,"Cubic","Extrapolate=Linear","MultiX=Average","Skip=True","Sort=True")</f>
        <v>#N/A Invalid Parameter: Interpolation value</v>
      </c>
      <c r="AJ3851" s="43" t="str">
        <f ca="1"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45"/>
        <v>#REF!</v>
      </c>
      <c r="AI3852" s="43" t="str">
        <f ca="1">_xll.BInterpol('Base IPCA'!$C$3:$C$14,'Base IPCA'!$E$3:$E$14,AH3852,"Cubic","Extrapolate=Linear","MultiX=Average","Skip=True","Sort=True")</f>
        <v>#N/A Invalid Parameter: Interpolation value</v>
      </c>
      <c r="AJ3852" s="43" t="str">
        <f ca="1"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45"/>
        <v>#REF!</v>
      </c>
      <c r="AI3853" s="43" t="str">
        <f ca="1">_xll.BInterpol('Base IPCA'!$C$3:$C$14,'Base IPCA'!$E$3:$E$14,AH3853,"Cubic","Extrapolate=Linear","MultiX=Average","Skip=True","Sort=True")</f>
        <v>#N/A Invalid Parameter: Interpolation value</v>
      </c>
      <c r="AJ3853" s="43" t="str">
        <f ca="1"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45"/>
        <v>#REF!</v>
      </c>
      <c r="AI3854" s="43" t="str">
        <f ca="1">_xll.BInterpol('Base IPCA'!$C$3:$C$14,'Base IPCA'!$E$3:$E$14,AH3854,"Cubic","Extrapolate=Linear","MultiX=Average","Skip=True","Sort=True")</f>
        <v>#N/A Invalid Parameter: Interpolation value</v>
      </c>
      <c r="AJ3854" s="43" t="str">
        <f ca="1"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45"/>
        <v>#REF!</v>
      </c>
      <c r="AI3855" s="43" t="str">
        <f ca="1">_xll.BInterpol('Base IPCA'!$C$3:$C$14,'Base IPCA'!$E$3:$E$14,AH3855,"Cubic","Extrapolate=Linear","MultiX=Average","Skip=True","Sort=True")</f>
        <v>#N/A Invalid Parameter: Interpolation value</v>
      </c>
      <c r="AJ3855" s="43" t="str">
        <f ca="1"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45"/>
        <v>#REF!</v>
      </c>
      <c r="AI3856" s="43" t="str">
        <f ca="1">_xll.BInterpol('Base IPCA'!$C$3:$C$14,'Base IPCA'!$E$3:$E$14,AH3856,"Cubic","Extrapolate=Linear","MultiX=Average","Skip=True","Sort=True")</f>
        <v>#N/A Invalid Parameter: Interpolation value</v>
      </c>
      <c r="AJ3856" s="43" t="str">
        <f ca="1"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45"/>
        <v>#REF!</v>
      </c>
      <c r="AI3857" s="43" t="str">
        <f ca="1">_xll.BInterpol('Base IPCA'!$C$3:$C$14,'Base IPCA'!$E$3:$E$14,AH3857,"Cubic","Extrapolate=Linear","MultiX=Average","Skip=True","Sort=True")</f>
        <v>#N/A Invalid Parameter: Interpolation value</v>
      </c>
      <c r="AJ3857" s="43" t="str">
        <f ca="1"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45"/>
        <v>#REF!</v>
      </c>
      <c r="AI3858" s="43" t="str">
        <f ca="1">_xll.BInterpol('Base IPCA'!$C$3:$C$14,'Base IPCA'!$E$3:$E$14,AH3858,"Cubic","Extrapolate=Linear","MultiX=Average","Skip=True","Sort=True")</f>
        <v>#N/A Invalid Parameter: Interpolation value</v>
      </c>
      <c r="AJ3858" s="43" t="str">
        <f ca="1"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45"/>
        <v>#REF!</v>
      </c>
      <c r="AI3859" s="43" t="str">
        <f ca="1">_xll.BInterpol('Base IPCA'!$C$3:$C$14,'Base IPCA'!$E$3:$E$14,AH3859,"Cubic","Extrapolate=Linear","MultiX=Average","Skip=True","Sort=True")</f>
        <v>#N/A Invalid Parameter: Interpolation value</v>
      </c>
      <c r="AJ3859" s="43" t="str">
        <f ca="1"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45"/>
        <v>#REF!</v>
      </c>
      <c r="AI3860" s="43" t="str">
        <f ca="1">_xll.BInterpol('Base IPCA'!$C$3:$C$14,'Base IPCA'!$E$3:$E$14,AH3860,"Cubic","Extrapolate=Linear","MultiX=Average","Skip=True","Sort=True")</f>
        <v>#N/A Invalid Parameter: Interpolation value</v>
      </c>
      <c r="AJ3860" s="43" t="str">
        <f ca="1"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45"/>
        <v>#REF!</v>
      </c>
      <c r="AI3861" s="43" t="str">
        <f ca="1">_xll.BInterpol('Base IPCA'!$C$3:$C$14,'Base IPCA'!$E$3:$E$14,AH3861,"Cubic","Extrapolate=Linear","MultiX=Average","Skip=True","Sort=True")</f>
        <v>#N/A Invalid Parameter: Interpolation value</v>
      </c>
      <c r="AJ3861" s="43" t="str">
        <f ca="1"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45"/>
        <v>#REF!</v>
      </c>
      <c r="AI3862" s="43" t="str">
        <f ca="1">_xll.BInterpol('Base IPCA'!$C$3:$C$14,'Base IPCA'!$E$3:$E$14,AH3862,"Cubic","Extrapolate=Linear","MultiX=Average","Skip=True","Sort=True")</f>
        <v>#N/A Invalid Parameter: Interpolation value</v>
      </c>
      <c r="AJ3862" s="43" t="str">
        <f ca="1"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45"/>
        <v>#REF!</v>
      </c>
      <c r="AI3863" s="43" t="str">
        <f ca="1">_xll.BInterpol('Base IPCA'!$C$3:$C$14,'Base IPCA'!$E$3:$E$14,AH3863,"Cubic","Extrapolate=Linear","MultiX=Average","Skip=True","Sort=True")</f>
        <v>#N/A Invalid Parameter: Interpolation value</v>
      </c>
      <c r="AJ3863" s="43" t="str">
        <f ca="1"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45"/>
        <v>#REF!</v>
      </c>
      <c r="AI3864" s="43" t="str">
        <f ca="1">_xll.BInterpol('Base IPCA'!$C$3:$C$14,'Base IPCA'!$E$3:$E$14,AH3864,"Cubic","Extrapolate=Linear","MultiX=Average","Skip=True","Sort=True")</f>
        <v>#N/A Invalid Parameter: Interpolation value</v>
      </c>
      <c r="AJ3864" s="43" t="str">
        <f ca="1"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45"/>
        <v>#REF!</v>
      </c>
      <c r="AI3865" s="43" t="str">
        <f ca="1">_xll.BInterpol('Base IPCA'!$C$3:$C$14,'Base IPCA'!$E$3:$E$14,AH3865,"Cubic","Extrapolate=Linear","MultiX=Average","Skip=True","Sort=True")</f>
        <v>#N/A Invalid Parameter: Interpolation value</v>
      </c>
      <c r="AJ3865" s="43" t="str">
        <f ca="1"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45"/>
        <v>#REF!</v>
      </c>
      <c r="AI3866" s="43" t="str">
        <f ca="1">_xll.BInterpol('Base IPCA'!$C$3:$C$14,'Base IPCA'!$E$3:$E$14,AH3866,"Cubic","Extrapolate=Linear","MultiX=Average","Skip=True","Sort=True")</f>
        <v>#N/A Invalid Parameter: Interpolation value</v>
      </c>
      <c r="AJ3866" s="43" t="str">
        <f ca="1"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45"/>
        <v>#REF!</v>
      </c>
      <c r="AI3867" s="43" t="str">
        <f ca="1">_xll.BInterpol('Base IPCA'!$C$3:$C$14,'Base IPCA'!$E$3:$E$14,AH3867,"Cubic","Extrapolate=Linear","MultiX=Average","Skip=True","Sort=True")</f>
        <v>#N/A Invalid Parameter: Interpolation value</v>
      </c>
      <c r="AJ3867" s="43" t="str">
        <f ca="1"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45"/>
        <v>#REF!</v>
      </c>
      <c r="AI3868" s="43" t="str">
        <f ca="1">_xll.BInterpol('Base IPCA'!$C$3:$C$14,'Base IPCA'!$E$3:$E$14,AH3868,"Cubic","Extrapolate=Linear","MultiX=Average","Skip=True","Sort=True")</f>
        <v>#N/A Invalid Parameter: Interpolation value</v>
      </c>
      <c r="AJ3868" s="43" t="str">
        <f ca="1"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45"/>
        <v>#REF!</v>
      </c>
      <c r="AI3869" s="43" t="str">
        <f ca="1">_xll.BInterpol('Base IPCA'!$C$3:$C$14,'Base IPCA'!$E$3:$E$14,AH3869,"Cubic","Extrapolate=Linear","MultiX=Average","Skip=True","Sort=True")</f>
        <v>#N/A Invalid Parameter: Interpolation value</v>
      </c>
      <c r="AJ3869" s="43" t="str">
        <f ca="1"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45"/>
        <v>#REF!</v>
      </c>
      <c r="AI3870" s="43" t="str">
        <f ca="1">_xll.BInterpol('Base IPCA'!$C$3:$C$14,'Base IPCA'!$E$3:$E$14,AH3870,"Cubic","Extrapolate=Linear","MultiX=Average","Skip=True","Sort=True")</f>
        <v>#N/A Invalid Parameter: Interpolation value</v>
      </c>
      <c r="AJ3870" s="43" t="str">
        <f ca="1"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45"/>
        <v>#REF!</v>
      </c>
      <c r="AI3871" s="43" t="str">
        <f ca="1">_xll.BInterpol('Base IPCA'!$C$3:$C$14,'Base IPCA'!$E$3:$E$14,AH3871,"Cubic","Extrapolate=Linear","MultiX=Average","Skip=True","Sort=True")</f>
        <v>#N/A Invalid Parameter: Interpolation value</v>
      </c>
      <c r="AJ3871" s="43" t="str">
        <f ca="1"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45"/>
        <v>#REF!</v>
      </c>
      <c r="AI3872" s="43" t="str">
        <f ca="1">_xll.BInterpol('Base IPCA'!$C$3:$C$14,'Base IPCA'!$E$3:$E$14,AH3872,"Cubic","Extrapolate=Linear","MultiX=Average","Skip=True","Sort=True")</f>
        <v>#N/A Invalid Parameter: Interpolation value</v>
      </c>
      <c r="AJ3872" s="43" t="str">
        <f ca="1"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45"/>
        <v>#REF!</v>
      </c>
      <c r="AI3873" s="43" t="str">
        <f ca="1">_xll.BInterpol('Base IPCA'!$C$3:$C$14,'Base IPCA'!$E$3:$E$14,AH3873,"Cubic","Extrapolate=Linear","MultiX=Average","Skip=True","Sort=True")</f>
        <v>#N/A Invalid Parameter: Interpolation value</v>
      </c>
      <c r="AJ3873" s="43" t="str">
        <f ca="1"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45"/>
        <v>#REF!</v>
      </c>
      <c r="AI3874" s="43" t="str">
        <f ca="1">_xll.BInterpol('Base IPCA'!$C$3:$C$14,'Base IPCA'!$E$3:$E$14,AH3874,"Cubic","Extrapolate=Linear","MultiX=Average","Skip=True","Sort=True")</f>
        <v>#N/A Invalid Parameter: Interpolation value</v>
      </c>
      <c r="AJ3874" s="43" t="str">
        <f ca="1"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45"/>
        <v>#REF!</v>
      </c>
      <c r="AI3875" s="43" t="str">
        <f ca="1">_xll.BInterpol('Base IPCA'!$C$3:$C$14,'Base IPCA'!$E$3:$E$14,AH3875,"Cubic","Extrapolate=Linear","MultiX=Average","Skip=True","Sort=True")</f>
        <v>#N/A Invalid Parameter: Interpolation value</v>
      </c>
      <c r="AJ3875" s="43" t="str">
        <f ca="1"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45"/>
        <v>#REF!</v>
      </c>
      <c r="AI3876" s="43" t="str">
        <f ca="1">_xll.BInterpol('Base IPCA'!$C$3:$C$14,'Base IPCA'!$E$3:$E$14,AH3876,"Cubic","Extrapolate=Linear","MultiX=Average","Skip=True","Sort=True")</f>
        <v>#N/A Invalid Parameter: Interpolation value</v>
      </c>
      <c r="AJ3876" s="43" t="str">
        <f ca="1"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45"/>
        <v>#REF!</v>
      </c>
      <c r="AI3877" s="43" t="str">
        <f ca="1">_xll.BInterpol('Base IPCA'!$C$3:$C$14,'Base IPCA'!$E$3:$E$14,AH3877,"Cubic","Extrapolate=Linear","MultiX=Average","Skip=True","Sort=True")</f>
        <v>#N/A Invalid Parameter: Interpolation value</v>
      </c>
      <c r="AJ3877" s="43" t="str">
        <f ca="1"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45"/>
        <v>#REF!</v>
      </c>
      <c r="AI3878" s="43" t="str">
        <f ca="1">_xll.BInterpol('Base IPCA'!$C$3:$C$14,'Base IPCA'!$E$3:$E$14,AH3878,"Cubic","Extrapolate=Linear","MultiX=Average","Skip=True","Sort=True")</f>
        <v>#N/A Invalid Parameter: Interpolation value</v>
      </c>
      <c r="AJ3878" s="43" t="str">
        <f ca="1"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45"/>
        <v>#REF!</v>
      </c>
      <c r="AI3879" s="43" t="str">
        <f ca="1">_xll.BInterpol('Base IPCA'!$C$3:$C$14,'Base IPCA'!$E$3:$E$14,AH3879,"Cubic","Extrapolate=Linear","MultiX=Average","Skip=True","Sort=True")</f>
        <v>#N/A Invalid Parameter: Interpolation value</v>
      </c>
      <c r="AJ3879" s="43" t="str">
        <f ca="1"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45"/>
        <v>#REF!</v>
      </c>
      <c r="AI3880" s="43" t="str">
        <f ca="1">_xll.BInterpol('Base IPCA'!$C$3:$C$14,'Base IPCA'!$E$3:$E$14,AH3880,"Cubic","Extrapolate=Linear","MultiX=Average","Skip=True","Sort=True")</f>
        <v>#N/A Invalid Parameter: Interpolation value</v>
      </c>
      <c r="AJ3880" s="43" t="str">
        <f ca="1"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45"/>
        <v>#REF!</v>
      </c>
      <c r="AI3881" s="43" t="str">
        <f ca="1">_xll.BInterpol('Base IPCA'!$C$3:$C$14,'Base IPCA'!$E$3:$E$14,AH3881,"Cubic","Extrapolate=Linear","MultiX=Average","Skip=True","Sort=True")</f>
        <v>#N/A Invalid Parameter: Interpolation value</v>
      </c>
      <c r="AJ3881" s="43" t="str">
        <f ca="1"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45"/>
        <v>#REF!</v>
      </c>
      <c r="AI3882" s="43" t="str">
        <f ca="1">_xll.BInterpol('Base IPCA'!$C$3:$C$14,'Base IPCA'!$E$3:$E$14,AH3882,"Cubic","Extrapolate=Linear","MultiX=Average","Skip=True","Sort=True")</f>
        <v>#N/A Invalid Parameter: Interpolation value</v>
      </c>
      <c r="AJ3882" s="43" t="str">
        <f ca="1"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45"/>
        <v>#REF!</v>
      </c>
      <c r="AI3883" s="43" t="str">
        <f ca="1">_xll.BInterpol('Base IPCA'!$C$3:$C$14,'Base IPCA'!$E$3:$E$14,AH3883,"Cubic","Extrapolate=Linear","MultiX=Average","Skip=True","Sort=True")</f>
        <v>#N/A Invalid Parameter: Interpolation value</v>
      </c>
      <c r="AJ3883" s="43" t="str">
        <f ca="1"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45"/>
        <v>#REF!</v>
      </c>
      <c r="AI3884" s="43" t="str">
        <f ca="1">_xll.BInterpol('Base IPCA'!$C$3:$C$14,'Base IPCA'!$E$3:$E$14,AH3884,"Cubic","Extrapolate=Linear","MultiX=Average","Skip=True","Sort=True")</f>
        <v>#N/A Invalid Parameter: Interpolation value</v>
      </c>
      <c r="AJ3884" s="43" t="str">
        <f ca="1"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45"/>
        <v>#REF!</v>
      </c>
      <c r="AI3885" s="43" t="str">
        <f ca="1">_xll.BInterpol('Base IPCA'!$C$3:$C$14,'Base IPCA'!$E$3:$E$14,AH3885,"Cubic","Extrapolate=Linear","MultiX=Average","Skip=True","Sort=True")</f>
        <v>#N/A Invalid Parameter: Interpolation value</v>
      </c>
      <c r="AJ3885" s="43" t="str">
        <f ca="1"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45"/>
        <v>#REF!</v>
      </c>
      <c r="AI3886" s="43" t="str">
        <f ca="1">_xll.BInterpol('Base IPCA'!$C$3:$C$14,'Base IPCA'!$E$3:$E$14,AH3886,"Cubic","Extrapolate=Linear","MultiX=Average","Skip=True","Sort=True")</f>
        <v>#N/A Invalid Parameter: Interpolation value</v>
      </c>
      <c r="AJ3886" s="43" t="str">
        <f ca="1"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45"/>
        <v>#REF!</v>
      </c>
      <c r="AI3887" s="43" t="str">
        <f ca="1">_xll.BInterpol('Base IPCA'!$C$3:$C$14,'Base IPCA'!$E$3:$E$14,AH3887,"Cubic","Extrapolate=Linear","MultiX=Average","Skip=True","Sort=True")</f>
        <v>#N/A Invalid Parameter: Interpolation value</v>
      </c>
      <c r="AJ3887" s="43" t="str">
        <f ca="1"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45"/>
        <v>#REF!</v>
      </c>
      <c r="AI3888" s="43" t="str">
        <f ca="1">_xll.BInterpol('Base IPCA'!$C$3:$C$14,'Base IPCA'!$E$3:$E$14,AH3888,"Cubic","Extrapolate=Linear","MultiX=Average","Skip=True","Sort=True")</f>
        <v>#N/A Invalid Parameter: Interpolation value</v>
      </c>
      <c r="AJ3888" s="43" t="str">
        <f ca="1"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45"/>
        <v>#REF!</v>
      </c>
      <c r="AI3889" s="43" t="str">
        <f ca="1">_xll.BInterpol('Base IPCA'!$C$3:$C$14,'Base IPCA'!$E$3:$E$14,AH3889,"Cubic","Extrapolate=Linear","MultiX=Average","Skip=True","Sort=True")</f>
        <v>#N/A Invalid Parameter: Interpolation value</v>
      </c>
      <c r="AJ3889" s="43" t="str">
        <f ca="1"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45"/>
        <v>#REF!</v>
      </c>
      <c r="AI3890" s="43" t="str">
        <f ca="1">_xll.BInterpol('Base IPCA'!$C$3:$C$14,'Base IPCA'!$E$3:$E$14,AH3890,"Cubic","Extrapolate=Linear","MultiX=Average","Skip=True","Sort=True")</f>
        <v>#N/A Invalid Parameter: Interpolation value</v>
      </c>
      <c r="AJ3890" s="43" t="str">
        <f ca="1"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45"/>
        <v>#REF!</v>
      </c>
      <c r="AI3891" s="43" t="str">
        <f ca="1">_xll.BInterpol('Base IPCA'!$C$3:$C$14,'Base IPCA'!$E$3:$E$14,AH3891,"Cubic","Extrapolate=Linear","MultiX=Average","Skip=True","Sort=True")</f>
        <v>#N/A Invalid Parameter: Interpolation value</v>
      </c>
      <c r="AJ3891" s="43" t="str">
        <f ca="1"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45"/>
        <v>#REF!</v>
      </c>
      <c r="AI3892" s="43" t="str">
        <f ca="1">_xll.BInterpol('Base IPCA'!$C$3:$C$14,'Base IPCA'!$E$3:$E$14,AH3892,"Cubic","Extrapolate=Linear","MultiX=Average","Skip=True","Sort=True")</f>
        <v>#N/A Invalid Parameter: Interpolation value</v>
      </c>
      <c r="AJ3892" s="43" t="str">
        <f ca="1"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45"/>
        <v>#REF!</v>
      </c>
      <c r="AI3893" s="43" t="str">
        <f ca="1">_xll.BInterpol('Base IPCA'!$C$3:$C$14,'Base IPCA'!$E$3:$E$14,AH3893,"Cubic","Extrapolate=Linear","MultiX=Average","Skip=True","Sort=True")</f>
        <v>#N/A Invalid Parameter: Interpolation value</v>
      </c>
      <c r="AJ3893" s="43" t="str">
        <f ca="1"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45"/>
        <v>#REF!</v>
      </c>
      <c r="AI3894" s="43" t="str">
        <f ca="1">_xll.BInterpol('Base IPCA'!$C$3:$C$14,'Base IPCA'!$E$3:$E$14,AH3894,"Cubic","Extrapolate=Linear","MultiX=Average","Skip=True","Sort=True")</f>
        <v>#N/A Invalid Parameter: Interpolation value</v>
      </c>
      <c r="AJ3894" s="43" t="str">
        <f ca="1"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45"/>
        <v>#REF!</v>
      </c>
      <c r="AI3895" s="43" t="str">
        <f ca="1">_xll.BInterpol('Base IPCA'!$C$3:$C$14,'Base IPCA'!$E$3:$E$14,AH3895,"Cubic","Extrapolate=Linear","MultiX=Average","Skip=True","Sort=True")</f>
        <v>#N/A Invalid Parameter: Interpolation value</v>
      </c>
      <c r="AJ3895" s="43" t="str">
        <f ca="1"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45"/>
        <v>#REF!</v>
      </c>
      <c r="AI3896" s="43" t="str">
        <f ca="1">_xll.BInterpol('Base IPCA'!$C$3:$C$14,'Base IPCA'!$E$3:$E$14,AH3896,"Cubic","Extrapolate=Linear","MultiX=Average","Skip=True","Sort=True")</f>
        <v>#N/A Invalid Parameter: Interpolation value</v>
      </c>
      <c r="AJ3896" s="43" t="str">
        <f ca="1"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45"/>
        <v>#REF!</v>
      </c>
      <c r="AI3897" s="43" t="str">
        <f ca="1">_xll.BInterpol('Base IPCA'!$C$3:$C$14,'Base IPCA'!$E$3:$E$14,AH3897,"Cubic","Extrapolate=Linear","MultiX=Average","Skip=True","Sort=True")</f>
        <v>#N/A Invalid Parameter: Interpolation value</v>
      </c>
      <c r="AJ3897" s="43" t="str">
        <f ca="1"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45"/>
        <v>#REF!</v>
      </c>
      <c r="AI3898" s="43" t="str">
        <f ca="1">_xll.BInterpol('Base IPCA'!$C$3:$C$14,'Base IPCA'!$E$3:$E$14,AH3898,"Cubic","Extrapolate=Linear","MultiX=Average","Skip=True","Sort=True")</f>
        <v>#N/A Invalid Parameter: Interpolation value</v>
      </c>
      <c r="AJ3898" s="43" t="str">
        <f ca="1"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45"/>
        <v>#REF!</v>
      </c>
      <c r="AI3899" s="43" t="str">
        <f ca="1">_xll.BInterpol('Base IPCA'!$C$3:$C$14,'Base IPCA'!$E$3:$E$14,AH3899,"Cubic","Extrapolate=Linear","MultiX=Average","Skip=True","Sort=True")</f>
        <v>#N/A Invalid Parameter: Interpolation value</v>
      </c>
      <c r="AJ3899" s="43" t="str">
        <f ca="1"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45"/>
        <v>#REF!</v>
      </c>
      <c r="AI3900" s="43" t="str">
        <f ca="1">_xll.BInterpol('Base IPCA'!$C$3:$C$14,'Base IPCA'!$E$3:$E$14,AH3900,"Cubic","Extrapolate=Linear","MultiX=Average","Skip=True","Sort=True")</f>
        <v>#N/A Invalid Parameter: Interpolation value</v>
      </c>
      <c r="AJ3900" s="43" t="str">
        <f ca="1"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45"/>
        <v>#REF!</v>
      </c>
      <c r="AI3901" s="43" t="str">
        <f ca="1">_xll.BInterpol('Base IPCA'!$C$3:$C$14,'Base IPCA'!$E$3:$E$14,AH3901,"Cubic","Extrapolate=Linear","MultiX=Average","Skip=True","Sort=True")</f>
        <v>#N/A Invalid Parameter: Interpolation value</v>
      </c>
      <c r="AJ3901" s="43" t="str">
        <f ca="1"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45"/>
        <v>#REF!</v>
      </c>
      <c r="AI3902" s="43" t="str">
        <f ca="1">_xll.BInterpol('Base IPCA'!$C$3:$C$14,'Base IPCA'!$E$3:$E$14,AH3902,"Cubic","Extrapolate=Linear","MultiX=Average","Skip=True","Sort=True")</f>
        <v>#N/A Invalid Parameter: Interpolation value</v>
      </c>
      <c r="AJ3902" s="43" t="str">
        <f ca="1"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45"/>
        <v>#REF!</v>
      </c>
      <c r="AI3903" s="43" t="str">
        <f ca="1">_xll.BInterpol('Base IPCA'!$C$3:$C$14,'Base IPCA'!$E$3:$E$14,AH3903,"Cubic","Extrapolate=Linear","MultiX=Average","Skip=True","Sort=True")</f>
        <v>#N/A Invalid Parameter: Interpolation value</v>
      </c>
      <c r="AJ3903" s="43" t="str">
        <f ca="1"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45"/>
        <v>#REF!</v>
      </c>
      <c r="AI3904" s="43" t="str">
        <f ca="1">_xll.BInterpol('Base IPCA'!$C$3:$C$14,'Base IPCA'!$E$3:$E$14,AH3904,"Cubic","Extrapolate=Linear","MultiX=Average","Skip=True","Sort=True")</f>
        <v>#N/A Invalid Parameter: Interpolation value</v>
      </c>
      <c r="AJ3904" s="43" t="str">
        <f ca="1"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45"/>
        <v>#REF!</v>
      </c>
      <c r="AI3905" s="43" t="str">
        <f ca="1">_xll.BInterpol('Base IPCA'!$C$3:$C$14,'Base IPCA'!$E$3:$E$14,AH3905,"Cubic","Extrapolate=Linear","MultiX=Average","Skip=True","Sort=True")</f>
        <v>#N/A Invalid Parameter: Interpolation value</v>
      </c>
      <c r="AJ3905" s="43" t="str">
        <f ca="1"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45"/>
        <v>#REF!</v>
      </c>
      <c r="AI3906" s="43" t="str">
        <f ca="1">_xll.BInterpol('Base IPCA'!$C$3:$C$14,'Base IPCA'!$E$3:$E$14,AH3906,"Cubic","Extrapolate=Linear","MultiX=Average","Skip=True","Sort=True")</f>
        <v>#N/A Invalid Parameter: Interpolation value</v>
      </c>
      <c r="AJ3906" s="43" t="str">
        <f ca="1"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45"/>
        <v>#REF!</v>
      </c>
      <c r="AI3907" s="43" t="str">
        <f ca="1">_xll.BInterpol('Base IPCA'!$C$3:$C$14,'Base IPCA'!$E$3:$E$14,AH3907,"Cubic","Extrapolate=Linear","MultiX=Average","Skip=True","Sort=True")</f>
        <v>#N/A Invalid Parameter: Interpolation value</v>
      </c>
      <c r="AJ3907" s="43" t="str">
        <f ca="1"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45"/>
        <v>#REF!</v>
      </c>
      <c r="AI3908" s="43" t="str">
        <f ca="1">_xll.BInterpol('Base IPCA'!$C$3:$C$14,'Base IPCA'!$E$3:$E$14,AH3908,"Cubic","Extrapolate=Linear","MultiX=Average","Skip=True","Sort=True")</f>
        <v>#N/A Invalid Parameter: Interpolation value</v>
      </c>
      <c r="AJ3908" s="43" t="str">
        <f ca="1"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45"/>
        <v>#REF!</v>
      </c>
      <c r="AI3909" s="43" t="str">
        <f ca="1">_xll.BInterpol('Base IPCA'!$C$3:$C$14,'Base IPCA'!$E$3:$E$14,AH3909,"Cubic","Extrapolate=Linear","MultiX=Average","Skip=True","Sort=True")</f>
        <v>#N/A Invalid Parameter: Interpolation value</v>
      </c>
      <c r="AJ3909" s="43" t="str">
        <f ca="1"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46">AH3909+1</f>
        <v>#REF!</v>
      </c>
      <c r="AI3910" s="43" t="str">
        <f ca="1">_xll.BInterpol('Base IPCA'!$C$3:$C$14,'Base IPCA'!$E$3:$E$14,AH3910,"Cubic","Extrapolate=Linear","MultiX=Average","Skip=True","Sort=True")</f>
        <v>#N/A Invalid Parameter: Interpolation value</v>
      </c>
      <c r="AJ3910" s="43" t="str">
        <f ca="1"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46"/>
        <v>#REF!</v>
      </c>
      <c r="AI3911" s="43" t="str">
        <f ca="1">_xll.BInterpol('Base IPCA'!$C$3:$C$14,'Base IPCA'!$E$3:$E$14,AH3911,"Cubic","Extrapolate=Linear","MultiX=Average","Skip=True","Sort=True")</f>
        <v>#N/A Invalid Parameter: Interpolation value</v>
      </c>
      <c r="AJ3911" s="43" t="str">
        <f ca="1"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46"/>
        <v>#REF!</v>
      </c>
      <c r="AI3912" s="43" t="str">
        <f ca="1">_xll.BInterpol('Base IPCA'!$C$3:$C$14,'Base IPCA'!$E$3:$E$14,AH3912,"Cubic","Extrapolate=Linear","MultiX=Average","Skip=True","Sort=True")</f>
        <v>#N/A Invalid Parameter: Interpolation value</v>
      </c>
      <c r="AJ3912" s="43" t="str">
        <f ca="1"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46"/>
        <v>#REF!</v>
      </c>
      <c r="AI3913" s="43" t="str">
        <f ca="1">_xll.BInterpol('Base IPCA'!$C$3:$C$14,'Base IPCA'!$E$3:$E$14,AH3913,"Cubic","Extrapolate=Linear","MultiX=Average","Skip=True","Sort=True")</f>
        <v>#N/A Invalid Parameter: Interpolation value</v>
      </c>
      <c r="AJ3913" s="43" t="str">
        <f ca="1"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46"/>
        <v>#REF!</v>
      </c>
      <c r="AI3914" s="43" t="str">
        <f ca="1">_xll.BInterpol('Base IPCA'!$C$3:$C$14,'Base IPCA'!$E$3:$E$14,AH3914,"Cubic","Extrapolate=Linear","MultiX=Average","Skip=True","Sort=True")</f>
        <v>#N/A Invalid Parameter: Interpolation value</v>
      </c>
      <c r="AJ3914" s="43" t="str">
        <f ca="1"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46"/>
        <v>#REF!</v>
      </c>
      <c r="AI3915" s="43" t="str">
        <f ca="1">_xll.BInterpol('Base IPCA'!$C$3:$C$14,'Base IPCA'!$E$3:$E$14,AH3915,"Cubic","Extrapolate=Linear","MultiX=Average","Skip=True","Sort=True")</f>
        <v>#N/A Invalid Parameter: Interpolation value</v>
      </c>
      <c r="AJ3915" s="43" t="str">
        <f ca="1"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46"/>
        <v>#REF!</v>
      </c>
      <c r="AI3916" s="43" t="str">
        <f ca="1">_xll.BInterpol('Base IPCA'!$C$3:$C$14,'Base IPCA'!$E$3:$E$14,AH3916,"Cubic","Extrapolate=Linear","MultiX=Average","Skip=True","Sort=True")</f>
        <v>#N/A Invalid Parameter: Interpolation value</v>
      </c>
      <c r="AJ3916" s="43" t="str">
        <f ca="1"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46"/>
        <v>#REF!</v>
      </c>
      <c r="AI3917" s="43" t="str">
        <f ca="1">_xll.BInterpol('Base IPCA'!$C$3:$C$14,'Base IPCA'!$E$3:$E$14,AH3917,"Cubic","Extrapolate=Linear","MultiX=Average","Skip=True","Sort=True")</f>
        <v>#N/A Invalid Parameter: Interpolation value</v>
      </c>
      <c r="AJ3917" s="43" t="str">
        <f ca="1"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46"/>
        <v>#REF!</v>
      </c>
      <c r="AI3918" s="43" t="str">
        <f ca="1">_xll.BInterpol('Base IPCA'!$C$3:$C$14,'Base IPCA'!$E$3:$E$14,AH3918,"Cubic","Extrapolate=Linear","MultiX=Average","Skip=True","Sort=True")</f>
        <v>#N/A Invalid Parameter: Interpolation value</v>
      </c>
      <c r="AJ3918" s="43" t="str">
        <f ca="1"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46"/>
        <v>#REF!</v>
      </c>
      <c r="AI3919" s="43" t="str">
        <f ca="1">_xll.BInterpol('Base IPCA'!$C$3:$C$14,'Base IPCA'!$E$3:$E$14,AH3919,"Cubic","Extrapolate=Linear","MultiX=Average","Skip=True","Sort=True")</f>
        <v>#N/A Invalid Parameter: Interpolation value</v>
      </c>
      <c r="AJ3919" s="43" t="str">
        <f ca="1"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46"/>
        <v>#REF!</v>
      </c>
      <c r="AI3920" s="43" t="str">
        <f ca="1">_xll.BInterpol('Base IPCA'!$C$3:$C$14,'Base IPCA'!$E$3:$E$14,AH3920,"Cubic","Extrapolate=Linear","MultiX=Average","Skip=True","Sort=True")</f>
        <v>#N/A Invalid Parameter: Interpolation value</v>
      </c>
      <c r="AJ3920" s="43" t="str">
        <f ca="1"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46"/>
        <v>#REF!</v>
      </c>
      <c r="AI3921" s="43" t="str">
        <f ca="1">_xll.BInterpol('Base IPCA'!$C$3:$C$14,'Base IPCA'!$E$3:$E$14,AH3921,"Cubic","Extrapolate=Linear","MultiX=Average","Skip=True","Sort=True")</f>
        <v>#N/A Invalid Parameter: Interpolation value</v>
      </c>
      <c r="AJ3921" s="43" t="str">
        <f ca="1"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46"/>
        <v>#REF!</v>
      </c>
      <c r="AI3922" s="43" t="str">
        <f ca="1">_xll.BInterpol('Base IPCA'!$C$3:$C$14,'Base IPCA'!$E$3:$E$14,AH3922,"Cubic","Extrapolate=Linear","MultiX=Average","Skip=True","Sort=True")</f>
        <v>#N/A Invalid Parameter: Interpolation value</v>
      </c>
      <c r="AJ3922" s="43" t="str">
        <f ca="1"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46"/>
        <v>#REF!</v>
      </c>
      <c r="AI3923" s="43" t="str">
        <f ca="1">_xll.BInterpol('Base IPCA'!$C$3:$C$14,'Base IPCA'!$E$3:$E$14,AH3923,"Cubic","Extrapolate=Linear","MultiX=Average","Skip=True","Sort=True")</f>
        <v>#N/A Invalid Parameter: Interpolation value</v>
      </c>
      <c r="AJ3923" s="43" t="str">
        <f ca="1"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46"/>
        <v>#REF!</v>
      </c>
      <c r="AI3924" s="43" t="str">
        <f ca="1">_xll.BInterpol('Base IPCA'!$C$3:$C$14,'Base IPCA'!$E$3:$E$14,AH3924,"Cubic","Extrapolate=Linear","MultiX=Average","Skip=True","Sort=True")</f>
        <v>#N/A Invalid Parameter: Interpolation value</v>
      </c>
      <c r="AJ3924" s="43" t="str">
        <f ca="1"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46"/>
        <v>#REF!</v>
      </c>
      <c r="AI3925" s="43" t="str">
        <f ca="1">_xll.BInterpol('Base IPCA'!$C$3:$C$14,'Base IPCA'!$E$3:$E$14,AH3925,"Cubic","Extrapolate=Linear","MultiX=Average","Skip=True","Sort=True")</f>
        <v>#N/A Invalid Parameter: Interpolation value</v>
      </c>
      <c r="AJ3925" s="43" t="str">
        <f ca="1"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46"/>
        <v>#REF!</v>
      </c>
      <c r="AI3926" s="43" t="str">
        <f ca="1">_xll.BInterpol('Base IPCA'!$C$3:$C$14,'Base IPCA'!$E$3:$E$14,AH3926,"Cubic","Extrapolate=Linear","MultiX=Average","Skip=True","Sort=True")</f>
        <v>#N/A Invalid Parameter: Interpolation value</v>
      </c>
      <c r="AJ3926" s="43" t="str">
        <f ca="1"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46"/>
        <v>#REF!</v>
      </c>
      <c r="AI3927" s="43" t="str">
        <f ca="1">_xll.BInterpol('Base IPCA'!$C$3:$C$14,'Base IPCA'!$E$3:$E$14,AH3927,"Cubic","Extrapolate=Linear","MultiX=Average","Skip=True","Sort=True")</f>
        <v>#N/A Invalid Parameter: Interpolation value</v>
      </c>
      <c r="AJ3927" s="43" t="str">
        <f ca="1"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46"/>
        <v>#REF!</v>
      </c>
      <c r="AI3928" s="43" t="str">
        <f ca="1">_xll.BInterpol('Base IPCA'!$C$3:$C$14,'Base IPCA'!$E$3:$E$14,AH3928,"Cubic","Extrapolate=Linear","MultiX=Average","Skip=True","Sort=True")</f>
        <v>#N/A Invalid Parameter: Interpolation value</v>
      </c>
      <c r="AJ3928" s="43" t="str">
        <f ca="1"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46"/>
        <v>#REF!</v>
      </c>
      <c r="AI3929" s="43" t="str">
        <f ca="1">_xll.BInterpol('Base IPCA'!$C$3:$C$14,'Base IPCA'!$E$3:$E$14,AH3929,"Cubic","Extrapolate=Linear","MultiX=Average","Skip=True","Sort=True")</f>
        <v>#N/A Invalid Parameter: Interpolation value</v>
      </c>
      <c r="AJ3929" s="43" t="str">
        <f ca="1"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46"/>
        <v>#REF!</v>
      </c>
      <c r="AI3930" s="43" t="str">
        <f ca="1">_xll.BInterpol('Base IPCA'!$C$3:$C$14,'Base IPCA'!$E$3:$E$14,AH3930,"Cubic","Extrapolate=Linear","MultiX=Average","Skip=True","Sort=True")</f>
        <v>#N/A Invalid Parameter: Interpolation value</v>
      </c>
      <c r="AJ3930" s="43" t="str">
        <f ca="1"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46"/>
        <v>#REF!</v>
      </c>
      <c r="AI3931" s="43" t="str">
        <f ca="1">_xll.BInterpol('Base IPCA'!$C$3:$C$14,'Base IPCA'!$E$3:$E$14,AH3931,"Cubic","Extrapolate=Linear","MultiX=Average","Skip=True","Sort=True")</f>
        <v>#N/A Invalid Parameter: Interpolation value</v>
      </c>
      <c r="AJ3931" s="43" t="str">
        <f ca="1"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46"/>
        <v>#REF!</v>
      </c>
      <c r="AI3932" s="43" t="str">
        <f ca="1">_xll.BInterpol('Base IPCA'!$C$3:$C$14,'Base IPCA'!$E$3:$E$14,AH3932,"Cubic","Extrapolate=Linear","MultiX=Average","Skip=True","Sort=True")</f>
        <v>#N/A Invalid Parameter: Interpolation value</v>
      </c>
      <c r="AJ3932" s="43" t="str">
        <f ca="1"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46"/>
        <v>#REF!</v>
      </c>
      <c r="AI3933" s="43" t="str">
        <f ca="1">_xll.BInterpol('Base IPCA'!$C$3:$C$14,'Base IPCA'!$E$3:$E$14,AH3933,"Cubic","Extrapolate=Linear","MultiX=Average","Skip=True","Sort=True")</f>
        <v>#N/A Invalid Parameter: Interpolation value</v>
      </c>
      <c r="AJ3933" s="43" t="str">
        <f ca="1"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46"/>
        <v>#REF!</v>
      </c>
      <c r="AI3934" s="43" t="str">
        <f ca="1">_xll.BInterpol('Base IPCA'!$C$3:$C$14,'Base IPCA'!$E$3:$E$14,AH3934,"Cubic","Extrapolate=Linear","MultiX=Average","Skip=True","Sort=True")</f>
        <v>#N/A Invalid Parameter: Interpolation value</v>
      </c>
      <c r="AJ3934" s="43" t="str">
        <f ca="1"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46"/>
        <v>#REF!</v>
      </c>
      <c r="AI3935" s="43" t="str">
        <f ca="1">_xll.BInterpol('Base IPCA'!$C$3:$C$14,'Base IPCA'!$E$3:$E$14,AH3935,"Cubic","Extrapolate=Linear","MultiX=Average","Skip=True","Sort=True")</f>
        <v>#N/A Invalid Parameter: Interpolation value</v>
      </c>
      <c r="AJ3935" s="43" t="str">
        <f ca="1"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46"/>
        <v>#REF!</v>
      </c>
      <c r="AI3936" s="43" t="str">
        <f ca="1">_xll.BInterpol('Base IPCA'!$C$3:$C$14,'Base IPCA'!$E$3:$E$14,AH3936,"Cubic","Extrapolate=Linear","MultiX=Average","Skip=True","Sort=True")</f>
        <v>#N/A Invalid Parameter: Interpolation value</v>
      </c>
      <c r="AJ3936" s="43" t="str">
        <f ca="1"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46"/>
        <v>#REF!</v>
      </c>
      <c r="AI3937" s="43" t="str">
        <f ca="1">_xll.BInterpol('Base IPCA'!$C$3:$C$14,'Base IPCA'!$E$3:$E$14,AH3937,"Cubic","Extrapolate=Linear","MultiX=Average","Skip=True","Sort=True")</f>
        <v>#N/A Invalid Parameter: Interpolation value</v>
      </c>
      <c r="AJ3937" s="43" t="str">
        <f ca="1"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46"/>
        <v>#REF!</v>
      </c>
      <c r="AI3938" s="43" t="str">
        <f ca="1">_xll.BInterpol('Base IPCA'!$C$3:$C$14,'Base IPCA'!$E$3:$E$14,AH3938,"Cubic","Extrapolate=Linear","MultiX=Average","Skip=True","Sort=True")</f>
        <v>#N/A Invalid Parameter: Interpolation value</v>
      </c>
      <c r="AJ3938" s="43" t="str">
        <f ca="1"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46"/>
        <v>#REF!</v>
      </c>
      <c r="AI3939" s="43" t="str">
        <f ca="1">_xll.BInterpol('Base IPCA'!$C$3:$C$14,'Base IPCA'!$E$3:$E$14,AH3939,"Cubic","Extrapolate=Linear","MultiX=Average","Skip=True","Sort=True")</f>
        <v>#N/A Invalid Parameter: Interpolation value</v>
      </c>
      <c r="AJ3939" s="43" t="str">
        <f ca="1"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46"/>
        <v>#REF!</v>
      </c>
      <c r="AI3940" s="43" t="str">
        <f ca="1">_xll.BInterpol('Base IPCA'!$C$3:$C$14,'Base IPCA'!$E$3:$E$14,AH3940,"Cubic","Extrapolate=Linear","MultiX=Average","Skip=True","Sort=True")</f>
        <v>#N/A Invalid Parameter: Interpolation value</v>
      </c>
      <c r="AJ3940" s="43" t="str">
        <f ca="1"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46"/>
        <v>#REF!</v>
      </c>
      <c r="AI3941" s="43" t="str">
        <f ca="1">_xll.BInterpol('Base IPCA'!$C$3:$C$14,'Base IPCA'!$E$3:$E$14,AH3941,"Cubic","Extrapolate=Linear","MultiX=Average","Skip=True","Sort=True")</f>
        <v>#N/A Invalid Parameter: Interpolation value</v>
      </c>
      <c r="AJ3941" s="43" t="str">
        <f ca="1"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46"/>
        <v>#REF!</v>
      </c>
      <c r="AI3942" s="43" t="str">
        <f ca="1">_xll.BInterpol('Base IPCA'!$C$3:$C$14,'Base IPCA'!$E$3:$E$14,AH3942,"Cubic","Extrapolate=Linear","MultiX=Average","Skip=True","Sort=True")</f>
        <v>#N/A Invalid Parameter: Interpolation value</v>
      </c>
      <c r="AJ3942" s="43" t="str">
        <f ca="1"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46"/>
        <v>#REF!</v>
      </c>
      <c r="AI3943" s="43" t="str">
        <f ca="1">_xll.BInterpol('Base IPCA'!$C$3:$C$14,'Base IPCA'!$E$3:$E$14,AH3943,"Cubic","Extrapolate=Linear","MultiX=Average","Skip=True","Sort=True")</f>
        <v>#N/A Invalid Parameter: Interpolation value</v>
      </c>
      <c r="AJ3943" s="43" t="str">
        <f ca="1"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46"/>
        <v>#REF!</v>
      </c>
      <c r="AI3944" s="43" t="str">
        <f ca="1">_xll.BInterpol('Base IPCA'!$C$3:$C$14,'Base IPCA'!$E$3:$E$14,AH3944,"Cubic","Extrapolate=Linear","MultiX=Average","Skip=True","Sort=True")</f>
        <v>#N/A Invalid Parameter: Interpolation value</v>
      </c>
      <c r="AJ3944" s="43" t="str">
        <f ca="1"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46"/>
        <v>#REF!</v>
      </c>
      <c r="AI3945" s="43" t="str">
        <f ca="1">_xll.BInterpol('Base IPCA'!$C$3:$C$14,'Base IPCA'!$E$3:$E$14,AH3945,"Cubic","Extrapolate=Linear","MultiX=Average","Skip=True","Sort=True")</f>
        <v>#N/A Invalid Parameter: Interpolation value</v>
      </c>
      <c r="AJ3945" s="43" t="str">
        <f ca="1"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46"/>
        <v>#REF!</v>
      </c>
      <c r="AI3946" s="43" t="str">
        <f ca="1">_xll.BInterpol('Base IPCA'!$C$3:$C$14,'Base IPCA'!$E$3:$E$14,AH3946,"Cubic","Extrapolate=Linear","MultiX=Average","Skip=True","Sort=True")</f>
        <v>#N/A Invalid Parameter: Interpolation value</v>
      </c>
      <c r="AJ3946" s="43" t="str">
        <f ca="1"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46"/>
        <v>#REF!</v>
      </c>
      <c r="AI3947" s="43" t="str">
        <f ca="1">_xll.BInterpol('Base IPCA'!$C$3:$C$14,'Base IPCA'!$E$3:$E$14,AH3947,"Cubic","Extrapolate=Linear","MultiX=Average","Skip=True","Sort=True")</f>
        <v>#N/A Invalid Parameter: Interpolation value</v>
      </c>
      <c r="AJ3947" s="43" t="str">
        <f ca="1"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46"/>
        <v>#REF!</v>
      </c>
      <c r="AI3948" s="43" t="str">
        <f ca="1">_xll.BInterpol('Base IPCA'!$C$3:$C$14,'Base IPCA'!$E$3:$E$14,AH3948,"Cubic","Extrapolate=Linear","MultiX=Average","Skip=True","Sort=True")</f>
        <v>#N/A Invalid Parameter: Interpolation value</v>
      </c>
      <c r="AJ3948" s="43" t="str">
        <f ca="1"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46"/>
        <v>#REF!</v>
      </c>
      <c r="AI3949" s="43" t="str">
        <f ca="1">_xll.BInterpol('Base IPCA'!$C$3:$C$14,'Base IPCA'!$E$3:$E$14,AH3949,"Cubic","Extrapolate=Linear","MultiX=Average","Skip=True","Sort=True")</f>
        <v>#N/A Invalid Parameter: Interpolation value</v>
      </c>
      <c r="AJ3949" s="43" t="str">
        <f ca="1"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46"/>
        <v>#REF!</v>
      </c>
      <c r="AI3950" s="43" t="str">
        <f ca="1">_xll.BInterpol('Base IPCA'!$C$3:$C$14,'Base IPCA'!$E$3:$E$14,AH3950,"Cubic","Extrapolate=Linear","MultiX=Average","Skip=True","Sort=True")</f>
        <v>#N/A Invalid Parameter: Interpolation value</v>
      </c>
      <c r="AJ3950" s="43" t="str">
        <f ca="1"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46"/>
        <v>#REF!</v>
      </c>
      <c r="AI3951" s="43" t="str">
        <f ca="1">_xll.BInterpol('Base IPCA'!$C$3:$C$14,'Base IPCA'!$E$3:$E$14,AH3951,"Cubic","Extrapolate=Linear","MultiX=Average","Skip=True","Sort=True")</f>
        <v>#N/A Invalid Parameter: Interpolation value</v>
      </c>
      <c r="AJ3951" s="43" t="str">
        <f ca="1"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46"/>
        <v>#REF!</v>
      </c>
      <c r="AI3952" s="43" t="str">
        <f ca="1">_xll.BInterpol('Base IPCA'!$C$3:$C$14,'Base IPCA'!$E$3:$E$14,AH3952,"Cubic","Extrapolate=Linear","MultiX=Average","Skip=True","Sort=True")</f>
        <v>#N/A Invalid Parameter: Interpolation value</v>
      </c>
      <c r="AJ3952" s="43" t="str">
        <f ca="1"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46"/>
        <v>#REF!</v>
      </c>
      <c r="AI3953" s="43" t="str">
        <f ca="1">_xll.BInterpol('Base IPCA'!$C$3:$C$14,'Base IPCA'!$E$3:$E$14,AH3953,"Cubic","Extrapolate=Linear","MultiX=Average","Skip=True","Sort=True")</f>
        <v>#N/A Invalid Parameter: Interpolation value</v>
      </c>
      <c r="AJ3953" s="43" t="str">
        <f ca="1"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46"/>
        <v>#REF!</v>
      </c>
      <c r="AI3954" s="43" t="str">
        <f ca="1">_xll.BInterpol('Base IPCA'!$C$3:$C$14,'Base IPCA'!$E$3:$E$14,AH3954,"Cubic","Extrapolate=Linear","MultiX=Average","Skip=True","Sort=True")</f>
        <v>#N/A Invalid Parameter: Interpolation value</v>
      </c>
      <c r="AJ3954" s="43" t="str">
        <f ca="1"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46"/>
        <v>#REF!</v>
      </c>
      <c r="AI3955" s="43" t="str">
        <f ca="1">_xll.BInterpol('Base IPCA'!$C$3:$C$14,'Base IPCA'!$E$3:$E$14,AH3955,"Cubic","Extrapolate=Linear","MultiX=Average","Skip=True","Sort=True")</f>
        <v>#N/A Invalid Parameter: Interpolation value</v>
      </c>
      <c r="AJ3955" s="43" t="str">
        <f ca="1"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46"/>
        <v>#REF!</v>
      </c>
      <c r="AI3956" s="43" t="str">
        <f ca="1">_xll.BInterpol('Base IPCA'!$C$3:$C$14,'Base IPCA'!$E$3:$E$14,AH3956,"Cubic","Extrapolate=Linear","MultiX=Average","Skip=True","Sort=True")</f>
        <v>#N/A Invalid Parameter: Interpolation value</v>
      </c>
      <c r="AJ3956" s="43" t="str">
        <f ca="1"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46"/>
        <v>#REF!</v>
      </c>
      <c r="AI3957" s="43" t="str">
        <f ca="1">_xll.BInterpol('Base IPCA'!$C$3:$C$14,'Base IPCA'!$E$3:$E$14,AH3957,"Cubic","Extrapolate=Linear","MultiX=Average","Skip=True","Sort=True")</f>
        <v>#N/A Invalid Parameter: Interpolation value</v>
      </c>
      <c r="AJ3957" s="43" t="str">
        <f ca="1"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46"/>
        <v>#REF!</v>
      </c>
      <c r="AI3958" s="43" t="str">
        <f ca="1">_xll.BInterpol('Base IPCA'!$C$3:$C$14,'Base IPCA'!$E$3:$E$14,AH3958,"Cubic","Extrapolate=Linear","MultiX=Average","Skip=True","Sort=True")</f>
        <v>#N/A Invalid Parameter: Interpolation value</v>
      </c>
      <c r="AJ3958" s="43" t="str">
        <f ca="1"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46"/>
        <v>#REF!</v>
      </c>
      <c r="AI3959" s="43" t="str">
        <f ca="1">_xll.BInterpol('Base IPCA'!$C$3:$C$14,'Base IPCA'!$E$3:$E$14,AH3959,"Cubic","Extrapolate=Linear","MultiX=Average","Skip=True","Sort=True")</f>
        <v>#N/A Invalid Parameter: Interpolation value</v>
      </c>
      <c r="AJ3959" s="43" t="str">
        <f ca="1"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46"/>
        <v>#REF!</v>
      </c>
      <c r="AI3960" s="43" t="str">
        <f ca="1">_xll.BInterpol('Base IPCA'!$C$3:$C$14,'Base IPCA'!$E$3:$E$14,AH3960,"Cubic","Extrapolate=Linear","MultiX=Average","Skip=True","Sort=True")</f>
        <v>#N/A Invalid Parameter: Interpolation value</v>
      </c>
      <c r="AJ3960" s="43" t="str">
        <f ca="1"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46"/>
        <v>#REF!</v>
      </c>
      <c r="AI3961" s="43" t="str">
        <f ca="1">_xll.BInterpol('Base IPCA'!$C$3:$C$14,'Base IPCA'!$E$3:$E$14,AH3961,"Cubic","Extrapolate=Linear","MultiX=Average","Skip=True","Sort=True")</f>
        <v>#N/A Invalid Parameter: Interpolation value</v>
      </c>
      <c r="AJ3961" s="43" t="str">
        <f ca="1"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46"/>
        <v>#REF!</v>
      </c>
      <c r="AI3962" s="43" t="str">
        <f ca="1">_xll.BInterpol('Base IPCA'!$C$3:$C$14,'Base IPCA'!$E$3:$E$14,AH3962,"Cubic","Extrapolate=Linear","MultiX=Average","Skip=True","Sort=True")</f>
        <v>#N/A Invalid Parameter: Interpolation value</v>
      </c>
      <c r="AJ3962" s="43" t="str">
        <f ca="1"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46"/>
        <v>#REF!</v>
      </c>
      <c r="AI3963" s="43" t="str">
        <f ca="1">_xll.BInterpol('Base IPCA'!$C$3:$C$14,'Base IPCA'!$E$3:$E$14,AH3963,"Cubic","Extrapolate=Linear","MultiX=Average","Skip=True","Sort=True")</f>
        <v>#N/A Invalid Parameter: Interpolation value</v>
      </c>
      <c r="AJ3963" s="43" t="str">
        <f ca="1"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46"/>
        <v>#REF!</v>
      </c>
      <c r="AI3964" s="43" t="str">
        <f ca="1">_xll.BInterpol('Base IPCA'!$C$3:$C$14,'Base IPCA'!$E$3:$E$14,AH3964,"Cubic","Extrapolate=Linear","MultiX=Average","Skip=True","Sort=True")</f>
        <v>#N/A Invalid Parameter: Interpolation value</v>
      </c>
      <c r="AJ3964" s="43" t="str">
        <f ca="1"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46"/>
        <v>#REF!</v>
      </c>
      <c r="AI3965" s="43" t="str">
        <f ca="1">_xll.BInterpol('Base IPCA'!$C$3:$C$14,'Base IPCA'!$E$3:$E$14,AH3965,"Cubic","Extrapolate=Linear","MultiX=Average","Skip=True","Sort=True")</f>
        <v>#N/A Invalid Parameter: Interpolation value</v>
      </c>
      <c r="AJ3965" s="43" t="str">
        <f ca="1"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46"/>
        <v>#REF!</v>
      </c>
      <c r="AI3966" s="43" t="str">
        <f ca="1">_xll.BInterpol('Base IPCA'!$C$3:$C$14,'Base IPCA'!$E$3:$E$14,AH3966,"Cubic","Extrapolate=Linear","MultiX=Average","Skip=True","Sort=True")</f>
        <v>#N/A Invalid Parameter: Interpolation value</v>
      </c>
      <c r="AJ3966" s="43" t="str">
        <f ca="1"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46"/>
        <v>#REF!</v>
      </c>
      <c r="AI3967" s="43" t="str">
        <f ca="1">_xll.BInterpol('Base IPCA'!$C$3:$C$14,'Base IPCA'!$E$3:$E$14,AH3967,"Cubic","Extrapolate=Linear","MultiX=Average","Skip=True","Sort=True")</f>
        <v>#N/A Invalid Parameter: Interpolation value</v>
      </c>
      <c r="AJ3967" s="43" t="str">
        <f ca="1"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46"/>
        <v>#REF!</v>
      </c>
      <c r="AI3968" s="43" t="str">
        <f ca="1">_xll.BInterpol('Base IPCA'!$C$3:$C$14,'Base IPCA'!$E$3:$E$14,AH3968,"Cubic","Extrapolate=Linear","MultiX=Average","Skip=True","Sort=True")</f>
        <v>#N/A Invalid Parameter: Interpolation value</v>
      </c>
      <c r="AJ3968" s="43" t="str">
        <f ca="1"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46"/>
        <v>#REF!</v>
      </c>
      <c r="AI3969" s="43" t="str">
        <f ca="1">_xll.BInterpol('Base IPCA'!$C$3:$C$14,'Base IPCA'!$E$3:$E$14,AH3969,"Cubic","Extrapolate=Linear","MultiX=Average","Skip=True","Sort=True")</f>
        <v>#N/A Invalid Parameter: Interpolation value</v>
      </c>
      <c r="AJ3969" s="43" t="str">
        <f ca="1"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46"/>
        <v>#REF!</v>
      </c>
      <c r="AI3970" s="43" t="str">
        <f ca="1">_xll.BInterpol('Base IPCA'!$C$3:$C$14,'Base IPCA'!$E$3:$E$14,AH3970,"Cubic","Extrapolate=Linear","MultiX=Average","Skip=True","Sort=True")</f>
        <v>#N/A Invalid Parameter: Interpolation value</v>
      </c>
      <c r="AJ3970" s="43" t="str">
        <f ca="1"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46"/>
        <v>#REF!</v>
      </c>
      <c r="AI3971" s="43" t="str">
        <f ca="1">_xll.BInterpol('Base IPCA'!$C$3:$C$14,'Base IPCA'!$E$3:$E$14,AH3971,"Cubic","Extrapolate=Linear","MultiX=Average","Skip=True","Sort=True")</f>
        <v>#N/A Invalid Parameter: Interpolation value</v>
      </c>
      <c r="AJ3971" s="43" t="str">
        <f ca="1"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46"/>
        <v>#REF!</v>
      </c>
      <c r="AI3972" s="43" t="str">
        <f ca="1">_xll.BInterpol('Base IPCA'!$C$3:$C$14,'Base IPCA'!$E$3:$E$14,AH3972,"Cubic","Extrapolate=Linear","MultiX=Average","Skip=True","Sort=True")</f>
        <v>#N/A Invalid Parameter: Interpolation value</v>
      </c>
      <c r="AJ3972" s="43" t="str">
        <f ca="1"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46"/>
        <v>#REF!</v>
      </c>
      <c r="AI3973" s="43" t="str">
        <f ca="1">_xll.BInterpol('Base IPCA'!$C$3:$C$14,'Base IPCA'!$E$3:$E$14,AH3973,"Cubic","Extrapolate=Linear","MultiX=Average","Skip=True","Sort=True")</f>
        <v>#N/A Invalid Parameter: Interpolation value</v>
      </c>
      <c r="AJ3973" s="43" t="str">
        <f ca="1"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47">AH3973+1</f>
        <v>#REF!</v>
      </c>
      <c r="AI3974" s="43" t="str">
        <f ca="1">_xll.BInterpol('Base IPCA'!$C$3:$C$14,'Base IPCA'!$E$3:$E$14,AH3974,"Cubic","Extrapolate=Linear","MultiX=Average","Skip=True","Sort=True")</f>
        <v>#N/A Invalid Parameter: Interpolation value</v>
      </c>
      <c r="AJ3974" s="43" t="str">
        <f ca="1"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47"/>
        <v>#REF!</v>
      </c>
      <c r="AI3975" s="43" t="str">
        <f ca="1">_xll.BInterpol('Base IPCA'!$C$3:$C$14,'Base IPCA'!$E$3:$E$14,AH3975,"Cubic","Extrapolate=Linear","MultiX=Average","Skip=True","Sort=True")</f>
        <v>#N/A Invalid Parameter: Interpolation value</v>
      </c>
      <c r="AJ3975" s="43" t="str">
        <f ca="1"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47"/>
        <v>#REF!</v>
      </c>
      <c r="AI3976" s="43" t="str">
        <f ca="1">_xll.BInterpol('Base IPCA'!$C$3:$C$14,'Base IPCA'!$E$3:$E$14,AH3976,"Cubic","Extrapolate=Linear","MultiX=Average","Skip=True","Sort=True")</f>
        <v>#N/A Invalid Parameter: Interpolation value</v>
      </c>
      <c r="AJ3976" s="43" t="str">
        <f ca="1"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47"/>
        <v>#REF!</v>
      </c>
      <c r="AI3977" s="43" t="str">
        <f ca="1">_xll.BInterpol('Base IPCA'!$C$3:$C$14,'Base IPCA'!$E$3:$E$14,AH3977,"Cubic","Extrapolate=Linear","MultiX=Average","Skip=True","Sort=True")</f>
        <v>#N/A Invalid Parameter: Interpolation value</v>
      </c>
      <c r="AJ3977" s="43" t="str">
        <f ca="1"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47"/>
        <v>#REF!</v>
      </c>
      <c r="AI3978" s="43" t="str">
        <f ca="1">_xll.BInterpol('Base IPCA'!$C$3:$C$14,'Base IPCA'!$E$3:$E$14,AH3978,"Cubic","Extrapolate=Linear","MultiX=Average","Skip=True","Sort=True")</f>
        <v>#N/A Invalid Parameter: Interpolation value</v>
      </c>
      <c r="AJ3978" s="43" t="str">
        <f ca="1"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47"/>
        <v>#REF!</v>
      </c>
      <c r="AI3979" s="43" t="str">
        <f ca="1">_xll.BInterpol('Base IPCA'!$C$3:$C$14,'Base IPCA'!$E$3:$E$14,AH3979,"Cubic","Extrapolate=Linear","MultiX=Average","Skip=True","Sort=True")</f>
        <v>#N/A Invalid Parameter: Interpolation value</v>
      </c>
      <c r="AJ3979" s="43" t="str">
        <f ca="1"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47"/>
        <v>#REF!</v>
      </c>
      <c r="AI3980" s="43" t="str">
        <f ca="1">_xll.BInterpol('Base IPCA'!$C$3:$C$14,'Base IPCA'!$E$3:$E$14,AH3980,"Cubic","Extrapolate=Linear","MultiX=Average","Skip=True","Sort=True")</f>
        <v>#N/A Invalid Parameter: Interpolation value</v>
      </c>
      <c r="AJ3980" s="43" t="str">
        <f ca="1"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47"/>
        <v>#REF!</v>
      </c>
      <c r="AI3981" s="43" t="str">
        <f ca="1">_xll.BInterpol('Base IPCA'!$C$3:$C$14,'Base IPCA'!$E$3:$E$14,AH3981,"Cubic","Extrapolate=Linear","MultiX=Average","Skip=True","Sort=True")</f>
        <v>#N/A Invalid Parameter: Interpolation value</v>
      </c>
      <c r="AJ3981" s="43" t="str">
        <f ca="1"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47"/>
        <v>#REF!</v>
      </c>
      <c r="AI3982" s="43" t="str">
        <f ca="1">_xll.BInterpol('Base IPCA'!$C$3:$C$14,'Base IPCA'!$E$3:$E$14,AH3982,"Cubic","Extrapolate=Linear","MultiX=Average","Skip=True","Sort=True")</f>
        <v>#N/A Invalid Parameter: Interpolation value</v>
      </c>
      <c r="AJ3982" s="43" t="str">
        <f ca="1"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47"/>
        <v>#REF!</v>
      </c>
      <c r="AI3983" s="43" t="str">
        <f ca="1">_xll.BInterpol('Base IPCA'!$C$3:$C$14,'Base IPCA'!$E$3:$E$14,AH3983,"Cubic","Extrapolate=Linear","MultiX=Average","Skip=True","Sort=True")</f>
        <v>#N/A Invalid Parameter: Interpolation value</v>
      </c>
      <c r="AJ3983" s="43" t="str">
        <f ca="1"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47"/>
        <v>#REF!</v>
      </c>
      <c r="AI3984" s="43" t="str">
        <f ca="1">_xll.BInterpol('Base IPCA'!$C$3:$C$14,'Base IPCA'!$E$3:$E$14,AH3984,"Cubic","Extrapolate=Linear","MultiX=Average","Skip=True","Sort=True")</f>
        <v>#N/A Invalid Parameter: Interpolation value</v>
      </c>
      <c r="AJ3984" s="43" t="str">
        <f ca="1"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47"/>
        <v>#REF!</v>
      </c>
      <c r="AI3985" s="43" t="str">
        <f ca="1">_xll.BInterpol('Base IPCA'!$C$3:$C$14,'Base IPCA'!$E$3:$E$14,AH3985,"Cubic","Extrapolate=Linear","MultiX=Average","Skip=True","Sort=True")</f>
        <v>#N/A Invalid Parameter: Interpolation value</v>
      </c>
      <c r="AJ3985" s="43" t="str">
        <f ca="1"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47"/>
        <v>#REF!</v>
      </c>
      <c r="AI3986" s="43" t="str">
        <f ca="1">_xll.BInterpol('Base IPCA'!$C$3:$C$14,'Base IPCA'!$E$3:$E$14,AH3986,"Cubic","Extrapolate=Linear","MultiX=Average","Skip=True","Sort=True")</f>
        <v>#N/A Invalid Parameter: Interpolation value</v>
      </c>
      <c r="AJ3986" s="43" t="str">
        <f ca="1"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47"/>
        <v>#REF!</v>
      </c>
      <c r="AI3987" s="43" t="str">
        <f ca="1">_xll.BInterpol('Base IPCA'!$C$3:$C$14,'Base IPCA'!$E$3:$E$14,AH3987,"Cubic","Extrapolate=Linear","MultiX=Average","Skip=True","Sort=True")</f>
        <v>#N/A Invalid Parameter: Interpolation value</v>
      </c>
      <c r="AJ3987" s="43" t="str">
        <f ca="1"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47"/>
        <v>#REF!</v>
      </c>
      <c r="AI3988" s="43" t="str">
        <f ca="1">_xll.BInterpol('Base IPCA'!$C$3:$C$14,'Base IPCA'!$E$3:$E$14,AH3988,"Cubic","Extrapolate=Linear","MultiX=Average","Skip=True","Sort=True")</f>
        <v>#N/A Invalid Parameter: Interpolation value</v>
      </c>
      <c r="AJ3988" s="43" t="str">
        <f ca="1"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47"/>
        <v>#REF!</v>
      </c>
      <c r="AI3989" s="43" t="str">
        <f ca="1">_xll.BInterpol('Base IPCA'!$C$3:$C$14,'Base IPCA'!$E$3:$E$14,AH3989,"Cubic","Extrapolate=Linear","MultiX=Average","Skip=True","Sort=True")</f>
        <v>#N/A Invalid Parameter: Interpolation value</v>
      </c>
      <c r="AJ3989" s="43" t="str">
        <f ca="1"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47"/>
        <v>#REF!</v>
      </c>
      <c r="AI3990" s="43" t="str">
        <f ca="1">_xll.BInterpol('Base IPCA'!$C$3:$C$14,'Base IPCA'!$E$3:$E$14,AH3990,"Cubic","Extrapolate=Linear","MultiX=Average","Skip=True","Sort=True")</f>
        <v>#N/A Invalid Parameter: Interpolation value</v>
      </c>
      <c r="AJ3990" s="43" t="str">
        <f ca="1"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47"/>
        <v>#REF!</v>
      </c>
      <c r="AI3991" s="43" t="str">
        <f ca="1">_xll.BInterpol('Base IPCA'!$C$3:$C$14,'Base IPCA'!$E$3:$E$14,AH3991,"Cubic","Extrapolate=Linear","MultiX=Average","Skip=True","Sort=True")</f>
        <v>#N/A Invalid Parameter: Interpolation value</v>
      </c>
      <c r="AJ3991" s="43" t="str">
        <f ca="1"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47"/>
        <v>#REF!</v>
      </c>
      <c r="AI3992" s="43" t="str">
        <f ca="1">_xll.BInterpol('Base IPCA'!$C$3:$C$14,'Base IPCA'!$E$3:$E$14,AH3992,"Cubic","Extrapolate=Linear","MultiX=Average","Skip=True","Sort=True")</f>
        <v>#N/A Invalid Parameter: Interpolation value</v>
      </c>
      <c r="AJ3992" s="43" t="str">
        <f ca="1"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47"/>
        <v>#REF!</v>
      </c>
      <c r="AI3993" s="43" t="str">
        <f ca="1">_xll.BInterpol('Base IPCA'!$C$3:$C$14,'Base IPCA'!$E$3:$E$14,AH3993,"Cubic","Extrapolate=Linear","MultiX=Average","Skip=True","Sort=True")</f>
        <v>#N/A Invalid Parameter: Interpolation value</v>
      </c>
      <c r="AJ3993" s="43" t="str">
        <f ca="1"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47"/>
        <v>#REF!</v>
      </c>
      <c r="AI3994" s="43" t="str">
        <f ca="1">_xll.BInterpol('Base IPCA'!$C$3:$C$14,'Base IPCA'!$E$3:$E$14,AH3994,"Cubic","Extrapolate=Linear","MultiX=Average","Skip=True","Sort=True")</f>
        <v>#N/A Invalid Parameter: Interpolation value</v>
      </c>
      <c r="AJ3994" s="43" t="str">
        <f ca="1"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47"/>
        <v>#REF!</v>
      </c>
      <c r="AI3995" s="43" t="str">
        <f ca="1">_xll.BInterpol('Base IPCA'!$C$3:$C$14,'Base IPCA'!$E$3:$E$14,AH3995,"Cubic","Extrapolate=Linear","MultiX=Average","Skip=True","Sort=True")</f>
        <v>#N/A Invalid Parameter: Interpolation value</v>
      </c>
      <c r="AJ3995" s="43" t="str">
        <f ca="1"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47"/>
        <v>#REF!</v>
      </c>
      <c r="AI3996" s="43" t="str">
        <f ca="1">_xll.BInterpol('Base IPCA'!$C$3:$C$14,'Base IPCA'!$E$3:$E$14,AH3996,"Cubic","Extrapolate=Linear","MultiX=Average","Skip=True","Sort=True")</f>
        <v>#N/A Invalid Parameter: Interpolation value</v>
      </c>
      <c r="AJ3996" s="43" t="str">
        <f ca="1"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47"/>
        <v>#REF!</v>
      </c>
      <c r="AI3997" s="43" t="str">
        <f ca="1">_xll.BInterpol('Base IPCA'!$C$3:$C$14,'Base IPCA'!$E$3:$E$14,AH3997,"Cubic","Extrapolate=Linear","MultiX=Average","Skip=True","Sort=True")</f>
        <v>#N/A Invalid Parameter: Interpolation value</v>
      </c>
      <c r="AJ3997" s="43" t="str">
        <f ca="1"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47"/>
        <v>#REF!</v>
      </c>
      <c r="AI3998" s="43" t="str">
        <f ca="1">_xll.BInterpol('Base IPCA'!$C$3:$C$14,'Base IPCA'!$E$3:$E$14,AH3998,"Cubic","Extrapolate=Linear","MultiX=Average","Skip=True","Sort=True")</f>
        <v>#N/A Invalid Parameter: Interpolation value</v>
      </c>
      <c r="AJ3998" s="43" t="str">
        <f ca="1"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47"/>
        <v>#REF!</v>
      </c>
      <c r="AI3999" s="43" t="str">
        <f ca="1">_xll.BInterpol('Base IPCA'!$C$3:$C$14,'Base IPCA'!$E$3:$E$14,AH3999,"Cubic","Extrapolate=Linear","MultiX=Average","Skip=True","Sort=True")</f>
        <v>#N/A Invalid Parameter: Interpolation value</v>
      </c>
      <c r="AJ3999" s="43" t="str">
        <f ca="1"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47"/>
        <v>#REF!</v>
      </c>
      <c r="AI4000" s="43" t="str">
        <f ca="1">_xll.BInterpol('Base IPCA'!$C$3:$C$14,'Base IPCA'!$E$3:$E$14,AH4000,"Cubic","Extrapolate=Linear","MultiX=Average","Skip=True","Sort=True")</f>
        <v>#N/A Invalid Parameter: Interpolation value</v>
      </c>
      <c r="AJ4000" s="43" t="str">
        <f ca="1"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47"/>
        <v>#REF!</v>
      </c>
      <c r="AI4001" s="43" t="str">
        <f ca="1">_xll.BInterpol('Base IPCA'!$C$3:$C$14,'Base IPCA'!$E$3:$E$14,AH4001,"Cubic","Extrapolate=Linear","MultiX=Average","Skip=True","Sort=True")</f>
        <v>#N/A Invalid Parameter: Interpolation value</v>
      </c>
      <c r="AJ4001" s="43" t="str">
        <f ca="1"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47"/>
        <v>#REF!</v>
      </c>
      <c r="AI4002" s="43" t="str">
        <f ca="1">_xll.BInterpol('Base IPCA'!$C$3:$C$14,'Base IPCA'!$E$3:$E$14,AH4002,"Cubic","Extrapolate=Linear","MultiX=Average","Skip=True","Sort=True")</f>
        <v>#N/A Invalid Parameter: Interpolation value</v>
      </c>
      <c r="AJ4002" s="43" t="str">
        <f ca="1"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47"/>
        <v>#REF!</v>
      </c>
      <c r="AI4003" s="43" t="str">
        <f ca="1">_xll.BInterpol('Base IPCA'!$C$3:$C$14,'Base IPCA'!$E$3:$E$14,AH4003,"Cubic","Extrapolate=Linear","MultiX=Average","Skip=True","Sort=True")</f>
        <v>#N/A Invalid Parameter: Interpolation value</v>
      </c>
      <c r="AJ4003" s="43" t="str">
        <f ca="1"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47"/>
        <v>#REF!</v>
      </c>
      <c r="AI4004" s="43" t="str">
        <f ca="1">_xll.BInterpol('Base IPCA'!$C$3:$C$14,'Base IPCA'!$E$3:$E$14,AH4004,"Cubic","Extrapolate=Linear","MultiX=Average","Skip=True","Sort=True")</f>
        <v>#N/A Invalid Parameter: Interpolation value</v>
      </c>
      <c r="AJ4004" s="43" t="str">
        <f ca="1"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47"/>
        <v>#REF!</v>
      </c>
      <c r="AI4005" s="43" t="str">
        <f ca="1">_xll.BInterpol('Base IPCA'!$C$3:$C$14,'Base IPCA'!$E$3:$E$14,AH4005,"Cubic","Extrapolate=Linear","MultiX=Average","Skip=True","Sort=True")</f>
        <v>#N/A Invalid Parameter: Interpolation value</v>
      </c>
      <c r="AJ4005" s="43" t="str">
        <f ca="1"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47"/>
        <v>#REF!</v>
      </c>
      <c r="AI4006" s="43" t="str">
        <f ca="1">_xll.BInterpol('Base IPCA'!$C$3:$C$14,'Base IPCA'!$E$3:$E$14,AH4006,"Cubic","Extrapolate=Linear","MultiX=Average","Skip=True","Sort=True")</f>
        <v>#N/A Invalid Parameter: Interpolation value</v>
      </c>
      <c r="AJ4006" s="43" t="str">
        <f ca="1"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47"/>
        <v>#REF!</v>
      </c>
      <c r="AI4007" s="43" t="str">
        <f ca="1">_xll.BInterpol('Base IPCA'!$C$3:$C$14,'Base IPCA'!$E$3:$E$14,AH4007,"Cubic","Extrapolate=Linear","MultiX=Average","Skip=True","Sort=True")</f>
        <v>#N/A Invalid Parameter: Interpolation value</v>
      </c>
      <c r="AJ4007" s="43" t="str">
        <f ca="1"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47"/>
        <v>#REF!</v>
      </c>
      <c r="AI4008" s="43" t="str">
        <f ca="1">_xll.BInterpol('Base IPCA'!$C$3:$C$14,'Base IPCA'!$E$3:$E$14,AH4008,"Cubic","Extrapolate=Linear","MultiX=Average","Skip=True","Sort=True")</f>
        <v>#N/A Invalid Parameter: Interpolation value</v>
      </c>
      <c r="AJ4008" s="43" t="str">
        <f ca="1"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47"/>
        <v>#REF!</v>
      </c>
      <c r="AI4009" s="43" t="str">
        <f ca="1">_xll.BInterpol('Base IPCA'!$C$3:$C$14,'Base IPCA'!$E$3:$E$14,AH4009,"Cubic","Extrapolate=Linear","MultiX=Average","Skip=True","Sort=True")</f>
        <v>#N/A Invalid Parameter: Interpolation value</v>
      </c>
      <c r="AJ4009" s="43" t="str">
        <f ca="1"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47"/>
        <v>#REF!</v>
      </c>
      <c r="AI4010" s="43" t="str">
        <f ca="1">_xll.BInterpol('Base IPCA'!$C$3:$C$14,'Base IPCA'!$E$3:$E$14,AH4010,"Cubic","Extrapolate=Linear","MultiX=Average","Skip=True","Sort=True")</f>
        <v>#N/A Invalid Parameter: Interpolation value</v>
      </c>
      <c r="AJ4010" s="43" t="str">
        <f ca="1"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47"/>
        <v>#REF!</v>
      </c>
      <c r="AI4011" s="43" t="str">
        <f ca="1">_xll.BInterpol('Base IPCA'!$C$3:$C$14,'Base IPCA'!$E$3:$E$14,AH4011,"Cubic","Extrapolate=Linear","MultiX=Average","Skip=True","Sort=True")</f>
        <v>#N/A Invalid Parameter: Interpolation value</v>
      </c>
      <c r="AJ4011" s="43" t="str">
        <f ca="1"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47"/>
        <v>#REF!</v>
      </c>
      <c r="AI4012" s="43" t="str">
        <f ca="1">_xll.BInterpol('Base IPCA'!$C$3:$C$14,'Base IPCA'!$E$3:$E$14,AH4012,"Cubic","Extrapolate=Linear","MultiX=Average","Skip=True","Sort=True")</f>
        <v>#N/A Invalid Parameter: Interpolation value</v>
      </c>
      <c r="AJ4012" s="43" t="str">
        <f ca="1"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47"/>
        <v>#REF!</v>
      </c>
      <c r="AI4013" s="43" t="str">
        <f ca="1">_xll.BInterpol('Base IPCA'!$C$3:$C$14,'Base IPCA'!$E$3:$E$14,AH4013,"Cubic","Extrapolate=Linear","MultiX=Average","Skip=True","Sort=True")</f>
        <v>#N/A Invalid Parameter: Interpolation value</v>
      </c>
      <c r="AJ4013" s="43" t="str">
        <f ca="1"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47"/>
        <v>#REF!</v>
      </c>
      <c r="AI4014" s="43" t="str">
        <f ca="1">_xll.BInterpol('Base IPCA'!$C$3:$C$14,'Base IPCA'!$E$3:$E$14,AH4014,"Cubic","Extrapolate=Linear","MultiX=Average","Skip=True","Sort=True")</f>
        <v>#N/A Invalid Parameter: Interpolation value</v>
      </c>
      <c r="AJ4014" s="43" t="str">
        <f ca="1"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47"/>
        <v>#REF!</v>
      </c>
      <c r="AI4015" s="43" t="str">
        <f ca="1">_xll.BInterpol('Base IPCA'!$C$3:$C$14,'Base IPCA'!$E$3:$E$14,AH4015,"Cubic","Extrapolate=Linear","MultiX=Average","Skip=True","Sort=True")</f>
        <v>#N/A Invalid Parameter: Interpolation value</v>
      </c>
      <c r="AJ4015" s="43" t="str">
        <f ca="1"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47"/>
        <v>#REF!</v>
      </c>
      <c r="AI4016" s="43" t="str">
        <f ca="1">_xll.BInterpol('Base IPCA'!$C$3:$C$14,'Base IPCA'!$E$3:$E$14,AH4016,"Cubic","Extrapolate=Linear","MultiX=Average","Skip=True","Sort=True")</f>
        <v>#N/A Invalid Parameter: Interpolation value</v>
      </c>
      <c r="AJ4016" s="43" t="str">
        <f ca="1"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47"/>
        <v>#REF!</v>
      </c>
      <c r="AI4017" s="43" t="str">
        <f ca="1">_xll.BInterpol('Base IPCA'!$C$3:$C$14,'Base IPCA'!$E$3:$E$14,AH4017,"Cubic","Extrapolate=Linear","MultiX=Average","Skip=True","Sort=True")</f>
        <v>#N/A Invalid Parameter: Interpolation value</v>
      </c>
      <c r="AJ4017" s="43" t="str">
        <f ca="1"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47"/>
        <v>#REF!</v>
      </c>
      <c r="AI4018" s="43" t="str">
        <f ca="1">_xll.BInterpol('Base IPCA'!$C$3:$C$14,'Base IPCA'!$E$3:$E$14,AH4018,"Cubic","Extrapolate=Linear","MultiX=Average","Skip=True","Sort=True")</f>
        <v>#N/A Invalid Parameter: Interpolation value</v>
      </c>
      <c r="AJ4018" s="43" t="str">
        <f ca="1"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47"/>
        <v>#REF!</v>
      </c>
      <c r="AI4019" s="43" t="str">
        <f ca="1">_xll.BInterpol('Base IPCA'!$C$3:$C$14,'Base IPCA'!$E$3:$E$14,AH4019,"Cubic","Extrapolate=Linear","MultiX=Average","Skip=True","Sort=True")</f>
        <v>#N/A Invalid Parameter: Interpolation value</v>
      </c>
      <c r="AJ4019" s="43" t="str">
        <f ca="1"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47"/>
        <v>#REF!</v>
      </c>
      <c r="AI4020" s="43" t="str">
        <f ca="1">_xll.BInterpol('Base IPCA'!$C$3:$C$14,'Base IPCA'!$E$3:$E$14,AH4020,"Cubic","Extrapolate=Linear","MultiX=Average","Skip=True","Sort=True")</f>
        <v>#N/A Invalid Parameter: Interpolation value</v>
      </c>
      <c r="AJ4020" s="43" t="str">
        <f ca="1"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47"/>
        <v>#REF!</v>
      </c>
      <c r="AI4021" s="43" t="str">
        <f ca="1">_xll.BInterpol('Base IPCA'!$C$3:$C$14,'Base IPCA'!$E$3:$E$14,AH4021,"Cubic","Extrapolate=Linear","MultiX=Average","Skip=True","Sort=True")</f>
        <v>#N/A Invalid Parameter: Interpolation value</v>
      </c>
      <c r="AJ4021" s="43" t="str">
        <f ca="1"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47"/>
        <v>#REF!</v>
      </c>
      <c r="AI4022" s="43" t="str">
        <f ca="1">_xll.BInterpol('Base IPCA'!$C$3:$C$14,'Base IPCA'!$E$3:$E$14,AH4022,"Cubic","Extrapolate=Linear","MultiX=Average","Skip=True","Sort=True")</f>
        <v>#N/A Invalid Parameter: Interpolation value</v>
      </c>
      <c r="AJ4022" s="43" t="str">
        <f ca="1"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47"/>
        <v>#REF!</v>
      </c>
      <c r="AI4023" s="43" t="str">
        <f ca="1">_xll.BInterpol('Base IPCA'!$C$3:$C$14,'Base IPCA'!$E$3:$E$14,AH4023,"Cubic","Extrapolate=Linear","MultiX=Average","Skip=True","Sort=True")</f>
        <v>#N/A Invalid Parameter: Interpolation value</v>
      </c>
      <c r="AJ4023" s="43" t="str">
        <f ca="1"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47"/>
        <v>#REF!</v>
      </c>
      <c r="AI4024" s="43" t="str">
        <f ca="1">_xll.BInterpol('Base IPCA'!$C$3:$C$14,'Base IPCA'!$E$3:$E$14,AH4024,"Cubic","Extrapolate=Linear","MultiX=Average","Skip=True","Sort=True")</f>
        <v>#N/A Invalid Parameter: Interpolation value</v>
      </c>
      <c r="AJ4024" s="43" t="str">
        <f ca="1"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47"/>
        <v>#REF!</v>
      </c>
      <c r="AI4025" s="43" t="str">
        <f ca="1">_xll.BInterpol('Base IPCA'!$C$3:$C$14,'Base IPCA'!$E$3:$E$14,AH4025,"Cubic","Extrapolate=Linear","MultiX=Average","Skip=True","Sort=True")</f>
        <v>#N/A Invalid Parameter: Interpolation value</v>
      </c>
      <c r="AJ4025" s="43" t="str">
        <f ca="1"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47"/>
        <v>#REF!</v>
      </c>
      <c r="AI4026" s="43" t="str">
        <f ca="1">_xll.BInterpol('Base IPCA'!$C$3:$C$14,'Base IPCA'!$E$3:$E$14,AH4026,"Cubic","Extrapolate=Linear","MultiX=Average","Skip=True","Sort=True")</f>
        <v>#N/A Invalid Parameter: Interpolation value</v>
      </c>
      <c r="AJ4026" s="43" t="str">
        <f ca="1"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47"/>
        <v>#REF!</v>
      </c>
      <c r="AI4027" s="43" t="str">
        <f ca="1">_xll.BInterpol('Base IPCA'!$C$3:$C$14,'Base IPCA'!$E$3:$E$14,AH4027,"Cubic","Extrapolate=Linear","MultiX=Average","Skip=True","Sort=True")</f>
        <v>#N/A Invalid Parameter: Interpolation value</v>
      </c>
      <c r="AJ4027" s="43" t="str">
        <f ca="1"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47"/>
        <v>#REF!</v>
      </c>
      <c r="AI4028" s="43" t="str">
        <f ca="1">_xll.BInterpol('Base IPCA'!$C$3:$C$14,'Base IPCA'!$E$3:$E$14,AH4028,"Cubic","Extrapolate=Linear","MultiX=Average","Skip=True","Sort=True")</f>
        <v>#N/A Invalid Parameter: Interpolation value</v>
      </c>
      <c r="AJ4028" s="43" t="str">
        <f ca="1"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47"/>
        <v>#REF!</v>
      </c>
      <c r="AI4029" s="43" t="str">
        <f ca="1">_xll.BInterpol('Base IPCA'!$C$3:$C$14,'Base IPCA'!$E$3:$E$14,AH4029,"Cubic","Extrapolate=Linear","MultiX=Average","Skip=True","Sort=True")</f>
        <v>#N/A Invalid Parameter: Interpolation value</v>
      </c>
      <c r="AJ4029" s="43" t="str">
        <f ca="1"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47"/>
        <v>#REF!</v>
      </c>
      <c r="AI4030" s="43" t="str">
        <f ca="1">_xll.BInterpol('Base IPCA'!$C$3:$C$14,'Base IPCA'!$E$3:$E$14,AH4030,"Cubic","Extrapolate=Linear","MultiX=Average","Skip=True","Sort=True")</f>
        <v>#N/A Invalid Parameter: Interpolation value</v>
      </c>
      <c r="AJ4030" s="43" t="str">
        <f ca="1"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47"/>
        <v>#REF!</v>
      </c>
      <c r="AI4031" s="43" t="str">
        <f ca="1">_xll.BInterpol('Base IPCA'!$C$3:$C$14,'Base IPCA'!$E$3:$E$14,AH4031,"Cubic","Extrapolate=Linear","MultiX=Average","Skip=True","Sort=True")</f>
        <v>#N/A Invalid Parameter: Interpolation value</v>
      </c>
      <c r="AJ4031" s="43" t="str">
        <f ca="1"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47"/>
        <v>#REF!</v>
      </c>
      <c r="AI4032" s="43" t="str">
        <f ca="1">_xll.BInterpol('Base IPCA'!$C$3:$C$14,'Base IPCA'!$E$3:$E$14,AH4032,"Cubic","Extrapolate=Linear","MultiX=Average","Skip=True","Sort=True")</f>
        <v>#N/A Invalid Parameter: Interpolation value</v>
      </c>
      <c r="AJ4032" s="43" t="str">
        <f ca="1"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47"/>
        <v>#REF!</v>
      </c>
      <c r="AI4033" s="43" t="str">
        <f ca="1">_xll.BInterpol('Base IPCA'!$C$3:$C$14,'Base IPCA'!$E$3:$E$14,AH4033,"Cubic","Extrapolate=Linear","MultiX=Average","Skip=True","Sort=True")</f>
        <v>#N/A Invalid Parameter: Interpolation value</v>
      </c>
      <c r="AJ4033" s="43" t="str">
        <f ca="1"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47"/>
        <v>#REF!</v>
      </c>
      <c r="AI4034" s="43" t="str">
        <f ca="1">_xll.BInterpol('Base IPCA'!$C$3:$C$14,'Base IPCA'!$E$3:$E$14,AH4034,"Cubic","Extrapolate=Linear","MultiX=Average","Skip=True","Sort=True")</f>
        <v>#N/A Invalid Parameter: Interpolation value</v>
      </c>
      <c r="AJ4034" s="43" t="str">
        <f ca="1"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47"/>
        <v>#REF!</v>
      </c>
      <c r="AI4035" s="43" t="str">
        <f ca="1">_xll.BInterpol('Base IPCA'!$C$3:$C$14,'Base IPCA'!$E$3:$E$14,AH4035,"Cubic","Extrapolate=Linear","MultiX=Average","Skip=True","Sort=True")</f>
        <v>#N/A Invalid Parameter: Interpolation value</v>
      </c>
      <c r="AJ4035" s="43" t="str">
        <f ca="1"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47"/>
        <v>#REF!</v>
      </c>
      <c r="AI4036" s="43" t="str">
        <f ca="1">_xll.BInterpol('Base IPCA'!$C$3:$C$14,'Base IPCA'!$E$3:$E$14,AH4036,"Cubic","Extrapolate=Linear","MultiX=Average","Skip=True","Sort=True")</f>
        <v>#N/A Invalid Parameter: Interpolation value</v>
      </c>
      <c r="AJ4036" s="43" t="str">
        <f ca="1"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47"/>
        <v>#REF!</v>
      </c>
      <c r="AI4037" s="43" t="str">
        <f ca="1">_xll.BInterpol('Base IPCA'!$C$3:$C$14,'Base IPCA'!$E$3:$E$14,AH4037,"Cubic","Extrapolate=Linear","MultiX=Average","Skip=True","Sort=True")</f>
        <v>#N/A Invalid Parameter: Interpolation value</v>
      </c>
      <c r="AJ4037" s="43" t="str">
        <f ca="1"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48">AH4037+1</f>
        <v>#REF!</v>
      </c>
      <c r="AI4038" s="43" t="str">
        <f ca="1">_xll.BInterpol('Base IPCA'!$C$3:$C$14,'Base IPCA'!$E$3:$E$14,AH4038,"Cubic","Extrapolate=Linear","MultiX=Average","Skip=True","Sort=True")</f>
        <v>#N/A Invalid Parameter: Interpolation value</v>
      </c>
      <c r="AJ4038" s="43" t="str">
        <f ca="1"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48"/>
        <v>#REF!</v>
      </c>
      <c r="AI4039" s="43" t="str">
        <f ca="1">_xll.BInterpol('Base IPCA'!$C$3:$C$14,'Base IPCA'!$E$3:$E$14,AH4039,"Cubic","Extrapolate=Linear","MultiX=Average","Skip=True","Sort=True")</f>
        <v>#N/A Invalid Parameter: Interpolation value</v>
      </c>
      <c r="AJ4039" s="43" t="str">
        <f ca="1"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48"/>
        <v>#REF!</v>
      </c>
      <c r="AI4040" s="43" t="str">
        <f ca="1">_xll.BInterpol('Base IPCA'!$C$3:$C$14,'Base IPCA'!$E$3:$E$14,AH4040,"Cubic","Extrapolate=Linear","MultiX=Average","Skip=True","Sort=True")</f>
        <v>#N/A Invalid Parameter: Interpolation value</v>
      </c>
      <c r="AJ4040" s="43" t="str">
        <f ca="1"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48"/>
        <v>#REF!</v>
      </c>
      <c r="AI4041" s="43" t="str">
        <f ca="1">_xll.BInterpol('Base IPCA'!$C$3:$C$14,'Base IPCA'!$E$3:$E$14,AH4041,"Cubic","Extrapolate=Linear","MultiX=Average","Skip=True","Sort=True")</f>
        <v>#N/A Invalid Parameter: Interpolation value</v>
      </c>
      <c r="AJ4041" s="43" t="str">
        <f ca="1"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48"/>
        <v>#REF!</v>
      </c>
      <c r="AI4042" s="43" t="str">
        <f ca="1">_xll.BInterpol('Base IPCA'!$C$3:$C$14,'Base IPCA'!$E$3:$E$14,AH4042,"Cubic","Extrapolate=Linear","MultiX=Average","Skip=True","Sort=True")</f>
        <v>#N/A Invalid Parameter: Interpolation value</v>
      </c>
      <c r="AJ4042" s="43" t="str">
        <f ca="1"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48"/>
        <v>#REF!</v>
      </c>
      <c r="AI4043" s="43" t="str">
        <f ca="1">_xll.BInterpol('Base IPCA'!$C$3:$C$14,'Base IPCA'!$E$3:$E$14,AH4043,"Cubic","Extrapolate=Linear","MultiX=Average","Skip=True","Sort=True")</f>
        <v>#N/A Invalid Parameter: Interpolation value</v>
      </c>
      <c r="AJ4043" s="43" t="str">
        <f ca="1"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48"/>
        <v>#REF!</v>
      </c>
      <c r="AI4044" s="43" t="str">
        <f ca="1">_xll.BInterpol('Base IPCA'!$C$3:$C$14,'Base IPCA'!$E$3:$E$14,AH4044,"Cubic","Extrapolate=Linear","MultiX=Average","Skip=True","Sort=True")</f>
        <v>#N/A Invalid Parameter: Interpolation value</v>
      </c>
      <c r="AJ4044" s="43" t="str">
        <f ca="1"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48"/>
        <v>#REF!</v>
      </c>
      <c r="AI4045" s="43" t="str">
        <f ca="1">_xll.BInterpol('Base IPCA'!$C$3:$C$14,'Base IPCA'!$E$3:$E$14,AH4045,"Cubic","Extrapolate=Linear","MultiX=Average","Skip=True","Sort=True")</f>
        <v>#N/A Invalid Parameter: Interpolation value</v>
      </c>
      <c r="AJ4045" s="43" t="str">
        <f ca="1"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48"/>
        <v>#REF!</v>
      </c>
      <c r="AI4046" s="43" t="str">
        <f ca="1">_xll.BInterpol('Base IPCA'!$C$3:$C$14,'Base IPCA'!$E$3:$E$14,AH4046,"Cubic","Extrapolate=Linear","MultiX=Average","Skip=True","Sort=True")</f>
        <v>#N/A Invalid Parameter: Interpolation value</v>
      </c>
      <c r="AJ4046" s="43" t="str">
        <f ca="1"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48"/>
        <v>#REF!</v>
      </c>
      <c r="AI4047" s="43" t="str">
        <f ca="1">_xll.BInterpol('Base IPCA'!$C$3:$C$14,'Base IPCA'!$E$3:$E$14,AH4047,"Cubic","Extrapolate=Linear","MultiX=Average","Skip=True","Sort=True")</f>
        <v>#N/A Invalid Parameter: Interpolation value</v>
      </c>
      <c r="AJ4047" s="43" t="str">
        <f ca="1"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48"/>
        <v>#REF!</v>
      </c>
      <c r="AI4048" s="43" t="str">
        <f ca="1">_xll.BInterpol('Base IPCA'!$C$3:$C$14,'Base IPCA'!$E$3:$E$14,AH4048,"Cubic","Extrapolate=Linear","MultiX=Average","Skip=True","Sort=True")</f>
        <v>#N/A Invalid Parameter: Interpolation value</v>
      </c>
      <c r="AJ4048" s="43" t="str">
        <f ca="1"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48"/>
        <v>#REF!</v>
      </c>
      <c r="AI4049" s="43" t="str">
        <f ca="1">_xll.BInterpol('Base IPCA'!$C$3:$C$14,'Base IPCA'!$E$3:$E$14,AH4049,"Cubic","Extrapolate=Linear","MultiX=Average","Skip=True","Sort=True")</f>
        <v>#N/A Invalid Parameter: Interpolation value</v>
      </c>
      <c r="AJ4049" s="43" t="str">
        <f ca="1"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48"/>
        <v>#REF!</v>
      </c>
      <c r="AI4050" s="43" t="str">
        <f ca="1">_xll.BInterpol('Base IPCA'!$C$3:$C$14,'Base IPCA'!$E$3:$E$14,AH4050,"Cubic","Extrapolate=Linear","MultiX=Average","Skip=True","Sort=True")</f>
        <v>#N/A Invalid Parameter: Interpolation value</v>
      </c>
      <c r="AJ4050" s="43" t="str">
        <f ca="1"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48"/>
        <v>#REF!</v>
      </c>
      <c r="AI4051" s="43" t="str">
        <f ca="1">_xll.BInterpol('Base IPCA'!$C$3:$C$14,'Base IPCA'!$E$3:$E$14,AH4051,"Cubic","Extrapolate=Linear","MultiX=Average","Skip=True","Sort=True")</f>
        <v>#N/A Invalid Parameter: Interpolation value</v>
      </c>
      <c r="AJ4051" s="43" t="str">
        <f ca="1"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48"/>
        <v>#REF!</v>
      </c>
      <c r="AI4052" s="43" t="str">
        <f ca="1">_xll.BInterpol('Base IPCA'!$C$3:$C$14,'Base IPCA'!$E$3:$E$14,AH4052,"Cubic","Extrapolate=Linear","MultiX=Average","Skip=True","Sort=True")</f>
        <v>#N/A Invalid Parameter: Interpolation value</v>
      </c>
      <c r="AJ4052" s="43" t="str">
        <f ca="1"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48"/>
        <v>#REF!</v>
      </c>
      <c r="AI4053" s="43" t="str">
        <f ca="1">_xll.BInterpol('Base IPCA'!$C$3:$C$14,'Base IPCA'!$E$3:$E$14,AH4053,"Cubic","Extrapolate=Linear","MultiX=Average","Skip=True","Sort=True")</f>
        <v>#N/A Invalid Parameter: Interpolation value</v>
      </c>
      <c r="AJ4053" s="43" t="str">
        <f ca="1"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48"/>
        <v>#REF!</v>
      </c>
      <c r="AI4054" s="43" t="str">
        <f ca="1">_xll.BInterpol('Base IPCA'!$C$3:$C$14,'Base IPCA'!$E$3:$E$14,AH4054,"Cubic","Extrapolate=Linear","MultiX=Average","Skip=True","Sort=True")</f>
        <v>#N/A Invalid Parameter: Interpolation value</v>
      </c>
      <c r="AJ4054" s="43" t="str">
        <f ca="1"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48"/>
        <v>#REF!</v>
      </c>
      <c r="AI4055" s="43" t="str">
        <f ca="1">_xll.BInterpol('Base IPCA'!$C$3:$C$14,'Base IPCA'!$E$3:$E$14,AH4055,"Cubic","Extrapolate=Linear","MultiX=Average","Skip=True","Sort=True")</f>
        <v>#N/A Invalid Parameter: Interpolation value</v>
      </c>
      <c r="AJ4055" s="43" t="str">
        <f ca="1"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48"/>
        <v>#REF!</v>
      </c>
      <c r="AI4056" s="43" t="str">
        <f ca="1">_xll.BInterpol('Base IPCA'!$C$3:$C$14,'Base IPCA'!$E$3:$E$14,AH4056,"Cubic","Extrapolate=Linear","MultiX=Average","Skip=True","Sort=True")</f>
        <v>#N/A Invalid Parameter: Interpolation value</v>
      </c>
      <c r="AJ4056" s="43" t="str">
        <f ca="1"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48"/>
        <v>#REF!</v>
      </c>
      <c r="AI4057" s="43" t="str">
        <f ca="1">_xll.BInterpol('Base IPCA'!$C$3:$C$14,'Base IPCA'!$E$3:$E$14,AH4057,"Cubic","Extrapolate=Linear","MultiX=Average","Skip=True","Sort=True")</f>
        <v>#N/A Invalid Parameter: Interpolation value</v>
      </c>
      <c r="AJ4057" s="43" t="str">
        <f ca="1"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48"/>
        <v>#REF!</v>
      </c>
      <c r="AI4058" s="43" t="str">
        <f ca="1">_xll.BInterpol('Base IPCA'!$C$3:$C$14,'Base IPCA'!$E$3:$E$14,AH4058,"Cubic","Extrapolate=Linear","MultiX=Average","Skip=True","Sort=True")</f>
        <v>#N/A Invalid Parameter: Interpolation value</v>
      </c>
      <c r="AJ4058" s="43" t="str">
        <f ca="1"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48"/>
        <v>#REF!</v>
      </c>
      <c r="AI4059" s="43" t="str">
        <f ca="1">_xll.BInterpol('Base IPCA'!$C$3:$C$14,'Base IPCA'!$E$3:$E$14,AH4059,"Cubic","Extrapolate=Linear","MultiX=Average","Skip=True","Sort=True")</f>
        <v>#N/A Invalid Parameter: Interpolation value</v>
      </c>
      <c r="AJ4059" s="43" t="str">
        <f ca="1"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48"/>
        <v>#REF!</v>
      </c>
      <c r="AI4060" s="43" t="str">
        <f ca="1">_xll.BInterpol('Base IPCA'!$C$3:$C$14,'Base IPCA'!$E$3:$E$14,AH4060,"Cubic","Extrapolate=Linear","MultiX=Average","Skip=True","Sort=True")</f>
        <v>#N/A Invalid Parameter: Interpolation value</v>
      </c>
      <c r="AJ4060" s="43" t="str">
        <f ca="1"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48"/>
        <v>#REF!</v>
      </c>
      <c r="AI4061" s="43" t="str">
        <f ca="1">_xll.BInterpol('Base IPCA'!$C$3:$C$14,'Base IPCA'!$E$3:$E$14,AH4061,"Cubic","Extrapolate=Linear","MultiX=Average","Skip=True","Sort=True")</f>
        <v>#N/A Invalid Parameter: Interpolation value</v>
      </c>
      <c r="AJ4061" s="43" t="str">
        <f ca="1"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48"/>
        <v>#REF!</v>
      </c>
      <c r="AI4062" s="43" t="str">
        <f ca="1">_xll.BInterpol('Base IPCA'!$C$3:$C$14,'Base IPCA'!$E$3:$E$14,AH4062,"Cubic","Extrapolate=Linear","MultiX=Average","Skip=True","Sort=True")</f>
        <v>#N/A Invalid Parameter: Interpolation value</v>
      </c>
      <c r="AJ4062" s="43" t="str">
        <f ca="1"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48"/>
        <v>#REF!</v>
      </c>
      <c r="AI4063" s="43" t="str">
        <f ca="1">_xll.BInterpol('Base IPCA'!$C$3:$C$14,'Base IPCA'!$E$3:$E$14,AH4063,"Cubic","Extrapolate=Linear","MultiX=Average","Skip=True","Sort=True")</f>
        <v>#N/A Invalid Parameter: Interpolation value</v>
      </c>
      <c r="AJ4063" s="43" t="str">
        <f ca="1"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48"/>
        <v>#REF!</v>
      </c>
      <c r="AI4064" s="43" t="str">
        <f ca="1">_xll.BInterpol('Base IPCA'!$C$3:$C$14,'Base IPCA'!$E$3:$E$14,AH4064,"Cubic","Extrapolate=Linear","MultiX=Average","Skip=True","Sort=True")</f>
        <v>#N/A Invalid Parameter: Interpolation value</v>
      </c>
      <c r="AJ4064" s="43" t="str">
        <f ca="1"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48"/>
        <v>#REF!</v>
      </c>
      <c r="AI4065" s="43" t="str">
        <f ca="1">_xll.BInterpol('Base IPCA'!$C$3:$C$14,'Base IPCA'!$E$3:$E$14,AH4065,"Cubic","Extrapolate=Linear","MultiX=Average","Skip=True","Sort=True")</f>
        <v>#N/A Invalid Parameter: Interpolation value</v>
      </c>
      <c r="AJ4065" s="43" t="str">
        <f ca="1"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48"/>
        <v>#REF!</v>
      </c>
      <c r="AI4066" s="43" t="str">
        <f ca="1">_xll.BInterpol('Base IPCA'!$C$3:$C$14,'Base IPCA'!$E$3:$E$14,AH4066,"Cubic","Extrapolate=Linear","MultiX=Average","Skip=True","Sort=True")</f>
        <v>#N/A Invalid Parameter: Interpolation value</v>
      </c>
      <c r="AJ4066" s="43" t="str">
        <f ca="1"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48"/>
        <v>#REF!</v>
      </c>
      <c r="AI4067" s="43" t="str">
        <f ca="1">_xll.BInterpol('Base IPCA'!$C$3:$C$14,'Base IPCA'!$E$3:$E$14,AH4067,"Cubic","Extrapolate=Linear","MultiX=Average","Skip=True","Sort=True")</f>
        <v>#N/A Invalid Parameter: Interpolation value</v>
      </c>
      <c r="AJ4067" s="43" t="str">
        <f ca="1"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48"/>
        <v>#REF!</v>
      </c>
      <c r="AI4068" s="43" t="str">
        <f ca="1">_xll.BInterpol('Base IPCA'!$C$3:$C$14,'Base IPCA'!$E$3:$E$14,AH4068,"Cubic","Extrapolate=Linear","MultiX=Average","Skip=True","Sort=True")</f>
        <v>#N/A Invalid Parameter: Interpolation value</v>
      </c>
      <c r="AJ4068" s="43" t="str">
        <f ca="1"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48"/>
        <v>#REF!</v>
      </c>
      <c r="AI4069" s="43" t="str">
        <f ca="1">_xll.BInterpol('Base IPCA'!$C$3:$C$14,'Base IPCA'!$E$3:$E$14,AH4069,"Cubic","Extrapolate=Linear","MultiX=Average","Skip=True","Sort=True")</f>
        <v>#N/A Invalid Parameter: Interpolation value</v>
      </c>
      <c r="AJ4069" s="43" t="str">
        <f ca="1"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48"/>
        <v>#REF!</v>
      </c>
      <c r="AI4070" s="43" t="str">
        <f ca="1">_xll.BInterpol('Base IPCA'!$C$3:$C$14,'Base IPCA'!$E$3:$E$14,AH4070,"Cubic","Extrapolate=Linear","MultiX=Average","Skip=True","Sort=True")</f>
        <v>#N/A Invalid Parameter: Interpolation value</v>
      </c>
      <c r="AJ4070" s="43" t="str">
        <f ca="1"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48"/>
        <v>#REF!</v>
      </c>
      <c r="AI4071" s="43" t="str">
        <f ca="1">_xll.BInterpol('Base IPCA'!$C$3:$C$14,'Base IPCA'!$E$3:$E$14,AH4071,"Cubic","Extrapolate=Linear","MultiX=Average","Skip=True","Sort=True")</f>
        <v>#N/A Invalid Parameter: Interpolation value</v>
      </c>
      <c r="AJ4071" s="43" t="str">
        <f ca="1"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48"/>
        <v>#REF!</v>
      </c>
      <c r="AI4072" s="43" t="str">
        <f ca="1">_xll.BInterpol('Base IPCA'!$C$3:$C$14,'Base IPCA'!$E$3:$E$14,AH4072,"Cubic","Extrapolate=Linear","MultiX=Average","Skip=True","Sort=True")</f>
        <v>#N/A Invalid Parameter: Interpolation value</v>
      </c>
      <c r="AJ4072" s="43" t="str">
        <f ca="1"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48"/>
        <v>#REF!</v>
      </c>
      <c r="AI4073" s="43" t="str">
        <f ca="1">_xll.BInterpol('Base IPCA'!$C$3:$C$14,'Base IPCA'!$E$3:$E$14,AH4073,"Cubic","Extrapolate=Linear","MultiX=Average","Skip=True","Sort=True")</f>
        <v>#N/A Invalid Parameter: Interpolation value</v>
      </c>
      <c r="AJ4073" s="43" t="str">
        <f ca="1"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48"/>
        <v>#REF!</v>
      </c>
      <c r="AI4074" s="43" t="str">
        <f ca="1">_xll.BInterpol('Base IPCA'!$C$3:$C$14,'Base IPCA'!$E$3:$E$14,AH4074,"Cubic","Extrapolate=Linear","MultiX=Average","Skip=True","Sort=True")</f>
        <v>#N/A Invalid Parameter: Interpolation value</v>
      </c>
      <c r="AJ4074" s="43" t="str">
        <f ca="1"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48"/>
        <v>#REF!</v>
      </c>
      <c r="AI4075" s="43" t="str">
        <f ca="1">_xll.BInterpol('Base IPCA'!$C$3:$C$14,'Base IPCA'!$E$3:$E$14,AH4075,"Cubic","Extrapolate=Linear","MultiX=Average","Skip=True","Sort=True")</f>
        <v>#N/A Invalid Parameter: Interpolation value</v>
      </c>
      <c r="AJ4075" s="43" t="str">
        <f ca="1"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48"/>
        <v>#REF!</v>
      </c>
      <c r="AI4076" s="43" t="str">
        <f ca="1">_xll.BInterpol('Base IPCA'!$C$3:$C$14,'Base IPCA'!$E$3:$E$14,AH4076,"Cubic","Extrapolate=Linear","MultiX=Average","Skip=True","Sort=True")</f>
        <v>#N/A Invalid Parameter: Interpolation value</v>
      </c>
      <c r="AJ4076" s="43" t="str">
        <f ca="1"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48"/>
        <v>#REF!</v>
      </c>
      <c r="AI4077" s="43" t="str">
        <f ca="1">_xll.BInterpol('Base IPCA'!$C$3:$C$14,'Base IPCA'!$E$3:$E$14,AH4077,"Cubic","Extrapolate=Linear","MultiX=Average","Skip=True","Sort=True")</f>
        <v>#N/A Invalid Parameter: Interpolation value</v>
      </c>
      <c r="AJ4077" s="43" t="str">
        <f ca="1"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48"/>
        <v>#REF!</v>
      </c>
      <c r="AI4078" s="43" t="str">
        <f ca="1">_xll.BInterpol('Base IPCA'!$C$3:$C$14,'Base IPCA'!$E$3:$E$14,AH4078,"Cubic","Extrapolate=Linear","MultiX=Average","Skip=True","Sort=True")</f>
        <v>#N/A Invalid Parameter: Interpolation value</v>
      </c>
      <c r="AJ4078" s="43" t="str">
        <f ca="1"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48"/>
        <v>#REF!</v>
      </c>
      <c r="AI4079" s="43" t="str">
        <f ca="1">_xll.BInterpol('Base IPCA'!$C$3:$C$14,'Base IPCA'!$E$3:$E$14,AH4079,"Cubic","Extrapolate=Linear","MultiX=Average","Skip=True","Sort=True")</f>
        <v>#N/A Invalid Parameter: Interpolation value</v>
      </c>
      <c r="AJ4079" s="43" t="str">
        <f ca="1"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48"/>
        <v>#REF!</v>
      </c>
      <c r="AI4080" s="43" t="str">
        <f ca="1">_xll.BInterpol('Base IPCA'!$C$3:$C$14,'Base IPCA'!$E$3:$E$14,AH4080,"Cubic","Extrapolate=Linear","MultiX=Average","Skip=True","Sort=True")</f>
        <v>#N/A Invalid Parameter: Interpolation value</v>
      </c>
      <c r="AJ4080" s="43" t="str">
        <f ca="1"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48"/>
        <v>#REF!</v>
      </c>
      <c r="AI4081" s="43" t="str">
        <f ca="1">_xll.BInterpol('Base IPCA'!$C$3:$C$14,'Base IPCA'!$E$3:$E$14,AH4081,"Cubic","Extrapolate=Linear","MultiX=Average","Skip=True","Sort=True")</f>
        <v>#N/A Invalid Parameter: Interpolation value</v>
      </c>
      <c r="AJ4081" s="43" t="str">
        <f ca="1"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48"/>
        <v>#REF!</v>
      </c>
      <c r="AI4082" s="43" t="str">
        <f ca="1">_xll.BInterpol('Base IPCA'!$C$3:$C$14,'Base IPCA'!$E$3:$E$14,AH4082,"Cubic","Extrapolate=Linear","MultiX=Average","Skip=True","Sort=True")</f>
        <v>#N/A Invalid Parameter: Interpolation value</v>
      </c>
      <c r="AJ4082" s="43" t="str">
        <f ca="1"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48"/>
        <v>#REF!</v>
      </c>
      <c r="AI4083" s="43" t="str">
        <f ca="1">_xll.BInterpol('Base IPCA'!$C$3:$C$14,'Base IPCA'!$E$3:$E$14,AH4083,"Cubic","Extrapolate=Linear","MultiX=Average","Skip=True","Sort=True")</f>
        <v>#N/A Invalid Parameter: Interpolation value</v>
      </c>
      <c r="AJ4083" s="43" t="str">
        <f ca="1"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48"/>
        <v>#REF!</v>
      </c>
      <c r="AI4084" s="43" t="str">
        <f ca="1">_xll.BInterpol('Base IPCA'!$C$3:$C$14,'Base IPCA'!$E$3:$E$14,AH4084,"Cubic","Extrapolate=Linear","MultiX=Average","Skip=True","Sort=True")</f>
        <v>#N/A Invalid Parameter: Interpolation value</v>
      </c>
      <c r="AJ4084" s="43" t="str">
        <f ca="1"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48"/>
        <v>#REF!</v>
      </c>
      <c r="AI4085" s="43" t="str">
        <f ca="1">_xll.BInterpol('Base IPCA'!$C$3:$C$14,'Base IPCA'!$E$3:$E$14,AH4085,"Cubic","Extrapolate=Linear","MultiX=Average","Skip=True","Sort=True")</f>
        <v>#N/A Invalid Parameter: Interpolation value</v>
      </c>
      <c r="AJ4085" s="43" t="str">
        <f ca="1"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48"/>
        <v>#REF!</v>
      </c>
      <c r="AI4086" s="43" t="str">
        <f ca="1">_xll.BInterpol('Base IPCA'!$C$3:$C$14,'Base IPCA'!$E$3:$E$14,AH4086,"Cubic","Extrapolate=Linear","MultiX=Average","Skip=True","Sort=True")</f>
        <v>#N/A Invalid Parameter: Interpolation value</v>
      </c>
      <c r="AJ4086" s="43" t="str">
        <f ca="1"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48"/>
        <v>#REF!</v>
      </c>
      <c r="AI4087" s="43" t="str">
        <f ca="1">_xll.BInterpol('Base IPCA'!$C$3:$C$14,'Base IPCA'!$E$3:$E$14,AH4087,"Cubic","Extrapolate=Linear","MultiX=Average","Skip=True","Sort=True")</f>
        <v>#N/A Invalid Parameter: Interpolation value</v>
      </c>
      <c r="AJ4087" s="43" t="str">
        <f ca="1"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48"/>
        <v>#REF!</v>
      </c>
      <c r="AI4088" s="43" t="str">
        <f ca="1">_xll.BInterpol('Base IPCA'!$C$3:$C$14,'Base IPCA'!$E$3:$E$14,AH4088,"Cubic","Extrapolate=Linear","MultiX=Average","Skip=True","Sort=True")</f>
        <v>#N/A Invalid Parameter: Interpolation value</v>
      </c>
      <c r="AJ4088" s="43" t="str">
        <f ca="1"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48"/>
        <v>#REF!</v>
      </c>
      <c r="AI4089" s="43" t="str">
        <f ca="1">_xll.BInterpol('Base IPCA'!$C$3:$C$14,'Base IPCA'!$E$3:$E$14,AH4089,"Cubic","Extrapolate=Linear","MultiX=Average","Skip=True","Sort=True")</f>
        <v>#N/A Invalid Parameter: Interpolation value</v>
      </c>
      <c r="AJ4089" s="43" t="str">
        <f ca="1"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48"/>
        <v>#REF!</v>
      </c>
      <c r="AI4090" s="43" t="str">
        <f ca="1">_xll.BInterpol('Base IPCA'!$C$3:$C$14,'Base IPCA'!$E$3:$E$14,AH4090,"Cubic","Extrapolate=Linear","MultiX=Average","Skip=True","Sort=True")</f>
        <v>#N/A Invalid Parameter: Interpolation value</v>
      </c>
      <c r="AJ4090" s="43" t="str">
        <f ca="1"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48"/>
        <v>#REF!</v>
      </c>
      <c r="AI4091" s="43" t="str">
        <f ca="1">_xll.BInterpol('Base IPCA'!$C$3:$C$14,'Base IPCA'!$E$3:$E$14,AH4091,"Cubic","Extrapolate=Linear","MultiX=Average","Skip=True","Sort=True")</f>
        <v>#N/A Invalid Parameter: Interpolation value</v>
      </c>
      <c r="AJ4091" s="43" t="str">
        <f ca="1"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48"/>
        <v>#REF!</v>
      </c>
      <c r="AI4092" s="43" t="str">
        <f ca="1">_xll.BInterpol('Base IPCA'!$C$3:$C$14,'Base IPCA'!$E$3:$E$14,AH4092,"Cubic","Extrapolate=Linear","MultiX=Average","Skip=True","Sort=True")</f>
        <v>#N/A Invalid Parameter: Interpolation value</v>
      </c>
      <c r="AJ4092" s="43" t="str">
        <f ca="1"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48"/>
        <v>#REF!</v>
      </c>
      <c r="AI4093" s="43" t="str">
        <f ca="1">_xll.BInterpol('Base IPCA'!$C$3:$C$14,'Base IPCA'!$E$3:$E$14,AH4093,"Cubic","Extrapolate=Linear","MultiX=Average","Skip=True","Sort=True")</f>
        <v>#N/A Invalid Parameter: Interpolation value</v>
      </c>
      <c r="AJ4093" s="43" t="str">
        <f ca="1"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48"/>
        <v>#REF!</v>
      </c>
      <c r="AI4094" s="43" t="str">
        <f ca="1">_xll.BInterpol('Base IPCA'!$C$3:$C$14,'Base IPCA'!$E$3:$E$14,AH4094,"Cubic","Extrapolate=Linear","MultiX=Average","Skip=True","Sort=True")</f>
        <v>#N/A Invalid Parameter: Interpolation value</v>
      </c>
      <c r="AJ4094" s="43" t="str">
        <f ca="1"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48"/>
        <v>#REF!</v>
      </c>
      <c r="AI4095" s="43" t="str">
        <f ca="1">_xll.BInterpol('Base IPCA'!$C$3:$C$14,'Base IPCA'!$E$3:$E$14,AH4095,"Cubic","Extrapolate=Linear","MultiX=Average","Skip=True","Sort=True")</f>
        <v>#N/A Invalid Parameter: Interpolation value</v>
      </c>
      <c r="AJ4095" s="43" t="str">
        <f ca="1"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48"/>
        <v>#REF!</v>
      </c>
      <c r="AI4096" s="43" t="str">
        <f ca="1">_xll.BInterpol('Base IPCA'!$C$3:$C$14,'Base IPCA'!$E$3:$E$14,AH4096,"Cubic","Extrapolate=Linear","MultiX=Average","Skip=True","Sort=True")</f>
        <v>#N/A Invalid Parameter: Interpolation value</v>
      </c>
      <c r="AJ4096" s="43" t="str">
        <f ca="1"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48"/>
        <v>#REF!</v>
      </c>
      <c r="AI4097" s="43" t="str">
        <f ca="1">_xll.BInterpol('Base IPCA'!$C$3:$C$14,'Base IPCA'!$E$3:$E$14,AH4097,"Cubic","Extrapolate=Linear","MultiX=Average","Skip=True","Sort=True")</f>
        <v>#N/A Invalid Parameter: Interpolation value</v>
      </c>
      <c r="AJ4097" s="43" t="str">
        <f ca="1"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48"/>
        <v>#REF!</v>
      </c>
      <c r="AI4098" s="43" t="str">
        <f ca="1">_xll.BInterpol('Base IPCA'!$C$3:$C$14,'Base IPCA'!$E$3:$E$14,AH4098,"Cubic","Extrapolate=Linear","MultiX=Average","Skip=True","Sort=True")</f>
        <v>#N/A Invalid Parameter: Interpolation value</v>
      </c>
      <c r="AJ4098" s="43" t="str">
        <f ca="1"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48"/>
        <v>#REF!</v>
      </c>
      <c r="AI4099" s="43" t="str">
        <f ca="1">_xll.BInterpol('Base IPCA'!$C$3:$C$14,'Base IPCA'!$E$3:$E$14,AH4099,"Cubic","Extrapolate=Linear","MultiX=Average","Skip=True","Sort=True")</f>
        <v>#N/A Invalid Parameter: Interpolation value</v>
      </c>
      <c r="AJ4099" s="43" t="str">
        <f ca="1"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48"/>
        <v>#REF!</v>
      </c>
      <c r="AI4100" s="43" t="str">
        <f ca="1">_xll.BInterpol('Base IPCA'!$C$3:$C$14,'Base IPCA'!$E$3:$E$14,AH4100,"Cubic","Extrapolate=Linear","MultiX=Average","Skip=True","Sort=True")</f>
        <v>#N/A Invalid Parameter: Interpolation value</v>
      </c>
      <c r="AJ4100" s="43" t="str">
        <f ca="1"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48"/>
        <v>#REF!</v>
      </c>
      <c r="AI4101" s="43" t="str">
        <f ca="1">_xll.BInterpol('Base IPCA'!$C$3:$C$14,'Base IPCA'!$E$3:$E$14,AH4101,"Cubic","Extrapolate=Linear","MultiX=Average","Skip=True","Sort=True")</f>
        <v>#N/A Invalid Parameter: Interpolation value</v>
      </c>
      <c r="AJ4101" s="43" t="str">
        <f ca="1"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49">AH4101+1</f>
        <v>#REF!</v>
      </c>
      <c r="AI4102" s="43" t="str">
        <f ca="1">_xll.BInterpol('Base IPCA'!$C$3:$C$14,'Base IPCA'!$E$3:$E$14,AH4102,"Cubic","Extrapolate=Linear","MultiX=Average","Skip=True","Sort=True")</f>
        <v>#N/A Invalid Parameter: Interpolation value</v>
      </c>
      <c r="AJ4102" s="43" t="str">
        <f ca="1"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49"/>
        <v>#REF!</v>
      </c>
      <c r="AI4103" s="43" t="str">
        <f ca="1">_xll.BInterpol('Base IPCA'!$C$3:$C$14,'Base IPCA'!$E$3:$E$14,AH4103,"Cubic","Extrapolate=Linear","MultiX=Average","Skip=True","Sort=True")</f>
        <v>#N/A Invalid Parameter: Interpolation value</v>
      </c>
      <c r="AJ4103" s="43" t="str">
        <f ca="1"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49"/>
        <v>#REF!</v>
      </c>
      <c r="AI4104" s="43" t="str">
        <f ca="1">_xll.BInterpol('Base IPCA'!$C$3:$C$14,'Base IPCA'!$E$3:$E$14,AH4104,"Cubic","Extrapolate=Linear","MultiX=Average","Skip=True","Sort=True")</f>
        <v>#N/A Invalid Parameter: Interpolation value</v>
      </c>
      <c r="AJ4104" s="43" t="str">
        <f ca="1"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49"/>
        <v>#REF!</v>
      </c>
      <c r="AI4105" s="43" t="str">
        <f ca="1">_xll.BInterpol('Base IPCA'!$C$3:$C$14,'Base IPCA'!$E$3:$E$14,AH4105,"Cubic","Extrapolate=Linear","MultiX=Average","Skip=True","Sort=True")</f>
        <v>#N/A Invalid Parameter: Interpolation value</v>
      </c>
      <c r="AJ4105" s="43" t="str">
        <f ca="1"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49"/>
        <v>#REF!</v>
      </c>
      <c r="AI4106" s="43" t="str">
        <f ca="1">_xll.BInterpol('Base IPCA'!$C$3:$C$14,'Base IPCA'!$E$3:$E$14,AH4106,"Cubic","Extrapolate=Linear","MultiX=Average","Skip=True","Sort=True")</f>
        <v>#N/A Invalid Parameter: Interpolation value</v>
      </c>
      <c r="AJ4106" s="43" t="str">
        <f ca="1"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49"/>
        <v>#REF!</v>
      </c>
      <c r="AI4107" s="43" t="str">
        <f ca="1">_xll.BInterpol('Base IPCA'!$C$3:$C$14,'Base IPCA'!$E$3:$E$14,AH4107,"Cubic","Extrapolate=Linear","MultiX=Average","Skip=True","Sort=True")</f>
        <v>#N/A Invalid Parameter: Interpolation value</v>
      </c>
      <c r="AJ4107" s="43" t="str">
        <f ca="1"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49"/>
        <v>#REF!</v>
      </c>
      <c r="AI4108" s="43" t="str">
        <f ca="1">_xll.BInterpol('Base IPCA'!$C$3:$C$14,'Base IPCA'!$E$3:$E$14,AH4108,"Cubic","Extrapolate=Linear","MultiX=Average","Skip=True","Sort=True")</f>
        <v>#N/A Invalid Parameter: Interpolation value</v>
      </c>
      <c r="AJ4108" s="43" t="str">
        <f ca="1"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49"/>
        <v>#REF!</v>
      </c>
      <c r="AI4109" s="43" t="str">
        <f ca="1">_xll.BInterpol('Base IPCA'!$C$3:$C$14,'Base IPCA'!$E$3:$E$14,AH4109,"Cubic","Extrapolate=Linear","MultiX=Average","Skip=True","Sort=True")</f>
        <v>#N/A Invalid Parameter: Interpolation value</v>
      </c>
      <c r="AJ4109" s="43" t="str">
        <f ca="1"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49"/>
        <v>#REF!</v>
      </c>
      <c r="AI4110" s="43" t="str">
        <f ca="1">_xll.BInterpol('Base IPCA'!$C$3:$C$14,'Base IPCA'!$E$3:$E$14,AH4110,"Cubic","Extrapolate=Linear","MultiX=Average","Skip=True","Sort=True")</f>
        <v>#N/A Invalid Parameter: Interpolation value</v>
      </c>
      <c r="AJ4110" s="43" t="str">
        <f ca="1"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49"/>
        <v>#REF!</v>
      </c>
      <c r="AI4111" s="43" t="str">
        <f ca="1">_xll.BInterpol('Base IPCA'!$C$3:$C$14,'Base IPCA'!$E$3:$E$14,AH4111,"Cubic","Extrapolate=Linear","MultiX=Average","Skip=True","Sort=True")</f>
        <v>#N/A Invalid Parameter: Interpolation value</v>
      </c>
      <c r="AJ4111" s="43" t="str">
        <f ca="1"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49"/>
        <v>#REF!</v>
      </c>
      <c r="AI4112" s="43" t="str">
        <f ca="1">_xll.BInterpol('Base IPCA'!$C$3:$C$14,'Base IPCA'!$E$3:$E$14,AH4112,"Cubic","Extrapolate=Linear","MultiX=Average","Skip=True","Sort=True")</f>
        <v>#N/A Invalid Parameter: Interpolation value</v>
      </c>
      <c r="AJ4112" s="43" t="str">
        <f ca="1"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49"/>
        <v>#REF!</v>
      </c>
      <c r="AI4113" s="43" t="str">
        <f ca="1">_xll.BInterpol('Base IPCA'!$C$3:$C$14,'Base IPCA'!$E$3:$E$14,AH4113,"Cubic","Extrapolate=Linear","MultiX=Average","Skip=True","Sort=True")</f>
        <v>#N/A Invalid Parameter: Interpolation value</v>
      </c>
      <c r="AJ4113" s="43" t="str">
        <f ca="1"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49"/>
        <v>#REF!</v>
      </c>
      <c r="AI4114" s="43" t="str">
        <f ca="1">_xll.BInterpol('Base IPCA'!$C$3:$C$14,'Base IPCA'!$E$3:$E$14,AH4114,"Cubic","Extrapolate=Linear","MultiX=Average","Skip=True","Sort=True")</f>
        <v>#N/A Invalid Parameter: Interpolation value</v>
      </c>
      <c r="AJ4114" s="43" t="str">
        <f ca="1"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49"/>
        <v>#REF!</v>
      </c>
      <c r="AI4115" s="43" t="str">
        <f ca="1">_xll.BInterpol('Base IPCA'!$C$3:$C$14,'Base IPCA'!$E$3:$E$14,AH4115,"Cubic","Extrapolate=Linear","MultiX=Average","Skip=True","Sort=True")</f>
        <v>#N/A Invalid Parameter: Interpolation value</v>
      </c>
      <c r="AJ4115" s="43" t="str">
        <f ca="1"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49"/>
        <v>#REF!</v>
      </c>
      <c r="AI4116" s="43" t="str">
        <f ca="1">_xll.BInterpol('Base IPCA'!$C$3:$C$14,'Base IPCA'!$E$3:$E$14,AH4116,"Cubic","Extrapolate=Linear","MultiX=Average","Skip=True","Sort=True")</f>
        <v>#N/A Invalid Parameter: Interpolation value</v>
      </c>
      <c r="AJ4116" s="43" t="str">
        <f ca="1"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49"/>
        <v>#REF!</v>
      </c>
      <c r="AI4117" s="43" t="str">
        <f ca="1">_xll.BInterpol('Base IPCA'!$C$3:$C$14,'Base IPCA'!$E$3:$E$14,AH4117,"Cubic","Extrapolate=Linear","MultiX=Average","Skip=True","Sort=True")</f>
        <v>#N/A Invalid Parameter: Interpolation value</v>
      </c>
      <c r="AJ4117" s="43" t="str">
        <f ca="1"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49"/>
        <v>#REF!</v>
      </c>
      <c r="AI4118" s="43" t="str">
        <f ca="1">_xll.BInterpol('Base IPCA'!$C$3:$C$14,'Base IPCA'!$E$3:$E$14,AH4118,"Cubic","Extrapolate=Linear","MultiX=Average","Skip=True","Sort=True")</f>
        <v>#N/A Invalid Parameter: Interpolation value</v>
      </c>
      <c r="AJ4118" s="43" t="str">
        <f ca="1"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49"/>
        <v>#REF!</v>
      </c>
      <c r="AI4119" s="43" t="str">
        <f ca="1">_xll.BInterpol('Base IPCA'!$C$3:$C$14,'Base IPCA'!$E$3:$E$14,AH4119,"Cubic","Extrapolate=Linear","MultiX=Average","Skip=True","Sort=True")</f>
        <v>#N/A Invalid Parameter: Interpolation value</v>
      </c>
      <c r="AJ4119" s="43" t="str">
        <f ca="1"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49"/>
        <v>#REF!</v>
      </c>
      <c r="AI4120" s="43" t="str">
        <f ca="1">_xll.BInterpol('Base IPCA'!$C$3:$C$14,'Base IPCA'!$E$3:$E$14,AH4120,"Cubic","Extrapolate=Linear","MultiX=Average","Skip=True","Sort=True")</f>
        <v>#N/A Invalid Parameter: Interpolation value</v>
      </c>
      <c r="AJ4120" s="43" t="str">
        <f ca="1"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49"/>
        <v>#REF!</v>
      </c>
      <c r="AI4121" s="43" t="str">
        <f ca="1">_xll.BInterpol('Base IPCA'!$C$3:$C$14,'Base IPCA'!$E$3:$E$14,AH4121,"Cubic","Extrapolate=Linear","MultiX=Average","Skip=True","Sort=True")</f>
        <v>#N/A Invalid Parameter: Interpolation value</v>
      </c>
      <c r="AJ4121" s="43" t="str">
        <f ca="1"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49"/>
        <v>#REF!</v>
      </c>
      <c r="AI4122" s="43" t="str">
        <f ca="1">_xll.BInterpol('Base IPCA'!$C$3:$C$14,'Base IPCA'!$E$3:$E$14,AH4122,"Cubic","Extrapolate=Linear","MultiX=Average","Skip=True","Sort=True")</f>
        <v>#N/A Invalid Parameter: Interpolation value</v>
      </c>
      <c r="AJ4122" s="43" t="str">
        <f ca="1"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49"/>
        <v>#REF!</v>
      </c>
      <c r="AI4123" s="43" t="str">
        <f ca="1">_xll.BInterpol('Base IPCA'!$C$3:$C$14,'Base IPCA'!$E$3:$E$14,AH4123,"Cubic","Extrapolate=Linear","MultiX=Average","Skip=True","Sort=True")</f>
        <v>#N/A Invalid Parameter: Interpolation value</v>
      </c>
      <c r="AJ4123" s="43" t="str">
        <f ca="1"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49"/>
        <v>#REF!</v>
      </c>
      <c r="AI4124" s="43" t="str">
        <f ca="1">_xll.BInterpol('Base IPCA'!$C$3:$C$14,'Base IPCA'!$E$3:$E$14,AH4124,"Cubic","Extrapolate=Linear","MultiX=Average","Skip=True","Sort=True")</f>
        <v>#N/A Invalid Parameter: Interpolation value</v>
      </c>
      <c r="AJ4124" s="43" t="str">
        <f ca="1"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49"/>
        <v>#REF!</v>
      </c>
      <c r="AI4125" s="43" t="str">
        <f ca="1">_xll.BInterpol('Base IPCA'!$C$3:$C$14,'Base IPCA'!$E$3:$E$14,AH4125,"Cubic","Extrapolate=Linear","MultiX=Average","Skip=True","Sort=True")</f>
        <v>#N/A Invalid Parameter: Interpolation value</v>
      </c>
      <c r="AJ4125" s="43" t="str">
        <f ca="1"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49"/>
        <v>#REF!</v>
      </c>
      <c r="AI4126" s="43" t="str">
        <f ca="1">_xll.BInterpol('Base IPCA'!$C$3:$C$14,'Base IPCA'!$E$3:$E$14,AH4126,"Cubic","Extrapolate=Linear","MultiX=Average","Skip=True","Sort=True")</f>
        <v>#N/A Invalid Parameter: Interpolation value</v>
      </c>
      <c r="AJ4126" s="43" t="str">
        <f ca="1"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49"/>
        <v>#REF!</v>
      </c>
      <c r="AI4127" s="43" t="str">
        <f ca="1">_xll.BInterpol('Base IPCA'!$C$3:$C$14,'Base IPCA'!$E$3:$E$14,AH4127,"Cubic","Extrapolate=Linear","MultiX=Average","Skip=True","Sort=True")</f>
        <v>#N/A Invalid Parameter: Interpolation value</v>
      </c>
      <c r="AJ4127" s="43" t="str">
        <f ca="1"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49"/>
        <v>#REF!</v>
      </c>
      <c r="AI4128" s="43" t="str">
        <f ca="1">_xll.BInterpol('Base IPCA'!$C$3:$C$14,'Base IPCA'!$E$3:$E$14,AH4128,"Cubic","Extrapolate=Linear","MultiX=Average","Skip=True","Sort=True")</f>
        <v>#N/A Invalid Parameter: Interpolation value</v>
      </c>
      <c r="AJ4128" s="43" t="str">
        <f ca="1"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49"/>
        <v>#REF!</v>
      </c>
      <c r="AI4129" s="43" t="str">
        <f ca="1">_xll.BInterpol('Base IPCA'!$C$3:$C$14,'Base IPCA'!$E$3:$E$14,AH4129,"Cubic","Extrapolate=Linear","MultiX=Average","Skip=True","Sort=True")</f>
        <v>#N/A Invalid Parameter: Interpolation value</v>
      </c>
      <c r="AJ4129" s="43" t="str">
        <f ca="1"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49"/>
        <v>#REF!</v>
      </c>
      <c r="AI4130" s="43" t="str">
        <f ca="1">_xll.BInterpol('Base IPCA'!$C$3:$C$14,'Base IPCA'!$E$3:$E$14,AH4130,"Cubic","Extrapolate=Linear","MultiX=Average","Skip=True","Sort=True")</f>
        <v>#N/A Invalid Parameter: Interpolation value</v>
      </c>
      <c r="AJ4130" s="43" t="str">
        <f ca="1"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49"/>
        <v>#REF!</v>
      </c>
      <c r="AI4131" s="43" t="str">
        <f ca="1">_xll.BInterpol('Base IPCA'!$C$3:$C$14,'Base IPCA'!$E$3:$E$14,AH4131,"Cubic","Extrapolate=Linear","MultiX=Average","Skip=True","Sort=True")</f>
        <v>#N/A Invalid Parameter: Interpolation value</v>
      </c>
      <c r="AJ4131" s="43" t="str">
        <f ca="1"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49"/>
        <v>#REF!</v>
      </c>
      <c r="AI4132" s="43" t="str">
        <f ca="1">_xll.BInterpol('Base IPCA'!$C$3:$C$14,'Base IPCA'!$E$3:$E$14,AH4132,"Cubic","Extrapolate=Linear","MultiX=Average","Skip=True","Sort=True")</f>
        <v>#N/A Invalid Parameter: Interpolation value</v>
      </c>
      <c r="AJ4132" s="43" t="str">
        <f ca="1"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49"/>
        <v>#REF!</v>
      </c>
      <c r="AI4133" s="43" t="str">
        <f ca="1">_xll.BInterpol('Base IPCA'!$C$3:$C$14,'Base IPCA'!$E$3:$E$14,AH4133,"Cubic","Extrapolate=Linear","MultiX=Average","Skip=True","Sort=True")</f>
        <v>#N/A Invalid Parameter: Interpolation value</v>
      </c>
      <c r="AJ4133" s="43" t="str">
        <f ca="1"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49"/>
        <v>#REF!</v>
      </c>
      <c r="AI4134" s="43" t="str">
        <f ca="1">_xll.BInterpol('Base IPCA'!$C$3:$C$14,'Base IPCA'!$E$3:$E$14,AH4134,"Cubic","Extrapolate=Linear","MultiX=Average","Skip=True","Sort=True")</f>
        <v>#N/A Invalid Parameter: Interpolation value</v>
      </c>
      <c r="AJ4134" s="43" t="str">
        <f ca="1"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49"/>
        <v>#REF!</v>
      </c>
      <c r="AI4135" s="43" t="str">
        <f ca="1">_xll.BInterpol('Base IPCA'!$C$3:$C$14,'Base IPCA'!$E$3:$E$14,AH4135,"Cubic","Extrapolate=Linear","MultiX=Average","Skip=True","Sort=True")</f>
        <v>#N/A Invalid Parameter: Interpolation value</v>
      </c>
      <c r="AJ4135" s="43" t="str">
        <f ca="1"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49"/>
        <v>#REF!</v>
      </c>
      <c r="AI4136" s="43" t="str">
        <f ca="1">_xll.BInterpol('Base IPCA'!$C$3:$C$14,'Base IPCA'!$E$3:$E$14,AH4136,"Cubic","Extrapolate=Linear","MultiX=Average","Skip=True","Sort=True")</f>
        <v>#N/A Invalid Parameter: Interpolation value</v>
      </c>
      <c r="AJ4136" s="43" t="str">
        <f ca="1"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49"/>
        <v>#REF!</v>
      </c>
      <c r="AI4137" s="43" t="str">
        <f ca="1">_xll.BInterpol('Base IPCA'!$C$3:$C$14,'Base IPCA'!$E$3:$E$14,AH4137,"Cubic","Extrapolate=Linear","MultiX=Average","Skip=True","Sort=True")</f>
        <v>#N/A Invalid Parameter: Interpolation value</v>
      </c>
      <c r="AJ4137" s="43" t="str">
        <f ca="1"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49"/>
        <v>#REF!</v>
      </c>
      <c r="AI4138" s="43" t="str">
        <f ca="1">_xll.BInterpol('Base IPCA'!$C$3:$C$14,'Base IPCA'!$E$3:$E$14,AH4138,"Cubic","Extrapolate=Linear","MultiX=Average","Skip=True","Sort=True")</f>
        <v>#N/A Invalid Parameter: Interpolation value</v>
      </c>
      <c r="AJ4138" s="43" t="str">
        <f ca="1"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49"/>
        <v>#REF!</v>
      </c>
      <c r="AI4139" s="43" t="str">
        <f ca="1">_xll.BInterpol('Base IPCA'!$C$3:$C$14,'Base IPCA'!$E$3:$E$14,AH4139,"Cubic","Extrapolate=Linear","MultiX=Average","Skip=True","Sort=True")</f>
        <v>#N/A Invalid Parameter: Interpolation value</v>
      </c>
      <c r="AJ4139" s="43" t="str">
        <f ca="1"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49"/>
        <v>#REF!</v>
      </c>
      <c r="AI4140" s="43" t="str">
        <f ca="1">_xll.BInterpol('Base IPCA'!$C$3:$C$14,'Base IPCA'!$E$3:$E$14,AH4140,"Cubic","Extrapolate=Linear","MultiX=Average","Skip=True","Sort=True")</f>
        <v>#N/A Invalid Parameter: Interpolation value</v>
      </c>
      <c r="AJ4140" s="43" t="str">
        <f ca="1"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49"/>
        <v>#REF!</v>
      </c>
      <c r="AI4141" s="43" t="str">
        <f ca="1">_xll.BInterpol('Base IPCA'!$C$3:$C$14,'Base IPCA'!$E$3:$E$14,AH4141,"Cubic","Extrapolate=Linear","MultiX=Average","Skip=True","Sort=True")</f>
        <v>#N/A Invalid Parameter: Interpolation value</v>
      </c>
      <c r="AJ4141" s="43" t="str">
        <f ca="1"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49"/>
        <v>#REF!</v>
      </c>
      <c r="AI4142" s="43" t="str">
        <f ca="1">_xll.BInterpol('Base IPCA'!$C$3:$C$14,'Base IPCA'!$E$3:$E$14,AH4142,"Cubic","Extrapolate=Linear","MultiX=Average","Skip=True","Sort=True")</f>
        <v>#N/A Invalid Parameter: Interpolation value</v>
      </c>
      <c r="AJ4142" s="43" t="str">
        <f ca="1"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49"/>
        <v>#REF!</v>
      </c>
      <c r="AI4143" s="43" t="str">
        <f ca="1">_xll.BInterpol('Base IPCA'!$C$3:$C$14,'Base IPCA'!$E$3:$E$14,AH4143,"Cubic","Extrapolate=Linear","MultiX=Average","Skip=True","Sort=True")</f>
        <v>#N/A Invalid Parameter: Interpolation value</v>
      </c>
      <c r="AJ4143" s="43" t="str">
        <f ca="1"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49"/>
        <v>#REF!</v>
      </c>
      <c r="AI4144" s="43" t="str">
        <f ca="1">_xll.BInterpol('Base IPCA'!$C$3:$C$14,'Base IPCA'!$E$3:$E$14,AH4144,"Cubic","Extrapolate=Linear","MultiX=Average","Skip=True","Sort=True")</f>
        <v>#N/A Invalid Parameter: Interpolation value</v>
      </c>
      <c r="AJ4144" s="43" t="str">
        <f ca="1"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49"/>
        <v>#REF!</v>
      </c>
      <c r="AI4145" s="43" t="str">
        <f ca="1">_xll.BInterpol('Base IPCA'!$C$3:$C$14,'Base IPCA'!$E$3:$E$14,AH4145,"Cubic","Extrapolate=Linear","MultiX=Average","Skip=True","Sort=True")</f>
        <v>#N/A Invalid Parameter: Interpolation value</v>
      </c>
      <c r="AJ4145" s="43" t="str">
        <f ca="1"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49"/>
        <v>#REF!</v>
      </c>
      <c r="AI4146" s="43" t="str">
        <f ca="1">_xll.BInterpol('Base IPCA'!$C$3:$C$14,'Base IPCA'!$E$3:$E$14,AH4146,"Cubic","Extrapolate=Linear","MultiX=Average","Skip=True","Sort=True")</f>
        <v>#N/A Invalid Parameter: Interpolation value</v>
      </c>
      <c r="AJ4146" s="43" t="str">
        <f ca="1"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49"/>
        <v>#REF!</v>
      </c>
      <c r="AI4147" s="43" t="str">
        <f ca="1">_xll.BInterpol('Base IPCA'!$C$3:$C$14,'Base IPCA'!$E$3:$E$14,AH4147,"Cubic","Extrapolate=Linear","MultiX=Average","Skip=True","Sort=True")</f>
        <v>#N/A Invalid Parameter: Interpolation value</v>
      </c>
      <c r="AJ4147" s="43" t="str">
        <f ca="1"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49"/>
        <v>#REF!</v>
      </c>
      <c r="AI4148" s="43" t="str">
        <f ca="1">_xll.BInterpol('Base IPCA'!$C$3:$C$14,'Base IPCA'!$E$3:$E$14,AH4148,"Cubic","Extrapolate=Linear","MultiX=Average","Skip=True","Sort=True")</f>
        <v>#N/A Invalid Parameter: Interpolation value</v>
      </c>
      <c r="AJ4148" s="43" t="str">
        <f ca="1"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49"/>
        <v>#REF!</v>
      </c>
      <c r="AI4149" s="43" t="str">
        <f ca="1">_xll.BInterpol('Base IPCA'!$C$3:$C$14,'Base IPCA'!$E$3:$E$14,AH4149,"Cubic","Extrapolate=Linear","MultiX=Average","Skip=True","Sort=True")</f>
        <v>#N/A Invalid Parameter: Interpolation value</v>
      </c>
      <c r="AJ4149" s="43" t="str">
        <f ca="1"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49"/>
        <v>#REF!</v>
      </c>
      <c r="AI4150" s="43" t="str">
        <f ca="1">_xll.BInterpol('Base IPCA'!$C$3:$C$14,'Base IPCA'!$E$3:$E$14,AH4150,"Cubic","Extrapolate=Linear","MultiX=Average","Skip=True","Sort=True")</f>
        <v>#N/A Invalid Parameter: Interpolation value</v>
      </c>
      <c r="AJ4150" s="43" t="str">
        <f ca="1"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49"/>
        <v>#REF!</v>
      </c>
      <c r="AI4151" s="43" t="str">
        <f ca="1">_xll.BInterpol('Base IPCA'!$C$3:$C$14,'Base IPCA'!$E$3:$E$14,AH4151,"Cubic","Extrapolate=Linear","MultiX=Average","Skip=True","Sort=True")</f>
        <v>#N/A Invalid Parameter: Interpolation value</v>
      </c>
      <c r="AJ4151" s="43" t="str">
        <f ca="1"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49"/>
        <v>#REF!</v>
      </c>
      <c r="AI4152" s="43" t="str">
        <f ca="1">_xll.BInterpol('Base IPCA'!$C$3:$C$14,'Base IPCA'!$E$3:$E$14,AH4152,"Cubic","Extrapolate=Linear","MultiX=Average","Skip=True","Sort=True")</f>
        <v>#N/A Invalid Parameter: Interpolation value</v>
      </c>
      <c r="AJ4152" s="43" t="str">
        <f ca="1"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49"/>
        <v>#REF!</v>
      </c>
      <c r="AI4153" s="43" t="str">
        <f ca="1">_xll.BInterpol('Base IPCA'!$C$3:$C$14,'Base IPCA'!$E$3:$E$14,AH4153,"Cubic","Extrapolate=Linear","MultiX=Average","Skip=True","Sort=True")</f>
        <v>#N/A Invalid Parameter: Interpolation value</v>
      </c>
      <c r="AJ4153" s="43" t="str">
        <f ca="1"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49"/>
        <v>#REF!</v>
      </c>
      <c r="AI4154" s="43" t="str">
        <f ca="1">_xll.BInterpol('Base IPCA'!$C$3:$C$14,'Base IPCA'!$E$3:$E$14,AH4154,"Cubic","Extrapolate=Linear","MultiX=Average","Skip=True","Sort=True")</f>
        <v>#N/A Invalid Parameter: Interpolation value</v>
      </c>
      <c r="AJ4154" s="43" t="str">
        <f ca="1"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49"/>
        <v>#REF!</v>
      </c>
      <c r="AI4155" s="43" t="str">
        <f ca="1">_xll.BInterpol('Base IPCA'!$C$3:$C$14,'Base IPCA'!$E$3:$E$14,AH4155,"Cubic","Extrapolate=Linear","MultiX=Average","Skip=True","Sort=True")</f>
        <v>#N/A Invalid Parameter: Interpolation value</v>
      </c>
      <c r="AJ4155" s="43" t="str">
        <f ca="1"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49"/>
        <v>#REF!</v>
      </c>
      <c r="AI4156" s="43" t="str">
        <f ca="1">_xll.BInterpol('Base IPCA'!$C$3:$C$14,'Base IPCA'!$E$3:$E$14,AH4156,"Cubic","Extrapolate=Linear","MultiX=Average","Skip=True","Sort=True")</f>
        <v>#N/A Invalid Parameter: Interpolation value</v>
      </c>
      <c r="AJ4156" s="43" t="str">
        <f ca="1"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49"/>
        <v>#REF!</v>
      </c>
      <c r="AI4157" s="43" t="str">
        <f ca="1">_xll.BInterpol('Base IPCA'!$C$3:$C$14,'Base IPCA'!$E$3:$E$14,AH4157,"Cubic","Extrapolate=Linear","MultiX=Average","Skip=True","Sort=True")</f>
        <v>#N/A Invalid Parameter: Interpolation value</v>
      </c>
      <c r="AJ4157" s="43" t="str">
        <f ca="1"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49"/>
        <v>#REF!</v>
      </c>
      <c r="AI4158" s="43" t="str">
        <f ca="1">_xll.BInterpol('Base IPCA'!$C$3:$C$14,'Base IPCA'!$E$3:$E$14,AH4158,"Cubic","Extrapolate=Linear","MultiX=Average","Skip=True","Sort=True")</f>
        <v>#N/A Invalid Parameter: Interpolation value</v>
      </c>
      <c r="AJ4158" s="43" t="str">
        <f ca="1"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49"/>
        <v>#REF!</v>
      </c>
      <c r="AI4159" s="43" t="str">
        <f ca="1">_xll.BInterpol('Base IPCA'!$C$3:$C$14,'Base IPCA'!$E$3:$E$14,AH4159,"Cubic","Extrapolate=Linear","MultiX=Average","Skip=True","Sort=True")</f>
        <v>#N/A Invalid Parameter: Interpolation value</v>
      </c>
      <c r="AJ4159" s="43" t="str">
        <f ca="1"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49"/>
        <v>#REF!</v>
      </c>
      <c r="AI4160" s="43" t="str">
        <f ca="1">_xll.BInterpol('Base IPCA'!$C$3:$C$14,'Base IPCA'!$E$3:$E$14,AH4160,"Cubic","Extrapolate=Linear","MultiX=Average","Skip=True","Sort=True")</f>
        <v>#N/A Invalid Parameter: Interpolation value</v>
      </c>
      <c r="AJ4160" s="43" t="str">
        <f ca="1"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49"/>
        <v>#REF!</v>
      </c>
      <c r="AI4161" s="43" t="str">
        <f ca="1">_xll.BInterpol('Base IPCA'!$C$3:$C$14,'Base IPCA'!$E$3:$E$14,AH4161,"Cubic","Extrapolate=Linear","MultiX=Average","Skip=True","Sort=True")</f>
        <v>#N/A Invalid Parameter: Interpolation value</v>
      </c>
      <c r="AJ4161" s="43" t="str">
        <f ca="1"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49"/>
        <v>#REF!</v>
      </c>
      <c r="AI4162" s="43" t="str">
        <f ca="1">_xll.BInterpol('Base IPCA'!$C$3:$C$14,'Base IPCA'!$E$3:$E$14,AH4162,"Cubic","Extrapolate=Linear","MultiX=Average","Skip=True","Sort=True")</f>
        <v>#N/A Invalid Parameter: Interpolation value</v>
      </c>
      <c r="AJ4162" s="43" t="str">
        <f ca="1"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49"/>
        <v>#REF!</v>
      </c>
      <c r="AI4163" s="43" t="str">
        <f ca="1">_xll.BInterpol('Base IPCA'!$C$3:$C$14,'Base IPCA'!$E$3:$E$14,AH4163,"Cubic","Extrapolate=Linear","MultiX=Average","Skip=True","Sort=True")</f>
        <v>#N/A Invalid Parameter: Interpolation value</v>
      </c>
      <c r="AJ4163" s="43" t="str">
        <f ca="1"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49"/>
        <v>#REF!</v>
      </c>
      <c r="AI4164" s="43" t="str">
        <f ca="1">_xll.BInterpol('Base IPCA'!$C$3:$C$14,'Base IPCA'!$E$3:$E$14,AH4164,"Cubic","Extrapolate=Linear","MultiX=Average","Skip=True","Sort=True")</f>
        <v>#N/A Invalid Parameter: Interpolation value</v>
      </c>
      <c r="AJ4164" s="43" t="str">
        <f ca="1"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49"/>
        <v>#REF!</v>
      </c>
      <c r="AI4165" s="43" t="str">
        <f ca="1">_xll.BInterpol('Base IPCA'!$C$3:$C$14,'Base IPCA'!$E$3:$E$14,AH4165,"Cubic","Extrapolate=Linear","MultiX=Average","Skip=True","Sort=True")</f>
        <v>#N/A Invalid Parameter: Interpolation value</v>
      </c>
      <c r="AJ4165" s="43" t="str">
        <f ca="1"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0">AH4165+1</f>
        <v>#REF!</v>
      </c>
      <c r="AI4166" s="43" t="str">
        <f ca="1">_xll.BInterpol('Base IPCA'!$C$3:$C$14,'Base IPCA'!$E$3:$E$14,AH4166,"Cubic","Extrapolate=Linear","MultiX=Average","Skip=True","Sort=True")</f>
        <v>#N/A Invalid Parameter: Interpolation value</v>
      </c>
      <c r="AJ4166" s="43" t="str">
        <f ca="1"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0"/>
        <v>#REF!</v>
      </c>
      <c r="AI4167" s="43" t="str">
        <f ca="1">_xll.BInterpol('Base IPCA'!$C$3:$C$14,'Base IPCA'!$E$3:$E$14,AH4167,"Cubic","Extrapolate=Linear","MultiX=Average","Skip=True","Sort=True")</f>
        <v>#N/A Invalid Parameter: Interpolation value</v>
      </c>
      <c r="AJ4167" s="43" t="str">
        <f ca="1"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0"/>
        <v>#REF!</v>
      </c>
      <c r="AI4168" s="43" t="str">
        <f ca="1">_xll.BInterpol('Base IPCA'!$C$3:$C$14,'Base IPCA'!$E$3:$E$14,AH4168,"Cubic","Extrapolate=Linear","MultiX=Average","Skip=True","Sort=True")</f>
        <v>#N/A Invalid Parameter: Interpolation value</v>
      </c>
      <c r="AJ4168" s="43" t="str">
        <f ca="1"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0"/>
        <v>#REF!</v>
      </c>
      <c r="AI4169" s="43" t="str">
        <f ca="1">_xll.BInterpol('Base IPCA'!$C$3:$C$14,'Base IPCA'!$E$3:$E$14,AH4169,"Cubic","Extrapolate=Linear","MultiX=Average","Skip=True","Sort=True")</f>
        <v>#N/A Invalid Parameter: Interpolation value</v>
      </c>
      <c r="AJ4169" s="43" t="str">
        <f ca="1"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0"/>
        <v>#REF!</v>
      </c>
      <c r="AI4170" s="43" t="str">
        <f ca="1">_xll.BInterpol('Base IPCA'!$C$3:$C$14,'Base IPCA'!$E$3:$E$14,AH4170,"Cubic","Extrapolate=Linear","MultiX=Average","Skip=True","Sort=True")</f>
        <v>#N/A Invalid Parameter: Interpolation value</v>
      </c>
      <c r="AJ4170" s="43" t="str">
        <f ca="1"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0"/>
        <v>#REF!</v>
      </c>
      <c r="AI4171" s="43" t="str">
        <f ca="1">_xll.BInterpol('Base IPCA'!$C$3:$C$14,'Base IPCA'!$E$3:$E$14,AH4171,"Cubic","Extrapolate=Linear","MultiX=Average","Skip=True","Sort=True")</f>
        <v>#N/A Invalid Parameter: Interpolation value</v>
      </c>
      <c r="AJ4171" s="43" t="str">
        <f ca="1"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0"/>
        <v>#REF!</v>
      </c>
      <c r="AI4172" s="43" t="str">
        <f ca="1">_xll.BInterpol('Base IPCA'!$C$3:$C$14,'Base IPCA'!$E$3:$E$14,AH4172,"Cubic","Extrapolate=Linear","MultiX=Average","Skip=True","Sort=True")</f>
        <v>#N/A Invalid Parameter: Interpolation value</v>
      </c>
      <c r="AJ4172" s="43" t="str">
        <f ca="1"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0"/>
        <v>#REF!</v>
      </c>
      <c r="AI4173" s="43" t="str">
        <f ca="1">_xll.BInterpol('Base IPCA'!$C$3:$C$14,'Base IPCA'!$E$3:$E$14,AH4173,"Cubic","Extrapolate=Linear","MultiX=Average","Skip=True","Sort=True")</f>
        <v>#N/A Invalid Parameter: Interpolation value</v>
      </c>
      <c r="AJ4173" s="43" t="str">
        <f ca="1"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0"/>
        <v>#REF!</v>
      </c>
      <c r="AI4174" s="43" t="str">
        <f ca="1">_xll.BInterpol('Base IPCA'!$C$3:$C$14,'Base IPCA'!$E$3:$E$14,AH4174,"Cubic","Extrapolate=Linear","MultiX=Average","Skip=True","Sort=True")</f>
        <v>#N/A Invalid Parameter: Interpolation value</v>
      </c>
      <c r="AJ4174" s="43" t="str">
        <f ca="1"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0"/>
        <v>#REF!</v>
      </c>
      <c r="AI4175" s="43" t="str">
        <f ca="1">_xll.BInterpol('Base IPCA'!$C$3:$C$14,'Base IPCA'!$E$3:$E$14,AH4175,"Cubic","Extrapolate=Linear","MultiX=Average","Skip=True","Sort=True")</f>
        <v>#N/A Invalid Parameter: Interpolation value</v>
      </c>
      <c r="AJ4175" s="43" t="str">
        <f ca="1"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0"/>
        <v>#REF!</v>
      </c>
      <c r="AI4176" s="43" t="str">
        <f ca="1">_xll.BInterpol('Base IPCA'!$C$3:$C$14,'Base IPCA'!$E$3:$E$14,AH4176,"Cubic","Extrapolate=Linear","MultiX=Average","Skip=True","Sort=True")</f>
        <v>#N/A Invalid Parameter: Interpolation value</v>
      </c>
      <c r="AJ4176" s="43" t="str">
        <f ca="1"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0"/>
        <v>#REF!</v>
      </c>
      <c r="AI4177" s="43" t="str">
        <f ca="1">_xll.BInterpol('Base IPCA'!$C$3:$C$14,'Base IPCA'!$E$3:$E$14,AH4177,"Cubic","Extrapolate=Linear","MultiX=Average","Skip=True","Sort=True")</f>
        <v>#N/A Invalid Parameter: Interpolation value</v>
      </c>
      <c r="AJ4177" s="43" t="str">
        <f ca="1"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0"/>
        <v>#REF!</v>
      </c>
      <c r="AI4178" s="43" t="str">
        <f ca="1">_xll.BInterpol('Base IPCA'!$C$3:$C$14,'Base IPCA'!$E$3:$E$14,AH4178,"Cubic","Extrapolate=Linear","MultiX=Average","Skip=True","Sort=True")</f>
        <v>#N/A Invalid Parameter: Interpolation value</v>
      </c>
      <c r="AJ4178" s="43" t="str">
        <f ca="1"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0"/>
        <v>#REF!</v>
      </c>
      <c r="AI4179" s="43" t="str">
        <f ca="1">_xll.BInterpol('Base IPCA'!$C$3:$C$14,'Base IPCA'!$E$3:$E$14,AH4179,"Cubic","Extrapolate=Linear","MultiX=Average","Skip=True","Sort=True")</f>
        <v>#N/A Invalid Parameter: Interpolation value</v>
      </c>
      <c r="AJ4179" s="43" t="str">
        <f ca="1"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0"/>
        <v>#REF!</v>
      </c>
      <c r="AI4180" s="43" t="str">
        <f ca="1">_xll.BInterpol('Base IPCA'!$C$3:$C$14,'Base IPCA'!$E$3:$E$14,AH4180,"Cubic","Extrapolate=Linear","MultiX=Average","Skip=True","Sort=True")</f>
        <v>#N/A Invalid Parameter: Interpolation value</v>
      </c>
      <c r="AJ4180" s="43" t="str">
        <f ca="1"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0"/>
        <v>#REF!</v>
      </c>
      <c r="AI4181" s="43" t="str">
        <f ca="1">_xll.BInterpol('Base IPCA'!$C$3:$C$14,'Base IPCA'!$E$3:$E$14,AH4181,"Cubic","Extrapolate=Linear","MultiX=Average","Skip=True","Sort=True")</f>
        <v>#N/A Invalid Parameter: Interpolation value</v>
      </c>
      <c r="AJ4181" s="43" t="str">
        <f ca="1"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0"/>
        <v>#REF!</v>
      </c>
      <c r="AI4182" s="43" t="str">
        <f ca="1">_xll.BInterpol('Base IPCA'!$C$3:$C$14,'Base IPCA'!$E$3:$E$14,AH4182,"Cubic","Extrapolate=Linear","MultiX=Average","Skip=True","Sort=True")</f>
        <v>#N/A Invalid Parameter: Interpolation value</v>
      </c>
      <c r="AJ4182" s="43" t="str">
        <f ca="1"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0"/>
        <v>#REF!</v>
      </c>
      <c r="AI4183" s="43" t="str">
        <f ca="1">_xll.BInterpol('Base IPCA'!$C$3:$C$14,'Base IPCA'!$E$3:$E$14,AH4183,"Cubic","Extrapolate=Linear","MultiX=Average","Skip=True","Sort=True")</f>
        <v>#N/A Invalid Parameter: Interpolation value</v>
      </c>
      <c r="AJ4183" s="43" t="str">
        <f ca="1"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0"/>
        <v>#REF!</v>
      </c>
      <c r="AI4184" s="43" t="str">
        <f ca="1">_xll.BInterpol('Base IPCA'!$C$3:$C$14,'Base IPCA'!$E$3:$E$14,AH4184,"Cubic","Extrapolate=Linear","MultiX=Average","Skip=True","Sort=True")</f>
        <v>#N/A Invalid Parameter: Interpolation value</v>
      </c>
      <c r="AJ4184" s="43" t="str">
        <f ca="1"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0"/>
        <v>#REF!</v>
      </c>
      <c r="AI4185" s="43" t="str">
        <f ca="1">_xll.BInterpol('Base IPCA'!$C$3:$C$14,'Base IPCA'!$E$3:$E$14,AH4185,"Cubic","Extrapolate=Linear","MultiX=Average","Skip=True","Sort=True")</f>
        <v>#N/A Invalid Parameter: Interpolation value</v>
      </c>
      <c r="AJ4185" s="43" t="str">
        <f ca="1"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0"/>
        <v>#REF!</v>
      </c>
      <c r="AI4186" s="43" t="str">
        <f ca="1">_xll.BInterpol('Base IPCA'!$C$3:$C$14,'Base IPCA'!$E$3:$E$14,AH4186,"Cubic","Extrapolate=Linear","MultiX=Average","Skip=True","Sort=True")</f>
        <v>#N/A Invalid Parameter: Interpolation value</v>
      </c>
      <c r="AJ4186" s="43" t="str">
        <f ca="1"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0"/>
        <v>#REF!</v>
      </c>
      <c r="AI4187" s="43" t="str">
        <f ca="1">_xll.BInterpol('Base IPCA'!$C$3:$C$14,'Base IPCA'!$E$3:$E$14,AH4187,"Cubic","Extrapolate=Linear","MultiX=Average","Skip=True","Sort=True")</f>
        <v>#N/A Invalid Parameter: Interpolation value</v>
      </c>
      <c r="AJ4187" s="43" t="str">
        <f ca="1"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0"/>
        <v>#REF!</v>
      </c>
      <c r="AI4188" s="43" t="str">
        <f ca="1">_xll.BInterpol('Base IPCA'!$C$3:$C$14,'Base IPCA'!$E$3:$E$14,AH4188,"Cubic","Extrapolate=Linear","MultiX=Average","Skip=True","Sort=True")</f>
        <v>#N/A Invalid Parameter: Interpolation value</v>
      </c>
      <c r="AJ4188" s="43" t="str">
        <f ca="1"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0"/>
        <v>#REF!</v>
      </c>
      <c r="AI4189" s="43" t="str">
        <f ca="1">_xll.BInterpol('Base IPCA'!$C$3:$C$14,'Base IPCA'!$E$3:$E$14,AH4189,"Cubic","Extrapolate=Linear","MultiX=Average","Skip=True","Sort=True")</f>
        <v>#N/A Invalid Parameter: Interpolation value</v>
      </c>
      <c r="AJ4189" s="43" t="str">
        <f ca="1"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0"/>
        <v>#REF!</v>
      </c>
      <c r="AI4190" s="43" t="str">
        <f ca="1">_xll.BInterpol('Base IPCA'!$C$3:$C$14,'Base IPCA'!$E$3:$E$14,AH4190,"Cubic","Extrapolate=Linear","MultiX=Average","Skip=True","Sort=True")</f>
        <v>#N/A Invalid Parameter: Interpolation value</v>
      </c>
      <c r="AJ4190" s="43" t="str">
        <f ca="1"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0"/>
        <v>#REF!</v>
      </c>
      <c r="AI4191" s="43" t="str">
        <f ca="1">_xll.BInterpol('Base IPCA'!$C$3:$C$14,'Base IPCA'!$E$3:$E$14,AH4191,"Cubic","Extrapolate=Linear","MultiX=Average","Skip=True","Sort=True")</f>
        <v>#N/A Invalid Parameter: Interpolation value</v>
      </c>
      <c r="AJ4191" s="43" t="str">
        <f ca="1"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0"/>
        <v>#REF!</v>
      </c>
      <c r="AI4192" s="43" t="str">
        <f ca="1">_xll.BInterpol('Base IPCA'!$C$3:$C$14,'Base IPCA'!$E$3:$E$14,AH4192,"Cubic","Extrapolate=Linear","MultiX=Average","Skip=True","Sort=True")</f>
        <v>#N/A Invalid Parameter: Interpolation value</v>
      </c>
      <c r="AJ4192" s="43" t="str">
        <f ca="1"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0"/>
        <v>#REF!</v>
      </c>
      <c r="AI4193" s="43" t="str">
        <f ca="1">_xll.BInterpol('Base IPCA'!$C$3:$C$14,'Base IPCA'!$E$3:$E$14,AH4193,"Cubic","Extrapolate=Linear","MultiX=Average","Skip=True","Sort=True")</f>
        <v>#N/A Invalid Parameter: Interpolation value</v>
      </c>
      <c r="AJ4193" s="43" t="str">
        <f ca="1"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0"/>
        <v>#REF!</v>
      </c>
      <c r="AI4194" s="43" t="str">
        <f ca="1">_xll.BInterpol('Base IPCA'!$C$3:$C$14,'Base IPCA'!$E$3:$E$14,AH4194,"Cubic","Extrapolate=Linear","MultiX=Average","Skip=True","Sort=True")</f>
        <v>#N/A Invalid Parameter: Interpolation value</v>
      </c>
      <c r="AJ4194" s="43" t="str">
        <f ca="1"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0"/>
        <v>#REF!</v>
      </c>
      <c r="AI4195" s="43" t="str">
        <f ca="1">_xll.BInterpol('Base IPCA'!$C$3:$C$14,'Base IPCA'!$E$3:$E$14,AH4195,"Cubic","Extrapolate=Linear","MultiX=Average","Skip=True","Sort=True")</f>
        <v>#N/A Invalid Parameter: Interpolation value</v>
      </c>
      <c r="AJ4195" s="43" t="str">
        <f ca="1"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0"/>
        <v>#REF!</v>
      </c>
      <c r="AI4196" s="43" t="str">
        <f ca="1">_xll.BInterpol('Base IPCA'!$C$3:$C$14,'Base IPCA'!$E$3:$E$14,AH4196,"Cubic","Extrapolate=Linear","MultiX=Average","Skip=True","Sort=True")</f>
        <v>#N/A Invalid Parameter: Interpolation value</v>
      </c>
      <c r="AJ4196" s="43" t="str">
        <f ca="1"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0"/>
        <v>#REF!</v>
      </c>
      <c r="AI4197" s="43" t="str">
        <f ca="1">_xll.BInterpol('Base IPCA'!$C$3:$C$14,'Base IPCA'!$E$3:$E$14,AH4197,"Cubic","Extrapolate=Linear","MultiX=Average","Skip=True","Sort=True")</f>
        <v>#N/A Invalid Parameter: Interpolation value</v>
      </c>
      <c r="AJ4197" s="43" t="str">
        <f ca="1"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0"/>
        <v>#REF!</v>
      </c>
      <c r="AI4198" s="43" t="str">
        <f ca="1">_xll.BInterpol('Base IPCA'!$C$3:$C$14,'Base IPCA'!$E$3:$E$14,AH4198,"Cubic","Extrapolate=Linear","MultiX=Average","Skip=True","Sort=True")</f>
        <v>#N/A Invalid Parameter: Interpolation value</v>
      </c>
      <c r="AJ4198" s="43" t="str">
        <f ca="1"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0"/>
        <v>#REF!</v>
      </c>
      <c r="AI4199" s="43" t="str">
        <f ca="1">_xll.BInterpol('Base IPCA'!$C$3:$C$14,'Base IPCA'!$E$3:$E$14,AH4199,"Cubic","Extrapolate=Linear","MultiX=Average","Skip=True","Sort=True")</f>
        <v>#N/A Invalid Parameter: Interpolation value</v>
      </c>
      <c r="AJ4199" s="43" t="str">
        <f ca="1"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0"/>
        <v>#REF!</v>
      </c>
      <c r="AI4200" s="43" t="str">
        <f ca="1">_xll.BInterpol('Base IPCA'!$C$3:$C$14,'Base IPCA'!$E$3:$E$14,AH4200,"Cubic","Extrapolate=Linear","MultiX=Average","Skip=True","Sort=True")</f>
        <v>#N/A Invalid Parameter: Interpolation value</v>
      </c>
      <c r="AJ4200" s="43" t="str">
        <f ca="1"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0"/>
        <v>#REF!</v>
      </c>
      <c r="AI4201" s="43" t="str">
        <f ca="1">_xll.BInterpol('Base IPCA'!$C$3:$C$14,'Base IPCA'!$E$3:$E$14,AH4201,"Cubic","Extrapolate=Linear","MultiX=Average","Skip=True","Sort=True")</f>
        <v>#N/A Invalid Parameter: Interpolation value</v>
      </c>
      <c r="AJ4201" s="43" t="str">
        <f ca="1"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0"/>
        <v>#REF!</v>
      </c>
      <c r="AI4202" s="43" t="str">
        <f ca="1">_xll.BInterpol('Base IPCA'!$C$3:$C$14,'Base IPCA'!$E$3:$E$14,AH4202,"Cubic","Extrapolate=Linear","MultiX=Average","Skip=True","Sort=True")</f>
        <v>#N/A Invalid Parameter: Interpolation value</v>
      </c>
      <c r="AJ4202" s="43" t="str">
        <f ca="1"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0"/>
        <v>#REF!</v>
      </c>
      <c r="AI4203" s="43" t="str">
        <f ca="1">_xll.BInterpol('Base IPCA'!$C$3:$C$14,'Base IPCA'!$E$3:$E$14,AH4203,"Cubic","Extrapolate=Linear","MultiX=Average","Skip=True","Sort=True")</f>
        <v>#N/A Invalid Parameter: Interpolation value</v>
      </c>
      <c r="AJ4203" s="43" t="str">
        <f ca="1"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0"/>
        <v>#REF!</v>
      </c>
      <c r="AI4204" s="43" t="str">
        <f ca="1">_xll.BInterpol('Base IPCA'!$C$3:$C$14,'Base IPCA'!$E$3:$E$14,AH4204,"Cubic","Extrapolate=Linear","MultiX=Average","Skip=True","Sort=True")</f>
        <v>#N/A Invalid Parameter: Interpolation value</v>
      </c>
      <c r="AJ4204" s="43" t="str">
        <f ca="1"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0"/>
        <v>#REF!</v>
      </c>
      <c r="AI4205" s="43" t="str">
        <f ca="1">_xll.BInterpol('Base IPCA'!$C$3:$C$14,'Base IPCA'!$E$3:$E$14,AH4205,"Cubic","Extrapolate=Linear","MultiX=Average","Skip=True","Sort=True")</f>
        <v>#N/A Invalid Parameter: Interpolation value</v>
      </c>
      <c r="AJ4205" s="43" t="str">
        <f ca="1"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0"/>
        <v>#REF!</v>
      </c>
      <c r="AI4206" s="43" t="str">
        <f ca="1">_xll.BInterpol('Base IPCA'!$C$3:$C$14,'Base IPCA'!$E$3:$E$14,AH4206,"Cubic","Extrapolate=Linear","MultiX=Average","Skip=True","Sort=True")</f>
        <v>#N/A Invalid Parameter: Interpolation value</v>
      </c>
      <c r="AJ4206" s="43" t="str">
        <f ca="1"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0"/>
        <v>#REF!</v>
      </c>
      <c r="AI4207" s="43" t="str">
        <f ca="1">_xll.BInterpol('Base IPCA'!$C$3:$C$14,'Base IPCA'!$E$3:$E$14,AH4207,"Cubic","Extrapolate=Linear","MultiX=Average","Skip=True","Sort=True")</f>
        <v>#N/A Invalid Parameter: Interpolation value</v>
      </c>
      <c r="AJ4207" s="43" t="str">
        <f ca="1"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0"/>
        <v>#REF!</v>
      </c>
      <c r="AI4208" s="43" t="str">
        <f ca="1">_xll.BInterpol('Base IPCA'!$C$3:$C$14,'Base IPCA'!$E$3:$E$14,AH4208,"Cubic","Extrapolate=Linear","MultiX=Average","Skip=True","Sort=True")</f>
        <v>#N/A Invalid Parameter: Interpolation value</v>
      </c>
      <c r="AJ4208" s="43" t="str">
        <f ca="1"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0"/>
        <v>#REF!</v>
      </c>
      <c r="AI4209" s="43" t="str">
        <f ca="1">_xll.BInterpol('Base IPCA'!$C$3:$C$14,'Base IPCA'!$E$3:$E$14,AH4209,"Cubic","Extrapolate=Linear","MultiX=Average","Skip=True","Sort=True")</f>
        <v>#N/A Invalid Parameter: Interpolation value</v>
      </c>
      <c r="AJ4209" s="43" t="str">
        <f ca="1"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0"/>
        <v>#REF!</v>
      </c>
      <c r="AI4210" s="43" t="str">
        <f ca="1">_xll.BInterpol('Base IPCA'!$C$3:$C$14,'Base IPCA'!$E$3:$E$14,AH4210,"Cubic","Extrapolate=Linear","MultiX=Average","Skip=True","Sort=True")</f>
        <v>#N/A Invalid Parameter: Interpolation value</v>
      </c>
      <c r="AJ4210" s="43" t="str">
        <f ca="1"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0"/>
        <v>#REF!</v>
      </c>
      <c r="AI4211" s="43" t="str">
        <f ca="1">_xll.BInterpol('Base IPCA'!$C$3:$C$14,'Base IPCA'!$E$3:$E$14,AH4211,"Cubic","Extrapolate=Linear","MultiX=Average","Skip=True","Sort=True")</f>
        <v>#N/A Invalid Parameter: Interpolation value</v>
      </c>
      <c r="AJ4211" s="43" t="str">
        <f ca="1"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0"/>
        <v>#REF!</v>
      </c>
      <c r="AI4212" s="43" t="str">
        <f ca="1">_xll.BInterpol('Base IPCA'!$C$3:$C$14,'Base IPCA'!$E$3:$E$14,AH4212,"Cubic","Extrapolate=Linear","MultiX=Average","Skip=True","Sort=True")</f>
        <v>#N/A Invalid Parameter: Interpolation value</v>
      </c>
      <c r="AJ4212" s="43" t="str">
        <f ca="1"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0"/>
        <v>#REF!</v>
      </c>
      <c r="AI4213" s="43" t="str">
        <f ca="1">_xll.BInterpol('Base IPCA'!$C$3:$C$14,'Base IPCA'!$E$3:$E$14,AH4213,"Cubic","Extrapolate=Linear","MultiX=Average","Skip=True","Sort=True")</f>
        <v>#N/A Invalid Parameter: Interpolation value</v>
      </c>
      <c r="AJ4213" s="43" t="str">
        <f ca="1"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0"/>
        <v>#REF!</v>
      </c>
      <c r="AI4214" s="43" t="str">
        <f ca="1">_xll.BInterpol('Base IPCA'!$C$3:$C$14,'Base IPCA'!$E$3:$E$14,AH4214,"Cubic","Extrapolate=Linear","MultiX=Average","Skip=True","Sort=True")</f>
        <v>#N/A Invalid Parameter: Interpolation value</v>
      </c>
      <c r="AJ4214" s="43" t="str">
        <f ca="1"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0"/>
        <v>#REF!</v>
      </c>
      <c r="AI4215" s="43" t="str">
        <f ca="1">_xll.BInterpol('Base IPCA'!$C$3:$C$14,'Base IPCA'!$E$3:$E$14,AH4215,"Cubic","Extrapolate=Linear","MultiX=Average","Skip=True","Sort=True")</f>
        <v>#N/A Invalid Parameter: Interpolation value</v>
      </c>
      <c r="AJ4215" s="43" t="str">
        <f ca="1"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0"/>
        <v>#REF!</v>
      </c>
      <c r="AI4216" s="43" t="str">
        <f ca="1">_xll.BInterpol('Base IPCA'!$C$3:$C$14,'Base IPCA'!$E$3:$E$14,AH4216,"Cubic","Extrapolate=Linear","MultiX=Average","Skip=True","Sort=True")</f>
        <v>#N/A Invalid Parameter: Interpolation value</v>
      </c>
      <c r="AJ4216" s="43" t="str">
        <f ca="1"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0"/>
        <v>#REF!</v>
      </c>
      <c r="AI4217" s="43" t="str">
        <f ca="1">_xll.BInterpol('Base IPCA'!$C$3:$C$14,'Base IPCA'!$E$3:$E$14,AH4217,"Cubic","Extrapolate=Linear","MultiX=Average","Skip=True","Sort=True")</f>
        <v>#N/A Invalid Parameter: Interpolation value</v>
      </c>
      <c r="AJ4217" s="43" t="str">
        <f ca="1"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0"/>
        <v>#REF!</v>
      </c>
      <c r="AI4218" s="43" t="str">
        <f ca="1">_xll.BInterpol('Base IPCA'!$C$3:$C$14,'Base IPCA'!$E$3:$E$14,AH4218,"Cubic","Extrapolate=Linear","MultiX=Average","Skip=True","Sort=True")</f>
        <v>#N/A Invalid Parameter: Interpolation value</v>
      </c>
      <c r="AJ4218" s="43" t="str">
        <f ca="1"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0"/>
        <v>#REF!</v>
      </c>
      <c r="AI4219" s="43" t="str">
        <f ca="1">_xll.BInterpol('Base IPCA'!$C$3:$C$14,'Base IPCA'!$E$3:$E$14,AH4219,"Cubic","Extrapolate=Linear","MultiX=Average","Skip=True","Sort=True")</f>
        <v>#N/A Invalid Parameter: Interpolation value</v>
      </c>
      <c r="AJ4219" s="43" t="str">
        <f ca="1"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0"/>
        <v>#REF!</v>
      </c>
      <c r="AI4220" s="43" t="str">
        <f ca="1">_xll.BInterpol('Base IPCA'!$C$3:$C$14,'Base IPCA'!$E$3:$E$14,AH4220,"Cubic","Extrapolate=Linear","MultiX=Average","Skip=True","Sort=True")</f>
        <v>#N/A Invalid Parameter: Interpolation value</v>
      </c>
      <c r="AJ4220" s="43" t="str">
        <f ca="1"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0"/>
        <v>#REF!</v>
      </c>
      <c r="AI4221" s="43" t="str">
        <f ca="1">_xll.BInterpol('Base IPCA'!$C$3:$C$14,'Base IPCA'!$E$3:$E$14,AH4221,"Cubic","Extrapolate=Linear","MultiX=Average","Skip=True","Sort=True")</f>
        <v>#N/A Invalid Parameter: Interpolation value</v>
      </c>
      <c r="AJ4221" s="43" t="str">
        <f ca="1"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0"/>
        <v>#REF!</v>
      </c>
      <c r="AI4222" s="43" t="str">
        <f ca="1">_xll.BInterpol('Base IPCA'!$C$3:$C$14,'Base IPCA'!$E$3:$E$14,AH4222,"Cubic","Extrapolate=Linear","MultiX=Average","Skip=True","Sort=True")</f>
        <v>#N/A Invalid Parameter: Interpolation value</v>
      </c>
      <c r="AJ4222" s="43" t="str">
        <f ca="1"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0"/>
        <v>#REF!</v>
      </c>
      <c r="AI4223" s="43" t="str">
        <f ca="1">_xll.BInterpol('Base IPCA'!$C$3:$C$14,'Base IPCA'!$E$3:$E$14,AH4223,"Cubic","Extrapolate=Linear","MultiX=Average","Skip=True","Sort=True")</f>
        <v>#N/A Invalid Parameter: Interpolation value</v>
      </c>
      <c r="AJ4223" s="43" t="str">
        <f ca="1"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0"/>
        <v>#REF!</v>
      </c>
      <c r="AI4224" s="43" t="str">
        <f ca="1">_xll.BInterpol('Base IPCA'!$C$3:$C$14,'Base IPCA'!$E$3:$E$14,AH4224,"Cubic","Extrapolate=Linear","MultiX=Average","Skip=True","Sort=True")</f>
        <v>#N/A Invalid Parameter: Interpolation value</v>
      </c>
      <c r="AJ4224" s="43" t="str">
        <f ca="1"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0"/>
        <v>#REF!</v>
      </c>
      <c r="AI4225" s="43" t="str">
        <f ca="1">_xll.BInterpol('Base IPCA'!$C$3:$C$14,'Base IPCA'!$E$3:$E$14,AH4225,"Cubic","Extrapolate=Linear","MultiX=Average","Skip=True","Sort=True")</f>
        <v>#N/A Invalid Parameter: Interpolation value</v>
      </c>
      <c r="AJ4225" s="43" t="str">
        <f ca="1"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0"/>
        <v>#REF!</v>
      </c>
      <c r="AI4226" s="43" t="str">
        <f ca="1">_xll.BInterpol('Base IPCA'!$C$3:$C$14,'Base IPCA'!$E$3:$E$14,AH4226,"Cubic","Extrapolate=Linear","MultiX=Average","Skip=True","Sort=True")</f>
        <v>#N/A Invalid Parameter: Interpolation value</v>
      </c>
      <c r="AJ4226" s="43" t="str">
        <f ca="1"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0"/>
        <v>#REF!</v>
      </c>
      <c r="AI4227" s="43" t="str">
        <f ca="1">_xll.BInterpol('Base IPCA'!$C$3:$C$14,'Base IPCA'!$E$3:$E$14,AH4227,"Cubic","Extrapolate=Linear","MultiX=Average","Skip=True","Sort=True")</f>
        <v>#N/A Invalid Parameter: Interpolation value</v>
      </c>
      <c r="AJ4227" s="43" t="str">
        <f ca="1"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0"/>
        <v>#REF!</v>
      </c>
      <c r="AI4228" s="43" t="str">
        <f ca="1">_xll.BInterpol('Base IPCA'!$C$3:$C$14,'Base IPCA'!$E$3:$E$14,AH4228,"Cubic","Extrapolate=Linear","MultiX=Average","Skip=True","Sort=True")</f>
        <v>#N/A Invalid Parameter: Interpolation value</v>
      </c>
      <c r="AJ4228" s="43" t="str">
        <f ca="1"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0"/>
        <v>#REF!</v>
      </c>
      <c r="AI4229" s="43" t="str">
        <f ca="1">_xll.BInterpol('Base IPCA'!$C$3:$C$14,'Base IPCA'!$E$3:$E$14,AH4229,"Cubic","Extrapolate=Linear","MultiX=Average","Skip=True","Sort=True")</f>
        <v>#N/A Invalid Parameter: Interpolation value</v>
      </c>
      <c r="AJ4229" s="43" t="str">
        <f ca="1"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1">AH4229+1</f>
        <v>#REF!</v>
      </c>
      <c r="AI4230" s="43" t="str">
        <f ca="1">_xll.BInterpol('Base IPCA'!$C$3:$C$14,'Base IPCA'!$E$3:$E$14,AH4230,"Cubic","Extrapolate=Linear","MultiX=Average","Skip=True","Sort=True")</f>
        <v>#N/A Invalid Parameter: Interpolation value</v>
      </c>
      <c r="AJ4230" s="43" t="str">
        <f ca="1"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1"/>
        <v>#REF!</v>
      </c>
      <c r="AI4231" s="43" t="str">
        <f ca="1">_xll.BInterpol('Base IPCA'!$C$3:$C$14,'Base IPCA'!$E$3:$E$14,AH4231,"Cubic","Extrapolate=Linear","MultiX=Average","Skip=True","Sort=True")</f>
        <v>#N/A Invalid Parameter: Interpolation value</v>
      </c>
      <c r="AJ4231" s="43" t="str">
        <f ca="1"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1"/>
        <v>#REF!</v>
      </c>
      <c r="AI4232" s="43" t="str">
        <f ca="1">_xll.BInterpol('Base IPCA'!$C$3:$C$14,'Base IPCA'!$E$3:$E$14,AH4232,"Cubic","Extrapolate=Linear","MultiX=Average","Skip=True","Sort=True")</f>
        <v>#N/A Invalid Parameter: Interpolation value</v>
      </c>
      <c r="AJ4232" s="43" t="str">
        <f ca="1"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1"/>
        <v>#REF!</v>
      </c>
      <c r="AI4233" s="43" t="str">
        <f ca="1">_xll.BInterpol('Base IPCA'!$C$3:$C$14,'Base IPCA'!$E$3:$E$14,AH4233,"Cubic","Extrapolate=Linear","MultiX=Average","Skip=True","Sort=True")</f>
        <v>#N/A Invalid Parameter: Interpolation value</v>
      </c>
      <c r="AJ4233" s="43" t="str">
        <f ca="1"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1"/>
        <v>#REF!</v>
      </c>
      <c r="AI4234" s="43" t="str">
        <f ca="1">_xll.BInterpol('Base IPCA'!$C$3:$C$14,'Base IPCA'!$E$3:$E$14,AH4234,"Cubic","Extrapolate=Linear","MultiX=Average","Skip=True","Sort=True")</f>
        <v>#N/A Invalid Parameter: Interpolation value</v>
      </c>
      <c r="AJ4234" s="43" t="str">
        <f ca="1"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1"/>
        <v>#REF!</v>
      </c>
      <c r="AI4235" s="43" t="str">
        <f ca="1">_xll.BInterpol('Base IPCA'!$C$3:$C$14,'Base IPCA'!$E$3:$E$14,AH4235,"Cubic","Extrapolate=Linear","MultiX=Average","Skip=True","Sort=True")</f>
        <v>#N/A Invalid Parameter: Interpolation value</v>
      </c>
      <c r="AJ4235" s="43" t="str">
        <f ca="1"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1"/>
        <v>#REF!</v>
      </c>
      <c r="AI4236" s="43" t="str">
        <f ca="1">_xll.BInterpol('Base IPCA'!$C$3:$C$14,'Base IPCA'!$E$3:$E$14,AH4236,"Cubic","Extrapolate=Linear","MultiX=Average","Skip=True","Sort=True")</f>
        <v>#N/A Invalid Parameter: Interpolation value</v>
      </c>
      <c r="AJ4236" s="43" t="str">
        <f ca="1"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1"/>
        <v>#REF!</v>
      </c>
      <c r="AI4237" s="43" t="str">
        <f ca="1">_xll.BInterpol('Base IPCA'!$C$3:$C$14,'Base IPCA'!$E$3:$E$14,AH4237,"Cubic","Extrapolate=Linear","MultiX=Average","Skip=True","Sort=True")</f>
        <v>#N/A Invalid Parameter: Interpolation value</v>
      </c>
      <c r="AJ4237" s="43" t="str">
        <f ca="1"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1"/>
        <v>#REF!</v>
      </c>
      <c r="AI4238" s="43" t="str">
        <f ca="1">_xll.BInterpol('Base IPCA'!$C$3:$C$14,'Base IPCA'!$E$3:$E$14,AH4238,"Cubic","Extrapolate=Linear","MultiX=Average","Skip=True","Sort=True")</f>
        <v>#N/A Invalid Parameter: Interpolation value</v>
      </c>
      <c r="AJ4238" s="43" t="str">
        <f ca="1"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1"/>
        <v>#REF!</v>
      </c>
      <c r="AI4239" s="43" t="str">
        <f ca="1">_xll.BInterpol('Base IPCA'!$C$3:$C$14,'Base IPCA'!$E$3:$E$14,AH4239,"Cubic","Extrapolate=Linear","MultiX=Average","Skip=True","Sort=True")</f>
        <v>#N/A Invalid Parameter: Interpolation value</v>
      </c>
      <c r="AJ4239" s="43" t="str">
        <f ca="1"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1"/>
        <v>#REF!</v>
      </c>
      <c r="AI4240" s="43" t="str">
        <f ca="1">_xll.BInterpol('Base IPCA'!$C$3:$C$14,'Base IPCA'!$E$3:$E$14,AH4240,"Cubic","Extrapolate=Linear","MultiX=Average","Skip=True","Sort=True")</f>
        <v>#N/A Invalid Parameter: Interpolation value</v>
      </c>
      <c r="AJ4240" s="43" t="str">
        <f ca="1"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1"/>
        <v>#REF!</v>
      </c>
      <c r="AI4241" s="43" t="str">
        <f ca="1">_xll.BInterpol('Base IPCA'!$C$3:$C$14,'Base IPCA'!$E$3:$E$14,AH4241,"Cubic","Extrapolate=Linear","MultiX=Average","Skip=True","Sort=True")</f>
        <v>#N/A Invalid Parameter: Interpolation value</v>
      </c>
      <c r="AJ4241" s="43" t="str">
        <f ca="1"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1"/>
        <v>#REF!</v>
      </c>
      <c r="AI4242" s="43" t="str">
        <f ca="1">_xll.BInterpol('Base IPCA'!$C$3:$C$14,'Base IPCA'!$E$3:$E$14,AH4242,"Cubic","Extrapolate=Linear","MultiX=Average","Skip=True","Sort=True")</f>
        <v>#N/A Invalid Parameter: Interpolation value</v>
      </c>
      <c r="AJ4242" s="43" t="str">
        <f ca="1"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1"/>
        <v>#REF!</v>
      </c>
      <c r="AI4243" s="43" t="str">
        <f ca="1">_xll.BInterpol('Base IPCA'!$C$3:$C$14,'Base IPCA'!$E$3:$E$14,AH4243,"Cubic","Extrapolate=Linear","MultiX=Average","Skip=True","Sort=True")</f>
        <v>#N/A Invalid Parameter: Interpolation value</v>
      </c>
      <c r="AJ4243" s="43" t="str">
        <f ca="1"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1"/>
        <v>#REF!</v>
      </c>
      <c r="AI4244" s="43" t="str">
        <f ca="1">_xll.BInterpol('Base IPCA'!$C$3:$C$14,'Base IPCA'!$E$3:$E$14,AH4244,"Cubic","Extrapolate=Linear","MultiX=Average","Skip=True","Sort=True")</f>
        <v>#N/A Invalid Parameter: Interpolation value</v>
      </c>
      <c r="AJ4244" s="43" t="str">
        <f ca="1"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1"/>
        <v>#REF!</v>
      </c>
      <c r="AI4245" s="43" t="str">
        <f ca="1">_xll.BInterpol('Base IPCA'!$C$3:$C$14,'Base IPCA'!$E$3:$E$14,AH4245,"Cubic","Extrapolate=Linear","MultiX=Average","Skip=True","Sort=True")</f>
        <v>#N/A Invalid Parameter: Interpolation value</v>
      </c>
      <c r="AJ4245" s="43" t="str">
        <f ca="1"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1"/>
        <v>#REF!</v>
      </c>
      <c r="AI4246" s="43" t="str">
        <f ca="1">_xll.BInterpol('Base IPCA'!$C$3:$C$14,'Base IPCA'!$E$3:$E$14,AH4246,"Cubic","Extrapolate=Linear","MultiX=Average","Skip=True","Sort=True")</f>
        <v>#N/A Invalid Parameter: Interpolation value</v>
      </c>
      <c r="AJ4246" s="43" t="str">
        <f ca="1"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1"/>
        <v>#REF!</v>
      </c>
      <c r="AI4247" s="43" t="str">
        <f ca="1">_xll.BInterpol('Base IPCA'!$C$3:$C$14,'Base IPCA'!$E$3:$E$14,AH4247,"Cubic","Extrapolate=Linear","MultiX=Average","Skip=True","Sort=True")</f>
        <v>#N/A Invalid Parameter: Interpolation value</v>
      </c>
      <c r="AJ4247" s="43" t="str">
        <f ca="1"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1"/>
        <v>#REF!</v>
      </c>
      <c r="AI4248" s="43" t="str">
        <f ca="1">_xll.BInterpol('Base IPCA'!$C$3:$C$14,'Base IPCA'!$E$3:$E$14,AH4248,"Cubic","Extrapolate=Linear","MultiX=Average","Skip=True","Sort=True")</f>
        <v>#N/A Invalid Parameter: Interpolation value</v>
      </c>
      <c r="AJ4248" s="43" t="str">
        <f ca="1"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1"/>
        <v>#REF!</v>
      </c>
      <c r="AI4249" s="43" t="str">
        <f ca="1">_xll.BInterpol('Base IPCA'!$C$3:$C$14,'Base IPCA'!$E$3:$E$14,AH4249,"Cubic","Extrapolate=Linear","MultiX=Average","Skip=True","Sort=True")</f>
        <v>#N/A Invalid Parameter: Interpolation value</v>
      </c>
      <c r="AJ4249" s="43" t="str">
        <f ca="1"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1"/>
        <v>#REF!</v>
      </c>
      <c r="AI4250" s="43" t="str">
        <f ca="1">_xll.BInterpol('Base IPCA'!$C$3:$C$14,'Base IPCA'!$E$3:$E$14,AH4250,"Cubic","Extrapolate=Linear","MultiX=Average","Skip=True","Sort=True")</f>
        <v>#N/A Invalid Parameter: Interpolation value</v>
      </c>
      <c r="AJ4250" s="43" t="str">
        <f ca="1"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1"/>
        <v>#REF!</v>
      </c>
      <c r="AI4251" s="43" t="str">
        <f ca="1">_xll.BInterpol('Base IPCA'!$C$3:$C$14,'Base IPCA'!$E$3:$E$14,AH4251,"Cubic","Extrapolate=Linear","MultiX=Average","Skip=True","Sort=True")</f>
        <v>#N/A Invalid Parameter: Interpolation value</v>
      </c>
      <c r="AJ4251" s="43" t="str">
        <f ca="1"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1"/>
        <v>#REF!</v>
      </c>
      <c r="AI4252" s="43" t="str">
        <f ca="1">_xll.BInterpol('Base IPCA'!$C$3:$C$14,'Base IPCA'!$E$3:$E$14,AH4252,"Cubic","Extrapolate=Linear","MultiX=Average","Skip=True","Sort=True")</f>
        <v>#N/A Invalid Parameter: Interpolation value</v>
      </c>
      <c r="AJ4252" s="43" t="str">
        <f ca="1"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1"/>
        <v>#REF!</v>
      </c>
      <c r="AI4253" s="43" t="str">
        <f ca="1">_xll.BInterpol('Base IPCA'!$C$3:$C$14,'Base IPCA'!$E$3:$E$14,AH4253,"Cubic","Extrapolate=Linear","MultiX=Average","Skip=True","Sort=True")</f>
        <v>#N/A Invalid Parameter: Interpolation value</v>
      </c>
      <c r="AJ4253" s="43" t="str">
        <f ca="1"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1"/>
        <v>#REF!</v>
      </c>
      <c r="AI4254" s="43" t="str">
        <f ca="1">_xll.BInterpol('Base IPCA'!$C$3:$C$14,'Base IPCA'!$E$3:$E$14,AH4254,"Cubic","Extrapolate=Linear","MultiX=Average","Skip=True","Sort=True")</f>
        <v>#N/A Invalid Parameter: Interpolation value</v>
      </c>
      <c r="AJ4254" s="43" t="str">
        <f ca="1"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1"/>
        <v>#REF!</v>
      </c>
      <c r="AI4255" s="43" t="str">
        <f ca="1">_xll.BInterpol('Base IPCA'!$C$3:$C$14,'Base IPCA'!$E$3:$E$14,AH4255,"Cubic","Extrapolate=Linear","MultiX=Average","Skip=True","Sort=True")</f>
        <v>#N/A Invalid Parameter: Interpolation value</v>
      </c>
      <c r="AJ4255" s="43" t="str">
        <f ca="1"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1"/>
        <v>#REF!</v>
      </c>
      <c r="AI4256" s="43" t="str">
        <f ca="1">_xll.BInterpol('Base IPCA'!$C$3:$C$14,'Base IPCA'!$E$3:$E$14,AH4256,"Cubic","Extrapolate=Linear","MultiX=Average","Skip=True","Sort=True")</f>
        <v>#N/A Invalid Parameter: Interpolation value</v>
      </c>
      <c r="AJ4256" s="43" t="str">
        <f ca="1"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1"/>
        <v>#REF!</v>
      </c>
      <c r="AI4257" s="43" t="str">
        <f ca="1">_xll.BInterpol('Base IPCA'!$C$3:$C$14,'Base IPCA'!$E$3:$E$14,AH4257,"Cubic","Extrapolate=Linear","MultiX=Average","Skip=True","Sort=True")</f>
        <v>#N/A Invalid Parameter: Interpolation value</v>
      </c>
      <c r="AJ4257" s="43" t="str">
        <f ca="1"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1"/>
        <v>#REF!</v>
      </c>
      <c r="AI4258" s="43" t="str">
        <f ca="1">_xll.BInterpol('Base IPCA'!$C$3:$C$14,'Base IPCA'!$E$3:$E$14,AH4258,"Cubic","Extrapolate=Linear","MultiX=Average","Skip=True","Sort=True")</f>
        <v>#N/A Invalid Parameter: Interpolation value</v>
      </c>
      <c r="AJ4258" s="43" t="str">
        <f ca="1"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1"/>
        <v>#REF!</v>
      </c>
      <c r="AI4259" s="43" t="str">
        <f ca="1">_xll.BInterpol('Base IPCA'!$C$3:$C$14,'Base IPCA'!$E$3:$E$14,AH4259,"Cubic","Extrapolate=Linear","MultiX=Average","Skip=True","Sort=True")</f>
        <v>#N/A Invalid Parameter: Interpolation value</v>
      </c>
      <c r="AJ4259" s="43" t="str">
        <f ca="1"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1"/>
        <v>#REF!</v>
      </c>
      <c r="AI4260" s="43" t="str">
        <f ca="1">_xll.BInterpol('Base IPCA'!$C$3:$C$14,'Base IPCA'!$E$3:$E$14,AH4260,"Cubic","Extrapolate=Linear","MultiX=Average","Skip=True","Sort=True")</f>
        <v>#N/A Invalid Parameter: Interpolation value</v>
      </c>
      <c r="AJ4260" s="43" t="str">
        <f ca="1"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1"/>
        <v>#REF!</v>
      </c>
      <c r="AI4261" s="43" t="str">
        <f ca="1">_xll.BInterpol('Base IPCA'!$C$3:$C$14,'Base IPCA'!$E$3:$E$14,AH4261,"Cubic","Extrapolate=Linear","MultiX=Average","Skip=True","Sort=True")</f>
        <v>#N/A Invalid Parameter: Interpolation value</v>
      </c>
      <c r="AJ4261" s="43" t="str">
        <f ca="1"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1"/>
        <v>#REF!</v>
      </c>
      <c r="AI4262" s="43" t="str">
        <f ca="1">_xll.BInterpol('Base IPCA'!$C$3:$C$14,'Base IPCA'!$E$3:$E$14,AH4262,"Cubic","Extrapolate=Linear","MultiX=Average","Skip=True","Sort=True")</f>
        <v>#N/A Invalid Parameter: Interpolation value</v>
      </c>
      <c r="AJ4262" s="43" t="str">
        <f ca="1"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1"/>
        <v>#REF!</v>
      </c>
      <c r="AI4263" s="43" t="str">
        <f ca="1">_xll.BInterpol('Base IPCA'!$C$3:$C$14,'Base IPCA'!$E$3:$E$14,AH4263,"Cubic","Extrapolate=Linear","MultiX=Average","Skip=True","Sort=True")</f>
        <v>#N/A Invalid Parameter: Interpolation value</v>
      </c>
      <c r="AJ4263" s="43" t="str">
        <f ca="1"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1"/>
        <v>#REF!</v>
      </c>
      <c r="AI4264" s="43" t="str">
        <f ca="1">_xll.BInterpol('Base IPCA'!$C$3:$C$14,'Base IPCA'!$E$3:$E$14,AH4264,"Cubic","Extrapolate=Linear","MultiX=Average","Skip=True","Sort=True")</f>
        <v>#N/A Invalid Parameter: Interpolation value</v>
      </c>
      <c r="AJ4264" s="43" t="str">
        <f ca="1"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1"/>
        <v>#REF!</v>
      </c>
      <c r="AI4265" s="43" t="str">
        <f ca="1">_xll.BInterpol('Base IPCA'!$C$3:$C$14,'Base IPCA'!$E$3:$E$14,AH4265,"Cubic","Extrapolate=Linear","MultiX=Average","Skip=True","Sort=True")</f>
        <v>#N/A Invalid Parameter: Interpolation value</v>
      </c>
      <c r="AJ4265" s="43" t="str">
        <f ca="1"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1"/>
        <v>#REF!</v>
      </c>
      <c r="AI4266" s="43" t="str">
        <f ca="1">_xll.BInterpol('Base IPCA'!$C$3:$C$14,'Base IPCA'!$E$3:$E$14,AH4266,"Cubic","Extrapolate=Linear","MultiX=Average","Skip=True","Sort=True")</f>
        <v>#N/A Invalid Parameter: Interpolation value</v>
      </c>
      <c r="AJ4266" s="43" t="str">
        <f ca="1"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1"/>
        <v>#REF!</v>
      </c>
      <c r="AI4267" s="43" t="str">
        <f ca="1">_xll.BInterpol('Base IPCA'!$C$3:$C$14,'Base IPCA'!$E$3:$E$14,AH4267,"Cubic","Extrapolate=Linear","MultiX=Average","Skip=True","Sort=True")</f>
        <v>#N/A Invalid Parameter: Interpolation value</v>
      </c>
      <c r="AJ4267" s="43" t="str">
        <f ca="1"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1"/>
        <v>#REF!</v>
      </c>
      <c r="AI4268" s="43" t="str">
        <f ca="1">_xll.BInterpol('Base IPCA'!$C$3:$C$14,'Base IPCA'!$E$3:$E$14,AH4268,"Cubic","Extrapolate=Linear","MultiX=Average","Skip=True","Sort=True")</f>
        <v>#N/A Invalid Parameter: Interpolation value</v>
      </c>
      <c r="AJ4268" s="43" t="str">
        <f ca="1"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1"/>
        <v>#REF!</v>
      </c>
      <c r="AI4269" s="43" t="str">
        <f ca="1">_xll.BInterpol('Base IPCA'!$C$3:$C$14,'Base IPCA'!$E$3:$E$14,AH4269,"Cubic","Extrapolate=Linear","MultiX=Average","Skip=True","Sort=True")</f>
        <v>#N/A Invalid Parameter: Interpolation value</v>
      </c>
      <c r="AJ4269" s="43" t="str">
        <f ca="1"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1"/>
        <v>#REF!</v>
      </c>
      <c r="AI4270" s="43" t="str">
        <f ca="1">_xll.BInterpol('Base IPCA'!$C$3:$C$14,'Base IPCA'!$E$3:$E$14,AH4270,"Cubic","Extrapolate=Linear","MultiX=Average","Skip=True","Sort=True")</f>
        <v>#N/A Invalid Parameter: Interpolation value</v>
      </c>
      <c r="AJ4270" s="43" t="str">
        <f ca="1"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1"/>
        <v>#REF!</v>
      </c>
      <c r="AI4271" s="43" t="str">
        <f ca="1">_xll.BInterpol('Base IPCA'!$C$3:$C$14,'Base IPCA'!$E$3:$E$14,AH4271,"Cubic","Extrapolate=Linear","MultiX=Average","Skip=True","Sort=True")</f>
        <v>#N/A Invalid Parameter: Interpolation value</v>
      </c>
      <c r="AJ4271" s="43" t="str">
        <f ca="1"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1"/>
        <v>#REF!</v>
      </c>
      <c r="AI4272" s="43" t="str">
        <f ca="1">_xll.BInterpol('Base IPCA'!$C$3:$C$14,'Base IPCA'!$E$3:$E$14,AH4272,"Cubic","Extrapolate=Linear","MultiX=Average","Skip=True","Sort=True")</f>
        <v>#N/A Invalid Parameter: Interpolation value</v>
      </c>
      <c r="AJ4272" s="43" t="str">
        <f ca="1"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1"/>
        <v>#REF!</v>
      </c>
      <c r="AI4273" s="43" t="str">
        <f ca="1">_xll.BInterpol('Base IPCA'!$C$3:$C$14,'Base IPCA'!$E$3:$E$14,AH4273,"Cubic","Extrapolate=Linear","MultiX=Average","Skip=True","Sort=True")</f>
        <v>#N/A Invalid Parameter: Interpolation value</v>
      </c>
      <c r="AJ4273" s="43" t="str">
        <f ca="1"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1"/>
        <v>#REF!</v>
      </c>
      <c r="AI4274" s="43" t="str">
        <f ca="1">_xll.BInterpol('Base IPCA'!$C$3:$C$14,'Base IPCA'!$E$3:$E$14,AH4274,"Cubic","Extrapolate=Linear","MultiX=Average","Skip=True","Sort=True")</f>
        <v>#N/A Invalid Parameter: Interpolation value</v>
      </c>
      <c r="AJ4274" s="43" t="str">
        <f ca="1"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1"/>
        <v>#REF!</v>
      </c>
      <c r="AI4275" s="43" t="str">
        <f ca="1">_xll.BInterpol('Base IPCA'!$C$3:$C$14,'Base IPCA'!$E$3:$E$14,AH4275,"Cubic","Extrapolate=Linear","MultiX=Average","Skip=True","Sort=True")</f>
        <v>#N/A Invalid Parameter: Interpolation value</v>
      </c>
      <c r="AJ4275" s="43" t="str">
        <f ca="1"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1"/>
        <v>#REF!</v>
      </c>
      <c r="AI4276" s="43" t="str">
        <f ca="1">_xll.BInterpol('Base IPCA'!$C$3:$C$14,'Base IPCA'!$E$3:$E$14,AH4276,"Cubic","Extrapolate=Linear","MultiX=Average","Skip=True","Sort=True")</f>
        <v>#N/A Invalid Parameter: Interpolation value</v>
      </c>
      <c r="AJ4276" s="43" t="str">
        <f ca="1"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1"/>
        <v>#REF!</v>
      </c>
      <c r="AI4277" s="43" t="str">
        <f ca="1">_xll.BInterpol('Base IPCA'!$C$3:$C$14,'Base IPCA'!$E$3:$E$14,AH4277,"Cubic","Extrapolate=Linear","MultiX=Average","Skip=True","Sort=True")</f>
        <v>#N/A Invalid Parameter: Interpolation value</v>
      </c>
      <c r="AJ4277" s="43" t="str">
        <f ca="1"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1"/>
        <v>#REF!</v>
      </c>
      <c r="AI4278" s="43" t="str">
        <f ca="1">_xll.BInterpol('Base IPCA'!$C$3:$C$14,'Base IPCA'!$E$3:$E$14,AH4278,"Cubic","Extrapolate=Linear","MultiX=Average","Skip=True","Sort=True")</f>
        <v>#N/A Invalid Parameter: Interpolation value</v>
      </c>
      <c r="AJ4278" s="43" t="str">
        <f ca="1"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1"/>
        <v>#REF!</v>
      </c>
      <c r="AI4279" s="43" t="str">
        <f ca="1">_xll.BInterpol('Base IPCA'!$C$3:$C$14,'Base IPCA'!$E$3:$E$14,AH4279,"Cubic","Extrapolate=Linear","MultiX=Average","Skip=True","Sort=True")</f>
        <v>#N/A Invalid Parameter: Interpolation value</v>
      </c>
      <c r="AJ4279" s="43" t="str">
        <f ca="1"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1"/>
        <v>#REF!</v>
      </c>
      <c r="AI4280" s="43" t="str">
        <f ca="1">_xll.BInterpol('Base IPCA'!$C$3:$C$14,'Base IPCA'!$E$3:$E$14,AH4280,"Cubic","Extrapolate=Linear","MultiX=Average","Skip=True","Sort=True")</f>
        <v>#N/A Invalid Parameter: Interpolation value</v>
      </c>
      <c r="AJ4280" s="43" t="str">
        <f ca="1"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1"/>
        <v>#REF!</v>
      </c>
      <c r="AI4281" s="43" t="str">
        <f ca="1">_xll.BInterpol('Base IPCA'!$C$3:$C$14,'Base IPCA'!$E$3:$E$14,AH4281,"Cubic","Extrapolate=Linear","MultiX=Average","Skip=True","Sort=True")</f>
        <v>#N/A Invalid Parameter: Interpolation value</v>
      </c>
      <c r="AJ4281" s="43" t="str">
        <f ca="1"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1"/>
        <v>#REF!</v>
      </c>
      <c r="AI4282" s="43" t="str">
        <f ca="1">_xll.BInterpol('Base IPCA'!$C$3:$C$14,'Base IPCA'!$E$3:$E$14,AH4282,"Cubic","Extrapolate=Linear","MultiX=Average","Skip=True","Sort=True")</f>
        <v>#N/A Invalid Parameter: Interpolation value</v>
      </c>
      <c r="AJ4282" s="43" t="str">
        <f ca="1"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1"/>
        <v>#REF!</v>
      </c>
      <c r="AI4283" s="43" t="str">
        <f ca="1">_xll.BInterpol('Base IPCA'!$C$3:$C$14,'Base IPCA'!$E$3:$E$14,AH4283,"Cubic","Extrapolate=Linear","MultiX=Average","Skip=True","Sort=True")</f>
        <v>#N/A Invalid Parameter: Interpolation value</v>
      </c>
      <c r="AJ4283" s="43" t="str">
        <f ca="1"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1"/>
        <v>#REF!</v>
      </c>
      <c r="AI4284" s="43" t="str">
        <f ca="1">_xll.BInterpol('Base IPCA'!$C$3:$C$14,'Base IPCA'!$E$3:$E$14,AH4284,"Cubic","Extrapolate=Linear","MultiX=Average","Skip=True","Sort=True")</f>
        <v>#N/A Invalid Parameter: Interpolation value</v>
      </c>
      <c r="AJ4284" s="43" t="str">
        <f ca="1"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1"/>
        <v>#REF!</v>
      </c>
      <c r="AI4285" s="43" t="str">
        <f ca="1">_xll.BInterpol('Base IPCA'!$C$3:$C$14,'Base IPCA'!$E$3:$E$14,AH4285,"Cubic","Extrapolate=Linear","MultiX=Average","Skip=True","Sort=True")</f>
        <v>#N/A Invalid Parameter: Interpolation value</v>
      </c>
      <c r="AJ4285" s="43" t="str">
        <f ca="1"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1"/>
        <v>#REF!</v>
      </c>
      <c r="AI4286" s="43" t="str">
        <f ca="1">_xll.BInterpol('Base IPCA'!$C$3:$C$14,'Base IPCA'!$E$3:$E$14,AH4286,"Cubic","Extrapolate=Linear","MultiX=Average","Skip=True","Sort=True")</f>
        <v>#N/A Invalid Parameter: Interpolation value</v>
      </c>
      <c r="AJ4286" s="43" t="str">
        <f ca="1"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1"/>
        <v>#REF!</v>
      </c>
      <c r="AI4287" s="43" t="str">
        <f ca="1">_xll.BInterpol('Base IPCA'!$C$3:$C$14,'Base IPCA'!$E$3:$E$14,AH4287,"Cubic","Extrapolate=Linear","MultiX=Average","Skip=True","Sort=True")</f>
        <v>#N/A Invalid Parameter: Interpolation value</v>
      </c>
      <c r="AJ4287" s="43" t="str">
        <f ca="1"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1"/>
        <v>#REF!</v>
      </c>
      <c r="AI4288" s="43" t="str">
        <f ca="1">_xll.BInterpol('Base IPCA'!$C$3:$C$14,'Base IPCA'!$E$3:$E$14,AH4288,"Cubic","Extrapolate=Linear","MultiX=Average","Skip=True","Sort=True")</f>
        <v>#N/A Invalid Parameter: Interpolation value</v>
      </c>
      <c r="AJ4288" s="43" t="str">
        <f ca="1"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1"/>
        <v>#REF!</v>
      </c>
      <c r="AI4289" s="43" t="str">
        <f ca="1">_xll.BInterpol('Base IPCA'!$C$3:$C$14,'Base IPCA'!$E$3:$E$14,AH4289,"Cubic","Extrapolate=Linear","MultiX=Average","Skip=True","Sort=True")</f>
        <v>#N/A Invalid Parameter: Interpolation value</v>
      </c>
      <c r="AJ4289" s="43" t="str">
        <f ca="1"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1"/>
        <v>#REF!</v>
      </c>
      <c r="AI4290" s="43" t="str">
        <f ca="1">_xll.BInterpol('Base IPCA'!$C$3:$C$14,'Base IPCA'!$E$3:$E$14,AH4290,"Cubic","Extrapolate=Linear","MultiX=Average","Skip=True","Sort=True")</f>
        <v>#N/A Invalid Parameter: Interpolation value</v>
      </c>
      <c r="AJ4290" s="43" t="str">
        <f ca="1"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1"/>
        <v>#REF!</v>
      </c>
      <c r="AI4291" s="43" t="str">
        <f ca="1">_xll.BInterpol('Base IPCA'!$C$3:$C$14,'Base IPCA'!$E$3:$E$14,AH4291,"Cubic","Extrapolate=Linear","MultiX=Average","Skip=True","Sort=True")</f>
        <v>#N/A Invalid Parameter: Interpolation value</v>
      </c>
      <c r="AJ4291" s="43" t="str">
        <f ca="1"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1"/>
        <v>#REF!</v>
      </c>
      <c r="AI4292" s="43" t="str">
        <f ca="1">_xll.BInterpol('Base IPCA'!$C$3:$C$14,'Base IPCA'!$E$3:$E$14,AH4292,"Cubic","Extrapolate=Linear","MultiX=Average","Skip=True","Sort=True")</f>
        <v>#N/A Invalid Parameter: Interpolation value</v>
      </c>
      <c r="AJ4292" s="43" t="str">
        <f ca="1"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1"/>
        <v>#REF!</v>
      </c>
      <c r="AI4293" s="43" t="str">
        <f ca="1">_xll.BInterpol('Base IPCA'!$C$3:$C$14,'Base IPCA'!$E$3:$E$14,AH4293,"Cubic","Extrapolate=Linear","MultiX=Average","Skip=True","Sort=True")</f>
        <v>#N/A Invalid Parameter: Interpolation value</v>
      </c>
      <c r="AJ4293" s="43" t="str">
        <f ca="1"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52">AH4293+1</f>
        <v>#REF!</v>
      </c>
      <c r="AI4294" s="43" t="str">
        <f ca="1">_xll.BInterpol('Base IPCA'!$C$3:$C$14,'Base IPCA'!$E$3:$E$14,AH4294,"Cubic","Extrapolate=Linear","MultiX=Average","Skip=True","Sort=True")</f>
        <v>#N/A Invalid Parameter: Interpolation value</v>
      </c>
      <c r="AJ4294" s="43" t="str">
        <f ca="1"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52"/>
        <v>#REF!</v>
      </c>
      <c r="AI4295" s="43" t="str">
        <f ca="1">_xll.BInterpol('Base IPCA'!$C$3:$C$14,'Base IPCA'!$E$3:$E$14,AH4295,"Cubic","Extrapolate=Linear","MultiX=Average","Skip=True","Sort=True")</f>
        <v>#N/A Invalid Parameter: Interpolation value</v>
      </c>
      <c r="AJ4295" s="43" t="str">
        <f ca="1"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52"/>
        <v>#REF!</v>
      </c>
      <c r="AI4296" s="43" t="str">
        <f ca="1">_xll.BInterpol('Base IPCA'!$C$3:$C$14,'Base IPCA'!$E$3:$E$14,AH4296,"Cubic","Extrapolate=Linear","MultiX=Average","Skip=True","Sort=True")</f>
        <v>#N/A Invalid Parameter: Interpolation value</v>
      </c>
      <c r="AJ4296" s="43" t="str">
        <f ca="1"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52"/>
        <v>#REF!</v>
      </c>
      <c r="AI4297" s="43" t="str">
        <f ca="1">_xll.BInterpol('Base IPCA'!$C$3:$C$14,'Base IPCA'!$E$3:$E$14,AH4297,"Cubic","Extrapolate=Linear","MultiX=Average","Skip=True","Sort=True")</f>
        <v>#N/A Invalid Parameter: Interpolation value</v>
      </c>
      <c r="AJ4297" s="43" t="str">
        <f ca="1"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52"/>
        <v>#REF!</v>
      </c>
      <c r="AI4298" s="43" t="str">
        <f ca="1">_xll.BInterpol('Base IPCA'!$C$3:$C$14,'Base IPCA'!$E$3:$E$14,AH4298,"Cubic","Extrapolate=Linear","MultiX=Average","Skip=True","Sort=True")</f>
        <v>#N/A Invalid Parameter: Interpolation value</v>
      </c>
      <c r="AJ4298" s="43" t="str">
        <f ca="1"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52"/>
        <v>#REF!</v>
      </c>
      <c r="AI4299" s="43" t="str">
        <f ca="1">_xll.BInterpol('Base IPCA'!$C$3:$C$14,'Base IPCA'!$E$3:$E$14,AH4299,"Cubic","Extrapolate=Linear","MultiX=Average","Skip=True","Sort=True")</f>
        <v>#N/A Invalid Parameter: Interpolation value</v>
      </c>
      <c r="AJ4299" s="43" t="str">
        <f ca="1"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52"/>
        <v>#REF!</v>
      </c>
      <c r="AI4300" s="43" t="str">
        <f ca="1">_xll.BInterpol('Base IPCA'!$C$3:$C$14,'Base IPCA'!$E$3:$E$14,AH4300,"Cubic","Extrapolate=Linear","MultiX=Average","Skip=True","Sort=True")</f>
        <v>#N/A Invalid Parameter: Interpolation value</v>
      </c>
      <c r="AJ4300" s="43" t="str">
        <f ca="1"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52"/>
        <v>#REF!</v>
      </c>
      <c r="AI4301" s="43" t="str">
        <f ca="1">_xll.BInterpol('Base IPCA'!$C$3:$C$14,'Base IPCA'!$E$3:$E$14,AH4301,"Cubic","Extrapolate=Linear","MultiX=Average","Skip=True","Sort=True")</f>
        <v>#N/A Invalid Parameter: Interpolation value</v>
      </c>
      <c r="AJ4301" s="43" t="str">
        <f ca="1"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52"/>
        <v>#REF!</v>
      </c>
      <c r="AI4302" s="43" t="str">
        <f ca="1">_xll.BInterpol('Base IPCA'!$C$3:$C$14,'Base IPCA'!$E$3:$E$14,AH4302,"Cubic","Extrapolate=Linear","MultiX=Average","Skip=True","Sort=True")</f>
        <v>#N/A Invalid Parameter: Interpolation value</v>
      </c>
      <c r="AJ4302" s="43" t="str">
        <f ca="1"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52"/>
        <v>#REF!</v>
      </c>
      <c r="AI4303" s="43" t="str">
        <f ca="1">_xll.BInterpol('Base IPCA'!$C$3:$C$14,'Base IPCA'!$E$3:$E$14,AH4303,"Cubic","Extrapolate=Linear","MultiX=Average","Skip=True","Sort=True")</f>
        <v>#N/A Invalid Parameter: Interpolation value</v>
      </c>
      <c r="AJ4303" s="43" t="str">
        <f ca="1"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52"/>
        <v>#REF!</v>
      </c>
      <c r="AI4304" s="43" t="str">
        <f ca="1">_xll.BInterpol('Base IPCA'!$C$3:$C$14,'Base IPCA'!$E$3:$E$14,AH4304,"Cubic","Extrapolate=Linear","MultiX=Average","Skip=True","Sort=True")</f>
        <v>#N/A Invalid Parameter: Interpolation value</v>
      </c>
      <c r="AJ4304" s="43" t="str">
        <f ca="1"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52"/>
        <v>#REF!</v>
      </c>
      <c r="AI4305" s="43" t="str">
        <f ca="1">_xll.BInterpol('Base IPCA'!$C$3:$C$14,'Base IPCA'!$E$3:$E$14,AH4305,"Cubic","Extrapolate=Linear","MultiX=Average","Skip=True","Sort=True")</f>
        <v>#N/A Invalid Parameter: Interpolation value</v>
      </c>
      <c r="AJ4305" s="43" t="str">
        <f ca="1"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52"/>
        <v>#REF!</v>
      </c>
      <c r="AI4306" s="43" t="str">
        <f ca="1">_xll.BInterpol('Base IPCA'!$C$3:$C$14,'Base IPCA'!$E$3:$E$14,AH4306,"Cubic","Extrapolate=Linear","MultiX=Average","Skip=True","Sort=True")</f>
        <v>#N/A Invalid Parameter: Interpolation value</v>
      </c>
      <c r="AJ4306" s="43" t="str">
        <f ca="1"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52"/>
        <v>#REF!</v>
      </c>
      <c r="AI4307" s="43" t="str">
        <f ca="1">_xll.BInterpol('Base IPCA'!$C$3:$C$14,'Base IPCA'!$E$3:$E$14,AH4307,"Cubic","Extrapolate=Linear","MultiX=Average","Skip=True","Sort=True")</f>
        <v>#N/A Invalid Parameter: Interpolation value</v>
      </c>
      <c r="AJ4307" s="43" t="str">
        <f ca="1"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52"/>
        <v>#REF!</v>
      </c>
      <c r="AI4308" s="43" t="str">
        <f ca="1">_xll.BInterpol('Base IPCA'!$C$3:$C$14,'Base IPCA'!$E$3:$E$14,AH4308,"Cubic","Extrapolate=Linear","MultiX=Average","Skip=True","Sort=True")</f>
        <v>#N/A Invalid Parameter: Interpolation value</v>
      </c>
      <c r="AJ4308" s="43" t="str">
        <f ca="1"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52"/>
        <v>#REF!</v>
      </c>
      <c r="AI4309" s="43" t="str">
        <f ca="1">_xll.BInterpol('Base IPCA'!$C$3:$C$14,'Base IPCA'!$E$3:$E$14,AH4309,"Cubic","Extrapolate=Linear","MultiX=Average","Skip=True","Sort=True")</f>
        <v>#N/A Invalid Parameter: Interpolation value</v>
      </c>
      <c r="AJ4309" s="43" t="str">
        <f ca="1"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52"/>
        <v>#REF!</v>
      </c>
      <c r="AI4310" s="43" t="str">
        <f ca="1">_xll.BInterpol('Base IPCA'!$C$3:$C$14,'Base IPCA'!$E$3:$E$14,AH4310,"Cubic","Extrapolate=Linear","MultiX=Average","Skip=True","Sort=True")</f>
        <v>#N/A Invalid Parameter: Interpolation value</v>
      </c>
      <c r="AJ4310" s="43" t="str">
        <f ca="1"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52"/>
        <v>#REF!</v>
      </c>
      <c r="AI4311" s="43" t="str">
        <f ca="1">_xll.BInterpol('Base IPCA'!$C$3:$C$14,'Base IPCA'!$E$3:$E$14,AH4311,"Cubic","Extrapolate=Linear","MultiX=Average","Skip=True","Sort=True")</f>
        <v>#N/A Invalid Parameter: Interpolation value</v>
      </c>
      <c r="AJ4311" s="43" t="str">
        <f ca="1"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52"/>
        <v>#REF!</v>
      </c>
      <c r="AI4312" s="43" t="str">
        <f ca="1">_xll.BInterpol('Base IPCA'!$C$3:$C$14,'Base IPCA'!$E$3:$E$14,AH4312,"Cubic","Extrapolate=Linear","MultiX=Average","Skip=True","Sort=True")</f>
        <v>#N/A Invalid Parameter: Interpolation value</v>
      </c>
      <c r="AJ4312" s="43" t="str">
        <f ca="1"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52"/>
        <v>#REF!</v>
      </c>
      <c r="AI4313" s="43" t="str">
        <f ca="1">_xll.BInterpol('Base IPCA'!$C$3:$C$14,'Base IPCA'!$E$3:$E$14,AH4313,"Cubic","Extrapolate=Linear","MultiX=Average","Skip=True","Sort=True")</f>
        <v>#N/A Invalid Parameter: Interpolation value</v>
      </c>
      <c r="AJ4313" s="43" t="str">
        <f ca="1"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52"/>
        <v>#REF!</v>
      </c>
      <c r="AI4314" s="43" t="str">
        <f ca="1">_xll.BInterpol('Base IPCA'!$C$3:$C$14,'Base IPCA'!$E$3:$E$14,AH4314,"Cubic","Extrapolate=Linear","MultiX=Average","Skip=True","Sort=True")</f>
        <v>#N/A Invalid Parameter: Interpolation value</v>
      </c>
      <c r="AJ4314" s="43" t="str">
        <f ca="1"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52"/>
        <v>#REF!</v>
      </c>
      <c r="AI4315" s="43" t="str">
        <f ca="1">_xll.BInterpol('Base IPCA'!$C$3:$C$14,'Base IPCA'!$E$3:$E$14,AH4315,"Cubic","Extrapolate=Linear","MultiX=Average","Skip=True","Sort=True")</f>
        <v>#N/A Invalid Parameter: Interpolation value</v>
      </c>
      <c r="AJ4315" s="43" t="str">
        <f ca="1"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52"/>
        <v>#REF!</v>
      </c>
      <c r="AI4316" s="43" t="str">
        <f ca="1">_xll.BInterpol('Base IPCA'!$C$3:$C$14,'Base IPCA'!$E$3:$E$14,AH4316,"Cubic","Extrapolate=Linear","MultiX=Average","Skip=True","Sort=True")</f>
        <v>#N/A Invalid Parameter: Interpolation value</v>
      </c>
      <c r="AJ4316" s="43" t="str">
        <f ca="1"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52"/>
        <v>#REF!</v>
      </c>
      <c r="AI4317" s="43" t="str">
        <f ca="1">_xll.BInterpol('Base IPCA'!$C$3:$C$14,'Base IPCA'!$E$3:$E$14,AH4317,"Cubic","Extrapolate=Linear","MultiX=Average","Skip=True","Sort=True")</f>
        <v>#N/A Invalid Parameter: Interpolation value</v>
      </c>
      <c r="AJ4317" s="43" t="str">
        <f ca="1"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52"/>
        <v>#REF!</v>
      </c>
      <c r="AI4318" s="43" t="str">
        <f ca="1">_xll.BInterpol('Base IPCA'!$C$3:$C$14,'Base IPCA'!$E$3:$E$14,AH4318,"Cubic","Extrapolate=Linear","MultiX=Average","Skip=True","Sort=True")</f>
        <v>#N/A Invalid Parameter: Interpolation value</v>
      </c>
      <c r="AJ4318" s="43" t="str">
        <f ca="1"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52"/>
        <v>#REF!</v>
      </c>
      <c r="AI4319" s="43" t="str">
        <f ca="1">_xll.BInterpol('Base IPCA'!$C$3:$C$14,'Base IPCA'!$E$3:$E$14,AH4319,"Cubic","Extrapolate=Linear","MultiX=Average","Skip=True","Sort=True")</f>
        <v>#N/A Invalid Parameter: Interpolation value</v>
      </c>
      <c r="AJ4319" s="43" t="str">
        <f ca="1"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52"/>
        <v>#REF!</v>
      </c>
      <c r="AI4320" s="43" t="str">
        <f ca="1">_xll.BInterpol('Base IPCA'!$C$3:$C$14,'Base IPCA'!$E$3:$E$14,AH4320,"Cubic","Extrapolate=Linear","MultiX=Average","Skip=True","Sort=True")</f>
        <v>#N/A Invalid Parameter: Interpolation value</v>
      </c>
      <c r="AJ4320" s="43" t="str">
        <f ca="1"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52"/>
        <v>#REF!</v>
      </c>
      <c r="AI4321" s="43" t="str">
        <f ca="1">_xll.BInterpol('Base IPCA'!$C$3:$C$14,'Base IPCA'!$E$3:$E$14,AH4321,"Cubic","Extrapolate=Linear","MultiX=Average","Skip=True","Sort=True")</f>
        <v>#N/A Invalid Parameter: Interpolation value</v>
      </c>
      <c r="AJ4321" s="43" t="str">
        <f ca="1"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52"/>
        <v>#REF!</v>
      </c>
      <c r="AI4322" s="43" t="str">
        <f ca="1">_xll.BInterpol('Base IPCA'!$C$3:$C$14,'Base IPCA'!$E$3:$E$14,AH4322,"Cubic","Extrapolate=Linear","MultiX=Average","Skip=True","Sort=True")</f>
        <v>#N/A Invalid Parameter: Interpolation value</v>
      </c>
      <c r="AJ4322" s="43" t="str">
        <f ca="1"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52"/>
        <v>#REF!</v>
      </c>
      <c r="AI4323" s="43" t="str">
        <f ca="1">_xll.BInterpol('Base IPCA'!$C$3:$C$14,'Base IPCA'!$E$3:$E$14,AH4323,"Cubic","Extrapolate=Linear","MultiX=Average","Skip=True","Sort=True")</f>
        <v>#N/A Invalid Parameter: Interpolation value</v>
      </c>
      <c r="AJ4323" s="43" t="str">
        <f ca="1"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52"/>
        <v>#REF!</v>
      </c>
      <c r="AI4324" s="43" t="str">
        <f ca="1">_xll.BInterpol('Base IPCA'!$C$3:$C$14,'Base IPCA'!$E$3:$E$14,AH4324,"Cubic","Extrapolate=Linear","MultiX=Average","Skip=True","Sort=True")</f>
        <v>#N/A Invalid Parameter: Interpolation value</v>
      </c>
      <c r="AJ4324" s="43" t="str">
        <f ca="1"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52"/>
        <v>#REF!</v>
      </c>
      <c r="AI4325" s="43" t="str">
        <f ca="1">_xll.BInterpol('Base IPCA'!$C$3:$C$14,'Base IPCA'!$E$3:$E$14,AH4325,"Cubic","Extrapolate=Linear","MultiX=Average","Skip=True","Sort=True")</f>
        <v>#N/A Invalid Parameter: Interpolation value</v>
      </c>
      <c r="AJ4325" s="43" t="str">
        <f ca="1"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52"/>
        <v>#REF!</v>
      </c>
      <c r="AI4326" s="43" t="str">
        <f ca="1">_xll.BInterpol('Base IPCA'!$C$3:$C$14,'Base IPCA'!$E$3:$E$14,AH4326,"Cubic","Extrapolate=Linear","MultiX=Average","Skip=True","Sort=True")</f>
        <v>#N/A Invalid Parameter: Interpolation value</v>
      </c>
      <c r="AJ4326" s="43" t="str">
        <f ca="1"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52"/>
        <v>#REF!</v>
      </c>
      <c r="AI4327" s="43" t="str">
        <f ca="1">_xll.BInterpol('Base IPCA'!$C$3:$C$14,'Base IPCA'!$E$3:$E$14,AH4327,"Cubic","Extrapolate=Linear","MultiX=Average","Skip=True","Sort=True")</f>
        <v>#N/A Invalid Parameter: Interpolation value</v>
      </c>
      <c r="AJ4327" s="43" t="str">
        <f ca="1"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52"/>
        <v>#REF!</v>
      </c>
      <c r="AI4328" s="43" t="str">
        <f ca="1">_xll.BInterpol('Base IPCA'!$C$3:$C$14,'Base IPCA'!$E$3:$E$14,AH4328,"Cubic","Extrapolate=Linear","MultiX=Average","Skip=True","Sort=True")</f>
        <v>#N/A Invalid Parameter: Interpolation value</v>
      </c>
      <c r="AJ4328" s="43" t="str">
        <f ca="1"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52"/>
        <v>#REF!</v>
      </c>
      <c r="AI4329" s="43" t="str">
        <f ca="1">_xll.BInterpol('Base IPCA'!$C$3:$C$14,'Base IPCA'!$E$3:$E$14,AH4329,"Cubic","Extrapolate=Linear","MultiX=Average","Skip=True","Sort=True")</f>
        <v>#N/A Invalid Parameter: Interpolation value</v>
      </c>
      <c r="AJ4329" s="43" t="str">
        <f ca="1"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52"/>
        <v>#REF!</v>
      </c>
      <c r="AI4330" s="43" t="str">
        <f ca="1">_xll.BInterpol('Base IPCA'!$C$3:$C$14,'Base IPCA'!$E$3:$E$14,AH4330,"Cubic","Extrapolate=Linear","MultiX=Average","Skip=True","Sort=True")</f>
        <v>#N/A Invalid Parameter: Interpolation value</v>
      </c>
      <c r="AJ4330" s="43" t="str">
        <f ca="1"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52"/>
        <v>#REF!</v>
      </c>
      <c r="AI4331" s="43" t="str">
        <f ca="1">_xll.BInterpol('Base IPCA'!$C$3:$C$14,'Base IPCA'!$E$3:$E$14,AH4331,"Cubic","Extrapolate=Linear","MultiX=Average","Skip=True","Sort=True")</f>
        <v>#N/A Invalid Parameter: Interpolation value</v>
      </c>
      <c r="AJ4331" s="43" t="str">
        <f ca="1"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52"/>
        <v>#REF!</v>
      </c>
      <c r="AI4332" s="43" t="str">
        <f ca="1">_xll.BInterpol('Base IPCA'!$C$3:$C$14,'Base IPCA'!$E$3:$E$14,AH4332,"Cubic","Extrapolate=Linear","MultiX=Average","Skip=True","Sort=True")</f>
        <v>#N/A Invalid Parameter: Interpolation value</v>
      </c>
      <c r="AJ4332" s="43" t="str">
        <f ca="1"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52"/>
        <v>#REF!</v>
      </c>
      <c r="AI4333" s="43" t="str">
        <f ca="1">_xll.BInterpol('Base IPCA'!$C$3:$C$14,'Base IPCA'!$E$3:$E$14,AH4333,"Cubic","Extrapolate=Linear","MultiX=Average","Skip=True","Sort=True")</f>
        <v>#N/A Invalid Parameter: Interpolation value</v>
      </c>
      <c r="AJ4333" s="43" t="str">
        <f ca="1"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52"/>
        <v>#REF!</v>
      </c>
      <c r="AI4334" s="43" t="str">
        <f ca="1">_xll.BInterpol('Base IPCA'!$C$3:$C$14,'Base IPCA'!$E$3:$E$14,AH4334,"Cubic","Extrapolate=Linear","MultiX=Average","Skip=True","Sort=True")</f>
        <v>#N/A Invalid Parameter: Interpolation value</v>
      </c>
      <c r="AJ4334" s="43" t="str">
        <f ca="1"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52"/>
        <v>#REF!</v>
      </c>
      <c r="AI4335" s="43" t="str">
        <f ca="1">_xll.BInterpol('Base IPCA'!$C$3:$C$14,'Base IPCA'!$E$3:$E$14,AH4335,"Cubic","Extrapolate=Linear","MultiX=Average","Skip=True","Sort=True")</f>
        <v>#N/A Invalid Parameter: Interpolation value</v>
      </c>
      <c r="AJ4335" s="43" t="str">
        <f ca="1"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52"/>
        <v>#REF!</v>
      </c>
      <c r="AI4336" s="43" t="str">
        <f ca="1">_xll.BInterpol('Base IPCA'!$C$3:$C$14,'Base IPCA'!$E$3:$E$14,AH4336,"Cubic","Extrapolate=Linear","MultiX=Average","Skip=True","Sort=True")</f>
        <v>#N/A Invalid Parameter: Interpolation value</v>
      </c>
      <c r="AJ4336" s="43" t="str">
        <f ca="1"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52"/>
        <v>#REF!</v>
      </c>
      <c r="AI4337" s="43" t="str">
        <f ca="1">_xll.BInterpol('Base IPCA'!$C$3:$C$14,'Base IPCA'!$E$3:$E$14,AH4337,"Cubic","Extrapolate=Linear","MultiX=Average","Skip=True","Sort=True")</f>
        <v>#N/A Invalid Parameter: Interpolation value</v>
      </c>
      <c r="AJ4337" s="43" t="str">
        <f ca="1"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52"/>
        <v>#REF!</v>
      </c>
      <c r="AI4338" s="43" t="str">
        <f ca="1">_xll.BInterpol('Base IPCA'!$C$3:$C$14,'Base IPCA'!$E$3:$E$14,AH4338,"Cubic","Extrapolate=Linear","MultiX=Average","Skip=True","Sort=True")</f>
        <v>#N/A Invalid Parameter: Interpolation value</v>
      </c>
      <c r="AJ4338" s="43" t="str">
        <f ca="1"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52"/>
        <v>#REF!</v>
      </c>
      <c r="AI4339" s="43" t="str">
        <f ca="1">_xll.BInterpol('Base IPCA'!$C$3:$C$14,'Base IPCA'!$E$3:$E$14,AH4339,"Cubic","Extrapolate=Linear","MultiX=Average","Skip=True","Sort=True")</f>
        <v>#N/A Invalid Parameter: Interpolation value</v>
      </c>
      <c r="AJ4339" s="43" t="str">
        <f ca="1"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52"/>
        <v>#REF!</v>
      </c>
      <c r="AI4340" s="43" t="str">
        <f ca="1">_xll.BInterpol('Base IPCA'!$C$3:$C$14,'Base IPCA'!$E$3:$E$14,AH4340,"Cubic","Extrapolate=Linear","MultiX=Average","Skip=True","Sort=True")</f>
        <v>#N/A Invalid Parameter: Interpolation value</v>
      </c>
      <c r="AJ4340" s="43" t="str">
        <f ca="1"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52"/>
        <v>#REF!</v>
      </c>
      <c r="AI4341" s="43" t="str">
        <f ca="1">_xll.BInterpol('Base IPCA'!$C$3:$C$14,'Base IPCA'!$E$3:$E$14,AH4341,"Cubic","Extrapolate=Linear","MultiX=Average","Skip=True","Sort=True")</f>
        <v>#N/A Invalid Parameter: Interpolation value</v>
      </c>
      <c r="AJ4341" s="43" t="str">
        <f ca="1"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52"/>
        <v>#REF!</v>
      </c>
      <c r="AI4342" s="43" t="str">
        <f ca="1">_xll.BInterpol('Base IPCA'!$C$3:$C$14,'Base IPCA'!$E$3:$E$14,AH4342,"Cubic","Extrapolate=Linear","MultiX=Average","Skip=True","Sort=True")</f>
        <v>#N/A Invalid Parameter: Interpolation value</v>
      </c>
      <c r="AJ4342" s="43" t="str">
        <f ca="1"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52"/>
        <v>#REF!</v>
      </c>
      <c r="AI4343" s="43" t="str">
        <f ca="1">_xll.BInterpol('Base IPCA'!$C$3:$C$14,'Base IPCA'!$E$3:$E$14,AH4343,"Cubic","Extrapolate=Linear","MultiX=Average","Skip=True","Sort=True")</f>
        <v>#N/A Invalid Parameter: Interpolation value</v>
      </c>
      <c r="AJ4343" s="43" t="str">
        <f ca="1"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52"/>
        <v>#REF!</v>
      </c>
      <c r="AI4344" s="43" t="str">
        <f ca="1">_xll.BInterpol('Base IPCA'!$C$3:$C$14,'Base IPCA'!$E$3:$E$14,AH4344,"Cubic","Extrapolate=Linear","MultiX=Average","Skip=True","Sort=True")</f>
        <v>#N/A Invalid Parameter: Interpolation value</v>
      </c>
      <c r="AJ4344" s="43" t="str">
        <f ca="1"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52"/>
        <v>#REF!</v>
      </c>
      <c r="AI4345" s="43" t="str">
        <f ca="1">_xll.BInterpol('Base IPCA'!$C$3:$C$14,'Base IPCA'!$E$3:$E$14,AH4345,"Cubic","Extrapolate=Linear","MultiX=Average","Skip=True","Sort=True")</f>
        <v>#N/A Invalid Parameter: Interpolation value</v>
      </c>
      <c r="AJ4345" s="43" t="str">
        <f ca="1"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52"/>
        <v>#REF!</v>
      </c>
      <c r="AI4346" s="43" t="str">
        <f ca="1">_xll.BInterpol('Base IPCA'!$C$3:$C$14,'Base IPCA'!$E$3:$E$14,AH4346,"Cubic","Extrapolate=Linear","MultiX=Average","Skip=True","Sort=True")</f>
        <v>#N/A Invalid Parameter: Interpolation value</v>
      </c>
      <c r="AJ4346" s="43" t="str">
        <f ca="1"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52"/>
        <v>#REF!</v>
      </c>
      <c r="AI4347" s="43" t="str">
        <f ca="1">_xll.BInterpol('Base IPCA'!$C$3:$C$14,'Base IPCA'!$E$3:$E$14,AH4347,"Cubic","Extrapolate=Linear","MultiX=Average","Skip=True","Sort=True")</f>
        <v>#N/A Invalid Parameter: Interpolation value</v>
      </c>
      <c r="AJ4347" s="43" t="str">
        <f ca="1"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52"/>
        <v>#REF!</v>
      </c>
      <c r="AI4348" s="43" t="str">
        <f ca="1">_xll.BInterpol('Base IPCA'!$C$3:$C$14,'Base IPCA'!$E$3:$E$14,AH4348,"Cubic","Extrapolate=Linear","MultiX=Average","Skip=True","Sort=True")</f>
        <v>#N/A Invalid Parameter: Interpolation value</v>
      </c>
      <c r="AJ4348" s="43" t="str">
        <f ca="1"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52"/>
        <v>#REF!</v>
      </c>
      <c r="AI4349" s="43" t="str">
        <f ca="1">_xll.BInterpol('Base IPCA'!$C$3:$C$14,'Base IPCA'!$E$3:$E$14,AH4349,"Cubic","Extrapolate=Linear","MultiX=Average","Skip=True","Sort=True")</f>
        <v>#N/A Invalid Parameter: Interpolation value</v>
      </c>
      <c r="AJ4349" s="43" t="str">
        <f ca="1"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52"/>
        <v>#REF!</v>
      </c>
      <c r="AI4350" s="43" t="str">
        <f ca="1">_xll.BInterpol('Base IPCA'!$C$3:$C$14,'Base IPCA'!$E$3:$E$14,AH4350,"Cubic","Extrapolate=Linear","MultiX=Average","Skip=True","Sort=True")</f>
        <v>#N/A Invalid Parameter: Interpolation value</v>
      </c>
      <c r="AJ4350" s="43" t="str">
        <f ca="1"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52"/>
        <v>#REF!</v>
      </c>
      <c r="AI4351" s="43" t="str">
        <f ca="1">_xll.BInterpol('Base IPCA'!$C$3:$C$14,'Base IPCA'!$E$3:$E$14,AH4351,"Cubic","Extrapolate=Linear","MultiX=Average","Skip=True","Sort=True")</f>
        <v>#N/A Invalid Parameter: Interpolation value</v>
      </c>
      <c r="AJ4351" s="43" t="str">
        <f ca="1"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52"/>
        <v>#REF!</v>
      </c>
      <c r="AI4352" s="43" t="str">
        <f ca="1">_xll.BInterpol('Base IPCA'!$C$3:$C$14,'Base IPCA'!$E$3:$E$14,AH4352,"Cubic","Extrapolate=Linear","MultiX=Average","Skip=True","Sort=True")</f>
        <v>#N/A Invalid Parameter: Interpolation value</v>
      </c>
      <c r="AJ4352" s="43" t="str">
        <f ca="1"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52"/>
        <v>#REF!</v>
      </c>
      <c r="AI4353" s="43" t="str">
        <f ca="1">_xll.BInterpol('Base IPCA'!$C$3:$C$14,'Base IPCA'!$E$3:$E$14,AH4353,"Cubic","Extrapolate=Linear","MultiX=Average","Skip=True","Sort=True")</f>
        <v>#N/A Invalid Parameter: Interpolation value</v>
      </c>
      <c r="AJ4353" s="43" t="str">
        <f ca="1"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52"/>
        <v>#REF!</v>
      </c>
      <c r="AI4354" s="43" t="str">
        <f ca="1">_xll.BInterpol('Base IPCA'!$C$3:$C$14,'Base IPCA'!$E$3:$E$14,AH4354,"Cubic","Extrapolate=Linear","MultiX=Average","Skip=True","Sort=True")</f>
        <v>#N/A Invalid Parameter: Interpolation value</v>
      </c>
      <c r="AJ4354" s="43" t="str">
        <f ca="1"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52"/>
        <v>#REF!</v>
      </c>
      <c r="AI4355" s="43" t="str">
        <f ca="1">_xll.BInterpol('Base IPCA'!$C$3:$C$14,'Base IPCA'!$E$3:$E$14,AH4355,"Cubic","Extrapolate=Linear","MultiX=Average","Skip=True","Sort=True")</f>
        <v>#N/A Invalid Parameter: Interpolation value</v>
      </c>
      <c r="AJ4355" s="43" t="str">
        <f ca="1"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52"/>
        <v>#REF!</v>
      </c>
      <c r="AI4356" s="43" t="str">
        <f ca="1">_xll.BInterpol('Base IPCA'!$C$3:$C$14,'Base IPCA'!$E$3:$E$14,AH4356,"Cubic","Extrapolate=Linear","MultiX=Average","Skip=True","Sort=True")</f>
        <v>#N/A Invalid Parameter: Interpolation value</v>
      </c>
      <c r="AJ4356" s="43" t="str">
        <f ca="1"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52"/>
        <v>#REF!</v>
      </c>
      <c r="AI4357" s="43" t="str">
        <f ca="1">_xll.BInterpol('Base IPCA'!$C$3:$C$14,'Base IPCA'!$E$3:$E$14,AH4357,"Cubic","Extrapolate=Linear","MultiX=Average","Skip=True","Sort=True")</f>
        <v>#N/A Invalid Parameter: Interpolation value</v>
      </c>
      <c r="AJ4357" s="43" t="str">
        <f ca="1"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53">AH4357+1</f>
        <v>#REF!</v>
      </c>
      <c r="AI4358" s="43" t="str">
        <f ca="1">_xll.BInterpol('Base IPCA'!$C$3:$C$14,'Base IPCA'!$E$3:$E$14,AH4358,"Cubic","Extrapolate=Linear","MultiX=Average","Skip=True","Sort=True")</f>
        <v>#N/A Invalid Parameter: Interpolation value</v>
      </c>
      <c r="AJ4358" s="43" t="str">
        <f ca="1"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53"/>
        <v>#REF!</v>
      </c>
      <c r="AI4359" s="43" t="str">
        <f ca="1">_xll.BInterpol('Base IPCA'!$C$3:$C$14,'Base IPCA'!$E$3:$E$14,AH4359,"Cubic","Extrapolate=Linear","MultiX=Average","Skip=True","Sort=True")</f>
        <v>#N/A Invalid Parameter: Interpolation value</v>
      </c>
      <c r="AJ4359" s="43" t="str">
        <f ca="1"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53"/>
        <v>#REF!</v>
      </c>
      <c r="AI4360" s="43" t="str">
        <f ca="1">_xll.BInterpol('Base IPCA'!$C$3:$C$14,'Base IPCA'!$E$3:$E$14,AH4360,"Cubic","Extrapolate=Linear","MultiX=Average","Skip=True","Sort=True")</f>
        <v>#N/A Invalid Parameter: Interpolation value</v>
      </c>
      <c r="AJ4360" s="43" t="str">
        <f ca="1"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53"/>
        <v>#REF!</v>
      </c>
      <c r="AI4361" s="43" t="str">
        <f ca="1">_xll.BInterpol('Base IPCA'!$C$3:$C$14,'Base IPCA'!$E$3:$E$14,AH4361,"Cubic","Extrapolate=Linear","MultiX=Average","Skip=True","Sort=True")</f>
        <v>#N/A Invalid Parameter: Interpolation value</v>
      </c>
      <c r="AJ4361" s="43" t="str">
        <f ca="1"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53"/>
        <v>#REF!</v>
      </c>
      <c r="AI4362" s="43" t="str">
        <f ca="1">_xll.BInterpol('Base IPCA'!$C$3:$C$14,'Base IPCA'!$E$3:$E$14,AH4362,"Cubic","Extrapolate=Linear","MultiX=Average","Skip=True","Sort=True")</f>
        <v>#N/A Invalid Parameter: Interpolation value</v>
      </c>
      <c r="AJ4362" s="43" t="str">
        <f ca="1"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53"/>
        <v>#REF!</v>
      </c>
      <c r="AI4363" s="43" t="str">
        <f ca="1">_xll.BInterpol('Base IPCA'!$C$3:$C$14,'Base IPCA'!$E$3:$E$14,AH4363,"Cubic","Extrapolate=Linear","MultiX=Average","Skip=True","Sort=True")</f>
        <v>#N/A Invalid Parameter: Interpolation value</v>
      </c>
      <c r="AJ4363" s="43" t="str">
        <f ca="1"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53"/>
        <v>#REF!</v>
      </c>
      <c r="AI4364" s="43" t="str">
        <f ca="1">_xll.BInterpol('Base IPCA'!$C$3:$C$14,'Base IPCA'!$E$3:$E$14,AH4364,"Cubic","Extrapolate=Linear","MultiX=Average","Skip=True","Sort=True")</f>
        <v>#N/A Invalid Parameter: Interpolation value</v>
      </c>
      <c r="AJ4364" s="43" t="str">
        <f ca="1"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53"/>
        <v>#REF!</v>
      </c>
      <c r="AI4365" s="43" t="str">
        <f ca="1">_xll.BInterpol('Base IPCA'!$C$3:$C$14,'Base IPCA'!$E$3:$E$14,AH4365,"Cubic","Extrapolate=Linear","MultiX=Average","Skip=True","Sort=True")</f>
        <v>#N/A Invalid Parameter: Interpolation value</v>
      </c>
      <c r="AJ4365" s="43" t="str">
        <f ca="1"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53"/>
        <v>#REF!</v>
      </c>
      <c r="AI4366" s="43" t="str">
        <f ca="1">_xll.BInterpol('Base IPCA'!$C$3:$C$14,'Base IPCA'!$E$3:$E$14,AH4366,"Cubic","Extrapolate=Linear","MultiX=Average","Skip=True","Sort=True")</f>
        <v>#N/A Invalid Parameter: Interpolation value</v>
      </c>
      <c r="AJ4366" s="43" t="str">
        <f ca="1"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53"/>
        <v>#REF!</v>
      </c>
      <c r="AI4367" s="43" t="str">
        <f ca="1">_xll.BInterpol('Base IPCA'!$C$3:$C$14,'Base IPCA'!$E$3:$E$14,AH4367,"Cubic","Extrapolate=Linear","MultiX=Average","Skip=True","Sort=True")</f>
        <v>#N/A Invalid Parameter: Interpolation value</v>
      </c>
      <c r="AJ4367" s="43" t="str">
        <f ca="1"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53"/>
        <v>#REF!</v>
      </c>
      <c r="AI4368" s="43" t="str">
        <f ca="1">_xll.BInterpol('Base IPCA'!$C$3:$C$14,'Base IPCA'!$E$3:$E$14,AH4368,"Cubic","Extrapolate=Linear","MultiX=Average","Skip=True","Sort=True")</f>
        <v>#N/A Invalid Parameter: Interpolation value</v>
      </c>
      <c r="AJ4368" s="43" t="str">
        <f ca="1"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53"/>
        <v>#REF!</v>
      </c>
      <c r="AI4369" s="43" t="str">
        <f ca="1">_xll.BInterpol('Base IPCA'!$C$3:$C$14,'Base IPCA'!$E$3:$E$14,AH4369,"Cubic","Extrapolate=Linear","MultiX=Average","Skip=True","Sort=True")</f>
        <v>#N/A Invalid Parameter: Interpolation value</v>
      </c>
      <c r="AJ4369" s="43" t="str">
        <f ca="1"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53"/>
        <v>#REF!</v>
      </c>
      <c r="AI4370" s="43" t="str">
        <f ca="1">_xll.BInterpol('Base IPCA'!$C$3:$C$14,'Base IPCA'!$E$3:$E$14,AH4370,"Cubic","Extrapolate=Linear","MultiX=Average","Skip=True","Sort=True")</f>
        <v>#N/A Invalid Parameter: Interpolation value</v>
      </c>
      <c r="AJ4370" s="43" t="str">
        <f ca="1"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53"/>
        <v>#REF!</v>
      </c>
      <c r="AI4371" s="43" t="str">
        <f ca="1">_xll.BInterpol('Base IPCA'!$C$3:$C$14,'Base IPCA'!$E$3:$E$14,AH4371,"Cubic","Extrapolate=Linear","MultiX=Average","Skip=True","Sort=True")</f>
        <v>#N/A Invalid Parameter: Interpolation value</v>
      </c>
      <c r="AJ4371" s="43" t="str">
        <f ca="1"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53"/>
        <v>#REF!</v>
      </c>
      <c r="AI4372" s="43" t="str">
        <f ca="1">_xll.BInterpol('Base IPCA'!$C$3:$C$14,'Base IPCA'!$E$3:$E$14,AH4372,"Cubic","Extrapolate=Linear","MultiX=Average","Skip=True","Sort=True")</f>
        <v>#N/A Invalid Parameter: Interpolation value</v>
      </c>
      <c r="AJ4372" s="43" t="str">
        <f ca="1"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53"/>
        <v>#REF!</v>
      </c>
      <c r="AI4373" s="43" t="str">
        <f ca="1">_xll.BInterpol('Base IPCA'!$C$3:$C$14,'Base IPCA'!$E$3:$E$14,AH4373,"Cubic","Extrapolate=Linear","MultiX=Average","Skip=True","Sort=True")</f>
        <v>#N/A Invalid Parameter: Interpolation value</v>
      </c>
      <c r="AJ4373" s="43" t="str">
        <f ca="1"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53"/>
        <v>#REF!</v>
      </c>
      <c r="AI4374" s="43" t="str">
        <f ca="1">_xll.BInterpol('Base IPCA'!$C$3:$C$14,'Base IPCA'!$E$3:$E$14,AH4374,"Cubic","Extrapolate=Linear","MultiX=Average","Skip=True","Sort=True")</f>
        <v>#N/A Invalid Parameter: Interpolation value</v>
      </c>
      <c r="AJ4374" s="43" t="str">
        <f ca="1"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53"/>
        <v>#REF!</v>
      </c>
      <c r="AI4375" s="43" t="str">
        <f ca="1">_xll.BInterpol('Base IPCA'!$C$3:$C$14,'Base IPCA'!$E$3:$E$14,AH4375,"Cubic","Extrapolate=Linear","MultiX=Average","Skip=True","Sort=True")</f>
        <v>#N/A Invalid Parameter: Interpolation value</v>
      </c>
      <c r="AJ4375" s="43" t="str">
        <f ca="1"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53"/>
        <v>#REF!</v>
      </c>
      <c r="AI4376" s="43" t="str">
        <f ca="1">_xll.BInterpol('Base IPCA'!$C$3:$C$14,'Base IPCA'!$E$3:$E$14,AH4376,"Cubic","Extrapolate=Linear","MultiX=Average","Skip=True","Sort=True")</f>
        <v>#N/A Invalid Parameter: Interpolation value</v>
      </c>
      <c r="AJ4376" s="43" t="str">
        <f ca="1"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53"/>
        <v>#REF!</v>
      </c>
      <c r="AI4377" s="43" t="str">
        <f ca="1">_xll.BInterpol('Base IPCA'!$C$3:$C$14,'Base IPCA'!$E$3:$E$14,AH4377,"Cubic","Extrapolate=Linear","MultiX=Average","Skip=True","Sort=True")</f>
        <v>#N/A Invalid Parameter: Interpolation value</v>
      </c>
      <c r="AJ4377" s="43" t="str">
        <f ca="1"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53"/>
        <v>#REF!</v>
      </c>
      <c r="AI4378" s="43" t="str">
        <f ca="1">_xll.BInterpol('Base IPCA'!$C$3:$C$14,'Base IPCA'!$E$3:$E$14,AH4378,"Cubic","Extrapolate=Linear","MultiX=Average","Skip=True","Sort=True")</f>
        <v>#N/A Invalid Parameter: Interpolation value</v>
      </c>
      <c r="AJ4378" s="43" t="str">
        <f ca="1"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53"/>
        <v>#REF!</v>
      </c>
      <c r="AI4379" s="43" t="str">
        <f ca="1">_xll.BInterpol('Base IPCA'!$C$3:$C$14,'Base IPCA'!$E$3:$E$14,AH4379,"Cubic","Extrapolate=Linear","MultiX=Average","Skip=True","Sort=True")</f>
        <v>#N/A Invalid Parameter: Interpolation value</v>
      </c>
      <c r="AJ4379" s="43" t="str">
        <f ca="1"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53"/>
        <v>#REF!</v>
      </c>
      <c r="AI4380" s="43" t="str">
        <f ca="1">_xll.BInterpol('Base IPCA'!$C$3:$C$14,'Base IPCA'!$E$3:$E$14,AH4380,"Cubic","Extrapolate=Linear","MultiX=Average","Skip=True","Sort=True")</f>
        <v>#N/A Invalid Parameter: Interpolation value</v>
      </c>
      <c r="AJ4380" s="43" t="str">
        <f ca="1"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53"/>
        <v>#REF!</v>
      </c>
      <c r="AI4381" s="43" t="str">
        <f ca="1">_xll.BInterpol('Base IPCA'!$C$3:$C$14,'Base IPCA'!$E$3:$E$14,AH4381,"Cubic","Extrapolate=Linear","MultiX=Average","Skip=True","Sort=True")</f>
        <v>#N/A Invalid Parameter: Interpolation value</v>
      </c>
      <c r="AJ4381" s="43" t="str">
        <f ca="1"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53"/>
        <v>#REF!</v>
      </c>
      <c r="AI4382" s="43" t="str">
        <f ca="1">_xll.BInterpol('Base IPCA'!$C$3:$C$14,'Base IPCA'!$E$3:$E$14,AH4382,"Cubic","Extrapolate=Linear","MultiX=Average","Skip=True","Sort=True")</f>
        <v>#N/A Invalid Parameter: Interpolation value</v>
      </c>
      <c r="AJ4382" s="43" t="str">
        <f ca="1"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53"/>
        <v>#REF!</v>
      </c>
      <c r="AI4383" s="43" t="str">
        <f ca="1">_xll.BInterpol('Base IPCA'!$C$3:$C$14,'Base IPCA'!$E$3:$E$14,AH4383,"Cubic","Extrapolate=Linear","MultiX=Average","Skip=True","Sort=True")</f>
        <v>#N/A Invalid Parameter: Interpolation value</v>
      </c>
      <c r="AJ4383" s="43" t="str">
        <f ca="1"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53"/>
        <v>#REF!</v>
      </c>
      <c r="AI4384" s="43" t="str">
        <f ca="1">_xll.BInterpol('Base IPCA'!$C$3:$C$14,'Base IPCA'!$E$3:$E$14,AH4384,"Cubic","Extrapolate=Linear","MultiX=Average","Skip=True","Sort=True")</f>
        <v>#N/A Invalid Parameter: Interpolation value</v>
      </c>
      <c r="AJ4384" s="43" t="str">
        <f ca="1"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53"/>
        <v>#REF!</v>
      </c>
      <c r="AI4385" s="43" t="str">
        <f ca="1">_xll.BInterpol('Base IPCA'!$C$3:$C$14,'Base IPCA'!$E$3:$E$14,AH4385,"Cubic","Extrapolate=Linear","MultiX=Average","Skip=True","Sort=True")</f>
        <v>#N/A Invalid Parameter: Interpolation value</v>
      </c>
      <c r="AJ4385" s="43" t="str">
        <f ca="1"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53"/>
        <v>#REF!</v>
      </c>
      <c r="AI4386" s="43" t="str">
        <f ca="1">_xll.BInterpol('Base IPCA'!$C$3:$C$14,'Base IPCA'!$E$3:$E$14,AH4386,"Cubic","Extrapolate=Linear","MultiX=Average","Skip=True","Sort=True")</f>
        <v>#N/A Invalid Parameter: Interpolation value</v>
      </c>
      <c r="AJ4386" s="43" t="str">
        <f ca="1"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53"/>
        <v>#REF!</v>
      </c>
      <c r="AI4387" s="43" t="str">
        <f ca="1">_xll.BInterpol('Base IPCA'!$C$3:$C$14,'Base IPCA'!$E$3:$E$14,AH4387,"Cubic","Extrapolate=Linear","MultiX=Average","Skip=True","Sort=True")</f>
        <v>#N/A Invalid Parameter: Interpolation value</v>
      </c>
      <c r="AJ4387" s="43" t="str">
        <f ca="1"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53"/>
        <v>#REF!</v>
      </c>
      <c r="AI4388" s="43" t="str">
        <f ca="1">_xll.BInterpol('Base IPCA'!$C$3:$C$14,'Base IPCA'!$E$3:$E$14,AH4388,"Cubic","Extrapolate=Linear","MultiX=Average","Skip=True","Sort=True")</f>
        <v>#N/A Invalid Parameter: Interpolation value</v>
      </c>
      <c r="AJ4388" s="43" t="str">
        <f ca="1"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53"/>
        <v>#REF!</v>
      </c>
      <c r="AI4389" s="43" t="str">
        <f ca="1">_xll.BInterpol('Base IPCA'!$C$3:$C$14,'Base IPCA'!$E$3:$E$14,AH4389,"Cubic","Extrapolate=Linear","MultiX=Average","Skip=True","Sort=True")</f>
        <v>#N/A Invalid Parameter: Interpolation value</v>
      </c>
      <c r="AJ4389" s="43" t="str">
        <f ca="1"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53"/>
        <v>#REF!</v>
      </c>
      <c r="AI4390" s="43" t="str">
        <f ca="1">_xll.BInterpol('Base IPCA'!$C$3:$C$14,'Base IPCA'!$E$3:$E$14,AH4390,"Cubic","Extrapolate=Linear","MultiX=Average","Skip=True","Sort=True")</f>
        <v>#N/A Invalid Parameter: Interpolation value</v>
      </c>
      <c r="AJ4390" s="43" t="str">
        <f ca="1"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53"/>
        <v>#REF!</v>
      </c>
      <c r="AI4391" s="43" t="str">
        <f ca="1">_xll.BInterpol('Base IPCA'!$C$3:$C$14,'Base IPCA'!$E$3:$E$14,AH4391,"Cubic","Extrapolate=Linear","MultiX=Average","Skip=True","Sort=True")</f>
        <v>#N/A Invalid Parameter: Interpolation value</v>
      </c>
      <c r="AJ4391" s="43" t="str">
        <f ca="1"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53"/>
        <v>#REF!</v>
      </c>
      <c r="AI4392" s="43" t="str">
        <f ca="1">_xll.BInterpol('Base IPCA'!$C$3:$C$14,'Base IPCA'!$E$3:$E$14,AH4392,"Cubic","Extrapolate=Linear","MultiX=Average","Skip=True","Sort=True")</f>
        <v>#N/A Invalid Parameter: Interpolation value</v>
      </c>
      <c r="AJ4392" s="43" t="str">
        <f ca="1"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53"/>
        <v>#REF!</v>
      </c>
      <c r="AI4393" s="43" t="str">
        <f ca="1">_xll.BInterpol('Base IPCA'!$C$3:$C$14,'Base IPCA'!$E$3:$E$14,AH4393,"Cubic","Extrapolate=Linear","MultiX=Average","Skip=True","Sort=True")</f>
        <v>#N/A Invalid Parameter: Interpolation value</v>
      </c>
      <c r="AJ4393" s="43" t="str">
        <f ca="1"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53"/>
        <v>#REF!</v>
      </c>
      <c r="AI4394" s="43" t="str">
        <f ca="1">_xll.BInterpol('Base IPCA'!$C$3:$C$14,'Base IPCA'!$E$3:$E$14,AH4394,"Cubic","Extrapolate=Linear","MultiX=Average","Skip=True","Sort=True")</f>
        <v>#N/A Invalid Parameter: Interpolation value</v>
      </c>
      <c r="AJ4394" s="43" t="str">
        <f ca="1"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53"/>
        <v>#REF!</v>
      </c>
      <c r="AI4395" s="43" t="str">
        <f ca="1">_xll.BInterpol('Base IPCA'!$C$3:$C$14,'Base IPCA'!$E$3:$E$14,AH4395,"Cubic","Extrapolate=Linear","MultiX=Average","Skip=True","Sort=True")</f>
        <v>#N/A Invalid Parameter: Interpolation value</v>
      </c>
      <c r="AJ4395" s="43" t="str">
        <f ca="1"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53"/>
        <v>#REF!</v>
      </c>
      <c r="AI4396" s="43" t="str">
        <f ca="1">_xll.BInterpol('Base IPCA'!$C$3:$C$14,'Base IPCA'!$E$3:$E$14,AH4396,"Cubic","Extrapolate=Linear","MultiX=Average","Skip=True","Sort=True")</f>
        <v>#N/A Invalid Parameter: Interpolation value</v>
      </c>
      <c r="AJ4396" s="43" t="str">
        <f ca="1"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53"/>
        <v>#REF!</v>
      </c>
      <c r="AI4397" s="43" t="str">
        <f ca="1">_xll.BInterpol('Base IPCA'!$C$3:$C$14,'Base IPCA'!$E$3:$E$14,AH4397,"Cubic","Extrapolate=Linear","MultiX=Average","Skip=True","Sort=True")</f>
        <v>#N/A Invalid Parameter: Interpolation value</v>
      </c>
      <c r="AJ4397" s="43" t="str">
        <f ca="1"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53"/>
        <v>#REF!</v>
      </c>
      <c r="AI4398" s="43" t="str">
        <f ca="1">_xll.BInterpol('Base IPCA'!$C$3:$C$14,'Base IPCA'!$E$3:$E$14,AH4398,"Cubic","Extrapolate=Linear","MultiX=Average","Skip=True","Sort=True")</f>
        <v>#N/A Invalid Parameter: Interpolation value</v>
      </c>
      <c r="AJ4398" s="43" t="str">
        <f ca="1"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53"/>
        <v>#REF!</v>
      </c>
      <c r="AI4399" s="43" t="str">
        <f ca="1">_xll.BInterpol('Base IPCA'!$C$3:$C$14,'Base IPCA'!$E$3:$E$14,AH4399,"Cubic","Extrapolate=Linear","MultiX=Average","Skip=True","Sort=True")</f>
        <v>#N/A Invalid Parameter: Interpolation value</v>
      </c>
      <c r="AJ4399" s="43" t="str">
        <f ca="1"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53"/>
        <v>#REF!</v>
      </c>
      <c r="AI4400" s="43" t="str">
        <f ca="1">_xll.BInterpol('Base IPCA'!$C$3:$C$14,'Base IPCA'!$E$3:$E$14,AH4400,"Cubic","Extrapolate=Linear","MultiX=Average","Skip=True","Sort=True")</f>
        <v>#N/A Invalid Parameter: Interpolation value</v>
      </c>
      <c r="AJ4400" s="43" t="str">
        <f ca="1"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53"/>
        <v>#REF!</v>
      </c>
      <c r="AI4401" s="43" t="str">
        <f ca="1">_xll.BInterpol('Base IPCA'!$C$3:$C$14,'Base IPCA'!$E$3:$E$14,AH4401,"Cubic","Extrapolate=Linear","MultiX=Average","Skip=True","Sort=True")</f>
        <v>#N/A Invalid Parameter: Interpolation value</v>
      </c>
      <c r="AJ4401" s="43" t="str">
        <f ca="1"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53"/>
        <v>#REF!</v>
      </c>
      <c r="AI4402" s="43" t="str">
        <f ca="1">_xll.BInterpol('Base IPCA'!$C$3:$C$14,'Base IPCA'!$E$3:$E$14,AH4402,"Cubic","Extrapolate=Linear","MultiX=Average","Skip=True","Sort=True")</f>
        <v>#N/A Invalid Parameter: Interpolation value</v>
      </c>
      <c r="AJ4402" s="43" t="str">
        <f ca="1"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53"/>
        <v>#REF!</v>
      </c>
      <c r="AI4403" s="43" t="str">
        <f ca="1">_xll.BInterpol('Base IPCA'!$C$3:$C$14,'Base IPCA'!$E$3:$E$14,AH4403,"Cubic","Extrapolate=Linear","MultiX=Average","Skip=True","Sort=True")</f>
        <v>#N/A Invalid Parameter: Interpolation value</v>
      </c>
      <c r="AJ4403" s="43" t="str">
        <f ca="1"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53"/>
        <v>#REF!</v>
      </c>
      <c r="AI4404" s="43" t="str">
        <f ca="1">_xll.BInterpol('Base IPCA'!$C$3:$C$14,'Base IPCA'!$E$3:$E$14,AH4404,"Cubic","Extrapolate=Linear","MultiX=Average","Skip=True","Sort=True")</f>
        <v>#N/A Invalid Parameter: Interpolation value</v>
      </c>
      <c r="AJ4404" s="43" t="str">
        <f ca="1"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53"/>
        <v>#REF!</v>
      </c>
      <c r="AI4405" s="43" t="str">
        <f ca="1">_xll.BInterpol('Base IPCA'!$C$3:$C$14,'Base IPCA'!$E$3:$E$14,AH4405,"Cubic","Extrapolate=Linear","MultiX=Average","Skip=True","Sort=True")</f>
        <v>#N/A Invalid Parameter: Interpolation value</v>
      </c>
      <c r="AJ4405" s="43" t="str">
        <f ca="1"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53"/>
        <v>#REF!</v>
      </c>
      <c r="AI4406" s="43" t="str">
        <f ca="1">_xll.BInterpol('Base IPCA'!$C$3:$C$14,'Base IPCA'!$E$3:$E$14,AH4406,"Cubic","Extrapolate=Linear","MultiX=Average","Skip=True","Sort=True")</f>
        <v>#N/A Invalid Parameter: Interpolation value</v>
      </c>
      <c r="AJ4406" s="43" t="str">
        <f ca="1"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53"/>
        <v>#REF!</v>
      </c>
      <c r="AI4407" s="43" t="str">
        <f ca="1">_xll.BInterpol('Base IPCA'!$C$3:$C$14,'Base IPCA'!$E$3:$E$14,AH4407,"Cubic","Extrapolate=Linear","MultiX=Average","Skip=True","Sort=True")</f>
        <v>#N/A Invalid Parameter: Interpolation value</v>
      </c>
      <c r="AJ4407" s="43" t="str">
        <f ca="1"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53"/>
        <v>#REF!</v>
      </c>
      <c r="AI4408" s="43" t="str">
        <f ca="1">_xll.BInterpol('Base IPCA'!$C$3:$C$14,'Base IPCA'!$E$3:$E$14,AH4408,"Cubic","Extrapolate=Linear","MultiX=Average","Skip=True","Sort=True")</f>
        <v>#N/A Invalid Parameter: Interpolation value</v>
      </c>
      <c r="AJ4408" s="43" t="str">
        <f ca="1"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53"/>
        <v>#REF!</v>
      </c>
      <c r="AI4409" s="43" t="str">
        <f ca="1">_xll.BInterpol('Base IPCA'!$C$3:$C$14,'Base IPCA'!$E$3:$E$14,AH4409,"Cubic","Extrapolate=Linear","MultiX=Average","Skip=True","Sort=True")</f>
        <v>#N/A Invalid Parameter: Interpolation value</v>
      </c>
      <c r="AJ4409" s="43" t="str">
        <f ca="1"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53"/>
        <v>#REF!</v>
      </c>
      <c r="AI4410" s="43" t="str">
        <f ca="1">_xll.BInterpol('Base IPCA'!$C$3:$C$14,'Base IPCA'!$E$3:$E$14,AH4410,"Cubic","Extrapolate=Linear","MultiX=Average","Skip=True","Sort=True")</f>
        <v>#N/A Invalid Parameter: Interpolation value</v>
      </c>
      <c r="AJ4410" s="43" t="str">
        <f ca="1"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53"/>
        <v>#REF!</v>
      </c>
      <c r="AI4411" s="43" t="str">
        <f ca="1">_xll.BInterpol('Base IPCA'!$C$3:$C$14,'Base IPCA'!$E$3:$E$14,AH4411,"Cubic","Extrapolate=Linear","MultiX=Average","Skip=True","Sort=True")</f>
        <v>#N/A Invalid Parameter: Interpolation value</v>
      </c>
      <c r="AJ4411" s="43" t="str">
        <f ca="1"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53"/>
        <v>#REF!</v>
      </c>
      <c r="AI4412" s="43" t="str">
        <f ca="1">_xll.BInterpol('Base IPCA'!$C$3:$C$14,'Base IPCA'!$E$3:$E$14,AH4412,"Cubic","Extrapolate=Linear","MultiX=Average","Skip=True","Sort=True")</f>
        <v>#N/A Invalid Parameter: Interpolation value</v>
      </c>
      <c r="AJ4412" s="43" t="str">
        <f ca="1"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53"/>
        <v>#REF!</v>
      </c>
      <c r="AI4413" s="43" t="str">
        <f ca="1">_xll.BInterpol('Base IPCA'!$C$3:$C$14,'Base IPCA'!$E$3:$E$14,AH4413,"Cubic","Extrapolate=Linear","MultiX=Average","Skip=True","Sort=True")</f>
        <v>#N/A Invalid Parameter: Interpolation value</v>
      </c>
      <c r="AJ4413" s="43" t="str">
        <f ca="1"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53"/>
        <v>#REF!</v>
      </c>
      <c r="AI4414" s="43" t="str">
        <f ca="1">_xll.BInterpol('Base IPCA'!$C$3:$C$14,'Base IPCA'!$E$3:$E$14,AH4414,"Cubic","Extrapolate=Linear","MultiX=Average","Skip=True","Sort=True")</f>
        <v>#N/A Invalid Parameter: Interpolation value</v>
      </c>
      <c r="AJ4414" s="43" t="str">
        <f ca="1"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53"/>
        <v>#REF!</v>
      </c>
      <c r="AI4415" s="43" t="str">
        <f ca="1">_xll.BInterpol('Base IPCA'!$C$3:$C$14,'Base IPCA'!$E$3:$E$14,AH4415,"Cubic","Extrapolate=Linear","MultiX=Average","Skip=True","Sort=True")</f>
        <v>#N/A Invalid Parameter: Interpolation value</v>
      </c>
      <c r="AJ4415" s="43" t="str">
        <f ca="1"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53"/>
        <v>#REF!</v>
      </c>
      <c r="AI4416" s="43" t="str">
        <f ca="1">_xll.BInterpol('Base IPCA'!$C$3:$C$14,'Base IPCA'!$E$3:$E$14,AH4416,"Cubic","Extrapolate=Linear","MultiX=Average","Skip=True","Sort=True")</f>
        <v>#N/A Invalid Parameter: Interpolation value</v>
      </c>
      <c r="AJ4416" s="43" t="str">
        <f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53"/>
        <v>#REF!</v>
      </c>
      <c r="AI4417" s="43" t="str">
        <f ca="1">_xll.BInterpol('Base IPCA'!$C$3:$C$14,'Base IPCA'!$E$3:$E$14,AH4417,"Cubic","Extrapolate=Linear","MultiX=Average","Skip=True","Sort=True")</f>
        <v>#N/A Invalid Parameter: Interpolation value</v>
      </c>
      <c r="AJ4417" s="43" t="str">
        <f ca="1"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53"/>
        <v>#REF!</v>
      </c>
      <c r="AI4418" s="43" t="str">
        <f ca="1">_xll.BInterpol('Base IPCA'!$C$3:$C$14,'Base IPCA'!$E$3:$E$14,AH4418,"Cubic","Extrapolate=Linear","MultiX=Average","Skip=True","Sort=True")</f>
        <v>#N/A Invalid Parameter: Interpolation value</v>
      </c>
      <c r="AJ4418" s="43" t="str">
        <f ca="1"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53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 ca="1"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53"/>
        <v>#REF!</v>
      </c>
      <c r="AI4420" s="43" t="str">
        <f ca="1">_xll.BInterpol('Base IPCA'!$C$3:$C$14,'Base IPCA'!$E$3:$E$14,AH4420,"Cubic","Extrapolate=Linear","MultiX=Average","Skip=True","Sort=True")</f>
        <v>#N/A Invalid Parameter: Interpolation value</v>
      </c>
      <c r="AJ4420" s="43" t="str">
        <f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53"/>
        <v>#REF!</v>
      </c>
      <c r="AI4421" s="43" t="str">
        <f ca="1">_xll.BInterpol('Base IPCA'!$C$3:$C$14,'Base IPCA'!$E$3:$E$14,AH4421,"Cubic","Extrapolate=Linear","MultiX=Average","Skip=True","Sort=True")</f>
        <v>#N/A Invalid Parameter: Interpolation value</v>
      </c>
      <c r="AJ4421" s="43" t="str">
        <f ca="1"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54">AH4421+1</f>
        <v>#REF!</v>
      </c>
      <c r="AI4422" s="43" t="str">
        <f ca="1">_xll.BInterpol('Base IPCA'!$C$3:$C$14,'Base IPCA'!$E$3:$E$14,AH4422,"Cubic","Extrapolate=Linear","MultiX=Average","Skip=True","Sort=True")</f>
        <v>#N/A Invalid Parameter: Interpolation value</v>
      </c>
      <c r="AJ4422" s="43" t="str">
        <f ca="1"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54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 ca="1"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54"/>
        <v>#REF!</v>
      </c>
      <c r="AI4424" s="43" t="str">
        <f ca="1">_xll.BInterpol('Base IPCA'!$C$3:$C$14,'Base IPCA'!$E$3:$E$14,AH4424,"Cubic","Extrapolate=Linear","MultiX=Average","Skip=True","Sort=True")</f>
        <v>#N/A Invalid Parameter: Interpolation value</v>
      </c>
      <c r="AJ4424" s="43" t="str">
        <f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54"/>
        <v>#REF!</v>
      </c>
      <c r="AI4425" s="43" t="str">
        <f ca="1">_xll.BInterpol('Base IPCA'!$C$3:$C$14,'Base IPCA'!$E$3:$E$14,AH4425,"Cubic","Extrapolate=Linear","MultiX=Average","Skip=True","Sort=True")</f>
        <v>#N/A Invalid Parameter: Interpolation value</v>
      </c>
      <c r="AJ4425" s="43" t="str">
        <f ca="1"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54"/>
        <v>#REF!</v>
      </c>
      <c r="AI4426" s="43" t="str">
        <f ca="1">_xll.BInterpol('Base IPCA'!$C$3:$C$14,'Base IPCA'!$E$3:$E$14,AH4426,"Cubic","Extrapolate=Linear","MultiX=Average","Skip=True","Sort=True")</f>
        <v>#N/A Invalid Parameter: Interpolation value</v>
      </c>
      <c r="AJ4426" s="43" t="str">
        <f ca="1"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54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 ca="1"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54"/>
        <v>#REF!</v>
      </c>
      <c r="AI4428" s="43" t="str">
        <f ca="1">_xll.BInterpol('Base IPCA'!$C$3:$C$14,'Base IPCA'!$E$3:$E$14,AH4428,"Cubic","Extrapolate=Linear","MultiX=Average","Skip=True","Sort=True")</f>
        <v>#N/A Invalid Parameter: Interpolation value</v>
      </c>
      <c r="AJ4428" s="43" t="str">
        <f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54"/>
        <v>#REF!</v>
      </c>
      <c r="AI4429" s="43" t="str">
        <f ca="1">_xll.BInterpol('Base IPCA'!$C$3:$C$14,'Base IPCA'!$E$3:$E$14,AH4429,"Cubic","Extrapolate=Linear","MultiX=Average","Skip=True","Sort=True")</f>
        <v>#N/A Invalid Parameter: Interpolation value</v>
      </c>
      <c r="AJ4429" s="43" t="str">
        <f ca="1"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54"/>
        <v>#REF!</v>
      </c>
      <c r="AI4430" s="43" t="str">
        <f ca="1">_xll.BInterpol('Base IPCA'!$C$3:$C$14,'Base IPCA'!$E$3:$E$14,AH4430,"Cubic","Extrapolate=Linear","MultiX=Average","Skip=True","Sort=True")</f>
        <v>#N/A Invalid Parameter: Interpolation value</v>
      </c>
      <c r="AJ4430" s="43" t="str">
        <f ca="1"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54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 ca="1"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54"/>
        <v>#REF!</v>
      </c>
      <c r="AI4432" s="43" t="str">
        <f ca="1">_xll.BInterpol('Base IPCA'!$C$3:$C$14,'Base IPCA'!$E$3:$E$14,AH4432,"Cubic","Extrapolate=Linear","MultiX=Average","Skip=True","Sort=True")</f>
        <v>#N/A Invalid Parameter: Interpolation value</v>
      </c>
      <c r="AJ4432" s="43" t="str">
        <f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54"/>
        <v>#REF!</v>
      </c>
      <c r="AI4433" s="43" t="str">
        <f ca="1">_xll.BInterpol('Base IPCA'!$C$3:$C$14,'Base IPCA'!$E$3:$E$14,AH4433,"Cubic","Extrapolate=Linear","MultiX=Average","Skip=True","Sort=True")</f>
        <v>#N/A Invalid Parameter: Interpolation value</v>
      </c>
      <c r="AJ4433" s="43" t="str">
        <f ca="1"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54"/>
        <v>#REF!</v>
      </c>
      <c r="AI4434" s="43" t="str">
        <f ca="1">_xll.BInterpol('Base IPCA'!$C$3:$C$14,'Base IPCA'!$E$3:$E$14,AH4434,"Cubic","Extrapolate=Linear","MultiX=Average","Skip=True","Sort=True")</f>
        <v>#N/A Invalid Parameter: Interpolation value</v>
      </c>
      <c r="AJ4434" s="43" t="str">
        <f ca="1"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54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 ca="1"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54"/>
        <v>#REF!</v>
      </c>
      <c r="AI4436" s="43" t="str">
        <f ca="1">_xll.BInterpol('Base IPCA'!$C$3:$C$14,'Base IPCA'!$E$3:$E$14,AH4436,"Cubic","Extrapolate=Linear","MultiX=Average","Skip=True","Sort=True")</f>
        <v>#N/A Invalid Parameter: Interpolation value</v>
      </c>
      <c r="AJ4436" s="43" t="str">
        <f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54"/>
        <v>#REF!</v>
      </c>
      <c r="AI4437" s="43" t="str">
        <f ca="1">_xll.BInterpol('Base IPCA'!$C$3:$C$14,'Base IPCA'!$E$3:$E$14,AH4437,"Cubic","Extrapolate=Linear","MultiX=Average","Skip=True","Sort=True")</f>
        <v>#N/A Invalid Parameter: Interpolation value</v>
      </c>
      <c r="AJ4437" s="43" t="str">
        <f ca="1"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54"/>
        <v>#REF!</v>
      </c>
      <c r="AI4438" s="43" t="str">
        <f ca="1">_xll.BInterpol('Base IPCA'!$C$3:$C$14,'Base IPCA'!$E$3:$E$14,AH4438,"Cubic","Extrapolate=Linear","MultiX=Average","Skip=True","Sort=True")</f>
        <v>#N/A Invalid Parameter: Interpolation value</v>
      </c>
      <c r="AJ4438" s="43" t="str">
        <f ca="1"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54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 ca="1"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54"/>
        <v>#REF!</v>
      </c>
      <c r="AI4440" s="43" t="str">
        <f ca="1">_xll.BInterpol('Base IPCA'!$C$3:$C$14,'Base IPCA'!$E$3:$E$14,AH4440,"Cubic","Extrapolate=Linear","MultiX=Average","Skip=True","Sort=True")</f>
        <v>#N/A Invalid Parameter: Interpolation value</v>
      </c>
      <c r="AJ4440" s="43" t="str">
        <f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54"/>
        <v>#REF!</v>
      </c>
      <c r="AI4441" s="43" t="str">
        <f ca="1">_xll.BInterpol('Base IPCA'!$C$3:$C$14,'Base IPCA'!$E$3:$E$14,AH4441,"Cubic","Extrapolate=Linear","MultiX=Average","Skip=True","Sort=True")</f>
        <v>#N/A Invalid Parameter: Interpolation value</v>
      </c>
      <c r="AJ4441" s="43" t="str">
        <f ca="1"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54"/>
        <v>#REF!</v>
      </c>
      <c r="AI4442" s="43" t="str">
        <f ca="1">_xll.BInterpol('Base IPCA'!$C$3:$C$14,'Base IPCA'!$E$3:$E$14,AH4442,"Cubic","Extrapolate=Linear","MultiX=Average","Skip=True","Sort=True")</f>
        <v>#N/A Invalid Parameter: Interpolation value</v>
      </c>
      <c r="AJ4442" s="43" t="str">
        <f ca="1"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54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 ca="1"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54"/>
        <v>#REF!</v>
      </c>
      <c r="AI4444" s="43" t="str">
        <f ca="1">_xll.BInterpol('Base IPCA'!$C$3:$C$14,'Base IPCA'!$E$3:$E$14,AH4444,"Cubic","Extrapolate=Linear","MultiX=Average","Skip=True","Sort=True")</f>
        <v>#N/A Invalid Parameter: Interpolation value</v>
      </c>
      <c r="AJ4444" s="43" t="str">
        <f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54"/>
        <v>#REF!</v>
      </c>
      <c r="AI4445" s="43" t="str">
        <f ca="1">_xll.BInterpol('Base IPCA'!$C$3:$C$14,'Base IPCA'!$E$3:$E$14,AH4445,"Cubic","Extrapolate=Linear","MultiX=Average","Skip=True","Sort=True")</f>
        <v>#N/A Invalid Parameter: Interpolation value</v>
      </c>
      <c r="AJ4445" s="43" t="str">
        <f ca="1"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54"/>
        <v>#REF!</v>
      </c>
      <c r="AI4446" s="43" t="str">
        <f ca="1">_xll.BInterpol('Base IPCA'!$C$3:$C$14,'Base IPCA'!$E$3:$E$14,AH4446,"Cubic","Extrapolate=Linear","MultiX=Average","Skip=True","Sort=True")</f>
        <v>#N/A Invalid Parameter: Interpolation value</v>
      </c>
      <c r="AJ4446" s="43" t="str">
        <f ca="1"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54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 ca="1"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54"/>
        <v>#REF!</v>
      </c>
      <c r="AI4448" s="43" t="str">
        <f ca="1">_xll.BInterpol('Base IPCA'!$C$3:$C$14,'Base IPCA'!$E$3:$E$14,AH4448,"Cubic","Extrapolate=Linear","MultiX=Average","Skip=True","Sort=True")</f>
        <v>#N/A Invalid Parameter: Interpolation value</v>
      </c>
      <c r="AJ4448" s="43" t="str">
        <f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54"/>
        <v>#REF!</v>
      </c>
      <c r="AI4449" s="43" t="str">
        <f ca="1">_xll.BInterpol('Base IPCA'!$C$3:$C$14,'Base IPCA'!$E$3:$E$14,AH4449,"Cubic","Extrapolate=Linear","MultiX=Average","Skip=True","Sort=True")</f>
        <v>#N/A Invalid Parameter: Interpolation value</v>
      </c>
      <c r="AJ4449" s="43" t="str">
        <f ca="1"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54"/>
        <v>#REF!</v>
      </c>
      <c r="AI4450" s="43" t="str">
        <f ca="1">_xll.BInterpol('Base IPCA'!$C$3:$C$14,'Base IPCA'!$E$3:$E$14,AH4450,"Cubic","Extrapolate=Linear","MultiX=Average","Skip=True","Sort=True")</f>
        <v>#N/A Invalid Parameter: Interpolation value</v>
      </c>
      <c r="AJ4450" s="43" t="str">
        <f ca="1"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54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 ca="1"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54"/>
        <v>#REF!</v>
      </c>
      <c r="AI4452" s="43" t="str">
        <f ca="1">_xll.BInterpol('Base IPCA'!$C$3:$C$14,'Base IPCA'!$E$3:$E$14,AH4452,"Cubic","Extrapolate=Linear","MultiX=Average","Skip=True","Sort=True")</f>
        <v>#N/A Invalid Parameter: Interpolation value</v>
      </c>
      <c r="AJ4452" s="43" t="str">
        <f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54"/>
        <v>#REF!</v>
      </c>
      <c r="AI4453" s="43" t="str">
        <f ca="1">_xll.BInterpol('Base IPCA'!$C$3:$C$14,'Base IPCA'!$E$3:$E$14,AH4453,"Cubic","Extrapolate=Linear","MultiX=Average","Skip=True","Sort=True")</f>
        <v>#N/A Invalid Parameter: Interpolation value</v>
      </c>
      <c r="AJ4453" s="43" t="str">
        <f ca="1"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54"/>
        <v>#REF!</v>
      </c>
      <c r="AI4454" s="43" t="str">
        <f ca="1">_xll.BInterpol('Base IPCA'!$C$3:$C$14,'Base IPCA'!$E$3:$E$14,AH4454,"Cubic","Extrapolate=Linear","MultiX=Average","Skip=True","Sort=True")</f>
        <v>#N/A Invalid Parameter: Interpolation value</v>
      </c>
      <c r="AJ4454" s="43" t="str">
        <f ca="1"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54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 ca="1"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54"/>
        <v>#REF!</v>
      </c>
      <c r="AI4456" s="43" t="str">
        <f ca="1">_xll.BInterpol('Base IPCA'!$C$3:$C$14,'Base IPCA'!$E$3:$E$14,AH4456,"Cubic","Extrapolate=Linear","MultiX=Average","Skip=True","Sort=True")</f>
        <v>#N/A Invalid Parameter: Interpolation value</v>
      </c>
      <c r="AJ4456" s="43" t="str">
        <f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54"/>
        <v>#REF!</v>
      </c>
      <c r="AI4457" s="43" t="str">
        <f ca="1">_xll.BInterpol('Base IPCA'!$C$3:$C$14,'Base IPCA'!$E$3:$E$14,AH4457,"Cubic","Extrapolate=Linear","MultiX=Average","Skip=True","Sort=True")</f>
        <v>#N/A Invalid Parameter: Interpolation value</v>
      </c>
      <c r="AJ4457" s="43" t="str">
        <f ca="1"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54"/>
        <v>#REF!</v>
      </c>
      <c r="AI4458" s="43" t="str">
        <f ca="1">_xll.BInterpol('Base IPCA'!$C$3:$C$14,'Base IPCA'!$E$3:$E$14,AH4458,"Cubic","Extrapolate=Linear","MultiX=Average","Skip=True","Sort=True")</f>
        <v>#N/A Invalid Parameter: Interpolation value</v>
      </c>
      <c r="AJ4458" s="43" t="str">
        <f ca="1"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54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 ca="1"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54"/>
        <v>#REF!</v>
      </c>
      <c r="AI4460" s="43" t="str">
        <f ca="1">_xll.BInterpol('Base IPCA'!$C$3:$C$14,'Base IPCA'!$E$3:$E$14,AH4460,"Cubic","Extrapolate=Linear","MultiX=Average","Skip=True","Sort=True")</f>
        <v>#N/A Invalid Parameter: Interpolation value</v>
      </c>
      <c r="AJ4460" s="43" t="str">
        <f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54"/>
        <v>#REF!</v>
      </c>
      <c r="AI4461" s="43" t="str">
        <f ca="1">_xll.BInterpol('Base IPCA'!$C$3:$C$14,'Base IPCA'!$E$3:$E$14,AH4461,"Cubic","Extrapolate=Linear","MultiX=Average","Skip=True","Sort=True")</f>
        <v>#N/A Invalid Parameter: Interpolation value</v>
      </c>
      <c r="AJ4461" s="43" t="str">
        <f ca="1"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54"/>
        <v>#REF!</v>
      </c>
      <c r="AI4462" s="43" t="str">
        <f ca="1">_xll.BInterpol('Base IPCA'!$C$3:$C$14,'Base IPCA'!$E$3:$E$14,AH4462,"Cubic","Extrapolate=Linear","MultiX=Average","Skip=True","Sort=True")</f>
        <v>#N/A Invalid Parameter: Interpolation value</v>
      </c>
      <c r="AJ4462" s="43" t="str">
        <f ca="1"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54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 ca="1"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54"/>
        <v>#REF!</v>
      </c>
      <c r="AI4464" s="43" t="str">
        <f ca="1">_xll.BInterpol('Base IPCA'!$C$3:$C$14,'Base IPCA'!$E$3:$E$14,AH4464,"Cubic","Extrapolate=Linear","MultiX=Average","Skip=True","Sort=True")</f>
        <v>#N/A Invalid Parameter: Interpolation value</v>
      </c>
      <c r="AJ4464" s="43" t="str">
        <f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54"/>
        <v>#REF!</v>
      </c>
      <c r="AI4465" s="43" t="str">
        <f ca="1">_xll.BInterpol('Base IPCA'!$C$3:$C$14,'Base IPCA'!$E$3:$E$14,AH4465,"Cubic","Extrapolate=Linear","MultiX=Average","Skip=True","Sort=True")</f>
        <v>#N/A Invalid Parameter: Interpolation value</v>
      </c>
      <c r="AJ4465" s="43" t="str">
        <f ca="1"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54"/>
        <v>#REF!</v>
      </c>
      <c r="AI4466" s="43" t="str">
        <f ca="1">_xll.BInterpol('Base IPCA'!$C$3:$C$14,'Base IPCA'!$E$3:$E$14,AH4466,"Cubic","Extrapolate=Linear","MultiX=Average","Skip=True","Sort=True")</f>
        <v>#N/A Invalid Parameter: Interpolation value</v>
      </c>
      <c r="AJ4466" s="43" t="str">
        <f ca="1"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54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 ca="1"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54"/>
        <v>#REF!</v>
      </c>
      <c r="AI4468" s="43" t="str">
        <f ca="1">_xll.BInterpol('Base IPCA'!$C$3:$C$14,'Base IPCA'!$E$3:$E$14,AH4468,"Cubic","Extrapolate=Linear","MultiX=Average","Skip=True","Sort=True")</f>
        <v>#N/A Invalid Parameter: Interpolation value</v>
      </c>
      <c r="AJ4468" s="43" t="str">
        <f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54"/>
        <v>#REF!</v>
      </c>
      <c r="AI4469" s="43" t="str">
        <f ca="1">_xll.BInterpol('Base IPCA'!$C$3:$C$14,'Base IPCA'!$E$3:$E$14,AH4469,"Cubic","Extrapolate=Linear","MultiX=Average","Skip=True","Sort=True")</f>
        <v>#N/A Invalid Parameter: Interpolation value</v>
      </c>
      <c r="AJ4469" s="43" t="str">
        <f ca="1"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54"/>
        <v>#REF!</v>
      </c>
      <c r="AI4470" s="43" t="str">
        <f ca="1">_xll.BInterpol('Base IPCA'!$C$3:$C$14,'Base IPCA'!$E$3:$E$14,AH4470,"Cubic","Extrapolate=Linear","MultiX=Average","Skip=True","Sort=True")</f>
        <v>#N/A Invalid Parameter: Interpolation value</v>
      </c>
      <c r="AJ4470" s="43" t="str">
        <f ca="1"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54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 ca="1"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54"/>
        <v>#REF!</v>
      </c>
      <c r="AI4472" s="43" t="str">
        <f ca="1">_xll.BInterpol('Base IPCA'!$C$3:$C$14,'Base IPCA'!$E$3:$E$14,AH4472,"Cubic","Extrapolate=Linear","MultiX=Average","Skip=True","Sort=True")</f>
        <v>#N/A Invalid Parameter: Interpolation value</v>
      </c>
      <c r="AJ4472" s="43" t="str">
        <f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54"/>
        <v>#REF!</v>
      </c>
      <c r="AI4473" s="43" t="str">
        <f ca="1">_xll.BInterpol('Base IPCA'!$C$3:$C$14,'Base IPCA'!$E$3:$E$14,AH4473,"Cubic","Extrapolate=Linear","MultiX=Average","Skip=True","Sort=True")</f>
        <v>#N/A Invalid Parameter: Interpolation value</v>
      </c>
      <c r="AJ4473" s="43" t="str">
        <f ca="1"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54"/>
        <v>#REF!</v>
      </c>
      <c r="AI4474" s="43" t="str">
        <f ca="1">_xll.BInterpol('Base IPCA'!$C$3:$C$14,'Base IPCA'!$E$3:$E$14,AH4474,"Cubic","Extrapolate=Linear","MultiX=Average","Skip=True","Sort=True")</f>
        <v>#N/A Invalid Parameter: Interpolation value</v>
      </c>
      <c r="AJ4474" s="43" t="str">
        <f ca="1"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54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 ca="1"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54"/>
        <v>#REF!</v>
      </c>
      <c r="AI4476" s="43" t="str">
        <f ca="1">_xll.BInterpol('Base IPCA'!$C$3:$C$14,'Base IPCA'!$E$3:$E$14,AH4476,"Cubic","Extrapolate=Linear","MultiX=Average","Skip=True","Sort=True")</f>
        <v>#N/A Invalid Parameter: Interpolation value</v>
      </c>
      <c r="AJ4476" s="43" t="str">
        <f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54"/>
        <v>#REF!</v>
      </c>
      <c r="AI4477" s="43" t="str">
        <f ca="1">_xll.BInterpol('Base IPCA'!$C$3:$C$14,'Base IPCA'!$E$3:$E$14,AH4477,"Cubic","Extrapolate=Linear","MultiX=Average","Skip=True","Sort=True")</f>
        <v>#N/A Invalid Parameter: Interpolation value</v>
      </c>
      <c r="AJ4477" s="43" t="str">
        <f ca="1"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54"/>
        <v>#REF!</v>
      </c>
      <c r="AI4478" s="43" t="str">
        <f ca="1">_xll.BInterpol('Base IPCA'!$C$3:$C$14,'Base IPCA'!$E$3:$E$14,AH4478,"Cubic","Extrapolate=Linear","MultiX=Average","Skip=True","Sort=True")</f>
        <v>#N/A Invalid Parameter: Interpolation value</v>
      </c>
      <c r="AJ4478" s="43" t="str">
        <f ca="1"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54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 ca="1"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54"/>
        <v>#REF!</v>
      </c>
      <c r="AI4480" s="43" t="str">
        <f ca="1">_xll.BInterpol('Base IPCA'!$C$3:$C$14,'Base IPCA'!$E$3:$E$14,AH4480,"Cubic","Extrapolate=Linear","MultiX=Average","Skip=True","Sort=True")</f>
        <v>#N/A Invalid Parameter: Interpolation value</v>
      </c>
      <c r="AJ4480" s="43" t="str">
        <f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54"/>
        <v>#REF!</v>
      </c>
      <c r="AI4481" s="43" t="str">
        <f ca="1">_xll.BInterpol('Base IPCA'!$C$3:$C$14,'Base IPCA'!$E$3:$E$14,AH4481,"Cubic","Extrapolate=Linear","MultiX=Average","Skip=True","Sort=True")</f>
        <v>#N/A Invalid Parameter: Interpolation value</v>
      </c>
      <c r="AJ4481" s="43" t="str">
        <f ca="1"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54"/>
        <v>#REF!</v>
      </c>
      <c r="AI4482" s="43" t="str">
        <f ca="1">_xll.BInterpol('Base IPCA'!$C$3:$C$14,'Base IPCA'!$E$3:$E$14,AH4482,"Cubic","Extrapolate=Linear","MultiX=Average","Skip=True","Sort=True")</f>
        <v>#N/A Invalid Parameter: Interpolation value</v>
      </c>
      <c r="AJ4482" s="43" t="str">
        <f ca="1"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54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 ca="1"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54"/>
        <v>#REF!</v>
      </c>
      <c r="AI4484" s="43" t="str">
        <f ca="1">_xll.BInterpol('Base IPCA'!$C$3:$C$14,'Base IPCA'!$E$3:$E$14,AH4484,"Cubic","Extrapolate=Linear","MultiX=Average","Skip=True","Sort=True")</f>
        <v>#N/A Invalid Parameter: Interpolation value</v>
      </c>
      <c r="AJ4484" s="43" t="str">
        <f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54"/>
        <v>#REF!</v>
      </c>
      <c r="AI4485" s="43" t="str">
        <f ca="1">_xll.BInterpol('Base IPCA'!$C$3:$C$14,'Base IPCA'!$E$3:$E$14,AH4485,"Cubic","Extrapolate=Linear","MultiX=Average","Skip=True","Sort=True")</f>
        <v>#N/A Invalid Parameter: Interpolation value</v>
      </c>
      <c r="AJ4485" s="43" t="str">
        <f ca="1"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55">AH4485+1</f>
        <v>#REF!</v>
      </c>
      <c r="AI4486" s="43" t="str">
        <f ca="1">_xll.BInterpol('Base IPCA'!$C$3:$C$14,'Base IPCA'!$E$3:$E$14,AH4486,"Cubic","Extrapolate=Linear","MultiX=Average","Skip=True","Sort=True")</f>
        <v>#N/A Invalid Parameter: Interpolation value</v>
      </c>
      <c r="AJ4486" s="43" t="str">
        <f ca="1"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55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 ca="1"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55"/>
        <v>#REF!</v>
      </c>
      <c r="AI4488" s="43" t="str">
        <f ca="1">_xll.BInterpol('Base IPCA'!$C$3:$C$14,'Base IPCA'!$E$3:$E$14,AH4488,"Cubic","Extrapolate=Linear","MultiX=Average","Skip=True","Sort=True")</f>
        <v>#N/A Invalid Parameter: Interpolation value</v>
      </c>
      <c r="AJ4488" s="43" t="str">
        <f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55"/>
        <v>#REF!</v>
      </c>
      <c r="AI4489" s="43" t="str">
        <f ca="1">_xll.BInterpol('Base IPCA'!$C$3:$C$14,'Base IPCA'!$E$3:$E$14,AH4489,"Cubic","Extrapolate=Linear","MultiX=Average","Skip=True","Sort=True")</f>
        <v>#N/A Invalid Parameter: Interpolation value</v>
      </c>
      <c r="AJ4489" s="43" t="str">
        <f ca="1"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55"/>
        <v>#REF!</v>
      </c>
      <c r="AI4490" s="43" t="str">
        <f ca="1">_xll.BInterpol('Base IPCA'!$C$3:$C$14,'Base IPCA'!$E$3:$E$14,AH4490,"Cubic","Extrapolate=Linear","MultiX=Average","Skip=True","Sort=True")</f>
        <v>#N/A Invalid Parameter: Interpolation value</v>
      </c>
      <c r="AJ4490" s="43" t="str">
        <f ca="1"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55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 ca="1"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55"/>
        <v>#REF!</v>
      </c>
      <c r="AI4492" s="43" t="str">
        <f ca="1">_xll.BInterpol('Base IPCA'!$C$3:$C$14,'Base IPCA'!$E$3:$E$14,AH4492,"Cubic","Extrapolate=Linear","MultiX=Average","Skip=True","Sort=True")</f>
        <v>#N/A Invalid Parameter: Interpolation value</v>
      </c>
      <c r="AJ4492" s="43" t="str">
        <f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55"/>
        <v>#REF!</v>
      </c>
      <c r="AI4493" s="43" t="str">
        <f ca="1">_xll.BInterpol('Base IPCA'!$C$3:$C$14,'Base IPCA'!$E$3:$E$14,AH4493,"Cubic","Extrapolate=Linear","MultiX=Average","Skip=True","Sort=True")</f>
        <v>#N/A Invalid Parameter: Interpolation value</v>
      </c>
      <c r="AJ4493" s="43" t="str">
        <f ca="1"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55"/>
        <v>#REF!</v>
      </c>
      <c r="AI4494" s="43" t="str">
        <f ca="1">_xll.BInterpol('Base IPCA'!$C$3:$C$14,'Base IPCA'!$E$3:$E$14,AH4494,"Cubic","Extrapolate=Linear","MultiX=Average","Skip=True","Sort=True")</f>
        <v>#N/A Invalid Parameter: Interpolation value</v>
      </c>
      <c r="AJ4494" s="43" t="str">
        <f ca="1"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55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 ca="1"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55"/>
        <v>#REF!</v>
      </c>
      <c r="AI4496" s="43" t="str">
        <f ca="1">_xll.BInterpol('Base IPCA'!$C$3:$C$14,'Base IPCA'!$E$3:$E$14,AH4496,"Cubic","Extrapolate=Linear","MultiX=Average","Skip=True","Sort=True")</f>
        <v>#N/A Invalid Parameter: Interpolation value</v>
      </c>
      <c r="AJ4496" s="43" t="str">
        <f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55"/>
        <v>#REF!</v>
      </c>
      <c r="AI4497" s="43" t="str">
        <f ca="1">_xll.BInterpol('Base IPCA'!$C$3:$C$14,'Base IPCA'!$E$3:$E$14,AH4497,"Cubic","Extrapolate=Linear","MultiX=Average","Skip=True","Sort=True")</f>
        <v>#N/A Invalid Parameter: Interpolation value</v>
      </c>
      <c r="AJ4497" s="43" t="str">
        <f ca="1"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55"/>
        <v>#REF!</v>
      </c>
      <c r="AI4498" s="43" t="str">
        <f ca="1">_xll.BInterpol('Base IPCA'!$C$3:$C$14,'Base IPCA'!$E$3:$E$14,AH4498,"Cubic","Extrapolate=Linear","MultiX=Average","Skip=True","Sort=True")</f>
        <v>#N/A Invalid Parameter: Interpolation value</v>
      </c>
      <c r="AJ4498" s="43" t="str">
        <f ca="1"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55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 ca="1"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55"/>
        <v>#REF!</v>
      </c>
      <c r="AI4500" s="43" t="str">
        <f ca="1">_xll.BInterpol('Base IPCA'!$C$3:$C$14,'Base IPCA'!$E$3:$E$14,AH4500,"Cubic","Extrapolate=Linear","MultiX=Average","Skip=True","Sort=True")</f>
        <v>#N/A Invalid Parameter: Interpolation value</v>
      </c>
      <c r="AJ4500" s="43" t="str">
        <f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55"/>
        <v>#REF!</v>
      </c>
      <c r="AI4501" s="43" t="str">
        <f ca="1">_xll.BInterpol('Base IPCA'!$C$3:$C$14,'Base IPCA'!$E$3:$E$14,AH4501,"Cubic","Extrapolate=Linear","MultiX=Average","Skip=True","Sort=True")</f>
        <v>#N/A Invalid Parameter: Interpolation value</v>
      </c>
      <c r="AJ4501" s="43" t="str">
        <f ca="1"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55"/>
        <v>#REF!</v>
      </c>
      <c r="AI4502" s="43" t="str">
        <f ca="1">_xll.BInterpol('Base IPCA'!$C$3:$C$14,'Base IPCA'!$E$3:$E$14,AH4502,"Cubic","Extrapolate=Linear","MultiX=Average","Skip=True","Sort=True")</f>
        <v>#N/A Invalid Parameter: Interpolation value</v>
      </c>
      <c r="AJ4502" s="43" t="str">
        <f ca="1"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55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 ca="1"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55"/>
        <v>#REF!</v>
      </c>
      <c r="AI4504" s="43" t="str">
        <f ca="1">_xll.BInterpol('Base IPCA'!$C$3:$C$14,'Base IPCA'!$E$3:$E$14,AH4504,"Cubic","Extrapolate=Linear","MultiX=Average","Skip=True","Sort=True")</f>
        <v>#N/A Invalid Parameter: Interpolation value</v>
      </c>
      <c r="AJ4504" s="43" t="str">
        <f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55"/>
        <v>#REF!</v>
      </c>
      <c r="AI4505" s="43" t="str">
        <f ca="1">_xll.BInterpol('Base IPCA'!$C$3:$C$14,'Base IPCA'!$E$3:$E$14,AH4505,"Cubic","Extrapolate=Linear","MultiX=Average","Skip=True","Sort=True")</f>
        <v>#N/A Invalid Parameter: Interpolation value</v>
      </c>
      <c r="AJ4505" s="43" t="str">
        <f ca="1"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55"/>
        <v>#REF!</v>
      </c>
      <c r="AI4506" s="43" t="str">
        <f ca="1">_xll.BInterpol('Base IPCA'!$C$3:$C$14,'Base IPCA'!$E$3:$E$14,AH4506,"Cubic","Extrapolate=Linear","MultiX=Average","Skip=True","Sort=True")</f>
        <v>#N/A Invalid Parameter: Interpolation value</v>
      </c>
      <c r="AJ4506" s="43" t="str">
        <f ca="1"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55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 ca="1"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55"/>
        <v>#REF!</v>
      </c>
      <c r="AI4508" s="43" t="str">
        <f ca="1">_xll.BInterpol('Base IPCA'!$C$3:$C$14,'Base IPCA'!$E$3:$E$14,AH4508,"Cubic","Extrapolate=Linear","MultiX=Average","Skip=True","Sort=True")</f>
        <v>#N/A Invalid Parameter: Interpolation value</v>
      </c>
      <c r="AJ4508" s="43" t="str">
        <f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55"/>
        <v>#REF!</v>
      </c>
      <c r="AI4509" s="43" t="str">
        <f ca="1">_xll.BInterpol('Base IPCA'!$C$3:$C$14,'Base IPCA'!$E$3:$E$14,AH4509,"Cubic","Extrapolate=Linear","MultiX=Average","Skip=True","Sort=True")</f>
        <v>#N/A Invalid Parameter: Interpolation value</v>
      </c>
      <c r="AJ4509" s="43" t="str">
        <f ca="1"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55"/>
        <v>#REF!</v>
      </c>
      <c r="AI4510" s="43" t="str">
        <f ca="1">_xll.BInterpol('Base IPCA'!$C$3:$C$14,'Base IPCA'!$E$3:$E$14,AH4510,"Cubic","Extrapolate=Linear","MultiX=Average","Skip=True","Sort=True")</f>
        <v>#N/A Invalid Parameter: Interpolation value</v>
      </c>
      <c r="AJ4510" s="43" t="str">
        <f ca="1"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55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 ca="1"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55"/>
        <v>#REF!</v>
      </c>
      <c r="AI4512" s="43" t="str">
        <f ca="1">_xll.BInterpol('Base IPCA'!$C$3:$C$14,'Base IPCA'!$E$3:$E$14,AH4512,"Cubic","Extrapolate=Linear","MultiX=Average","Skip=True","Sort=True")</f>
        <v>#N/A Invalid Parameter: Interpolation value</v>
      </c>
      <c r="AJ4512" s="43" t="str">
        <f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55"/>
        <v>#REF!</v>
      </c>
      <c r="AI4513" s="43" t="str">
        <f ca="1">_xll.BInterpol('Base IPCA'!$C$3:$C$14,'Base IPCA'!$E$3:$E$14,AH4513,"Cubic","Extrapolate=Linear","MultiX=Average","Skip=True","Sort=True")</f>
        <v>#N/A Invalid Parameter: Interpolation value</v>
      </c>
      <c r="AJ4513" s="43" t="str">
        <f ca="1"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55"/>
        <v>#REF!</v>
      </c>
      <c r="AI4514" s="43" t="str">
        <f ca="1">_xll.BInterpol('Base IPCA'!$C$3:$C$14,'Base IPCA'!$E$3:$E$14,AH4514,"Cubic","Extrapolate=Linear","MultiX=Average","Skip=True","Sort=True")</f>
        <v>#N/A Invalid Parameter: Interpolation value</v>
      </c>
      <c r="AJ4514" s="43" t="str">
        <f ca="1"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55"/>
        <v>#REF!</v>
      </c>
      <c r="AI4515" s="43" t="str">
        <f>_xll.BInterpol('Base IPCA'!$C$3:$C$14,'Base IPCA'!$E$3:$E$14,AH4515,"Cubic","Extrapolate=Linear","MultiX=Average","Skip=True","Sort=True")</f>
        <v>#N/A Invalid Parameter: Interpolation value</v>
      </c>
      <c r="AJ4515" s="43" t="str">
        <f ca="1"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55"/>
        <v>#REF!</v>
      </c>
      <c r="AI4516" s="43" t="str">
        <f ca="1">_xll.BInterpol('Base IPCA'!$C$3:$C$14,'Base IPCA'!$E$3:$E$14,AH4516,"Cubic","Extrapolate=Linear","MultiX=Average","Skip=True","Sort=True")</f>
        <v>#N/A Invalid Parameter: Interpolation value</v>
      </c>
      <c r="AJ4516" s="43" t="str">
        <f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55"/>
        <v>#REF!</v>
      </c>
      <c r="AI4517" s="43" t="str">
        <f ca="1">_xll.BInterpol('Base IPCA'!$C$3:$C$14,'Base IPCA'!$E$3:$E$14,AH4517,"Cubic","Extrapolate=Linear","MultiX=Average","Skip=True","Sort=True")</f>
        <v>#N/A Invalid Parameter: Interpolation value</v>
      </c>
      <c r="AJ4517" s="43" t="str">
        <f ca="1"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55"/>
        <v>#REF!</v>
      </c>
      <c r="AI4518" s="43" t="str">
        <f ca="1">_xll.BInterpol('Base IPCA'!$C$3:$C$14,'Base IPCA'!$E$3:$E$14,AH4518,"Cubic","Extrapolate=Linear","MultiX=Average","Skip=True","Sort=True")</f>
        <v>#N/A Invalid Parameter: Interpolation value</v>
      </c>
      <c r="AJ4518" s="43" t="str">
        <f ca="1"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55"/>
        <v>#REF!</v>
      </c>
      <c r="AI4519" s="43" t="str">
        <f>_xll.BInterpol('Base IPCA'!$C$3:$C$14,'Base IPCA'!$E$3:$E$14,AH4519,"Cubic","Extrapolate=Linear","MultiX=Average","Skip=True","Sort=True")</f>
        <v>#N/A Invalid Parameter: Interpolation value</v>
      </c>
      <c r="AJ4519" s="43" t="str">
        <f ca="1"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55"/>
        <v>#REF!</v>
      </c>
      <c r="AI4520" s="43" t="str">
        <f ca="1">_xll.BInterpol('Base IPCA'!$C$3:$C$14,'Base IPCA'!$E$3:$E$14,AH4520,"Cubic","Extrapolate=Linear","MultiX=Average","Skip=True","Sort=True")</f>
        <v>#N/A Invalid Parameter: Interpolation value</v>
      </c>
      <c r="AJ4520" s="43" t="str">
        <f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55"/>
        <v>#REF!</v>
      </c>
      <c r="AI4521" s="43" t="str">
        <f ca="1">_xll.BInterpol('Base IPCA'!$C$3:$C$14,'Base IPCA'!$E$3:$E$14,AH4521,"Cubic","Extrapolate=Linear","MultiX=Average","Skip=True","Sort=True")</f>
        <v>#N/A Invalid Parameter: Interpolation value</v>
      </c>
      <c r="AJ4521" s="43" t="str">
        <f ca="1"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55"/>
        <v>#REF!</v>
      </c>
      <c r="AI4522" s="43" t="str">
        <f ca="1">_xll.BInterpol('Base IPCA'!$C$3:$C$14,'Base IPCA'!$E$3:$E$14,AH4522,"Cubic","Extrapolate=Linear","MultiX=Average","Skip=True","Sort=True")</f>
        <v>#N/A Invalid Parameter: Interpolation value</v>
      </c>
      <c r="AJ4522" s="43" t="str">
        <f ca="1"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55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 ca="1"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55"/>
        <v>#REF!</v>
      </c>
      <c r="AI4524" s="43" t="str">
        <f ca="1">_xll.BInterpol('Base IPCA'!$C$3:$C$14,'Base IPCA'!$E$3:$E$14,AH4524,"Cubic","Extrapolate=Linear","MultiX=Average","Skip=True","Sort=True")</f>
        <v>#N/A Invalid Parameter: Interpolation value</v>
      </c>
      <c r="AJ4524" s="43" t="str">
        <f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55"/>
        <v>#REF!</v>
      </c>
      <c r="AI4525" s="43" t="str">
        <f ca="1">_xll.BInterpol('Base IPCA'!$C$3:$C$14,'Base IPCA'!$E$3:$E$14,AH4525,"Cubic","Extrapolate=Linear","MultiX=Average","Skip=True","Sort=True")</f>
        <v>#N/A Invalid Parameter: Interpolation value</v>
      </c>
      <c r="AJ4525" s="43" t="str">
        <f ca="1"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55"/>
        <v>#REF!</v>
      </c>
      <c r="AI4526" s="43" t="str">
        <f ca="1">_xll.BInterpol('Base IPCA'!$C$3:$C$14,'Base IPCA'!$E$3:$E$14,AH4526,"Cubic","Extrapolate=Linear","MultiX=Average","Skip=True","Sort=True")</f>
        <v>#N/A Invalid Parameter: Interpolation value</v>
      </c>
      <c r="AJ4526" s="43" t="str">
        <f ca="1"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55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 ca="1"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55"/>
        <v>#REF!</v>
      </c>
      <c r="AI4528" s="43" t="str">
        <f ca="1">_xll.BInterpol('Base IPCA'!$C$3:$C$14,'Base IPCA'!$E$3:$E$14,AH4528,"Cubic","Extrapolate=Linear","MultiX=Average","Skip=True","Sort=True")</f>
        <v>#N/A Invalid Parameter: Interpolation value</v>
      </c>
      <c r="AJ4528" s="43" t="str">
        <f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55"/>
        <v>#REF!</v>
      </c>
      <c r="AI4529" s="43" t="str">
        <f ca="1">_xll.BInterpol('Base IPCA'!$C$3:$C$14,'Base IPCA'!$E$3:$E$14,AH4529,"Cubic","Extrapolate=Linear","MultiX=Average","Skip=True","Sort=True")</f>
        <v>#N/A Invalid Parameter: Interpolation value</v>
      </c>
      <c r="AJ4529" s="43" t="str">
        <f ca="1"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55"/>
        <v>#REF!</v>
      </c>
      <c r="AI4530" s="43" t="str">
        <f ca="1">_xll.BInterpol('Base IPCA'!$C$3:$C$14,'Base IPCA'!$E$3:$E$14,AH4530,"Cubic","Extrapolate=Linear","MultiX=Average","Skip=True","Sort=True")</f>
        <v>#N/A Invalid Parameter: Interpolation value</v>
      </c>
      <c r="AJ4530" s="43" t="str">
        <f ca="1"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55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 ca="1"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55"/>
        <v>#REF!</v>
      </c>
      <c r="AI4532" s="43" t="str">
        <f ca="1">_xll.BInterpol('Base IPCA'!$C$3:$C$14,'Base IPCA'!$E$3:$E$14,AH4532,"Cubic","Extrapolate=Linear","MultiX=Average","Skip=True","Sort=True")</f>
        <v>#N/A Invalid Parameter: Interpolation value</v>
      </c>
      <c r="AJ4532" s="43" t="str">
        <f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55"/>
        <v>#REF!</v>
      </c>
      <c r="AI4533" s="43" t="str">
        <f ca="1">_xll.BInterpol('Base IPCA'!$C$3:$C$14,'Base IPCA'!$E$3:$E$14,AH4533,"Cubic","Extrapolate=Linear","MultiX=Average","Skip=True","Sort=True")</f>
        <v>#N/A Invalid Parameter: Interpolation value</v>
      </c>
      <c r="AJ4533" s="43" t="str">
        <f ca="1"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55"/>
        <v>#REF!</v>
      </c>
      <c r="AI4534" s="43" t="str">
        <f ca="1">_xll.BInterpol('Base IPCA'!$C$3:$C$14,'Base IPCA'!$E$3:$E$14,AH4534,"Cubic","Extrapolate=Linear","MultiX=Average","Skip=True","Sort=True")</f>
        <v>#N/A Invalid Parameter: Interpolation value</v>
      </c>
      <c r="AJ4534" s="43" t="str">
        <f ca="1"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55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 ca="1"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55"/>
        <v>#REF!</v>
      </c>
      <c r="AI4536" s="43" t="str">
        <f ca="1">_xll.BInterpol('Base IPCA'!$C$3:$C$14,'Base IPCA'!$E$3:$E$14,AH4536,"Cubic","Extrapolate=Linear","MultiX=Average","Skip=True","Sort=True")</f>
        <v>#N/A Invalid Parameter: Interpolation value</v>
      </c>
      <c r="AJ4536" s="43" t="str">
        <f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55"/>
        <v>#REF!</v>
      </c>
      <c r="AI4537" s="43" t="str">
        <f ca="1">_xll.BInterpol('Base IPCA'!$C$3:$C$14,'Base IPCA'!$E$3:$E$14,AH4537,"Cubic","Extrapolate=Linear","MultiX=Average","Skip=True","Sort=True")</f>
        <v>#N/A Invalid Parameter: Interpolation value</v>
      </c>
      <c r="AJ4537" s="43" t="str">
        <f ca="1"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55"/>
        <v>#REF!</v>
      </c>
      <c r="AI4538" s="43" t="str">
        <f ca="1">_xll.BInterpol('Base IPCA'!$C$3:$C$14,'Base IPCA'!$E$3:$E$14,AH4538,"Cubic","Extrapolate=Linear","MultiX=Average","Skip=True","Sort=True")</f>
        <v>#N/A Invalid Parameter: Interpolation value</v>
      </c>
      <c r="AJ4538" s="43" t="str">
        <f ca="1"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55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 ca="1"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55"/>
        <v>#REF!</v>
      </c>
      <c r="AI4540" s="43" t="str">
        <f ca="1">_xll.BInterpol('Base IPCA'!$C$3:$C$14,'Base IPCA'!$E$3:$E$14,AH4540,"Cubic","Extrapolate=Linear","MultiX=Average","Skip=True","Sort=True")</f>
        <v>#N/A Invalid Parameter: Interpolation value</v>
      </c>
      <c r="AJ4540" s="43" t="str">
        <f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55"/>
        <v>#REF!</v>
      </c>
      <c r="AI4541" s="43" t="str">
        <f ca="1">_xll.BInterpol('Base IPCA'!$C$3:$C$14,'Base IPCA'!$E$3:$E$14,AH4541,"Cubic","Extrapolate=Linear","MultiX=Average","Skip=True","Sort=True")</f>
        <v>#N/A Invalid Parameter: Interpolation value</v>
      </c>
      <c r="AJ4541" s="43" t="str">
        <f ca="1"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55"/>
        <v>#REF!</v>
      </c>
      <c r="AI4542" s="43" t="str">
        <f ca="1">_xll.BInterpol('Base IPCA'!$C$3:$C$14,'Base IPCA'!$E$3:$E$14,AH4542,"Cubic","Extrapolate=Linear","MultiX=Average","Skip=True","Sort=True")</f>
        <v>#N/A Invalid Parameter: Interpolation value</v>
      </c>
      <c r="AJ4542" s="43" t="str">
        <f ca="1"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55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 ca="1"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55"/>
        <v>#REF!</v>
      </c>
      <c r="AI4544" s="43" t="str">
        <f ca="1">_xll.BInterpol('Base IPCA'!$C$3:$C$14,'Base IPCA'!$E$3:$E$14,AH4544,"Cubic","Extrapolate=Linear","MultiX=Average","Skip=True","Sort=True")</f>
        <v>#N/A Invalid Parameter: Interpolation value</v>
      </c>
      <c r="AJ4544" s="43" t="str">
        <f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55"/>
        <v>#REF!</v>
      </c>
      <c r="AI4545" s="43" t="str">
        <f ca="1">_xll.BInterpol('Base IPCA'!$C$3:$C$14,'Base IPCA'!$E$3:$E$14,AH4545,"Cubic","Extrapolate=Linear","MultiX=Average","Skip=True","Sort=True")</f>
        <v>#N/A Invalid Parameter: Interpolation value</v>
      </c>
      <c r="AJ4545" s="43" t="str">
        <f ca="1"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55"/>
        <v>#REF!</v>
      </c>
      <c r="AI4546" s="43" t="str">
        <f ca="1">_xll.BInterpol('Base IPCA'!$C$3:$C$14,'Base IPCA'!$E$3:$E$14,AH4546,"Cubic","Extrapolate=Linear","MultiX=Average","Skip=True","Sort=True")</f>
        <v>#N/A Invalid Parameter: Interpolation value</v>
      </c>
      <c r="AJ4546" s="43" t="str">
        <f ca="1"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55"/>
        <v>#REF!</v>
      </c>
      <c r="AI4547" s="43" t="str">
        <f>_xll.BInterpol('Base IPCA'!$C$3:$C$14,'Base IPCA'!$E$3:$E$14,AH4547,"Cubic","Extrapolate=Linear","MultiX=Average","Skip=True","Sort=True")</f>
        <v>#N/A Invalid Parameter: Interpolation value</v>
      </c>
      <c r="AJ4547" s="43" t="str">
        <f ca="1"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55"/>
        <v>#REF!</v>
      </c>
      <c r="AI4548" s="43" t="str">
        <f ca="1">_xll.BInterpol('Base IPCA'!$C$3:$C$14,'Base IPCA'!$E$3:$E$14,AH4548,"Cubic","Extrapolate=Linear","MultiX=Average","Skip=True","Sort=True")</f>
        <v>#N/A Invalid Parameter: Interpolation value</v>
      </c>
      <c r="AJ4548" s="43" t="str">
        <f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55"/>
        <v>#REF!</v>
      </c>
      <c r="AI4549" s="43" t="str">
        <f ca="1">_xll.BInterpol('Base IPCA'!$C$3:$C$14,'Base IPCA'!$E$3:$E$14,AH4549,"Cubic","Extrapolate=Linear","MultiX=Average","Skip=True","Sort=True")</f>
        <v>#N/A Invalid Parameter: Interpolation value</v>
      </c>
      <c r="AJ4549" s="43" t="str">
        <f ca="1"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56">AH4549+1</f>
        <v>#REF!</v>
      </c>
      <c r="AI4550" s="43" t="str">
        <f ca="1">_xll.BInterpol('Base IPCA'!$C$3:$C$14,'Base IPCA'!$E$3:$E$14,AH4550,"Cubic","Extrapolate=Linear","MultiX=Average","Skip=True","Sort=True")</f>
        <v>#N/A Invalid Parameter: Interpolation value</v>
      </c>
      <c r="AJ4550" s="43" t="str">
        <f ca="1"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56"/>
        <v>#REF!</v>
      </c>
      <c r="AI4551" s="43" t="str">
        <f>_xll.BInterpol('Base IPCA'!$C$3:$C$14,'Base IPCA'!$E$3:$E$14,AH4551,"Cubic","Extrapolate=Linear","MultiX=Average","Skip=True","Sort=True")</f>
        <v>#N/A Invalid Parameter: Interpolation value</v>
      </c>
      <c r="AJ4551" s="43" t="str">
        <f ca="1"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56"/>
        <v>#REF!</v>
      </c>
      <c r="AI4552" s="43" t="str">
        <f ca="1">_xll.BInterpol('Base IPCA'!$C$3:$C$14,'Base IPCA'!$E$3:$E$14,AH4552,"Cubic","Extrapolate=Linear","MultiX=Average","Skip=True","Sort=True")</f>
        <v>#N/A Invalid Parameter: Interpolation value</v>
      </c>
      <c r="AJ4552" s="43" t="str">
        <f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56"/>
        <v>#REF!</v>
      </c>
      <c r="AI4553" s="43" t="str">
        <f ca="1">_xll.BInterpol('Base IPCA'!$C$3:$C$14,'Base IPCA'!$E$3:$E$14,AH4553,"Cubic","Extrapolate=Linear","MultiX=Average","Skip=True","Sort=True")</f>
        <v>#N/A Invalid Parameter: Interpolation value</v>
      </c>
      <c r="AJ4553" s="43" t="str">
        <f ca="1"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56"/>
        <v>#REF!</v>
      </c>
      <c r="AI4554" s="43" t="str">
        <f ca="1">_xll.BInterpol('Base IPCA'!$C$3:$C$14,'Base IPCA'!$E$3:$E$14,AH4554,"Cubic","Extrapolate=Linear","MultiX=Average","Skip=True","Sort=True")</f>
        <v>#N/A Invalid Parameter: Interpolation value</v>
      </c>
      <c r="AJ4554" s="43" t="str">
        <f ca="1"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56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 ca="1"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56"/>
        <v>#REF!</v>
      </c>
      <c r="AI4556" s="43" t="str">
        <f ca="1">_xll.BInterpol('Base IPCA'!$C$3:$C$14,'Base IPCA'!$E$3:$E$14,AH4556,"Cubic","Extrapolate=Linear","MultiX=Average","Skip=True","Sort=True")</f>
        <v>#N/A Invalid Parameter: Interpolation value</v>
      </c>
      <c r="AJ4556" s="43" t="str">
        <f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56"/>
        <v>#REF!</v>
      </c>
      <c r="AI4557" s="43" t="str">
        <f ca="1">_xll.BInterpol('Base IPCA'!$C$3:$C$14,'Base IPCA'!$E$3:$E$14,AH4557,"Cubic","Extrapolate=Linear","MultiX=Average","Skip=True","Sort=True")</f>
        <v>#N/A Invalid Parameter: Interpolation value</v>
      </c>
      <c r="AJ4557" s="43" t="str">
        <f ca="1"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56"/>
        <v>#REF!</v>
      </c>
      <c r="AI4558" s="43" t="str">
        <f ca="1">_xll.BInterpol('Base IPCA'!$C$3:$C$14,'Base IPCA'!$E$3:$E$14,AH4558,"Cubic","Extrapolate=Linear","MultiX=Average","Skip=True","Sort=True")</f>
        <v>#N/A Invalid Parameter: Interpolation value</v>
      </c>
      <c r="AJ4558" s="43" t="str">
        <f ca="1"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56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 ca="1"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56"/>
        <v>#REF!</v>
      </c>
      <c r="AI4560" s="43" t="str">
        <f ca="1">_xll.BInterpol('Base IPCA'!$C$3:$C$14,'Base IPCA'!$E$3:$E$14,AH4560,"Cubic","Extrapolate=Linear","MultiX=Average","Skip=True","Sort=True")</f>
        <v>#N/A Invalid Parameter: Interpolation value</v>
      </c>
      <c r="AJ4560" s="43" t="str">
        <f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56"/>
        <v>#REF!</v>
      </c>
      <c r="AI4561" s="43" t="str">
        <f ca="1">_xll.BInterpol('Base IPCA'!$C$3:$C$14,'Base IPCA'!$E$3:$E$14,AH4561,"Cubic","Extrapolate=Linear","MultiX=Average","Skip=True","Sort=True")</f>
        <v>#N/A Invalid Parameter: Interpolation value</v>
      </c>
      <c r="AJ4561" s="43" t="str">
        <f ca="1"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56"/>
        <v>#REF!</v>
      </c>
      <c r="AI4562" s="43" t="str">
        <f ca="1">_xll.BInterpol('Base IPCA'!$C$3:$C$14,'Base IPCA'!$E$3:$E$14,AH4562,"Cubic","Extrapolate=Linear","MultiX=Average","Skip=True","Sort=True")</f>
        <v>#N/A Invalid Parameter: Interpolation value</v>
      </c>
      <c r="AJ4562" s="43" t="str">
        <f ca="1"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56"/>
        <v>#REF!</v>
      </c>
      <c r="AI4563" s="43" t="str">
        <f>_xll.BInterpol('Base IPCA'!$C$3:$C$14,'Base IPCA'!$E$3:$E$14,AH4563,"Cubic","Extrapolate=Linear","MultiX=Average","Skip=True","Sort=True")</f>
        <v>#N/A Invalid Parameter: Interpolation value</v>
      </c>
      <c r="AJ4563" s="43" t="str">
        <f ca="1"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56"/>
        <v>#REF!</v>
      </c>
      <c r="AI4564" s="43" t="str">
        <f ca="1">_xll.BInterpol('Base IPCA'!$C$3:$C$14,'Base IPCA'!$E$3:$E$14,AH4564,"Cubic","Extrapolate=Linear","MultiX=Average","Skip=True","Sort=True")</f>
        <v>#N/A Invalid Parameter: Interpolation value</v>
      </c>
      <c r="AJ4564" s="43" t="str">
        <f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56"/>
        <v>#REF!</v>
      </c>
      <c r="AI4565" s="43" t="str">
        <f ca="1">_xll.BInterpol('Base IPCA'!$C$3:$C$14,'Base IPCA'!$E$3:$E$14,AH4565,"Cubic","Extrapolate=Linear","MultiX=Average","Skip=True","Sort=True")</f>
        <v>#N/A Invalid Parameter: Interpolation value</v>
      </c>
      <c r="AJ4565" s="43" t="str">
        <f ca="1"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56"/>
        <v>#REF!</v>
      </c>
      <c r="AI4566" s="43" t="str">
        <f ca="1">_xll.BInterpol('Base IPCA'!$C$3:$C$14,'Base IPCA'!$E$3:$E$14,AH4566,"Cubic","Extrapolate=Linear","MultiX=Average","Skip=True","Sort=True")</f>
        <v>#N/A Invalid Parameter: Interpolation value</v>
      </c>
      <c r="AJ4566" s="43" t="str">
        <f ca="1"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56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 ca="1"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56"/>
        <v>#REF!</v>
      </c>
      <c r="AI4568" s="43" t="str">
        <f ca="1">_xll.BInterpol('Base IPCA'!$C$3:$C$14,'Base IPCA'!$E$3:$E$14,AH4568,"Cubic","Extrapolate=Linear","MultiX=Average","Skip=True","Sort=True")</f>
        <v>#N/A Invalid Parameter: Interpolation value</v>
      </c>
      <c r="AJ4568" s="43" t="str">
        <f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56"/>
        <v>#REF!</v>
      </c>
      <c r="AI4569" s="43" t="str">
        <f ca="1">_xll.BInterpol('Base IPCA'!$C$3:$C$14,'Base IPCA'!$E$3:$E$14,AH4569,"Cubic","Extrapolate=Linear","MultiX=Average","Skip=True","Sort=True")</f>
        <v>#N/A Invalid Parameter: Interpolation value</v>
      </c>
      <c r="AJ4569" s="43" t="str">
        <f ca="1"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56"/>
        <v>#REF!</v>
      </c>
      <c r="AI4570" s="43" t="str">
        <f ca="1">_xll.BInterpol('Base IPCA'!$C$3:$C$14,'Base IPCA'!$E$3:$E$14,AH4570,"Cubic","Extrapolate=Linear","MultiX=Average","Skip=True","Sort=True")</f>
        <v>#N/A Invalid Parameter: Interpolation value</v>
      </c>
      <c r="AJ4570" s="43" t="str">
        <f ca="1"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56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 ca="1"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56"/>
        <v>#REF!</v>
      </c>
      <c r="AI4572" s="43" t="str">
        <f ca="1">_xll.BInterpol('Base IPCA'!$C$3:$C$14,'Base IPCA'!$E$3:$E$14,AH4572,"Cubic","Extrapolate=Linear","MultiX=Average","Skip=True","Sort=True")</f>
        <v>#N/A Invalid Parameter: Interpolation value</v>
      </c>
      <c r="AJ4572" s="43" t="str">
        <f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56"/>
        <v>#REF!</v>
      </c>
      <c r="AI4573" s="43" t="str">
        <f ca="1">_xll.BInterpol('Base IPCA'!$C$3:$C$14,'Base IPCA'!$E$3:$E$14,AH4573,"Cubic","Extrapolate=Linear","MultiX=Average","Skip=True","Sort=True")</f>
        <v>#N/A Invalid Parameter: Interpolation value</v>
      </c>
      <c r="AJ4573" s="43" t="str">
        <f ca="1"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56"/>
        <v>#REF!</v>
      </c>
      <c r="AI4574" s="43" t="str">
        <f ca="1">_xll.BInterpol('Base IPCA'!$C$3:$C$14,'Base IPCA'!$E$3:$E$14,AH4574,"Cubic","Extrapolate=Linear","MultiX=Average","Skip=True","Sort=True")</f>
        <v>#N/A Invalid Parameter: Interpolation value</v>
      </c>
      <c r="AJ4574" s="43" t="str">
        <f ca="1"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56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 ca="1"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56"/>
        <v>#REF!</v>
      </c>
      <c r="AI4576" s="43" t="str">
        <f ca="1">_xll.BInterpol('Base IPCA'!$C$3:$C$14,'Base IPCA'!$E$3:$E$14,AH4576,"Cubic","Extrapolate=Linear","MultiX=Average","Skip=True","Sort=True")</f>
        <v>#N/A Invalid Parameter: Interpolation value</v>
      </c>
      <c r="AJ4576" s="43" t="str">
        <f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56"/>
        <v>#REF!</v>
      </c>
      <c r="AI4577" s="43" t="str">
        <f ca="1">_xll.BInterpol('Base IPCA'!$C$3:$C$14,'Base IPCA'!$E$3:$E$14,AH4577,"Cubic","Extrapolate=Linear","MultiX=Average","Skip=True","Sort=True")</f>
        <v>#N/A Invalid Parameter: Interpolation value</v>
      </c>
      <c r="AJ4577" s="43" t="str">
        <f ca="1"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56"/>
        <v>#REF!</v>
      </c>
      <c r="AI4578" s="43" t="str">
        <f ca="1">_xll.BInterpol('Base IPCA'!$C$3:$C$14,'Base IPCA'!$E$3:$E$14,AH4578,"Cubic","Extrapolate=Linear","MultiX=Average","Skip=True","Sort=True")</f>
        <v>#N/A Invalid Parameter: Interpolation value</v>
      </c>
      <c r="AJ4578" s="43" t="str">
        <f ca="1"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56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 ca="1"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56"/>
        <v>#REF!</v>
      </c>
      <c r="AI4580" s="43" t="str">
        <f ca="1">_xll.BInterpol('Base IPCA'!$C$3:$C$14,'Base IPCA'!$E$3:$E$14,AH4580,"Cubic","Extrapolate=Linear","MultiX=Average","Skip=True","Sort=True")</f>
        <v>#N/A Invalid Parameter: Interpolation value</v>
      </c>
      <c r="AJ4580" s="43" t="str">
        <f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56"/>
        <v>#REF!</v>
      </c>
      <c r="AI4581" s="43" t="str">
        <f ca="1">_xll.BInterpol('Base IPCA'!$C$3:$C$14,'Base IPCA'!$E$3:$E$14,AH4581,"Cubic","Extrapolate=Linear","MultiX=Average","Skip=True","Sort=True")</f>
        <v>#N/A Invalid Parameter: Interpolation value</v>
      </c>
      <c r="AJ4581" s="43" t="str">
        <f ca="1"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56"/>
        <v>#REF!</v>
      </c>
      <c r="AI4582" s="43" t="str">
        <f ca="1">_xll.BInterpol('Base IPCA'!$C$3:$C$14,'Base IPCA'!$E$3:$E$14,AH4582,"Cubic","Extrapolate=Linear","MultiX=Average","Skip=True","Sort=True")</f>
        <v>#N/A Invalid Parameter: Interpolation value</v>
      </c>
      <c r="AJ4582" s="43" t="str">
        <f ca="1"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56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 ca="1"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56"/>
        <v>#REF!</v>
      </c>
      <c r="AI4584" s="43" t="str">
        <f ca="1">_xll.BInterpol('Base IPCA'!$C$3:$C$14,'Base IPCA'!$E$3:$E$14,AH4584,"Cubic","Extrapolate=Linear","MultiX=Average","Skip=True","Sort=True")</f>
        <v>#N/A Invalid Parameter: Interpolation value</v>
      </c>
      <c r="AJ4584" s="43" t="str">
        <f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56"/>
        <v>#REF!</v>
      </c>
      <c r="AI4585" s="43" t="str">
        <f ca="1">_xll.BInterpol('Base IPCA'!$C$3:$C$14,'Base IPCA'!$E$3:$E$14,AH4585,"Cubic","Extrapolate=Linear","MultiX=Average","Skip=True","Sort=True")</f>
        <v>#N/A Invalid Parameter: Interpolation value</v>
      </c>
      <c r="AJ4585" s="43" t="str">
        <f ca="1"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56"/>
        <v>#REF!</v>
      </c>
      <c r="AI4586" s="43" t="str">
        <f ca="1">_xll.BInterpol('Base IPCA'!$C$3:$C$14,'Base IPCA'!$E$3:$E$14,AH4586,"Cubic","Extrapolate=Linear","MultiX=Average","Skip=True","Sort=True")</f>
        <v>#N/A Invalid Parameter: Interpolation value</v>
      </c>
      <c r="AJ4586" s="43" t="str">
        <f ca="1"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56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 ca="1"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56"/>
        <v>#REF!</v>
      </c>
      <c r="AI4588" s="43" t="str">
        <f ca="1">_xll.BInterpol('Base IPCA'!$C$3:$C$14,'Base IPCA'!$E$3:$E$14,AH4588,"Cubic","Extrapolate=Linear","MultiX=Average","Skip=True","Sort=True")</f>
        <v>#N/A Invalid Parameter: Interpolation value</v>
      </c>
      <c r="AJ4588" s="43" t="str">
        <f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56"/>
        <v>#REF!</v>
      </c>
      <c r="AI4589" s="43" t="str">
        <f ca="1">_xll.BInterpol('Base IPCA'!$C$3:$C$14,'Base IPCA'!$E$3:$E$14,AH4589,"Cubic","Extrapolate=Linear","MultiX=Average","Skip=True","Sort=True")</f>
        <v>#N/A Invalid Parameter: Interpolation value</v>
      </c>
      <c r="AJ4589" s="43" t="str">
        <f ca="1"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56"/>
        <v>#REF!</v>
      </c>
      <c r="AI4590" s="43" t="str">
        <f ca="1">_xll.BInterpol('Base IPCA'!$C$3:$C$14,'Base IPCA'!$E$3:$E$14,AH4590,"Cubic","Extrapolate=Linear","MultiX=Average","Skip=True","Sort=True")</f>
        <v>#N/A Invalid Parameter: Interpolation value</v>
      </c>
      <c r="AJ4590" s="43" t="str">
        <f ca="1"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56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 ca="1"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56"/>
        <v>#REF!</v>
      </c>
      <c r="AI4592" s="43" t="str">
        <f ca="1">_xll.BInterpol('Base IPCA'!$C$3:$C$14,'Base IPCA'!$E$3:$E$14,AH4592,"Cubic","Extrapolate=Linear","MultiX=Average","Skip=True","Sort=True")</f>
        <v>#N/A Invalid Parameter: Interpolation value</v>
      </c>
      <c r="AJ4592" s="43" t="str">
        <f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56"/>
        <v>#REF!</v>
      </c>
      <c r="AI4593" s="43" t="str">
        <f ca="1">_xll.BInterpol('Base IPCA'!$C$3:$C$14,'Base IPCA'!$E$3:$E$14,AH4593,"Cubic","Extrapolate=Linear","MultiX=Average","Skip=True","Sort=True")</f>
        <v>#N/A Invalid Parameter: Interpolation value</v>
      </c>
      <c r="AJ4593" s="43" t="str">
        <f ca="1"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56"/>
        <v>#REF!</v>
      </c>
      <c r="AI4594" s="43" t="str">
        <f ca="1">_xll.BInterpol('Base IPCA'!$C$3:$C$14,'Base IPCA'!$E$3:$E$14,AH4594,"Cubic","Extrapolate=Linear","MultiX=Average","Skip=True","Sort=True")</f>
        <v>#N/A Invalid Parameter: Interpolation value</v>
      </c>
      <c r="AJ4594" s="43" t="str">
        <f ca="1"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56"/>
        <v>#REF!</v>
      </c>
      <c r="AI4595" s="43" t="str">
        <f>_xll.BInterpol('Base IPCA'!$C$3:$C$14,'Base IPCA'!$E$3:$E$14,AH4595,"Cubic","Extrapolate=Linear","MultiX=Average","Skip=True","Sort=True")</f>
        <v>#N/A Invalid Parameter: Interpolation value</v>
      </c>
      <c r="AJ4595" s="43" t="str">
        <f ca="1"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56"/>
        <v>#REF!</v>
      </c>
      <c r="AI4596" s="43" t="str">
        <f ca="1">_xll.BInterpol('Base IPCA'!$C$3:$C$14,'Base IPCA'!$E$3:$E$14,AH4596,"Cubic","Extrapolate=Linear","MultiX=Average","Skip=True","Sort=True")</f>
        <v>#N/A Invalid Parameter: Interpolation value</v>
      </c>
      <c r="AJ4596" s="43" t="str">
        <f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56"/>
        <v>#REF!</v>
      </c>
      <c r="AI4597" s="43" t="str">
        <f ca="1">_xll.BInterpol('Base IPCA'!$C$3:$C$14,'Base IPCA'!$E$3:$E$14,AH4597,"Cubic","Extrapolate=Linear","MultiX=Average","Skip=True","Sort=True")</f>
        <v>#N/A Invalid Parameter: Interpolation value</v>
      </c>
      <c r="AJ4597" s="43" t="str">
        <f ca="1"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56"/>
        <v>#REF!</v>
      </c>
      <c r="AI4598" s="43" t="str">
        <f ca="1">_xll.BInterpol('Base IPCA'!$C$3:$C$14,'Base IPCA'!$E$3:$E$14,AH4598,"Cubic","Extrapolate=Linear","MultiX=Average","Skip=True","Sort=True")</f>
        <v>#N/A Invalid Parameter: Interpolation value</v>
      </c>
      <c r="AJ4598" s="43" t="str">
        <f ca="1"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56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 ca="1"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56"/>
        <v>#REF!</v>
      </c>
      <c r="AI4600" s="43" t="str">
        <f ca="1">_xll.BInterpol('Base IPCA'!$C$3:$C$14,'Base IPCA'!$E$3:$E$14,AH4600,"Cubic","Extrapolate=Linear","MultiX=Average","Skip=True","Sort=True")</f>
        <v>#N/A Invalid Parameter: Interpolation value</v>
      </c>
      <c r="AJ4600" s="43" t="str">
        <f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56"/>
        <v>#REF!</v>
      </c>
      <c r="AI4601" s="43" t="str">
        <f ca="1">_xll.BInterpol('Base IPCA'!$C$3:$C$14,'Base IPCA'!$E$3:$E$14,AH4601,"Cubic","Extrapolate=Linear","MultiX=Average","Skip=True","Sort=True")</f>
        <v>#N/A Invalid Parameter: Interpolation value</v>
      </c>
      <c r="AJ4601" s="43" t="str">
        <f ca="1"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56"/>
        <v>#REF!</v>
      </c>
      <c r="AI4602" s="43" t="str">
        <f ca="1">_xll.BInterpol('Base IPCA'!$C$3:$C$14,'Base IPCA'!$E$3:$E$14,AH4602,"Cubic","Extrapolate=Linear","MultiX=Average","Skip=True","Sort=True")</f>
        <v>#N/A Invalid Parameter: Interpolation value</v>
      </c>
      <c r="AJ4602" s="43" t="str">
        <f ca="1"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56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 ca="1"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56"/>
        <v>#REF!</v>
      </c>
      <c r="AI4604" s="43" t="str">
        <f ca="1">_xll.BInterpol('Base IPCA'!$C$3:$C$14,'Base IPCA'!$E$3:$E$14,AH4604,"Cubic","Extrapolate=Linear","MultiX=Average","Skip=True","Sort=True")</f>
        <v>#N/A Invalid Parameter: Interpolation value</v>
      </c>
      <c r="AJ4604" s="43" t="str">
        <f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56"/>
        <v>#REF!</v>
      </c>
      <c r="AI4605" s="43" t="str">
        <f ca="1">_xll.BInterpol('Base IPCA'!$C$3:$C$14,'Base IPCA'!$E$3:$E$14,AH4605,"Cubic","Extrapolate=Linear","MultiX=Average","Skip=True","Sort=True")</f>
        <v>#N/A Invalid Parameter: Interpolation value</v>
      </c>
      <c r="AJ4605" s="43" t="str">
        <f ca="1"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56"/>
        <v>#REF!</v>
      </c>
      <c r="AI4606" s="43" t="str">
        <f ca="1">_xll.BInterpol('Base IPCA'!$C$3:$C$14,'Base IPCA'!$E$3:$E$14,AH4606,"Cubic","Extrapolate=Linear","MultiX=Average","Skip=True","Sort=True")</f>
        <v>#N/A Invalid Parameter: Interpolation value</v>
      </c>
      <c r="AJ4606" s="43" t="str">
        <f ca="1"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56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 ca="1"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56"/>
        <v>#REF!</v>
      </c>
      <c r="AI4608" s="43" t="str">
        <f ca="1">_xll.BInterpol('Base IPCA'!$C$3:$C$14,'Base IPCA'!$E$3:$E$14,AH4608,"Cubic","Extrapolate=Linear","MultiX=Average","Skip=True","Sort=True")</f>
        <v>#N/A Invalid Parameter: Interpolation value</v>
      </c>
      <c r="AJ4608" s="43" t="str">
        <f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56"/>
        <v>#REF!</v>
      </c>
      <c r="AI4609" s="43" t="str">
        <f ca="1">_xll.BInterpol('Base IPCA'!$C$3:$C$14,'Base IPCA'!$E$3:$E$14,AH4609,"Cubic","Extrapolate=Linear","MultiX=Average","Skip=True","Sort=True")</f>
        <v>#N/A Invalid Parameter: Interpolation value</v>
      </c>
      <c r="AJ4609" s="43" t="str">
        <f ca="1"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56"/>
        <v>#REF!</v>
      </c>
      <c r="AI4610" s="43" t="str">
        <f ca="1">_xll.BInterpol('Base IPCA'!$C$3:$C$14,'Base IPCA'!$E$3:$E$14,AH4610,"Cubic","Extrapolate=Linear","MultiX=Average","Skip=True","Sort=True")</f>
        <v>#N/A Invalid Parameter: Interpolation value</v>
      </c>
      <c r="AJ4610" s="43" t="str">
        <f ca="1"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56"/>
        <v>#REF!</v>
      </c>
      <c r="AI4611" s="43" t="str">
        <f>_xll.BInterpol('Base IPCA'!$C$3:$C$14,'Base IPCA'!$E$3:$E$14,AH4611,"Cubic","Extrapolate=Linear","MultiX=Average","Skip=True","Sort=True")</f>
        <v>#N/A Invalid Parameter: Interpolation value</v>
      </c>
      <c r="AJ4611" s="43" t="str">
        <f ca="1"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56"/>
        <v>#REF!</v>
      </c>
      <c r="AI4612" s="43" t="str">
        <f ca="1">_xll.BInterpol('Base IPCA'!$C$3:$C$14,'Base IPCA'!$E$3:$E$14,AH4612,"Cubic","Extrapolate=Linear","MultiX=Average","Skip=True","Sort=True")</f>
        <v>#N/A Invalid Parameter: Interpolation value</v>
      </c>
      <c r="AJ4612" s="43" t="str">
        <f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56"/>
        <v>#REF!</v>
      </c>
      <c r="AI4613" s="43" t="str">
        <f ca="1">_xll.BInterpol('Base IPCA'!$C$3:$C$14,'Base IPCA'!$E$3:$E$14,AH4613,"Cubic","Extrapolate=Linear","MultiX=Average","Skip=True","Sort=True")</f>
        <v>#N/A Invalid Parameter: Interpolation value</v>
      </c>
      <c r="AJ4613" s="43" t="str">
        <f ca="1"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57">AH4613+1</f>
        <v>#REF!</v>
      </c>
      <c r="AI4614" s="43" t="str">
        <f ca="1">_xll.BInterpol('Base IPCA'!$C$3:$C$14,'Base IPCA'!$E$3:$E$14,AH4614,"Cubic","Extrapolate=Linear","MultiX=Average","Skip=True","Sort=True")</f>
        <v>#N/A Invalid Parameter: Interpolation value</v>
      </c>
      <c r="AJ4614" s="43" t="str">
        <f ca="1"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57"/>
        <v>#REF!</v>
      </c>
      <c r="AI4615" s="43" t="str">
        <f>_xll.BInterpol('Base IPCA'!$C$3:$C$14,'Base IPCA'!$E$3:$E$14,AH4615,"Cubic","Extrapolate=Linear","MultiX=Average","Skip=True","Sort=True")</f>
        <v>#N/A Invalid Parameter: Interpolation value</v>
      </c>
      <c r="AJ4615" s="43" t="str">
        <f ca="1"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57"/>
        <v>#REF!</v>
      </c>
      <c r="AI4616" s="43" t="str">
        <f ca="1">_xll.BInterpol('Base IPCA'!$C$3:$C$14,'Base IPCA'!$E$3:$E$14,AH4616,"Cubic","Extrapolate=Linear","MultiX=Average","Skip=True","Sort=True")</f>
        <v>#N/A Invalid Parameter: Interpolation value</v>
      </c>
      <c r="AJ4616" s="43" t="str">
        <f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57"/>
        <v>#REF!</v>
      </c>
      <c r="AI4617" s="43" t="str">
        <f ca="1">_xll.BInterpol('Base IPCA'!$C$3:$C$14,'Base IPCA'!$E$3:$E$14,AH4617,"Cubic","Extrapolate=Linear","MultiX=Average","Skip=True","Sort=True")</f>
        <v>#N/A Invalid Parameter: Interpolation value</v>
      </c>
      <c r="AJ4617" s="43" t="str">
        <f ca="1"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57"/>
        <v>#REF!</v>
      </c>
      <c r="AI4618" s="43" t="str">
        <f ca="1">_xll.BInterpol('Base IPCA'!$C$3:$C$14,'Base IPCA'!$E$3:$E$14,AH4618,"Cubic","Extrapolate=Linear","MultiX=Average","Skip=True","Sort=True")</f>
        <v>#N/A Invalid Parameter: Interpolation value</v>
      </c>
      <c r="AJ4618" s="43" t="str">
        <f ca="1"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57"/>
        <v>#REF!</v>
      </c>
      <c r="AI4619" s="43" t="str">
        <f>_xll.BInterpol('Base IPCA'!$C$3:$C$14,'Base IPCA'!$E$3:$E$14,AH4619,"Cubic","Extrapolate=Linear","MultiX=Average","Skip=True","Sort=True")</f>
        <v>#N/A Invalid Parameter: Interpolation value</v>
      </c>
      <c r="AJ4619" s="43" t="str">
        <f ca="1"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57"/>
        <v>#REF!</v>
      </c>
      <c r="AI4620" s="43" t="str">
        <f ca="1">_xll.BInterpol('Base IPCA'!$C$3:$C$14,'Base IPCA'!$E$3:$E$14,AH4620,"Cubic","Extrapolate=Linear","MultiX=Average","Skip=True","Sort=True")</f>
        <v>#N/A Invalid Parameter: Interpolation value</v>
      </c>
      <c r="AJ4620" s="43" t="str">
        <f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57"/>
        <v>#REF!</v>
      </c>
      <c r="AI4621" s="43" t="str">
        <f ca="1">_xll.BInterpol('Base IPCA'!$C$3:$C$14,'Base IPCA'!$E$3:$E$14,AH4621,"Cubic","Extrapolate=Linear","MultiX=Average","Skip=True","Sort=True")</f>
        <v>#N/A Invalid Parameter: Interpolation value</v>
      </c>
      <c r="AJ4621" s="43" t="str">
        <f ca="1"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57"/>
        <v>#REF!</v>
      </c>
      <c r="AI4622" s="43" t="str">
        <f ca="1">_xll.BInterpol('Base IPCA'!$C$3:$C$14,'Base IPCA'!$E$3:$E$14,AH4622,"Cubic","Extrapolate=Linear","MultiX=Average","Skip=True","Sort=True")</f>
        <v>#N/A Invalid Parameter: Interpolation value</v>
      </c>
      <c r="AJ4622" s="43" t="str">
        <f ca="1"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57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 ca="1"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57"/>
        <v>#REF!</v>
      </c>
      <c r="AI4624" s="43" t="str">
        <f ca="1">_xll.BInterpol('Base IPCA'!$C$3:$C$14,'Base IPCA'!$E$3:$E$14,AH4624,"Cubic","Extrapolate=Linear","MultiX=Average","Skip=True","Sort=True")</f>
        <v>#N/A Invalid Parameter: Interpolation value</v>
      </c>
      <c r="AJ4624" s="43" t="str">
        <f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57"/>
        <v>#REF!</v>
      </c>
      <c r="AI4625" s="43" t="str">
        <f ca="1">_xll.BInterpol('Base IPCA'!$C$3:$C$14,'Base IPCA'!$E$3:$E$14,AH4625,"Cubic","Extrapolate=Linear","MultiX=Average","Skip=True","Sort=True")</f>
        <v>#N/A Invalid Parameter: Interpolation value</v>
      </c>
      <c r="AJ4625" s="43" t="str">
        <f ca="1"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57"/>
        <v>#REF!</v>
      </c>
      <c r="AI4626" s="43" t="str">
        <f ca="1">_xll.BInterpol('Base IPCA'!$C$3:$C$14,'Base IPCA'!$E$3:$E$14,AH4626,"Cubic","Extrapolate=Linear","MultiX=Average","Skip=True","Sort=True")</f>
        <v>#N/A Invalid Parameter: Interpolation value</v>
      </c>
      <c r="AJ4626" s="43" t="str">
        <f ca="1"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57"/>
        <v>#REF!</v>
      </c>
      <c r="AI4627" s="43" t="str">
        <f>_xll.BInterpol('Base IPCA'!$C$3:$C$14,'Base IPCA'!$E$3:$E$14,AH4627,"Cubic","Extrapolate=Linear","MultiX=Average","Skip=True","Sort=True")</f>
        <v>#N/A Invalid Parameter: Interpolation value</v>
      </c>
      <c r="AJ4627" s="43" t="str">
        <f ca="1"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57"/>
        <v>#REF!</v>
      </c>
      <c r="AI4628" s="43" t="str">
        <f ca="1">_xll.BInterpol('Base IPCA'!$C$3:$C$14,'Base IPCA'!$E$3:$E$14,AH4628,"Cubic","Extrapolate=Linear","MultiX=Average","Skip=True","Sort=True")</f>
        <v>#N/A Invalid Parameter: Interpolation value</v>
      </c>
      <c r="AJ4628" s="43" t="str">
        <f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57"/>
        <v>#REF!</v>
      </c>
      <c r="AI4629" s="43" t="str">
        <f ca="1">_xll.BInterpol('Base IPCA'!$C$3:$C$14,'Base IPCA'!$E$3:$E$14,AH4629,"Cubic","Extrapolate=Linear","MultiX=Average","Skip=True","Sort=True")</f>
        <v>#N/A Invalid Parameter: Interpolation value</v>
      </c>
      <c r="AJ4629" s="43" t="str">
        <f ca="1"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57"/>
        <v>#REF!</v>
      </c>
      <c r="AI4630" s="43" t="str">
        <f ca="1">_xll.BInterpol('Base IPCA'!$C$3:$C$14,'Base IPCA'!$E$3:$E$14,AH4630,"Cubic","Extrapolate=Linear","MultiX=Average","Skip=True","Sort=True")</f>
        <v>#N/A Invalid Parameter: Interpolation value</v>
      </c>
      <c r="AJ4630" s="43" t="str">
        <f ca="1"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57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 ca="1"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57"/>
        <v>#REF!</v>
      </c>
      <c r="AI4632" s="43" t="str">
        <f ca="1">_xll.BInterpol('Base IPCA'!$C$3:$C$14,'Base IPCA'!$E$3:$E$14,AH4632,"Cubic","Extrapolate=Linear","MultiX=Average","Skip=True","Sort=True")</f>
        <v>#N/A Invalid Parameter: Interpolation value</v>
      </c>
      <c r="AJ4632" s="43" t="str">
        <f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57"/>
        <v>#REF!</v>
      </c>
      <c r="AI4633" s="43" t="str">
        <f ca="1">_xll.BInterpol('Base IPCA'!$C$3:$C$14,'Base IPCA'!$E$3:$E$14,AH4633,"Cubic","Extrapolate=Linear","MultiX=Average","Skip=True","Sort=True")</f>
        <v>#N/A Invalid Parameter: Interpolation value</v>
      </c>
      <c r="AJ4633" s="43" t="str">
        <f ca="1"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57"/>
        <v>#REF!</v>
      </c>
      <c r="AI4634" s="43" t="str">
        <f ca="1">_xll.BInterpol('Base IPCA'!$C$3:$C$14,'Base IPCA'!$E$3:$E$14,AH4634,"Cubic","Extrapolate=Linear","MultiX=Average","Skip=True","Sort=True")</f>
        <v>#N/A Invalid Parameter: Interpolation value</v>
      </c>
      <c r="AJ4634" s="43" t="str">
        <f ca="1"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57"/>
        <v>#REF!</v>
      </c>
      <c r="AI4635" s="43" t="str">
        <f>_xll.BInterpol('Base IPCA'!$C$3:$C$14,'Base IPCA'!$E$3:$E$14,AH4635,"Cubic","Extrapolate=Linear","MultiX=Average","Skip=True","Sort=True")</f>
        <v>#N/A Invalid Parameter: Interpolation value</v>
      </c>
      <c r="AJ4635" s="43" t="str">
        <f ca="1"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57"/>
        <v>#REF!</v>
      </c>
      <c r="AI4636" s="43" t="str">
        <f ca="1">_xll.BInterpol('Base IPCA'!$C$3:$C$14,'Base IPCA'!$E$3:$E$14,AH4636,"Cubic","Extrapolate=Linear","MultiX=Average","Skip=True","Sort=True")</f>
        <v>#N/A Invalid Parameter: Interpolation value</v>
      </c>
      <c r="AJ4636" s="43" t="str">
        <f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57"/>
        <v>#REF!</v>
      </c>
      <c r="AI4637" s="43" t="str">
        <f ca="1">_xll.BInterpol('Base IPCA'!$C$3:$C$14,'Base IPCA'!$E$3:$E$14,AH4637,"Cubic","Extrapolate=Linear","MultiX=Average","Skip=True","Sort=True")</f>
        <v>#N/A Invalid Parameter: Interpolation value</v>
      </c>
      <c r="AJ4637" s="43" t="str">
        <f ca="1"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57"/>
        <v>#REF!</v>
      </c>
      <c r="AI4638" s="43" t="str">
        <f ca="1">_xll.BInterpol('Base IPCA'!$C$3:$C$14,'Base IPCA'!$E$3:$E$14,AH4638,"Cubic","Extrapolate=Linear","MultiX=Average","Skip=True","Sort=True")</f>
        <v>#N/A Invalid Parameter: Interpolation value</v>
      </c>
      <c r="AJ4638" s="43" t="str">
        <f ca="1"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57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 ca="1"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57"/>
        <v>#REF!</v>
      </c>
      <c r="AI4640" s="43" t="str">
        <f ca="1">_xll.BInterpol('Base IPCA'!$C$3:$C$14,'Base IPCA'!$E$3:$E$14,AH4640,"Cubic","Extrapolate=Linear","MultiX=Average","Skip=True","Sort=True")</f>
        <v>#N/A Invalid Parameter: Interpolation value</v>
      </c>
      <c r="AJ4640" s="43" t="str">
        <f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57"/>
        <v>#REF!</v>
      </c>
      <c r="AI4641" s="43" t="str">
        <f ca="1">_xll.BInterpol('Base IPCA'!$C$3:$C$14,'Base IPCA'!$E$3:$E$14,AH4641,"Cubic","Extrapolate=Linear","MultiX=Average","Skip=True","Sort=True")</f>
        <v>#N/A Invalid Parameter: Interpolation value</v>
      </c>
      <c r="AJ4641" s="43" t="str">
        <f ca="1"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57"/>
        <v>#REF!</v>
      </c>
      <c r="AI4642" s="43" t="str">
        <f ca="1">_xll.BInterpol('Base IPCA'!$C$3:$C$14,'Base IPCA'!$E$3:$E$14,AH4642,"Cubic","Extrapolate=Linear","MultiX=Average","Skip=True","Sort=True")</f>
        <v>#N/A Invalid Parameter: Interpolation value</v>
      </c>
      <c r="AJ4642" s="43" t="str">
        <f ca="1"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57"/>
        <v>#REF!</v>
      </c>
      <c r="AI4643" s="43" t="str">
        <f>_xll.BInterpol('Base IPCA'!$C$3:$C$14,'Base IPCA'!$E$3:$E$14,AH4643,"Cubic","Extrapolate=Linear","MultiX=Average","Skip=True","Sort=True")</f>
        <v>#N/A Invalid Parameter: Interpolation value</v>
      </c>
      <c r="AJ4643" s="43" t="str">
        <f ca="1"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57"/>
        <v>#REF!</v>
      </c>
      <c r="AI4644" s="43" t="str">
        <f ca="1">_xll.BInterpol('Base IPCA'!$C$3:$C$14,'Base IPCA'!$E$3:$E$14,AH4644,"Cubic","Extrapolate=Linear","MultiX=Average","Skip=True","Sort=True")</f>
        <v>#N/A Invalid Parameter: Interpolation value</v>
      </c>
      <c r="AJ4644" s="43" t="str">
        <f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57"/>
        <v>#REF!</v>
      </c>
      <c r="AI4645" s="43" t="str">
        <f ca="1">_xll.BInterpol('Base IPCA'!$C$3:$C$14,'Base IPCA'!$E$3:$E$14,AH4645,"Cubic","Extrapolate=Linear","MultiX=Average","Skip=True","Sort=True")</f>
        <v>#N/A Invalid Parameter: Interpolation value</v>
      </c>
      <c r="AJ4645" s="43" t="str">
        <f ca="1"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57"/>
        <v>#REF!</v>
      </c>
      <c r="AI4646" s="43" t="str">
        <f ca="1">_xll.BInterpol('Base IPCA'!$C$3:$C$14,'Base IPCA'!$E$3:$E$14,AH4646,"Cubic","Extrapolate=Linear","MultiX=Average","Skip=True","Sort=True")</f>
        <v>#N/A Invalid Parameter: Interpolation value</v>
      </c>
      <c r="AJ4646" s="43" t="str">
        <f ca="1"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57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 ca="1"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57"/>
        <v>#REF!</v>
      </c>
      <c r="AI4648" s="43" t="str">
        <f ca="1">_xll.BInterpol('Base IPCA'!$C$3:$C$14,'Base IPCA'!$E$3:$E$14,AH4648,"Cubic","Extrapolate=Linear","MultiX=Average","Skip=True","Sort=True")</f>
        <v>#N/A Invalid Parameter: Interpolation value</v>
      </c>
      <c r="AJ4648" s="43" t="str">
        <f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57"/>
        <v>#REF!</v>
      </c>
      <c r="AI4649" s="43" t="str">
        <f ca="1">_xll.BInterpol('Base IPCA'!$C$3:$C$14,'Base IPCA'!$E$3:$E$14,AH4649,"Cubic","Extrapolate=Linear","MultiX=Average","Skip=True","Sort=True")</f>
        <v>#N/A Invalid Parameter: Interpolation value</v>
      </c>
      <c r="AJ4649" s="43" t="str">
        <f ca="1"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57"/>
        <v>#REF!</v>
      </c>
      <c r="AI4650" s="43" t="str">
        <f ca="1">_xll.BInterpol('Base IPCA'!$C$3:$C$14,'Base IPCA'!$E$3:$E$14,AH4650,"Cubic","Extrapolate=Linear","MultiX=Average","Skip=True","Sort=True")</f>
        <v>#N/A Invalid Parameter: Interpolation value</v>
      </c>
      <c r="AJ4650" s="43" t="str">
        <f ca="1"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57"/>
        <v>#REF!</v>
      </c>
      <c r="AI4651" s="43" t="str">
        <f>_xll.BInterpol('Base IPCA'!$C$3:$C$14,'Base IPCA'!$E$3:$E$14,AH4651,"Cubic","Extrapolate=Linear","MultiX=Average","Skip=True","Sort=True")</f>
        <v>#N/A Invalid Parameter: Interpolation value</v>
      </c>
      <c r="AJ4651" s="43" t="str">
        <f ca="1"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57"/>
        <v>#REF!</v>
      </c>
      <c r="AI4652" s="43" t="str">
        <f ca="1">_xll.BInterpol('Base IPCA'!$C$3:$C$14,'Base IPCA'!$E$3:$E$14,AH4652,"Cubic","Extrapolate=Linear","MultiX=Average","Skip=True","Sort=True")</f>
        <v>#N/A Invalid Parameter: Interpolation value</v>
      </c>
      <c r="AJ4652" s="43" t="str">
        <f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57"/>
        <v>#REF!</v>
      </c>
      <c r="AI4653" s="43" t="str">
        <f ca="1">_xll.BInterpol('Base IPCA'!$C$3:$C$14,'Base IPCA'!$E$3:$E$14,AH4653,"Cubic","Extrapolate=Linear","MultiX=Average","Skip=True","Sort=True")</f>
        <v>#N/A Invalid Parameter: Interpolation value</v>
      </c>
      <c r="AJ4653" s="43" t="str">
        <f ca="1"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57"/>
        <v>#REF!</v>
      </c>
      <c r="AI4654" s="43" t="str">
        <f ca="1">_xll.BInterpol('Base IPCA'!$C$3:$C$14,'Base IPCA'!$E$3:$E$14,AH4654,"Cubic","Extrapolate=Linear","MultiX=Average","Skip=True","Sort=True")</f>
        <v>#N/A Invalid Parameter: Interpolation value</v>
      </c>
      <c r="AJ4654" s="43" t="str">
        <f ca="1"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57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 ca="1"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57"/>
        <v>#REF!</v>
      </c>
      <c r="AI4656" s="43" t="str">
        <f ca="1">_xll.BInterpol('Base IPCA'!$C$3:$C$14,'Base IPCA'!$E$3:$E$14,AH4656,"Cubic","Extrapolate=Linear","MultiX=Average","Skip=True","Sort=True")</f>
        <v>#N/A Invalid Parameter: Interpolation value</v>
      </c>
      <c r="AJ4656" s="43" t="str">
        <f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57"/>
        <v>#REF!</v>
      </c>
      <c r="AI4657" s="43" t="str">
        <f ca="1">_xll.BInterpol('Base IPCA'!$C$3:$C$14,'Base IPCA'!$E$3:$E$14,AH4657,"Cubic","Extrapolate=Linear","MultiX=Average","Skip=True","Sort=True")</f>
        <v>#N/A Invalid Parameter: Interpolation value</v>
      </c>
      <c r="AJ4657" s="43" t="str">
        <f ca="1"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57"/>
        <v>#REF!</v>
      </c>
      <c r="AI4658" s="43" t="str">
        <f ca="1">_xll.BInterpol('Base IPCA'!$C$3:$C$14,'Base IPCA'!$E$3:$E$14,AH4658,"Cubic","Extrapolate=Linear","MultiX=Average","Skip=True","Sort=True")</f>
        <v>#N/A Invalid Parameter: Interpolation value</v>
      </c>
      <c r="AJ4658" s="43" t="str">
        <f ca="1"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57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 ca="1"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57"/>
        <v>#REF!</v>
      </c>
      <c r="AI4660" s="43" t="str">
        <f ca="1">_xll.BInterpol('Base IPCA'!$C$3:$C$14,'Base IPCA'!$E$3:$E$14,AH4660,"Cubic","Extrapolate=Linear","MultiX=Average","Skip=True","Sort=True")</f>
        <v>#N/A Invalid Parameter: Interpolation value</v>
      </c>
      <c r="AJ4660" s="43" t="str">
        <f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57"/>
        <v>#REF!</v>
      </c>
      <c r="AI4661" s="43" t="str">
        <f ca="1">_xll.BInterpol('Base IPCA'!$C$3:$C$14,'Base IPCA'!$E$3:$E$14,AH4661,"Cubic","Extrapolate=Linear","MultiX=Average","Skip=True","Sort=True")</f>
        <v>#N/A Invalid Parameter: Interpolation value</v>
      </c>
      <c r="AJ4661" s="43" t="str">
        <f ca="1"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57"/>
        <v>#REF!</v>
      </c>
      <c r="AI4662" s="43" t="str">
        <f ca="1">_xll.BInterpol('Base IPCA'!$C$3:$C$14,'Base IPCA'!$E$3:$E$14,AH4662,"Cubic","Extrapolate=Linear","MultiX=Average","Skip=True","Sort=True")</f>
        <v>#N/A Invalid Parameter: Interpolation value</v>
      </c>
      <c r="AJ4662" s="43" t="str">
        <f ca="1"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57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 ca="1"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57"/>
        <v>#REF!</v>
      </c>
      <c r="AI4664" s="43" t="str">
        <f ca="1">_xll.BInterpol('Base IPCA'!$C$3:$C$14,'Base IPCA'!$E$3:$E$14,AH4664,"Cubic","Extrapolate=Linear","MultiX=Average","Skip=True","Sort=True")</f>
        <v>#N/A Invalid Parameter: Interpolation value</v>
      </c>
      <c r="AJ4664" s="43" t="str">
        <f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57"/>
        <v>#REF!</v>
      </c>
      <c r="AI4665" s="43" t="str">
        <f ca="1">_xll.BInterpol('Base IPCA'!$C$3:$C$14,'Base IPCA'!$E$3:$E$14,AH4665,"Cubic","Extrapolate=Linear","MultiX=Average","Skip=True","Sort=True")</f>
        <v>#N/A Invalid Parameter: Interpolation value</v>
      </c>
      <c r="AJ4665" s="43" t="str">
        <f ca="1"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57"/>
        <v>#REF!</v>
      </c>
      <c r="AI4666" s="43" t="str">
        <f ca="1">_xll.BInterpol('Base IPCA'!$C$3:$C$14,'Base IPCA'!$E$3:$E$14,AH4666,"Cubic","Extrapolate=Linear","MultiX=Average","Skip=True","Sort=True")</f>
        <v>#N/A Invalid Parameter: Interpolation value</v>
      </c>
      <c r="AJ4666" s="43" t="str">
        <f ca="1"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57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 ca="1"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57"/>
        <v>#REF!</v>
      </c>
      <c r="AI4668" s="43" t="str">
        <f ca="1">_xll.BInterpol('Base IPCA'!$C$3:$C$14,'Base IPCA'!$E$3:$E$14,AH4668,"Cubic","Extrapolate=Linear","MultiX=Average","Skip=True","Sort=True")</f>
        <v>#N/A Invalid Parameter: Interpolation value</v>
      </c>
      <c r="AJ4668" s="43" t="str">
        <f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57"/>
        <v>#REF!</v>
      </c>
      <c r="AI4669" s="43" t="str">
        <f ca="1">_xll.BInterpol('Base IPCA'!$C$3:$C$14,'Base IPCA'!$E$3:$E$14,AH4669,"Cubic","Extrapolate=Linear","MultiX=Average","Skip=True","Sort=True")</f>
        <v>#N/A Invalid Parameter: Interpolation value</v>
      </c>
      <c r="AJ4669" s="43" t="str">
        <f ca="1"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57"/>
        <v>#REF!</v>
      </c>
      <c r="AI4670" s="43" t="str">
        <f ca="1">_xll.BInterpol('Base IPCA'!$C$3:$C$14,'Base IPCA'!$E$3:$E$14,AH4670,"Cubic","Extrapolate=Linear","MultiX=Average","Skip=True","Sort=True")</f>
        <v>#N/A Invalid Parameter: Interpolation value</v>
      </c>
      <c r="AJ4670" s="43" t="str">
        <f ca="1"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57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 ca="1"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57"/>
        <v>#REF!</v>
      </c>
      <c r="AI4672" s="43" t="str">
        <f ca="1">_xll.BInterpol('Base IPCA'!$C$3:$C$14,'Base IPCA'!$E$3:$E$14,AH4672,"Cubic","Extrapolate=Linear","MultiX=Average","Skip=True","Sort=True")</f>
        <v>#N/A Invalid Parameter: Interpolation value</v>
      </c>
      <c r="AJ4672" s="43" t="str">
        <f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57"/>
        <v>#REF!</v>
      </c>
      <c r="AI4673" s="43" t="str">
        <f ca="1">_xll.BInterpol('Base IPCA'!$C$3:$C$14,'Base IPCA'!$E$3:$E$14,AH4673,"Cubic","Extrapolate=Linear","MultiX=Average","Skip=True","Sort=True")</f>
        <v>#N/A Invalid Parameter: Interpolation value</v>
      </c>
      <c r="AJ4673" s="43" t="str">
        <f ca="1"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57"/>
        <v>#REF!</v>
      </c>
      <c r="AI4674" s="43" t="str">
        <f ca="1">_xll.BInterpol('Base IPCA'!$C$3:$C$14,'Base IPCA'!$E$3:$E$14,AH4674,"Cubic","Extrapolate=Linear","MultiX=Average","Skip=True","Sort=True")</f>
        <v>#N/A Invalid Parameter: Interpolation value</v>
      </c>
      <c r="AJ4674" s="43" t="str">
        <f ca="1"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57"/>
        <v>#REF!</v>
      </c>
      <c r="AI4675" s="43" t="str">
        <f>_xll.BInterpol('Base IPCA'!$C$3:$C$14,'Base IPCA'!$E$3:$E$14,AH4675,"Cubic","Extrapolate=Linear","MultiX=Average","Skip=True","Sort=True")</f>
        <v>#N/A Invalid Parameter: Interpolation value</v>
      </c>
      <c r="AJ4675" s="43" t="str">
        <f ca="1"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57"/>
        <v>#REF!</v>
      </c>
      <c r="AI4676" s="43" t="str">
        <f ca="1">_xll.BInterpol('Base IPCA'!$C$3:$C$14,'Base IPCA'!$E$3:$E$14,AH4676,"Cubic","Extrapolate=Linear","MultiX=Average","Skip=True","Sort=True")</f>
        <v>#N/A Invalid Parameter: Interpolation value</v>
      </c>
      <c r="AJ4676" s="43" t="str">
        <f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57"/>
        <v>#REF!</v>
      </c>
      <c r="AI4677" s="43" t="str">
        <f ca="1">_xll.BInterpol('Base IPCA'!$C$3:$C$14,'Base IPCA'!$E$3:$E$14,AH4677,"Cubic","Extrapolate=Linear","MultiX=Average","Skip=True","Sort=True")</f>
        <v>#N/A Invalid Parameter: Interpolation value</v>
      </c>
      <c r="AJ4677" s="43" t="str">
        <f ca="1"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58">AH4677+1</f>
        <v>#REF!</v>
      </c>
      <c r="AI4678" s="43" t="str">
        <f ca="1">_xll.BInterpol('Base IPCA'!$C$3:$C$14,'Base IPCA'!$E$3:$E$14,AH4678,"Cubic","Extrapolate=Linear","MultiX=Average","Skip=True","Sort=True")</f>
        <v>#N/A Invalid Parameter: Interpolation value</v>
      </c>
      <c r="AJ4678" s="43" t="str">
        <f ca="1"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58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 ca="1"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58"/>
        <v>#REF!</v>
      </c>
      <c r="AI4680" s="43" t="str">
        <f ca="1">_xll.BInterpol('Base IPCA'!$C$3:$C$14,'Base IPCA'!$E$3:$E$14,AH4680,"Cubic","Extrapolate=Linear","MultiX=Average","Skip=True","Sort=True")</f>
        <v>#N/A Invalid Parameter: Interpolation value</v>
      </c>
      <c r="AJ4680" s="43" t="str">
        <f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58"/>
        <v>#REF!</v>
      </c>
      <c r="AI4681" s="43" t="str">
        <f ca="1">_xll.BInterpol('Base IPCA'!$C$3:$C$14,'Base IPCA'!$E$3:$E$14,AH4681,"Cubic","Extrapolate=Linear","MultiX=Average","Skip=True","Sort=True")</f>
        <v>#N/A Invalid Parameter: Interpolation value</v>
      </c>
      <c r="AJ4681" s="43" t="str">
        <f ca="1"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58"/>
        <v>#REF!</v>
      </c>
      <c r="AI4682" s="43" t="str">
        <f ca="1">_xll.BInterpol('Base IPCA'!$C$3:$C$14,'Base IPCA'!$E$3:$E$14,AH4682,"Cubic","Extrapolate=Linear","MultiX=Average","Skip=True","Sort=True")</f>
        <v>#N/A Invalid Parameter: Interpolation value</v>
      </c>
      <c r="AJ4682" s="43" t="str">
        <f ca="1"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58"/>
        <v>#REF!</v>
      </c>
      <c r="AI4683" s="43" t="str">
        <f>_xll.BInterpol('Base IPCA'!$C$3:$C$14,'Base IPCA'!$E$3:$E$14,AH4683,"Cubic","Extrapolate=Linear","MultiX=Average","Skip=True","Sort=True")</f>
        <v>#N/A Invalid Parameter: Interpolation value</v>
      </c>
      <c r="AJ4683" s="43" t="str">
        <f ca="1"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58"/>
        <v>#REF!</v>
      </c>
      <c r="AI4684" s="43" t="str">
        <f ca="1">_xll.BInterpol('Base IPCA'!$C$3:$C$14,'Base IPCA'!$E$3:$E$14,AH4684,"Cubic","Extrapolate=Linear","MultiX=Average","Skip=True","Sort=True")</f>
        <v>#N/A Invalid Parameter: Interpolation value</v>
      </c>
      <c r="AJ4684" s="43" t="str">
        <f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58"/>
        <v>#REF!</v>
      </c>
      <c r="AI4685" s="43" t="str">
        <f ca="1">_xll.BInterpol('Base IPCA'!$C$3:$C$14,'Base IPCA'!$E$3:$E$14,AH4685,"Cubic","Extrapolate=Linear","MultiX=Average","Skip=True","Sort=True")</f>
        <v>#N/A Invalid Parameter: Interpolation value</v>
      </c>
      <c r="AJ4685" s="43" t="str">
        <f ca="1"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58"/>
        <v>#REF!</v>
      </c>
      <c r="AI4686" s="43" t="str">
        <f ca="1">_xll.BInterpol('Base IPCA'!$C$3:$C$14,'Base IPCA'!$E$3:$E$14,AH4686,"Cubic","Extrapolate=Linear","MultiX=Average","Skip=True","Sort=True")</f>
        <v>#N/A Invalid Parameter: Interpolation value</v>
      </c>
      <c r="AJ4686" s="43" t="str">
        <f ca="1"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58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 ca="1"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58"/>
        <v>#REF!</v>
      </c>
      <c r="AI4688" s="43" t="str">
        <f ca="1">_xll.BInterpol('Base IPCA'!$C$3:$C$14,'Base IPCA'!$E$3:$E$14,AH4688,"Cubic","Extrapolate=Linear","MultiX=Average","Skip=True","Sort=True")</f>
        <v>#N/A Invalid Parameter: Interpolation value</v>
      </c>
      <c r="AJ4688" s="43" t="str">
        <f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58"/>
        <v>#REF!</v>
      </c>
      <c r="AI4689" s="43" t="str">
        <f ca="1">_xll.BInterpol('Base IPCA'!$C$3:$C$14,'Base IPCA'!$E$3:$E$14,AH4689,"Cubic","Extrapolate=Linear","MultiX=Average","Skip=True","Sort=True")</f>
        <v>#N/A Invalid Parameter: Interpolation value</v>
      </c>
      <c r="AJ4689" s="43" t="str">
        <f ca="1"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58"/>
        <v>#REF!</v>
      </c>
      <c r="AI4690" s="43" t="str">
        <f ca="1">_xll.BInterpol('Base IPCA'!$C$3:$C$14,'Base IPCA'!$E$3:$E$14,AH4690,"Cubic","Extrapolate=Linear","MultiX=Average","Skip=True","Sort=True")</f>
        <v>#N/A Invalid Parameter: Interpolation value</v>
      </c>
      <c r="AJ4690" s="43" t="str">
        <f ca="1"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58"/>
        <v>#REF!</v>
      </c>
      <c r="AI4691" s="43" t="str">
        <f>_xll.BInterpol('Base IPCA'!$C$3:$C$14,'Base IPCA'!$E$3:$E$14,AH4691,"Cubic","Extrapolate=Linear","MultiX=Average","Skip=True","Sort=True")</f>
        <v>#N/A Invalid Parameter: Interpolation value</v>
      </c>
      <c r="AJ4691" s="43" t="str">
        <f ca="1"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58"/>
        <v>#REF!</v>
      </c>
      <c r="AI4692" s="43" t="str">
        <f ca="1">_xll.BInterpol('Base IPCA'!$C$3:$C$14,'Base IPCA'!$E$3:$E$14,AH4692,"Cubic","Extrapolate=Linear","MultiX=Average","Skip=True","Sort=True")</f>
        <v>#N/A Invalid Parameter: Interpolation value</v>
      </c>
      <c r="AJ4692" s="43" t="str">
        <f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58"/>
        <v>#REF!</v>
      </c>
      <c r="AI4693" s="43" t="str">
        <f ca="1">_xll.BInterpol('Base IPCA'!$C$3:$C$14,'Base IPCA'!$E$3:$E$14,AH4693,"Cubic","Extrapolate=Linear","MultiX=Average","Skip=True","Sort=True")</f>
        <v>#N/A Invalid Parameter: Interpolation value</v>
      </c>
      <c r="AJ4693" s="43" t="str">
        <f ca="1"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58"/>
        <v>#REF!</v>
      </c>
      <c r="AI4694" s="43" t="str">
        <f ca="1">_xll.BInterpol('Base IPCA'!$C$3:$C$14,'Base IPCA'!$E$3:$E$14,AH4694,"Cubic","Extrapolate=Linear","MultiX=Average","Skip=True","Sort=True")</f>
        <v>#N/A Invalid Parameter: Interpolation value</v>
      </c>
      <c r="AJ4694" s="43" t="str">
        <f ca="1"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58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 ca="1"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58"/>
        <v>#REF!</v>
      </c>
      <c r="AI4696" s="43" t="str">
        <f ca="1">_xll.BInterpol('Base IPCA'!$C$3:$C$14,'Base IPCA'!$E$3:$E$14,AH4696,"Cubic","Extrapolate=Linear","MultiX=Average","Skip=True","Sort=True")</f>
        <v>#N/A Invalid Parameter: Interpolation value</v>
      </c>
      <c r="AJ4696" s="43" t="str">
        <f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58"/>
        <v>#REF!</v>
      </c>
      <c r="AI4697" s="43" t="str">
        <f ca="1">_xll.BInterpol('Base IPCA'!$C$3:$C$14,'Base IPCA'!$E$3:$E$14,AH4697,"Cubic","Extrapolate=Linear","MultiX=Average","Skip=True","Sort=True")</f>
        <v>#N/A Invalid Parameter: Interpolation value</v>
      </c>
      <c r="AJ4697" s="43" t="str">
        <f ca="1"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58"/>
        <v>#REF!</v>
      </c>
      <c r="AI4698" s="43" t="str">
        <f ca="1">_xll.BInterpol('Base IPCA'!$C$3:$C$14,'Base IPCA'!$E$3:$E$14,AH4698,"Cubic","Extrapolate=Linear","MultiX=Average","Skip=True","Sort=True")</f>
        <v>#N/A Invalid Parameter: Interpolation value</v>
      </c>
      <c r="AJ4698" s="43" t="str">
        <f ca="1"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58"/>
        <v>#REF!</v>
      </c>
      <c r="AI4699" s="43" t="str">
        <f>_xll.BInterpol('Base IPCA'!$C$3:$C$14,'Base IPCA'!$E$3:$E$14,AH4699,"Cubic","Extrapolate=Linear","MultiX=Average","Skip=True","Sort=True")</f>
        <v>#N/A Invalid Parameter: Interpolation value</v>
      </c>
      <c r="AJ4699" s="43" t="str">
        <f ca="1"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58"/>
        <v>#REF!</v>
      </c>
      <c r="AI4700" s="43" t="str">
        <f ca="1">_xll.BInterpol('Base IPCA'!$C$3:$C$14,'Base IPCA'!$E$3:$E$14,AH4700,"Cubic","Extrapolate=Linear","MultiX=Average","Skip=True","Sort=True")</f>
        <v>#N/A Invalid Parameter: Interpolation value</v>
      </c>
      <c r="AJ4700" s="43" t="str">
        <f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58"/>
        <v>#REF!</v>
      </c>
      <c r="AI4701" s="43" t="str">
        <f ca="1">_xll.BInterpol('Base IPCA'!$C$3:$C$14,'Base IPCA'!$E$3:$E$14,AH4701,"Cubic","Extrapolate=Linear","MultiX=Average","Skip=True","Sort=True")</f>
        <v>#N/A Invalid Parameter: Interpolation value</v>
      </c>
      <c r="AJ4701" s="43" t="str">
        <f ca="1"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58"/>
        <v>#REF!</v>
      </c>
      <c r="AI4702" s="43" t="str">
        <f ca="1">_xll.BInterpol('Base IPCA'!$C$3:$C$14,'Base IPCA'!$E$3:$E$14,AH4702,"Cubic","Extrapolate=Linear","MultiX=Average","Skip=True","Sort=True")</f>
        <v>#N/A Invalid Parameter: Interpolation value</v>
      </c>
      <c r="AJ4702" s="43" t="str">
        <f ca="1"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58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 ca="1"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58"/>
        <v>#REF!</v>
      </c>
      <c r="AI4704" s="43" t="str">
        <f ca="1">_xll.BInterpol('Base IPCA'!$C$3:$C$14,'Base IPCA'!$E$3:$E$14,AH4704,"Cubic","Extrapolate=Linear","MultiX=Average","Skip=True","Sort=True")</f>
        <v>#N/A Invalid Parameter: Interpolation value</v>
      </c>
      <c r="AJ4704" s="43" t="str">
        <f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58"/>
        <v>#REF!</v>
      </c>
      <c r="AI4705" s="43" t="str">
        <f ca="1">_xll.BInterpol('Base IPCA'!$C$3:$C$14,'Base IPCA'!$E$3:$E$14,AH4705,"Cubic","Extrapolate=Linear","MultiX=Average","Skip=True","Sort=True")</f>
        <v>#N/A Invalid Parameter: Interpolation value</v>
      </c>
      <c r="AJ4705" s="43" t="str">
        <f ca="1"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58"/>
        <v>#REF!</v>
      </c>
      <c r="AI4706" s="43" t="str">
        <f ca="1">_xll.BInterpol('Base IPCA'!$C$3:$C$14,'Base IPCA'!$E$3:$E$14,AH4706,"Cubic","Extrapolate=Linear","MultiX=Average","Skip=True","Sort=True")</f>
        <v>#N/A Invalid Parameter: Interpolation value</v>
      </c>
      <c r="AJ4706" s="43" t="str">
        <f ca="1"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58"/>
        <v>#REF!</v>
      </c>
      <c r="AI4707" s="43" t="str">
        <f>_xll.BInterpol('Base IPCA'!$C$3:$C$14,'Base IPCA'!$E$3:$E$14,AH4707,"Cubic","Extrapolate=Linear","MultiX=Average","Skip=True","Sort=True")</f>
        <v>#N/A Invalid Parameter: Interpolation value</v>
      </c>
      <c r="AJ4707" s="43" t="str">
        <f ca="1"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58"/>
        <v>#REF!</v>
      </c>
      <c r="AI4708" s="43" t="str">
        <f ca="1">_xll.BInterpol('Base IPCA'!$C$3:$C$14,'Base IPCA'!$E$3:$E$14,AH4708,"Cubic","Extrapolate=Linear","MultiX=Average","Skip=True","Sort=True")</f>
        <v>#N/A Invalid Parameter: Interpolation value</v>
      </c>
      <c r="AJ4708" s="43" t="str">
        <f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58"/>
        <v>#REF!</v>
      </c>
      <c r="AI4709" s="43" t="str">
        <f ca="1">_xll.BInterpol('Base IPCA'!$C$3:$C$14,'Base IPCA'!$E$3:$E$14,AH4709,"Cubic","Extrapolate=Linear","MultiX=Average","Skip=True","Sort=True")</f>
        <v>#N/A Invalid Parameter: Interpolation value</v>
      </c>
      <c r="AJ4709" s="43" t="str">
        <f ca="1"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58"/>
        <v>#REF!</v>
      </c>
      <c r="AI4710" s="43" t="str">
        <f ca="1">_xll.BInterpol('Base IPCA'!$C$3:$C$14,'Base IPCA'!$E$3:$E$14,AH4710,"Cubic","Extrapolate=Linear","MultiX=Average","Skip=True","Sort=True")</f>
        <v>#N/A Invalid Parameter: Interpolation value</v>
      </c>
      <c r="AJ4710" s="43" t="str">
        <f ca="1"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58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 ca="1"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58"/>
        <v>#REF!</v>
      </c>
      <c r="AI4712" s="43" t="str">
        <f ca="1">_xll.BInterpol('Base IPCA'!$C$3:$C$14,'Base IPCA'!$E$3:$E$14,AH4712,"Cubic","Extrapolate=Linear","MultiX=Average","Skip=True","Sort=True")</f>
        <v>#N/A Invalid Parameter: Interpolation value</v>
      </c>
      <c r="AJ4712" s="43" t="str">
        <f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58"/>
        <v>#REF!</v>
      </c>
      <c r="AI4713" s="43" t="str">
        <f ca="1">_xll.BInterpol('Base IPCA'!$C$3:$C$14,'Base IPCA'!$E$3:$E$14,AH4713,"Cubic","Extrapolate=Linear","MultiX=Average","Skip=True","Sort=True")</f>
        <v>#N/A Invalid Parameter: Interpolation value</v>
      </c>
      <c r="AJ4713" s="43" t="str">
        <f ca="1"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58"/>
        <v>#REF!</v>
      </c>
      <c r="AI4714" s="43" t="str">
        <f ca="1">_xll.BInterpol('Base IPCA'!$C$3:$C$14,'Base IPCA'!$E$3:$E$14,AH4714,"Cubic","Extrapolate=Linear","MultiX=Average","Skip=True","Sort=True")</f>
        <v>#N/A Invalid Parameter: Interpolation value</v>
      </c>
      <c r="AJ4714" s="43" t="str">
        <f ca="1"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58"/>
        <v>#REF!</v>
      </c>
      <c r="AI4715" s="43" t="str">
        <f>_xll.BInterpol('Base IPCA'!$C$3:$C$14,'Base IPCA'!$E$3:$E$14,AH4715,"Cubic","Extrapolate=Linear","MultiX=Average","Skip=True","Sort=True")</f>
        <v>#N/A Invalid Parameter: Interpolation value</v>
      </c>
      <c r="AJ4715" s="43" t="str">
        <f ca="1"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58"/>
        <v>#REF!</v>
      </c>
      <c r="AI4716" s="43" t="str">
        <f ca="1">_xll.BInterpol('Base IPCA'!$C$3:$C$14,'Base IPCA'!$E$3:$E$14,AH4716,"Cubic","Extrapolate=Linear","MultiX=Average","Skip=True","Sort=True")</f>
        <v>#N/A Invalid Parameter: Interpolation value</v>
      </c>
      <c r="AJ4716" s="43" t="str">
        <f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58"/>
        <v>#REF!</v>
      </c>
      <c r="AI4717" s="43" t="str">
        <f ca="1">_xll.BInterpol('Base IPCA'!$C$3:$C$14,'Base IPCA'!$E$3:$E$14,AH4717,"Cubic","Extrapolate=Linear","MultiX=Average","Skip=True","Sort=True")</f>
        <v>#N/A Invalid Parameter: Interpolation value</v>
      </c>
      <c r="AJ4717" s="43" t="str">
        <f ca="1"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58"/>
        <v>#REF!</v>
      </c>
      <c r="AI4718" s="43" t="str">
        <f ca="1">_xll.BInterpol('Base IPCA'!$C$3:$C$14,'Base IPCA'!$E$3:$E$14,AH4718,"Cubic","Extrapolate=Linear","MultiX=Average","Skip=True","Sort=True")</f>
        <v>#N/A Invalid Parameter: Interpolation value</v>
      </c>
      <c r="AJ4718" s="43" t="str">
        <f ca="1"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58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 ca="1"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58"/>
        <v>#REF!</v>
      </c>
      <c r="AI4720" s="43" t="str">
        <f ca="1">_xll.BInterpol('Base IPCA'!$C$3:$C$14,'Base IPCA'!$E$3:$E$14,AH4720,"Cubic","Extrapolate=Linear","MultiX=Average","Skip=True","Sort=True")</f>
        <v>#N/A Invalid Parameter: Interpolation value</v>
      </c>
      <c r="AJ4720" s="43" t="str">
        <f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58"/>
        <v>#REF!</v>
      </c>
      <c r="AI4721" s="43" t="str">
        <f ca="1">_xll.BInterpol('Base IPCA'!$C$3:$C$14,'Base IPCA'!$E$3:$E$14,AH4721,"Cubic","Extrapolate=Linear","MultiX=Average","Skip=True","Sort=True")</f>
        <v>#N/A Invalid Parameter: Interpolation value</v>
      </c>
      <c r="AJ4721" s="43" t="str">
        <f ca="1"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58"/>
        <v>#REF!</v>
      </c>
      <c r="AI4722" s="43" t="str">
        <f ca="1">_xll.BInterpol('Base IPCA'!$C$3:$C$14,'Base IPCA'!$E$3:$E$14,AH4722,"Cubic","Extrapolate=Linear","MultiX=Average","Skip=True","Sort=True")</f>
        <v>#N/A Invalid Parameter: Interpolation value</v>
      </c>
      <c r="AJ4722" s="43" t="str">
        <f ca="1"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58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 ca="1"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58"/>
        <v>#REF!</v>
      </c>
      <c r="AI4724" s="43" t="str">
        <f ca="1">_xll.BInterpol('Base IPCA'!$C$3:$C$14,'Base IPCA'!$E$3:$E$14,AH4724,"Cubic","Extrapolate=Linear","MultiX=Average","Skip=True","Sort=True")</f>
        <v>#N/A Invalid Parameter: Interpolation value</v>
      </c>
      <c r="AJ4724" s="43" t="str">
        <f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58"/>
        <v>#REF!</v>
      </c>
      <c r="AI4725" s="43" t="str">
        <f ca="1">_xll.BInterpol('Base IPCA'!$C$3:$C$14,'Base IPCA'!$E$3:$E$14,AH4725,"Cubic","Extrapolate=Linear","MultiX=Average","Skip=True","Sort=True")</f>
        <v>#N/A Invalid Parameter: Interpolation value</v>
      </c>
      <c r="AJ4725" s="43" t="str">
        <f ca="1"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58"/>
        <v>#REF!</v>
      </c>
      <c r="AI4726" s="43" t="str">
        <f ca="1">_xll.BInterpol('Base IPCA'!$C$3:$C$14,'Base IPCA'!$E$3:$E$14,AH4726,"Cubic","Extrapolate=Linear","MultiX=Average","Skip=True","Sort=True")</f>
        <v>#N/A Invalid Parameter: Interpolation value</v>
      </c>
      <c r="AJ4726" s="43" t="str">
        <f ca="1"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58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 ca="1"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58"/>
        <v>#REF!</v>
      </c>
      <c r="AI4728" s="43" t="str">
        <f ca="1">_xll.BInterpol('Base IPCA'!$C$3:$C$14,'Base IPCA'!$E$3:$E$14,AH4728,"Cubic","Extrapolate=Linear","MultiX=Average","Skip=True","Sort=True")</f>
        <v>#N/A Invalid Parameter: Interpolation value</v>
      </c>
      <c r="AJ4728" s="43" t="str">
        <f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58"/>
        <v>#REF!</v>
      </c>
      <c r="AI4729" s="43" t="str">
        <f ca="1">_xll.BInterpol('Base IPCA'!$C$3:$C$14,'Base IPCA'!$E$3:$E$14,AH4729,"Cubic","Extrapolate=Linear","MultiX=Average","Skip=True","Sort=True")</f>
        <v>#N/A Invalid Parameter: Interpolation value</v>
      </c>
      <c r="AJ4729" s="43" t="str">
        <f ca="1"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58"/>
        <v>#REF!</v>
      </c>
      <c r="AI4730" s="43" t="str">
        <f ca="1">_xll.BInterpol('Base IPCA'!$C$3:$C$14,'Base IPCA'!$E$3:$E$14,AH4730,"Cubic","Extrapolate=Linear","MultiX=Average","Skip=True","Sort=True")</f>
        <v>#N/A Invalid Parameter: Interpolation value</v>
      </c>
      <c r="AJ4730" s="43" t="str">
        <f ca="1"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58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 ca="1"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58"/>
        <v>#REF!</v>
      </c>
      <c r="AI4732" s="43" t="str">
        <f ca="1">_xll.BInterpol('Base IPCA'!$C$3:$C$14,'Base IPCA'!$E$3:$E$14,AH4732,"Cubic","Extrapolate=Linear","MultiX=Average","Skip=True","Sort=True")</f>
        <v>#N/A Invalid Parameter: Interpolation value</v>
      </c>
      <c r="AJ4732" s="43" t="str">
        <f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58"/>
        <v>#REF!</v>
      </c>
      <c r="AI4733" s="43" t="str">
        <f ca="1">_xll.BInterpol('Base IPCA'!$C$3:$C$14,'Base IPCA'!$E$3:$E$14,AH4733,"Cubic","Extrapolate=Linear","MultiX=Average","Skip=True","Sort=True")</f>
        <v>#N/A Invalid Parameter: Interpolation value</v>
      </c>
      <c r="AJ4733" s="43" t="str">
        <f ca="1"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58"/>
        <v>#REF!</v>
      </c>
      <c r="AI4734" s="43" t="str">
        <f ca="1">_xll.BInterpol('Base IPCA'!$C$3:$C$14,'Base IPCA'!$E$3:$E$14,AH4734,"Cubic","Extrapolate=Linear","MultiX=Average","Skip=True","Sort=True")</f>
        <v>#N/A Invalid Parameter: Interpolation value</v>
      </c>
      <c r="AJ4734" s="43" t="str">
        <f ca="1"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58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 ca="1"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58"/>
        <v>#REF!</v>
      </c>
      <c r="AI4736" s="43" t="str">
        <f ca="1">_xll.BInterpol('Base IPCA'!$C$3:$C$14,'Base IPCA'!$E$3:$E$14,AH4736,"Cubic","Extrapolate=Linear","MultiX=Average","Skip=True","Sort=True")</f>
        <v>#N/A Invalid Parameter: Interpolation value</v>
      </c>
      <c r="AJ4736" s="43" t="str">
        <f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58"/>
        <v>#REF!</v>
      </c>
      <c r="AI4737" s="43" t="str">
        <f ca="1">_xll.BInterpol('Base IPCA'!$C$3:$C$14,'Base IPCA'!$E$3:$E$14,AH4737,"Cubic","Extrapolate=Linear","MultiX=Average","Skip=True","Sort=True")</f>
        <v>#N/A Invalid Parameter: Interpolation value</v>
      </c>
      <c r="AJ4737" s="43" t="str">
        <f ca="1"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58"/>
        <v>#REF!</v>
      </c>
      <c r="AI4738" s="43" t="str">
        <f ca="1">_xll.BInterpol('Base IPCA'!$C$3:$C$14,'Base IPCA'!$E$3:$E$14,AH4738,"Cubic","Extrapolate=Linear","MultiX=Average","Skip=True","Sort=True")</f>
        <v>#N/A Invalid Parameter: Interpolation value</v>
      </c>
      <c r="AJ4738" s="43" t="str">
        <f ca="1"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58"/>
        <v>#REF!</v>
      </c>
      <c r="AI4739" s="43" t="str">
        <f>_xll.BInterpol('Base IPCA'!$C$3:$C$14,'Base IPCA'!$E$3:$E$14,AH4739,"Cubic","Extrapolate=Linear","MultiX=Average","Skip=True","Sort=True")</f>
        <v>#N/A Invalid Parameter: Interpolation value</v>
      </c>
      <c r="AJ4739" s="43" t="str">
        <f ca="1"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58"/>
        <v>#REF!</v>
      </c>
      <c r="AI4740" s="43" t="str">
        <f ca="1">_xll.BInterpol('Base IPCA'!$C$3:$C$14,'Base IPCA'!$E$3:$E$14,AH4740,"Cubic","Extrapolate=Linear","MultiX=Average","Skip=True","Sort=True")</f>
        <v>#N/A Invalid Parameter: Interpolation value</v>
      </c>
      <c r="AJ4740" s="43" t="str">
        <f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58"/>
        <v>#REF!</v>
      </c>
      <c r="AI4741" s="43" t="str">
        <f ca="1">_xll.BInterpol('Base IPCA'!$C$3:$C$14,'Base IPCA'!$E$3:$E$14,AH4741,"Cubic","Extrapolate=Linear","MultiX=Average","Skip=True","Sort=True")</f>
        <v>#N/A Invalid Parameter: Interpolation value</v>
      </c>
      <c r="AJ4741" s="43" t="str">
        <f ca="1"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59">AH4741+1</f>
        <v>#REF!</v>
      </c>
      <c r="AI4742" s="43" t="str">
        <f ca="1">_xll.BInterpol('Base IPCA'!$C$3:$C$14,'Base IPCA'!$E$3:$E$14,AH4742,"Cubic","Extrapolate=Linear","MultiX=Average","Skip=True","Sort=True")</f>
        <v>#N/A Invalid Parameter: Interpolation value</v>
      </c>
      <c r="AJ4742" s="43" t="str">
        <f ca="1"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59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 ca="1"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59"/>
        <v>#REF!</v>
      </c>
      <c r="AI4744" s="43" t="str">
        <f ca="1">_xll.BInterpol('Base IPCA'!$C$3:$C$14,'Base IPCA'!$E$3:$E$14,AH4744,"Cubic","Extrapolate=Linear","MultiX=Average","Skip=True","Sort=True")</f>
        <v>#N/A Invalid Parameter: Interpolation value</v>
      </c>
      <c r="AJ4744" s="43" t="str">
        <f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59"/>
        <v>#REF!</v>
      </c>
      <c r="AI4745" s="43" t="str">
        <f ca="1">_xll.BInterpol('Base IPCA'!$C$3:$C$14,'Base IPCA'!$E$3:$E$14,AH4745,"Cubic","Extrapolate=Linear","MultiX=Average","Skip=True","Sort=True")</f>
        <v>#N/A Invalid Parameter: Interpolation value</v>
      </c>
      <c r="AJ4745" s="43" t="str">
        <f ca="1"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59"/>
        <v>#REF!</v>
      </c>
      <c r="AI4746" s="43" t="str">
        <f ca="1">_xll.BInterpol('Base IPCA'!$C$3:$C$14,'Base IPCA'!$E$3:$E$14,AH4746,"Cubic","Extrapolate=Linear","MultiX=Average","Skip=True","Sort=True")</f>
        <v>#N/A Invalid Parameter: Interpolation value</v>
      </c>
      <c r="AJ4746" s="43" t="str">
        <f ca="1"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59"/>
        <v>#REF!</v>
      </c>
      <c r="AI4747" s="43" t="str">
        <f>_xll.BInterpol('Base IPCA'!$C$3:$C$14,'Base IPCA'!$E$3:$E$14,AH4747,"Cubic","Extrapolate=Linear","MultiX=Average","Skip=True","Sort=True")</f>
        <v>#N/A Invalid Parameter: Interpolation value</v>
      </c>
      <c r="AJ4747" s="43" t="str">
        <f ca="1"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59"/>
        <v>#REF!</v>
      </c>
      <c r="AI4748" s="43" t="str">
        <f ca="1">_xll.BInterpol('Base IPCA'!$C$3:$C$14,'Base IPCA'!$E$3:$E$14,AH4748,"Cubic","Extrapolate=Linear","MultiX=Average","Skip=True","Sort=True")</f>
        <v>#N/A Invalid Parameter: Interpolation value</v>
      </c>
      <c r="AJ4748" s="43" t="str">
        <f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59"/>
        <v>#REF!</v>
      </c>
      <c r="AI4749" s="43" t="str">
        <f ca="1">_xll.BInterpol('Base IPCA'!$C$3:$C$14,'Base IPCA'!$E$3:$E$14,AH4749,"Cubic","Extrapolate=Linear","MultiX=Average","Skip=True","Sort=True")</f>
        <v>#N/A Invalid Parameter: Interpolation value</v>
      </c>
      <c r="AJ4749" s="43" t="str">
        <f ca="1"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59"/>
        <v>#REF!</v>
      </c>
      <c r="AI4750" s="43" t="str">
        <f ca="1">_xll.BInterpol('Base IPCA'!$C$3:$C$14,'Base IPCA'!$E$3:$E$14,AH4750,"Cubic","Extrapolate=Linear","MultiX=Average","Skip=True","Sort=True")</f>
        <v>#N/A Invalid Parameter: Interpolation value</v>
      </c>
      <c r="AJ4750" s="43" t="str">
        <f ca="1"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59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 ca="1"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59"/>
        <v>#REF!</v>
      </c>
      <c r="AI4752" s="43" t="str">
        <f ca="1">_xll.BInterpol('Base IPCA'!$C$3:$C$14,'Base IPCA'!$E$3:$E$14,AH4752,"Cubic","Extrapolate=Linear","MultiX=Average","Skip=True","Sort=True")</f>
        <v>#N/A Invalid Parameter: Interpolation value</v>
      </c>
      <c r="AJ4752" s="43" t="str">
        <f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59"/>
        <v>#REF!</v>
      </c>
      <c r="AI4753" s="43" t="str">
        <f ca="1">_xll.BInterpol('Base IPCA'!$C$3:$C$14,'Base IPCA'!$E$3:$E$14,AH4753,"Cubic","Extrapolate=Linear","MultiX=Average","Skip=True","Sort=True")</f>
        <v>#N/A Invalid Parameter: Interpolation value</v>
      </c>
      <c r="AJ4753" s="43" t="str">
        <f ca="1"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59"/>
        <v>#REF!</v>
      </c>
      <c r="AI4754" s="43" t="str">
        <f ca="1">_xll.BInterpol('Base IPCA'!$C$3:$C$14,'Base IPCA'!$E$3:$E$14,AH4754,"Cubic","Extrapolate=Linear","MultiX=Average","Skip=True","Sort=True")</f>
        <v>#N/A Invalid Parameter: Interpolation value</v>
      </c>
      <c r="AJ4754" s="43" t="str">
        <f ca="1"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59"/>
        <v>#REF!</v>
      </c>
      <c r="AI4755" s="43" t="str">
        <f>_xll.BInterpol('Base IPCA'!$C$3:$C$14,'Base IPCA'!$E$3:$E$14,AH4755,"Cubic","Extrapolate=Linear","MultiX=Average","Skip=True","Sort=True")</f>
        <v>#N/A Invalid Parameter: Interpolation value</v>
      </c>
      <c r="AJ4755" s="43" t="str">
        <f ca="1"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59"/>
        <v>#REF!</v>
      </c>
      <c r="AI4756" s="43" t="str">
        <f ca="1">_xll.BInterpol('Base IPCA'!$C$3:$C$14,'Base IPCA'!$E$3:$E$14,AH4756,"Cubic","Extrapolate=Linear","MultiX=Average","Skip=True","Sort=True")</f>
        <v>#N/A Invalid Parameter: Interpolation value</v>
      </c>
      <c r="AJ4756" s="43" t="str">
        <f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59"/>
        <v>#REF!</v>
      </c>
      <c r="AI4757" s="43" t="str">
        <f ca="1">_xll.BInterpol('Base IPCA'!$C$3:$C$14,'Base IPCA'!$E$3:$E$14,AH4757,"Cubic","Extrapolate=Linear","MultiX=Average","Skip=True","Sort=True")</f>
        <v>#N/A Invalid Parameter: Interpolation value</v>
      </c>
      <c r="AJ4757" s="43" t="str">
        <f ca="1"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59"/>
        <v>#REF!</v>
      </c>
      <c r="AI4758" s="43" t="str">
        <f ca="1">_xll.BInterpol('Base IPCA'!$C$3:$C$14,'Base IPCA'!$E$3:$E$14,AH4758,"Cubic","Extrapolate=Linear","MultiX=Average","Skip=True","Sort=True")</f>
        <v>#N/A Invalid Parameter: Interpolation value</v>
      </c>
      <c r="AJ4758" s="43" t="str">
        <f ca="1"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59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 ca="1"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59"/>
        <v>#REF!</v>
      </c>
      <c r="AI4760" s="43" t="str">
        <f ca="1">_xll.BInterpol('Base IPCA'!$C$3:$C$14,'Base IPCA'!$E$3:$E$14,AH4760,"Cubic","Extrapolate=Linear","MultiX=Average","Skip=True","Sort=True")</f>
        <v>#N/A Invalid Parameter: Interpolation value</v>
      </c>
      <c r="AJ4760" s="43" t="str">
        <f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59"/>
        <v>#REF!</v>
      </c>
      <c r="AI4761" s="43" t="str">
        <f ca="1">_xll.BInterpol('Base IPCA'!$C$3:$C$14,'Base IPCA'!$E$3:$E$14,AH4761,"Cubic","Extrapolate=Linear","MultiX=Average","Skip=True","Sort=True")</f>
        <v>#N/A Invalid Parameter: Interpolation value</v>
      </c>
      <c r="AJ4761" s="43" t="str">
        <f ca="1"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59"/>
        <v>#REF!</v>
      </c>
      <c r="AI4762" s="43" t="str">
        <f ca="1">_xll.BInterpol('Base IPCA'!$C$3:$C$14,'Base IPCA'!$E$3:$E$14,AH4762,"Cubic","Extrapolate=Linear","MultiX=Average","Skip=True","Sort=True")</f>
        <v>#N/A Invalid Parameter: Interpolation value</v>
      </c>
      <c r="AJ4762" s="43" t="str">
        <f ca="1"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59"/>
        <v>#REF!</v>
      </c>
      <c r="AI4763" s="43" t="str">
        <f>_xll.BInterpol('Base IPCA'!$C$3:$C$14,'Base IPCA'!$E$3:$E$14,AH4763,"Cubic","Extrapolate=Linear","MultiX=Average","Skip=True","Sort=True")</f>
        <v>#N/A Invalid Parameter: Interpolation value</v>
      </c>
      <c r="AJ4763" s="43" t="str">
        <f ca="1"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59"/>
        <v>#REF!</v>
      </c>
      <c r="AI4764" s="43" t="str">
        <f ca="1">_xll.BInterpol('Base IPCA'!$C$3:$C$14,'Base IPCA'!$E$3:$E$14,AH4764,"Cubic","Extrapolate=Linear","MultiX=Average","Skip=True","Sort=True")</f>
        <v>#N/A Invalid Parameter: Interpolation value</v>
      </c>
      <c r="AJ4764" s="43" t="str">
        <f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59"/>
        <v>#REF!</v>
      </c>
      <c r="AI4765" s="43" t="str">
        <f ca="1">_xll.BInterpol('Base IPCA'!$C$3:$C$14,'Base IPCA'!$E$3:$E$14,AH4765,"Cubic","Extrapolate=Linear","MultiX=Average","Skip=True","Sort=True")</f>
        <v>#N/A Invalid Parameter: Interpolation value</v>
      </c>
      <c r="AJ4765" s="43" t="str">
        <f ca="1"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59"/>
        <v>#REF!</v>
      </c>
      <c r="AI4766" s="43" t="str">
        <f ca="1">_xll.BInterpol('Base IPCA'!$C$3:$C$14,'Base IPCA'!$E$3:$E$14,AH4766,"Cubic","Extrapolate=Linear","MultiX=Average","Skip=True","Sort=True")</f>
        <v>#N/A Invalid Parameter: Interpolation value</v>
      </c>
      <c r="AJ4766" s="43" t="str">
        <f ca="1"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59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 ca="1"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59"/>
        <v>#REF!</v>
      </c>
      <c r="AI4768" s="43" t="str">
        <f ca="1">_xll.BInterpol('Base IPCA'!$C$3:$C$14,'Base IPCA'!$E$3:$E$14,AH4768,"Cubic","Extrapolate=Linear","MultiX=Average","Skip=True","Sort=True")</f>
        <v>#N/A Invalid Parameter: Interpolation value</v>
      </c>
      <c r="AJ4768" s="43" t="str">
        <f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59"/>
        <v>#REF!</v>
      </c>
      <c r="AI4769" s="43" t="str">
        <f ca="1">_xll.BInterpol('Base IPCA'!$C$3:$C$14,'Base IPCA'!$E$3:$E$14,AH4769,"Cubic","Extrapolate=Linear","MultiX=Average","Skip=True","Sort=True")</f>
        <v>#N/A Invalid Parameter: Interpolation value</v>
      </c>
      <c r="AJ4769" s="43" t="str">
        <f ca="1"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59"/>
        <v>#REF!</v>
      </c>
      <c r="AI4770" s="43" t="str">
        <f ca="1">_xll.BInterpol('Base IPCA'!$C$3:$C$14,'Base IPCA'!$E$3:$E$14,AH4770,"Cubic","Extrapolate=Linear","MultiX=Average","Skip=True","Sort=True")</f>
        <v>#N/A Invalid Parameter: Interpolation value</v>
      </c>
      <c r="AJ4770" s="43" t="str">
        <f ca="1"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59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 ca="1"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59"/>
        <v>#REF!</v>
      </c>
      <c r="AI4772" s="43" t="str">
        <f ca="1">_xll.BInterpol('Base IPCA'!$C$3:$C$14,'Base IPCA'!$E$3:$E$14,AH4772,"Cubic","Extrapolate=Linear","MultiX=Average","Skip=True","Sort=True")</f>
        <v>#N/A Invalid Parameter: Interpolation value</v>
      </c>
      <c r="AJ4772" s="43" t="str">
        <f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59"/>
        <v>#REF!</v>
      </c>
      <c r="AI4773" s="43" t="str">
        <f ca="1">_xll.BInterpol('Base IPCA'!$C$3:$C$14,'Base IPCA'!$E$3:$E$14,AH4773,"Cubic","Extrapolate=Linear","MultiX=Average","Skip=True","Sort=True")</f>
        <v>#N/A Invalid Parameter: Interpolation value</v>
      </c>
      <c r="AJ4773" s="43" t="str">
        <f ca="1"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59"/>
        <v>#REF!</v>
      </c>
      <c r="AI4774" s="43" t="str">
        <f ca="1">_xll.BInterpol('Base IPCA'!$C$3:$C$14,'Base IPCA'!$E$3:$E$14,AH4774,"Cubic","Extrapolate=Linear","MultiX=Average","Skip=True","Sort=True")</f>
        <v>#N/A Invalid Parameter: Interpolation value</v>
      </c>
      <c r="AJ4774" s="43" t="str">
        <f ca="1"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59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 ca="1"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59"/>
        <v>#REF!</v>
      </c>
      <c r="AI4776" s="43" t="str">
        <f ca="1">_xll.BInterpol('Base IPCA'!$C$3:$C$14,'Base IPCA'!$E$3:$E$14,AH4776,"Cubic","Extrapolate=Linear","MultiX=Average","Skip=True","Sort=True")</f>
        <v>#N/A Invalid Parameter: Interpolation value</v>
      </c>
      <c r="AJ4776" s="43" t="str">
        <f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59"/>
        <v>#REF!</v>
      </c>
      <c r="AI4777" s="43" t="str">
        <f ca="1">_xll.BInterpol('Base IPCA'!$C$3:$C$14,'Base IPCA'!$E$3:$E$14,AH4777,"Cubic","Extrapolate=Linear","MultiX=Average","Skip=True","Sort=True")</f>
        <v>#N/A Invalid Parameter: Interpolation value</v>
      </c>
      <c r="AJ4777" s="43" t="str">
        <f ca="1"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59"/>
        <v>#REF!</v>
      </c>
      <c r="AI4778" s="43" t="str">
        <f ca="1">_xll.BInterpol('Base IPCA'!$C$3:$C$14,'Base IPCA'!$E$3:$E$14,AH4778,"Cubic","Extrapolate=Linear","MultiX=Average","Skip=True","Sort=True")</f>
        <v>#N/A Invalid Parameter: Interpolation value</v>
      </c>
      <c r="AJ4778" s="43" t="str">
        <f ca="1"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59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 ca="1"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59"/>
        <v>#REF!</v>
      </c>
      <c r="AI4780" s="43" t="str">
        <f ca="1">_xll.BInterpol('Base IPCA'!$C$3:$C$14,'Base IPCA'!$E$3:$E$14,AH4780,"Cubic","Extrapolate=Linear","MultiX=Average","Skip=True","Sort=True")</f>
        <v>#N/A Invalid Parameter: Interpolation value</v>
      </c>
      <c r="AJ4780" s="43" t="str">
        <f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59"/>
        <v>#REF!</v>
      </c>
      <c r="AI4781" s="43" t="str">
        <f ca="1">_xll.BInterpol('Base IPCA'!$C$3:$C$14,'Base IPCA'!$E$3:$E$14,AH4781,"Cubic","Extrapolate=Linear","MultiX=Average","Skip=True","Sort=True")</f>
        <v>#N/A Invalid Parameter: Interpolation value</v>
      </c>
      <c r="AJ4781" s="43" t="str">
        <f ca="1"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59"/>
        <v>#REF!</v>
      </c>
      <c r="AI4782" s="43" t="str">
        <f ca="1">_xll.BInterpol('Base IPCA'!$C$3:$C$14,'Base IPCA'!$E$3:$E$14,AH4782,"Cubic","Extrapolate=Linear","MultiX=Average","Skip=True","Sort=True")</f>
        <v>#N/A Invalid Parameter: Interpolation value</v>
      </c>
      <c r="AJ4782" s="43" t="str">
        <f ca="1"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59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 ca="1"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59"/>
        <v>#REF!</v>
      </c>
      <c r="AI4784" s="43" t="str">
        <f ca="1">_xll.BInterpol('Base IPCA'!$C$3:$C$14,'Base IPCA'!$E$3:$E$14,AH4784,"Cubic","Extrapolate=Linear","MultiX=Average","Skip=True","Sort=True")</f>
        <v>#N/A Invalid Parameter: Interpolation value</v>
      </c>
      <c r="AJ4784" s="43" t="str">
        <f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59"/>
        <v>#REF!</v>
      </c>
      <c r="AI4785" s="43" t="str">
        <f ca="1">_xll.BInterpol('Base IPCA'!$C$3:$C$14,'Base IPCA'!$E$3:$E$14,AH4785,"Cubic","Extrapolate=Linear","MultiX=Average","Skip=True","Sort=True")</f>
        <v>#N/A Invalid Parameter: Interpolation value</v>
      </c>
      <c r="AJ4785" s="43" t="str">
        <f ca="1"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59"/>
        <v>#REF!</v>
      </c>
      <c r="AI4786" s="43" t="str">
        <f ca="1">_xll.BInterpol('Base IPCA'!$C$3:$C$14,'Base IPCA'!$E$3:$E$14,AH4786,"Cubic","Extrapolate=Linear","MultiX=Average","Skip=True","Sort=True")</f>
        <v>#N/A Invalid Parameter: Interpolation value</v>
      </c>
      <c r="AJ4786" s="43" t="str">
        <f ca="1"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59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 ca="1"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59"/>
        <v>#REF!</v>
      </c>
      <c r="AI4788" s="43" t="str">
        <f ca="1">_xll.BInterpol('Base IPCA'!$C$3:$C$14,'Base IPCA'!$E$3:$E$14,AH4788,"Cubic","Extrapolate=Linear","MultiX=Average","Skip=True","Sort=True")</f>
        <v>#N/A Invalid Parameter: Interpolation value</v>
      </c>
      <c r="AJ4788" s="43" t="str">
        <f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59"/>
        <v>#REF!</v>
      </c>
      <c r="AI4789" s="43" t="str">
        <f ca="1">_xll.BInterpol('Base IPCA'!$C$3:$C$14,'Base IPCA'!$E$3:$E$14,AH4789,"Cubic","Extrapolate=Linear","MultiX=Average","Skip=True","Sort=True")</f>
        <v>#N/A Invalid Parameter: Interpolation value</v>
      </c>
      <c r="AJ4789" s="43" t="str">
        <f ca="1"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59"/>
        <v>#REF!</v>
      </c>
      <c r="AI4790" s="43" t="str">
        <f ca="1">_xll.BInterpol('Base IPCA'!$C$3:$C$14,'Base IPCA'!$E$3:$E$14,AH4790,"Cubic","Extrapolate=Linear","MultiX=Average","Skip=True","Sort=True")</f>
        <v>#N/A Invalid Parameter: Interpolation value</v>
      </c>
      <c r="AJ4790" s="43" t="str">
        <f ca="1"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59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 ca="1"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59"/>
        <v>#REF!</v>
      </c>
      <c r="AI4792" s="43" t="str">
        <f ca="1">_xll.BInterpol('Base IPCA'!$C$3:$C$14,'Base IPCA'!$E$3:$E$14,AH4792,"Cubic","Extrapolate=Linear","MultiX=Average","Skip=True","Sort=True")</f>
        <v>#N/A Invalid Parameter: Interpolation value</v>
      </c>
      <c r="AJ4792" s="43" t="str">
        <f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59"/>
        <v>#REF!</v>
      </c>
      <c r="AI4793" s="43" t="str">
        <f ca="1">_xll.BInterpol('Base IPCA'!$C$3:$C$14,'Base IPCA'!$E$3:$E$14,AH4793,"Cubic","Extrapolate=Linear","MultiX=Average","Skip=True","Sort=True")</f>
        <v>#N/A Invalid Parameter: Interpolation value</v>
      </c>
      <c r="AJ4793" s="43" t="str">
        <f ca="1"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59"/>
        <v>#REF!</v>
      </c>
      <c r="AI4794" s="43" t="str">
        <f ca="1">_xll.BInterpol('Base IPCA'!$C$3:$C$14,'Base IPCA'!$E$3:$E$14,AH4794,"Cubic","Extrapolate=Linear","MultiX=Average","Skip=True","Sort=True")</f>
        <v>#N/A Invalid Parameter: Interpolation value</v>
      </c>
      <c r="AJ4794" s="43" t="str">
        <f ca="1"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59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 ca="1"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59"/>
        <v>#REF!</v>
      </c>
      <c r="AI4796" s="43" t="str">
        <f ca="1">_xll.BInterpol('Base IPCA'!$C$3:$C$14,'Base IPCA'!$E$3:$E$14,AH4796,"Cubic","Extrapolate=Linear","MultiX=Average","Skip=True","Sort=True")</f>
        <v>#N/A Invalid Parameter: Interpolation value</v>
      </c>
      <c r="AJ4796" s="43" t="str">
        <f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59"/>
        <v>#REF!</v>
      </c>
      <c r="AI4797" s="43" t="str">
        <f ca="1">_xll.BInterpol('Base IPCA'!$C$3:$C$14,'Base IPCA'!$E$3:$E$14,AH4797,"Cubic","Extrapolate=Linear","MultiX=Average","Skip=True","Sort=True")</f>
        <v>#N/A Invalid Parameter: Interpolation value</v>
      </c>
      <c r="AJ4797" s="43" t="str">
        <f ca="1"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59"/>
        <v>#REF!</v>
      </c>
      <c r="AI4798" s="43" t="str">
        <f ca="1">_xll.BInterpol('Base IPCA'!$C$3:$C$14,'Base IPCA'!$E$3:$E$14,AH4798,"Cubic","Extrapolate=Linear","MultiX=Average","Skip=True","Sort=True")</f>
        <v>#N/A Invalid Parameter: Interpolation value</v>
      </c>
      <c r="AJ4798" s="43" t="str">
        <f ca="1"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59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 ca="1"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59"/>
        <v>#REF!</v>
      </c>
      <c r="AI4800" s="43" t="str">
        <f ca="1">_xll.BInterpol('Base IPCA'!$C$3:$C$14,'Base IPCA'!$E$3:$E$14,AH4800,"Cubic","Extrapolate=Linear","MultiX=Average","Skip=True","Sort=True")</f>
        <v>#N/A Invalid Parameter: Interpolation value</v>
      </c>
      <c r="AJ4800" s="43" t="str">
        <f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59"/>
        <v>#REF!</v>
      </c>
      <c r="AI4801" s="43" t="str">
        <f ca="1">_xll.BInterpol('Base IPCA'!$C$3:$C$14,'Base IPCA'!$E$3:$E$14,AH4801,"Cubic","Extrapolate=Linear","MultiX=Average","Skip=True","Sort=True")</f>
        <v>#N/A Invalid Parameter: Interpolation value</v>
      </c>
      <c r="AJ4801" s="43" t="str">
        <f ca="1"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59"/>
        <v>#REF!</v>
      </c>
      <c r="AI4802" s="43" t="str">
        <f ca="1">_xll.BInterpol('Base IPCA'!$C$3:$C$14,'Base IPCA'!$E$3:$E$14,AH4802,"Cubic","Extrapolate=Linear","MultiX=Average","Skip=True","Sort=True")</f>
        <v>#N/A Invalid Parameter: Interpolation value</v>
      </c>
      <c r="AJ4802" s="43" t="str">
        <f ca="1"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59"/>
        <v>#REF!</v>
      </c>
      <c r="AI4803" s="43" t="str">
        <f>_xll.BInterpol('Base IPCA'!$C$3:$C$14,'Base IPCA'!$E$3:$E$14,AH4803,"Cubic","Extrapolate=Linear","MultiX=Average","Skip=True","Sort=True")</f>
        <v>#N/A Invalid Parameter: Interpolation value</v>
      </c>
      <c r="AJ4803" s="43" t="str">
        <f ca="1"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59"/>
        <v>#REF!</v>
      </c>
      <c r="AI4804" s="43" t="str">
        <f ca="1">_xll.BInterpol('Base IPCA'!$C$3:$C$14,'Base IPCA'!$E$3:$E$14,AH4804,"Cubic","Extrapolate=Linear","MultiX=Average","Skip=True","Sort=True")</f>
        <v>#N/A Invalid Parameter: Interpolation value</v>
      </c>
      <c r="AJ4804" s="43" t="str">
        <f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59"/>
        <v>#REF!</v>
      </c>
      <c r="AI4805" s="43" t="str">
        <f ca="1">_xll.BInterpol('Base IPCA'!$C$3:$C$14,'Base IPCA'!$E$3:$E$14,AH4805,"Cubic","Extrapolate=Linear","MultiX=Average","Skip=True","Sort=True")</f>
        <v>#N/A Invalid Parameter: Interpolation value</v>
      </c>
      <c r="AJ4805" s="43" t="str">
        <f ca="1"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0">AH4805+1</f>
        <v>#REF!</v>
      </c>
      <c r="AI4806" s="43" t="str">
        <f ca="1">_xll.BInterpol('Base IPCA'!$C$3:$C$14,'Base IPCA'!$E$3:$E$14,AH4806,"Cubic","Extrapolate=Linear","MultiX=Average","Skip=True","Sort=True")</f>
        <v>#N/A Invalid Parameter: Interpolation value</v>
      </c>
      <c r="AJ4806" s="43" t="str">
        <f ca="1"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0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 ca="1"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0"/>
        <v>#REF!</v>
      </c>
      <c r="AI4808" s="43" t="str">
        <f ca="1">_xll.BInterpol('Base IPCA'!$C$3:$C$14,'Base IPCA'!$E$3:$E$14,AH4808,"Cubic","Extrapolate=Linear","MultiX=Average","Skip=True","Sort=True")</f>
        <v>#N/A Invalid Parameter: Interpolation value</v>
      </c>
      <c r="AJ4808" s="43" t="str">
        <f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0"/>
        <v>#REF!</v>
      </c>
      <c r="AI4809" s="43" t="str">
        <f ca="1">_xll.BInterpol('Base IPCA'!$C$3:$C$14,'Base IPCA'!$E$3:$E$14,AH4809,"Cubic","Extrapolate=Linear","MultiX=Average","Skip=True","Sort=True")</f>
        <v>#N/A Invalid Parameter: Interpolation value</v>
      </c>
      <c r="AJ4809" s="43" t="str">
        <f ca="1"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0"/>
        <v>#REF!</v>
      </c>
      <c r="AI4810" s="43" t="str">
        <f ca="1">_xll.BInterpol('Base IPCA'!$C$3:$C$14,'Base IPCA'!$E$3:$E$14,AH4810,"Cubic","Extrapolate=Linear","MultiX=Average","Skip=True","Sort=True")</f>
        <v>#N/A Invalid Parameter: Interpolation value</v>
      </c>
      <c r="AJ4810" s="43" t="str">
        <f ca="1"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0"/>
        <v>#REF!</v>
      </c>
      <c r="AI4811" s="43" t="str">
        <f>_xll.BInterpol('Base IPCA'!$C$3:$C$14,'Base IPCA'!$E$3:$E$14,AH4811,"Cubic","Extrapolate=Linear","MultiX=Average","Skip=True","Sort=True")</f>
        <v>#N/A Invalid Parameter: Interpolation value</v>
      </c>
      <c r="AJ4811" s="43" t="str">
        <f ca="1"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0"/>
        <v>#REF!</v>
      </c>
      <c r="AI4812" s="43" t="str">
        <f ca="1">_xll.BInterpol('Base IPCA'!$C$3:$C$14,'Base IPCA'!$E$3:$E$14,AH4812,"Cubic","Extrapolate=Linear","MultiX=Average","Skip=True","Sort=True")</f>
        <v>#N/A Invalid Parameter: Interpolation value</v>
      </c>
      <c r="AJ4812" s="43" t="str">
        <f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0"/>
        <v>#REF!</v>
      </c>
      <c r="AI4813" s="43" t="str">
        <f ca="1">_xll.BInterpol('Base IPCA'!$C$3:$C$14,'Base IPCA'!$E$3:$E$14,AH4813,"Cubic","Extrapolate=Linear","MultiX=Average","Skip=True","Sort=True")</f>
        <v>#N/A Invalid Parameter: Interpolation value</v>
      </c>
      <c r="AJ4813" s="43" t="str">
        <f ca="1"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0"/>
        <v>#REF!</v>
      </c>
      <c r="AI4814" s="43" t="str">
        <f ca="1">_xll.BInterpol('Base IPCA'!$C$3:$C$14,'Base IPCA'!$E$3:$E$14,AH4814,"Cubic","Extrapolate=Linear","MultiX=Average","Skip=True","Sort=True")</f>
        <v>#N/A Invalid Parameter: Interpolation value</v>
      </c>
      <c r="AJ4814" s="43" t="str">
        <f ca="1"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0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 ca="1"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0"/>
        <v>#REF!</v>
      </c>
      <c r="AI4816" s="43" t="str">
        <f ca="1">_xll.BInterpol('Base IPCA'!$C$3:$C$14,'Base IPCA'!$E$3:$E$14,AH4816,"Cubic","Extrapolate=Linear","MultiX=Average","Skip=True","Sort=True")</f>
        <v>#N/A Invalid Parameter: Interpolation value</v>
      </c>
      <c r="AJ4816" s="43" t="str">
        <f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0"/>
        <v>#REF!</v>
      </c>
      <c r="AI4817" s="43" t="str">
        <f ca="1">_xll.BInterpol('Base IPCA'!$C$3:$C$14,'Base IPCA'!$E$3:$E$14,AH4817,"Cubic","Extrapolate=Linear","MultiX=Average","Skip=True","Sort=True")</f>
        <v>#N/A Invalid Parameter: Interpolation value</v>
      </c>
      <c r="AJ4817" s="43" t="str">
        <f ca="1"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0"/>
        <v>#REF!</v>
      </c>
      <c r="AI4818" s="43" t="str">
        <f ca="1">_xll.BInterpol('Base IPCA'!$C$3:$C$14,'Base IPCA'!$E$3:$E$14,AH4818,"Cubic","Extrapolate=Linear","MultiX=Average","Skip=True","Sort=True")</f>
        <v>#N/A Invalid Parameter: Interpolation value</v>
      </c>
      <c r="AJ4818" s="43" t="str">
        <f ca="1"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0"/>
        <v>#REF!</v>
      </c>
      <c r="AI4819" s="43" t="str">
        <f>_xll.BInterpol('Base IPCA'!$C$3:$C$14,'Base IPCA'!$E$3:$E$14,AH4819,"Cubic","Extrapolate=Linear","MultiX=Average","Skip=True","Sort=True")</f>
        <v>#N/A Invalid Parameter: Interpolation value</v>
      </c>
      <c r="AJ4819" s="43" t="str">
        <f ca="1"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0"/>
        <v>#REF!</v>
      </c>
      <c r="AI4820" s="43" t="str">
        <f ca="1">_xll.BInterpol('Base IPCA'!$C$3:$C$14,'Base IPCA'!$E$3:$E$14,AH4820,"Cubic","Extrapolate=Linear","MultiX=Average","Skip=True","Sort=True")</f>
        <v>#N/A Invalid Parameter: Interpolation value</v>
      </c>
      <c r="AJ4820" s="43" t="str">
        <f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0"/>
        <v>#REF!</v>
      </c>
      <c r="AI4821" s="43" t="str">
        <f ca="1">_xll.BInterpol('Base IPCA'!$C$3:$C$14,'Base IPCA'!$E$3:$E$14,AH4821,"Cubic","Extrapolate=Linear","MultiX=Average","Skip=True","Sort=True")</f>
        <v>#N/A Invalid Parameter: Interpolation value</v>
      </c>
      <c r="AJ4821" s="43" t="str">
        <f ca="1"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0"/>
        <v>#REF!</v>
      </c>
      <c r="AI4822" s="43" t="str">
        <f ca="1">_xll.BInterpol('Base IPCA'!$C$3:$C$14,'Base IPCA'!$E$3:$E$14,AH4822,"Cubic","Extrapolate=Linear","MultiX=Average","Skip=True","Sort=True")</f>
        <v>#N/A Invalid Parameter: Interpolation value</v>
      </c>
      <c r="AJ4822" s="43" t="str">
        <f ca="1"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0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 ca="1"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0"/>
        <v>#REF!</v>
      </c>
      <c r="AI4824" s="43" t="str">
        <f ca="1">_xll.BInterpol('Base IPCA'!$C$3:$C$14,'Base IPCA'!$E$3:$E$14,AH4824,"Cubic","Extrapolate=Linear","MultiX=Average","Skip=True","Sort=True")</f>
        <v>#N/A Invalid Parameter: Interpolation value</v>
      </c>
      <c r="AJ4824" s="43" t="str">
        <f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0"/>
        <v>#REF!</v>
      </c>
      <c r="AI4825" s="43" t="str">
        <f ca="1">_xll.BInterpol('Base IPCA'!$C$3:$C$14,'Base IPCA'!$E$3:$E$14,AH4825,"Cubic","Extrapolate=Linear","MultiX=Average","Skip=True","Sort=True")</f>
        <v>#N/A Invalid Parameter: Interpolation value</v>
      </c>
      <c r="AJ4825" s="43" t="str">
        <f ca="1"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0"/>
        <v>#REF!</v>
      </c>
      <c r="AI4826" s="43" t="str">
        <f ca="1">_xll.BInterpol('Base IPCA'!$C$3:$C$14,'Base IPCA'!$E$3:$E$14,AH4826,"Cubic","Extrapolate=Linear","MultiX=Average","Skip=True","Sort=True")</f>
        <v>#N/A Invalid Parameter: Interpolation value</v>
      </c>
      <c r="AJ4826" s="43" t="str">
        <f ca="1"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0"/>
        <v>#REF!</v>
      </c>
      <c r="AI4827" s="43" t="str">
        <f>_xll.BInterpol('Base IPCA'!$C$3:$C$14,'Base IPCA'!$E$3:$E$14,AH4827,"Cubic","Extrapolate=Linear","MultiX=Average","Skip=True","Sort=True")</f>
        <v>#N/A Invalid Parameter: Interpolation value</v>
      </c>
      <c r="AJ4827" s="43" t="str">
        <f ca="1"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0"/>
        <v>#REF!</v>
      </c>
      <c r="AI4828" s="43" t="str">
        <f ca="1">_xll.BInterpol('Base IPCA'!$C$3:$C$14,'Base IPCA'!$E$3:$E$14,AH4828,"Cubic","Extrapolate=Linear","MultiX=Average","Skip=True","Sort=True")</f>
        <v>#N/A Invalid Parameter: Interpolation value</v>
      </c>
      <c r="AJ4828" s="43" t="str">
        <f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0"/>
        <v>#REF!</v>
      </c>
      <c r="AI4829" s="43" t="str">
        <f ca="1">_xll.BInterpol('Base IPCA'!$C$3:$C$14,'Base IPCA'!$E$3:$E$14,AH4829,"Cubic","Extrapolate=Linear","MultiX=Average","Skip=True","Sort=True")</f>
        <v>#N/A Invalid Parameter: Interpolation value</v>
      </c>
      <c r="AJ4829" s="43" t="str">
        <f ca="1"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0"/>
        <v>#REF!</v>
      </c>
      <c r="AI4830" s="43" t="str">
        <f ca="1">_xll.BInterpol('Base IPCA'!$C$3:$C$14,'Base IPCA'!$E$3:$E$14,AH4830,"Cubic","Extrapolate=Linear","MultiX=Average","Skip=True","Sort=True")</f>
        <v>#N/A Invalid Parameter: Interpolation value</v>
      </c>
      <c r="AJ4830" s="43" t="str">
        <f ca="1"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0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 ca="1"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0"/>
        <v>#REF!</v>
      </c>
      <c r="AI4832" s="43" t="str">
        <f ca="1">_xll.BInterpol('Base IPCA'!$C$3:$C$14,'Base IPCA'!$E$3:$E$14,AH4832,"Cubic","Extrapolate=Linear","MultiX=Average","Skip=True","Sort=True")</f>
        <v>#N/A Invalid Parameter: Interpolation value</v>
      </c>
      <c r="AJ4832" s="43" t="str">
        <f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0"/>
        <v>#REF!</v>
      </c>
      <c r="AI4833" s="43" t="str">
        <f ca="1">_xll.BInterpol('Base IPCA'!$C$3:$C$14,'Base IPCA'!$E$3:$E$14,AH4833,"Cubic","Extrapolate=Linear","MultiX=Average","Skip=True","Sort=True")</f>
        <v>#N/A Invalid Parameter: Interpolation value</v>
      </c>
      <c r="AJ4833" s="43" t="str">
        <f ca="1"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0"/>
        <v>#REF!</v>
      </c>
      <c r="AI4834" s="43" t="str">
        <f ca="1">_xll.BInterpol('Base IPCA'!$C$3:$C$14,'Base IPCA'!$E$3:$E$14,AH4834,"Cubic","Extrapolate=Linear","MultiX=Average","Skip=True","Sort=True")</f>
        <v>#N/A Invalid Parameter: Interpolation value</v>
      </c>
      <c r="AJ4834" s="43" t="str">
        <f ca="1"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0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 ca="1"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0"/>
        <v>#REF!</v>
      </c>
      <c r="AI4836" s="43" t="str">
        <f ca="1">_xll.BInterpol('Base IPCA'!$C$3:$C$14,'Base IPCA'!$E$3:$E$14,AH4836,"Cubic","Extrapolate=Linear","MultiX=Average","Skip=True","Sort=True")</f>
        <v>#N/A Invalid Parameter: Interpolation value</v>
      </c>
      <c r="AJ4836" s="43" t="str">
        <f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0"/>
        <v>#REF!</v>
      </c>
      <c r="AI4837" s="43" t="str">
        <f ca="1">_xll.BInterpol('Base IPCA'!$C$3:$C$14,'Base IPCA'!$E$3:$E$14,AH4837,"Cubic","Extrapolate=Linear","MultiX=Average","Skip=True","Sort=True")</f>
        <v>#N/A Invalid Parameter: Interpolation value</v>
      </c>
      <c r="AJ4837" s="43" t="str">
        <f ca="1"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0"/>
        <v>#REF!</v>
      </c>
      <c r="AI4838" s="43" t="str">
        <f ca="1">_xll.BInterpol('Base IPCA'!$C$3:$C$14,'Base IPCA'!$E$3:$E$14,AH4838,"Cubic","Extrapolate=Linear","MultiX=Average","Skip=True","Sort=True")</f>
        <v>#N/A Invalid Parameter: Interpolation value</v>
      </c>
      <c r="AJ4838" s="43" t="str">
        <f ca="1"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0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 ca="1"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0"/>
        <v>#REF!</v>
      </c>
      <c r="AI4840" s="43" t="str">
        <f ca="1">_xll.BInterpol('Base IPCA'!$C$3:$C$14,'Base IPCA'!$E$3:$E$14,AH4840,"Cubic","Extrapolate=Linear","MultiX=Average","Skip=True","Sort=True")</f>
        <v>#N/A Invalid Parameter: Interpolation value</v>
      </c>
      <c r="AJ4840" s="43" t="str">
        <f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0"/>
        <v>#REF!</v>
      </c>
      <c r="AI4841" s="43" t="str">
        <f ca="1">_xll.BInterpol('Base IPCA'!$C$3:$C$14,'Base IPCA'!$E$3:$E$14,AH4841,"Cubic","Extrapolate=Linear","MultiX=Average","Skip=True","Sort=True")</f>
        <v>#N/A Invalid Parameter: Interpolation value</v>
      </c>
      <c r="AJ4841" s="43" t="str">
        <f ca="1"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0"/>
        <v>#REF!</v>
      </c>
      <c r="AI4842" s="43" t="str">
        <f ca="1">_xll.BInterpol('Base IPCA'!$C$3:$C$14,'Base IPCA'!$E$3:$E$14,AH4842,"Cubic","Extrapolate=Linear","MultiX=Average","Skip=True","Sort=True")</f>
        <v>#N/A Invalid Parameter: Interpolation value</v>
      </c>
      <c r="AJ4842" s="43" t="str">
        <f ca="1"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0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 ca="1"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0"/>
        <v>#REF!</v>
      </c>
      <c r="AI4844" s="43" t="str">
        <f ca="1">_xll.BInterpol('Base IPCA'!$C$3:$C$14,'Base IPCA'!$E$3:$E$14,AH4844,"Cubic","Extrapolate=Linear","MultiX=Average","Skip=True","Sort=True")</f>
        <v>#N/A Invalid Parameter: Interpolation value</v>
      </c>
      <c r="AJ4844" s="43" t="str">
        <f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0"/>
        <v>#REF!</v>
      </c>
      <c r="AI4845" s="43" t="str">
        <f ca="1">_xll.BInterpol('Base IPCA'!$C$3:$C$14,'Base IPCA'!$E$3:$E$14,AH4845,"Cubic","Extrapolate=Linear","MultiX=Average","Skip=True","Sort=True")</f>
        <v>#N/A Invalid Parameter: Interpolation value</v>
      </c>
      <c r="AJ4845" s="43" t="str">
        <f ca="1"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0"/>
        <v>#REF!</v>
      </c>
      <c r="AI4846" s="43" t="str">
        <f ca="1">_xll.BInterpol('Base IPCA'!$C$3:$C$14,'Base IPCA'!$E$3:$E$14,AH4846,"Cubic","Extrapolate=Linear","MultiX=Average","Skip=True","Sort=True")</f>
        <v>#N/A Invalid Parameter: Interpolation value</v>
      </c>
      <c r="AJ4846" s="43" t="str">
        <f ca="1"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0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 ca="1"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0"/>
        <v>#REF!</v>
      </c>
      <c r="AI4848" s="43" t="str">
        <f ca="1">_xll.BInterpol('Base IPCA'!$C$3:$C$14,'Base IPCA'!$E$3:$E$14,AH4848,"Cubic","Extrapolate=Linear","MultiX=Average","Skip=True","Sort=True")</f>
        <v>#N/A Invalid Parameter: Interpolation value</v>
      </c>
      <c r="AJ4848" s="43" t="str">
        <f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0"/>
        <v>#REF!</v>
      </c>
      <c r="AI4849" s="43" t="str">
        <f ca="1">_xll.BInterpol('Base IPCA'!$C$3:$C$14,'Base IPCA'!$E$3:$E$14,AH4849,"Cubic","Extrapolate=Linear","MultiX=Average","Skip=True","Sort=True")</f>
        <v>#N/A Invalid Parameter: Interpolation value</v>
      </c>
      <c r="AJ4849" s="43" t="str">
        <f ca="1"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0"/>
        <v>#REF!</v>
      </c>
      <c r="AI4850" s="43" t="str">
        <f ca="1">_xll.BInterpol('Base IPCA'!$C$3:$C$14,'Base IPCA'!$E$3:$E$14,AH4850,"Cubic","Extrapolate=Linear","MultiX=Average","Skip=True","Sort=True")</f>
        <v>#N/A Invalid Parameter: Interpolation value</v>
      </c>
      <c r="AJ4850" s="43" t="str">
        <f ca="1"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0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 ca="1"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0"/>
        <v>#REF!</v>
      </c>
      <c r="AI4852" s="43" t="str">
        <f ca="1">_xll.BInterpol('Base IPCA'!$C$3:$C$14,'Base IPCA'!$E$3:$E$14,AH4852,"Cubic","Extrapolate=Linear","MultiX=Average","Skip=True","Sort=True")</f>
        <v>#N/A Invalid Parameter: Interpolation value</v>
      </c>
      <c r="AJ4852" s="43" t="str">
        <f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0"/>
        <v>#REF!</v>
      </c>
      <c r="AI4853" s="43" t="str">
        <f ca="1">_xll.BInterpol('Base IPCA'!$C$3:$C$14,'Base IPCA'!$E$3:$E$14,AH4853,"Cubic","Extrapolate=Linear","MultiX=Average","Skip=True","Sort=True")</f>
        <v>#N/A Invalid Parameter: Interpolation value</v>
      </c>
      <c r="AJ4853" s="43" t="str">
        <f ca="1"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0"/>
        <v>#REF!</v>
      </c>
      <c r="AI4854" s="43" t="str">
        <f ca="1">_xll.BInterpol('Base IPCA'!$C$3:$C$14,'Base IPCA'!$E$3:$E$14,AH4854,"Cubic","Extrapolate=Linear","MultiX=Average","Skip=True","Sort=True")</f>
        <v>#N/A Invalid Parameter: Interpolation value</v>
      </c>
      <c r="AJ4854" s="43" t="str">
        <f ca="1"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0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 ca="1"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0"/>
        <v>#REF!</v>
      </c>
      <c r="AI4856" s="43" t="str">
        <f ca="1">_xll.BInterpol('Base IPCA'!$C$3:$C$14,'Base IPCA'!$E$3:$E$14,AH4856,"Cubic","Extrapolate=Linear","MultiX=Average","Skip=True","Sort=True")</f>
        <v>#N/A Invalid Parameter: Interpolation value</v>
      </c>
      <c r="AJ4856" s="43" t="str">
        <f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0"/>
        <v>#REF!</v>
      </c>
      <c r="AI4857" s="43" t="str">
        <f ca="1">_xll.BInterpol('Base IPCA'!$C$3:$C$14,'Base IPCA'!$E$3:$E$14,AH4857,"Cubic","Extrapolate=Linear","MultiX=Average","Skip=True","Sort=True")</f>
        <v>#N/A Invalid Parameter: Interpolation value</v>
      </c>
      <c r="AJ4857" s="43" t="str">
        <f ca="1"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0"/>
        <v>#REF!</v>
      </c>
      <c r="AI4858" s="43" t="str">
        <f ca="1">_xll.BInterpol('Base IPCA'!$C$3:$C$14,'Base IPCA'!$E$3:$E$14,AH4858,"Cubic","Extrapolate=Linear","MultiX=Average","Skip=True","Sort=True")</f>
        <v>#N/A Invalid Parameter: Interpolation value</v>
      </c>
      <c r="AJ4858" s="43" t="str">
        <f ca="1"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0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 ca="1"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0"/>
        <v>#REF!</v>
      </c>
      <c r="AI4860" s="43" t="str">
        <f ca="1">_xll.BInterpol('Base IPCA'!$C$3:$C$14,'Base IPCA'!$E$3:$E$14,AH4860,"Cubic","Extrapolate=Linear","MultiX=Average","Skip=True","Sort=True")</f>
        <v>#N/A Invalid Parameter: Interpolation value</v>
      </c>
      <c r="AJ4860" s="43" t="str">
        <f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0"/>
        <v>#REF!</v>
      </c>
      <c r="AI4861" s="43" t="str">
        <f ca="1">_xll.BInterpol('Base IPCA'!$C$3:$C$14,'Base IPCA'!$E$3:$E$14,AH4861,"Cubic","Extrapolate=Linear","MultiX=Average","Skip=True","Sort=True")</f>
        <v>#N/A Invalid Parameter: Interpolation value</v>
      </c>
      <c r="AJ4861" s="43" t="str">
        <f ca="1"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0"/>
        <v>#REF!</v>
      </c>
      <c r="AI4862" s="43" t="str">
        <f ca="1">_xll.BInterpol('Base IPCA'!$C$3:$C$14,'Base IPCA'!$E$3:$E$14,AH4862,"Cubic","Extrapolate=Linear","MultiX=Average","Skip=True","Sort=True")</f>
        <v>#N/A Invalid Parameter: Interpolation value</v>
      </c>
      <c r="AJ4862" s="43" t="str">
        <f ca="1"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0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 ca="1"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0"/>
        <v>#REF!</v>
      </c>
      <c r="AI4864" s="43" t="str">
        <f ca="1">_xll.BInterpol('Base IPCA'!$C$3:$C$14,'Base IPCA'!$E$3:$E$14,AH4864,"Cubic","Extrapolate=Linear","MultiX=Average","Skip=True","Sort=True")</f>
        <v>#N/A Invalid Parameter: Interpolation value</v>
      </c>
      <c r="AJ4864" s="43" t="str">
        <f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0"/>
        <v>#REF!</v>
      </c>
      <c r="AI4865" s="43" t="str">
        <f ca="1">_xll.BInterpol('Base IPCA'!$C$3:$C$14,'Base IPCA'!$E$3:$E$14,AH4865,"Cubic","Extrapolate=Linear","MultiX=Average","Skip=True","Sort=True")</f>
        <v>#N/A Invalid Parameter: Interpolation value</v>
      </c>
      <c r="AJ4865" s="43" t="str">
        <f ca="1"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0"/>
        <v>#REF!</v>
      </c>
      <c r="AI4866" s="43" t="str">
        <f ca="1">_xll.BInterpol('Base IPCA'!$C$3:$C$14,'Base IPCA'!$E$3:$E$14,AH4866,"Cubic","Extrapolate=Linear","MultiX=Average","Skip=True","Sort=True")</f>
        <v>#N/A Invalid Parameter: Interpolation value</v>
      </c>
      <c r="AJ4866" s="43" t="str">
        <f ca="1"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0"/>
        <v>#REF!</v>
      </c>
      <c r="AI4867" s="43" t="str">
        <f>_xll.BInterpol('Base IPCA'!$C$3:$C$14,'Base IPCA'!$E$3:$E$14,AH4867,"Cubic","Extrapolate=Linear","MultiX=Average","Skip=True","Sort=True")</f>
        <v>#N/A Invalid Parameter: Interpolation value</v>
      </c>
      <c r="AJ4867" s="43" t="str">
        <f ca="1"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0"/>
        <v>#REF!</v>
      </c>
      <c r="AI4868" s="43" t="str">
        <f ca="1"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0"/>
        <v>#REF!</v>
      </c>
      <c r="AI4869" s="43" t="str">
        <f ca="1">_xll.BInterpol('Base IPCA'!$C$3:$C$14,'Base IPCA'!$E$3:$E$14,AH4869,"Cubic","Extrapolate=Linear","MultiX=Average","Skip=True","Sort=True")</f>
        <v>#N/A Invalid Parameter: Interpolation value</v>
      </c>
      <c r="AJ4869" s="43" t="str">
        <f ca="1"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1">AH4869+1</f>
        <v>#REF!</v>
      </c>
      <c r="AI4870" s="43" t="str">
        <f ca="1">_xll.BInterpol('Base IPCA'!$C$3:$C$14,'Base IPCA'!$E$3:$E$14,AH4870,"Cubic","Extrapolate=Linear","MultiX=Average","Skip=True","Sort=True")</f>
        <v>#N/A Invalid Parameter: Interpolation value</v>
      </c>
      <c r="AJ4870" s="43" t="str">
        <f ca="1"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1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 ca="1"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1"/>
        <v>#REF!</v>
      </c>
      <c r="AI4872" s="43" t="str">
        <f ca="1"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1"/>
        <v>#REF!</v>
      </c>
      <c r="AI4873" s="43" t="str">
        <f ca="1">_xll.BInterpol('Base IPCA'!$C$3:$C$14,'Base IPCA'!$E$3:$E$14,AH4873,"Cubic","Extrapolate=Linear","MultiX=Average","Skip=True","Sort=True")</f>
        <v>#N/A Invalid Parameter: Interpolation value</v>
      </c>
      <c r="AJ4873" s="43" t="str">
        <f ca="1"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1"/>
        <v>#REF!</v>
      </c>
      <c r="AI4874" s="43" t="str">
        <f ca="1">_xll.BInterpol('Base IPCA'!$C$3:$C$14,'Base IPCA'!$E$3:$E$14,AH4874,"Cubic","Extrapolate=Linear","MultiX=Average","Skip=True","Sort=True")</f>
        <v>#N/A Invalid Parameter: Interpolation value</v>
      </c>
      <c r="AJ4874" s="43" t="str">
        <f ca="1"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1"/>
        <v>#REF!</v>
      </c>
      <c r="AI4875" s="43" t="str">
        <f>_xll.BInterpol('Base IPCA'!$C$3:$C$14,'Base IPCA'!$E$3:$E$14,AH4875,"Cubic","Extrapolate=Linear","MultiX=Average","Skip=True","Sort=True")</f>
        <v>#N/A Invalid Parameter: Interpolation value</v>
      </c>
      <c r="AJ4875" s="43" t="str">
        <f ca="1"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1"/>
        <v>#REF!</v>
      </c>
      <c r="AI4876" s="43" t="str">
        <f ca="1"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1"/>
        <v>#REF!</v>
      </c>
      <c r="AI4877" s="43" t="str">
        <f ca="1">_xll.BInterpol('Base IPCA'!$C$3:$C$14,'Base IPCA'!$E$3:$E$14,AH4877,"Cubic","Extrapolate=Linear","MultiX=Average","Skip=True","Sort=True")</f>
        <v>#N/A Invalid Parameter: Interpolation value</v>
      </c>
      <c r="AJ4877" s="43" t="str">
        <f ca="1"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1"/>
        <v>#REF!</v>
      </c>
      <c r="AI4878" s="43" t="str">
        <f ca="1">_xll.BInterpol('Base IPCA'!$C$3:$C$14,'Base IPCA'!$E$3:$E$14,AH4878,"Cubic","Extrapolate=Linear","MultiX=Average","Skip=True","Sort=True")</f>
        <v>#N/A Invalid Parameter: Interpolation value</v>
      </c>
      <c r="AJ4878" s="43" t="str">
        <f ca="1"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1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 ca="1"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1"/>
        <v>#REF!</v>
      </c>
      <c r="AI4880" s="43" t="str">
        <f ca="1"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1"/>
        <v>#REF!</v>
      </c>
      <c r="AI4881" s="43" t="str">
        <f ca="1">_xll.BInterpol('Base IPCA'!$C$3:$C$14,'Base IPCA'!$E$3:$E$14,AH4881,"Cubic","Extrapolate=Linear","MultiX=Average","Skip=True","Sort=True")</f>
        <v>#N/A Invalid Parameter: Interpolation value</v>
      </c>
      <c r="AJ4881" s="43" t="str">
        <f ca="1"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1"/>
        <v>#REF!</v>
      </c>
      <c r="AI4882" s="43" t="str">
        <f ca="1">_xll.BInterpol('Base IPCA'!$C$3:$C$14,'Base IPCA'!$E$3:$E$14,AH4882,"Cubic","Extrapolate=Linear","MultiX=Average","Skip=True","Sort=True")</f>
        <v>#N/A Invalid Parameter: Interpolation value</v>
      </c>
      <c r="AJ4882" s="43" t="str">
        <f ca="1"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1"/>
        <v>#REF!</v>
      </c>
      <c r="AI4883" s="43" t="str">
        <f>_xll.BInterpol('Base IPCA'!$C$3:$C$14,'Base IPCA'!$E$3:$E$14,AH4883,"Cubic","Extrapolate=Linear","MultiX=Average","Skip=True","Sort=True")</f>
        <v>#N/A Invalid Parameter: Interpolation value</v>
      </c>
      <c r="AJ4883" s="43" t="str">
        <f ca="1"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1"/>
        <v>#REF!</v>
      </c>
      <c r="AI4884" s="43" t="str">
        <f ca="1"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1"/>
        <v>#REF!</v>
      </c>
      <c r="AI4885" s="43" t="str">
        <f ca="1">_xll.BInterpol('Base IPCA'!$C$3:$C$14,'Base IPCA'!$E$3:$E$14,AH4885,"Cubic","Extrapolate=Linear","MultiX=Average","Skip=True","Sort=True")</f>
        <v>#N/A Invalid Parameter: Interpolation value</v>
      </c>
      <c r="AJ4885" s="43" t="str">
        <f ca="1"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1"/>
        <v>#REF!</v>
      </c>
      <c r="AI4886" s="43" t="str">
        <f ca="1">_xll.BInterpol('Base IPCA'!$C$3:$C$14,'Base IPCA'!$E$3:$E$14,AH4886,"Cubic","Extrapolate=Linear","MultiX=Average","Skip=True","Sort=True")</f>
        <v>#N/A Invalid Parameter: Interpolation value</v>
      </c>
      <c r="AJ4886" s="43" t="str">
        <f ca="1"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1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 ca="1"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1"/>
        <v>#REF!</v>
      </c>
      <c r="AI4888" s="43" t="str">
        <f ca="1">_xll.BInterpol('Base IPCA'!$C$3:$C$14,'Base IPCA'!$E$3:$E$14,AH4888,"Cubic","Extrapolate=Linear","MultiX=Average","Skip=True","Sort=True")</f>
        <v>#N/A Invalid Parameter: Interpolation value</v>
      </c>
      <c r="AJ4888" s="43" t="str">
        <f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1"/>
        <v>#REF!</v>
      </c>
      <c r="AI4889" s="43" t="str">
        <f ca="1">_xll.BInterpol('Base IPCA'!$C$3:$C$14,'Base IPCA'!$E$3:$E$14,AH4889,"Cubic","Extrapolate=Linear","MultiX=Average","Skip=True","Sort=True")</f>
        <v>#N/A Invalid Parameter: Interpolation value</v>
      </c>
      <c r="AJ4889" s="43" t="str">
        <f ca="1"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1"/>
        <v>#REF!</v>
      </c>
      <c r="AI4890" s="43" t="str">
        <f ca="1">_xll.BInterpol('Base IPCA'!$C$3:$C$14,'Base IPCA'!$E$3:$E$14,AH4890,"Cubic","Extrapolate=Linear","MultiX=Average","Skip=True","Sort=True")</f>
        <v>#N/A Invalid Parameter: Interpolation value</v>
      </c>
      <c r="AJ4890" s="43" t="str">
        <f ca="1"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1"/>
        <v>#REF!</v>
      </c>
      <c r="AI4891" s="43" t="str">
        <f>_xll.BInterpol('Base IPCA'!$C$3:$C$14,'Base IPCA'!$E$3:$E$14,AH4891,"Cubic","Extrapolate=Linear","MultiX=Average","Skip=True","Sort=True")</f>
        <v>#N/A Invalid Parameter: Interpolation value</v>
      </c>
      <c r="AJ4891" s="43" t="str">
        <f ca="1"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1"/>
        <v>#REF!</v>
      </c>
      <c r="AI4892" s="43" t="str">
        <f ca="1"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1"/>
        <v>#REF!</v>
      </c>
      <c r="AI4893" s="43" t="str">
        <f ca="1">_xll.BInterpol('Base IPCA'!$C$3:$C$14,'Base IPCA'!$E$3:$E$14,AH4893,"Cubic","Extrapolate=Linear","MultiX=Average","Skip=True","Sort=True")</f>
        <v>#N/A Invalid Parameter: Interpolation value</v>
      </c>
      <c r="AJ4893" s="43" t="str">
        <f ca="1"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1"/>
        <v>#REF!</v>
      </c>
      <c r="AI4894" s="43" t="str">
        <f ca="1">_xll.BInterpol('Base IPCA'!$C$3:$C$14,'Base IPCA'!$E$3:$E$14,AH4894,"Cubic","Extrapolate=Linear","MultiX=Average","Skip=True","Sort=True")</f>
        <v>#N/A Invalid Parameter: Interpolation value</v>
      </c>
      <c r="AJ4894" s="43" t="str">
        <f ca="1"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1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 ca="1"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1"/>
        <v>#REF!</v>
      </c>
      <c r="AI4896" s="43" t="str">
        <f ca="1">_xll.BInterpol('Base IPCA'!$C$3:$C$14,'Base IPCA'!$E$3:$E$14,AH4896,"Cubic","Extrapolate=Linear","MultiX=Average","Skip=True","Sort=True")</f>
        <v>#N/A Invalid Parameter: Interpolation value</v>
      </c>
      <c r="AJ4896" s="43" t="str">
        <f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1"/>
        <v>#REF!</v>
      </c>
      <c r="AI4897" s="43" t="str">
        <f ca="1">_xll.BInterpol('Base IPCA'!$C$3:$C$14,'Base IPCA'!$E$3:$E$14,AH4897,"Cubic","Extrapolate=Linear","MultiX=Average","Skip=True","Sort=True")</f>
        <v>#N/A Invalid Parameter: Interpolation value</v>
      </c>
      <c r="AJ4897" s="43" t="str">
        <f ca="1"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1"/>
        <v>#REF!</v>
      </c>
      <c r="AI4898" s="43" t="str">
        <f ca="1">_xll.BInterpol('Base IPCA'!$C$3:$C$14,'Base IPCA'!$E$3:$E$14,AH4898,"Cubic","Extrapolate=Linear","MultiX=Average","Skip=True","Sort=True")</f>
        <v>#N/A Invalid Parameter: Interpolation value</v>
      </c>
      <c r="AJ4898" s="43" t="str">
        <f ca="1"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1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 ca="1"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1"/>
        <v>#REF!</v>
      </c>
      <c r="AI4900" s="43" t="str">
        <f ca="1"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1"/>
        <v>#REF!</v>
      </c>
      <c r="AI4901" s="43" t="str">
        <f ca="1">_xll.BInterpol('Base IPCA'!$C$3:$C$14,'Base IPCA'!$E$3:$E$14,AH4901,"Cubic","Extrapolate=Linear","MultiX=Average","Skip=True","Sort=True")</f>
        <v>#N/A Invalid Parameter: Interpolation value</v>
      </c>
      <c r="AJ4901" s="43" t="str">
        <f ca="1"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1"/>
        <v>#REF!</v>
      </c>
      <c r="AI4902" s="43" t="str">
        <f ca="1">_xll.BInterpol('Base IPCA'!$C$3:$C$14,'Base IPCA'!$E$3:$E$14,AH4902,"Cubic","Extrapolate=Linear","MultiX=Average","Skip=True","Sort=True")</f>
        <v>#N/A Invalid Parameter: Interpolation value</v>
      </c>
      <c r="AJ4902" s="43" t="str">
        <f ca="1"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1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 ca="1"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1"/>
        <v>#REF!</v>
      </c>
      <c r="AI4904" s="43" t="str">
        <f ca="1">_xll.BInterpol('Base IPCA'!$C$3:$C$14,'Base IPCA'!$E$3:$E$14,AH4904,"Cubic","Extrapolate=Linear","MultiX=Average","Skip=True","Sort=True")</f>
        <v>#N/A Invalid Parameter: Interpolation value</v>
      </c>
      <c r="AJ4904" s="43" t="str">
        <f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1"/>
        <v>#REF!</v>
      </c>
      <c r="AI4905" s="43" t="str">
        <f ca="1">_xll.BInterpol('Base IPCA'!$C$3:$C$14,'Base IPCA'!$E$3:$E$14,AH4905,"Cubic","Extrapolate=Linear","MultiX=Average","Skip=True","Sort=True")</f>
        <v>#N/A Invalid Parameter: Interpolation value</v>
      </c>
      <c r="AJ4905" s="43" t="str">
        <f ca="1"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1"/>
        <v>#REF!</v>
      </c>
      <c r="AI4906" s="43" t="str">
        <f ca="1">_xll.BInterpol('Base IPCA'!$C$3:$C$14,'Base IPCA'!$E$3:$E$14,AH4906,"Cubic","Extrapolate=Linear","MultiX=Average","Skip=True","Sort=True")</f>
        <v>#N/A Invalid Parameter: Interpolation value</v>
      </c>
      <c r="AJ4906" s="43" t="str">
        <f ca="1"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1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 ca="1"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1"/>
        <v>#REF!</v>
      </c>
      <c r="AI4908" s="43" t="str">
        <f ca="1"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1"/>
        <v>#REF!</v>
      </c>
      <c r="AI4909" s="43" t="str">
        <f ca="1">_xll.BInterpol('Base IPCA'!$C$3:$C$14,'Base IPCA'!$E$3:$E$14,AH4909,"Cubic","Extrapolate=Linear","MultiX=Average","Skip=True","Sort=True")</f>
        <v>#N/A Invalid Parameter: Interpolation value</v>
      </c>
      <c r="AJ4909" s="43" t="str">
        <f ca="1"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1"/>
        <v>#REF!</v>
      </c>
      <c r="AI4910" s="43" t="str">
        <f ca="1">_xll.BInterpol('Base IPCA'!$C$3:$C$14,'Base IPCA'!$E$3:$E$14,AH4910,"Cubic","Extrapolate=Linear","MultiX=Average","Skip=True","Sort=True")</f>
        <v>#N/A Invalid Parameter: Interpolation value</v>
      </c>
      <c r="AJ4910" s="43" t="str">
        <f ca="1"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1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 ca="1"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1"/>
        <v>#REF!</v>
      </c>
      <c r="AI4912" s="43" t="str">
        <f ca="1">_xll.BInterpol('Base IPCA'!$C$3:$C$14,'Base IPCA'!$E$3:$E$14,AH4912,"Cubic","Extrapolate=Linear","MultiX=Average","Skip=True","Sort=True")</f>
        <v>#N/A Invalid Parameter: Interpolation value</v>
      </c>
      <c r="AJ4912" s="43" t="str">
        <f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1"/>
        <v>#REF!</v>
      </c>
      <c r="AI4913" s="43" t="str">
        <f ca="1">_xll.BInterpol('Base IPCA'!$C$3:$C$14,'Base IPCA'!$E$3:$E$14,AH4913,"Cubic","Extrapolate=Linear","MultiX=Average","Skip=True","Sort=True")</f>
        <v>#N/A Invalid Parameter: Interpolation value</v>
      </c>
      <c r="AJ4913" s="43" t="str">
        <f ca="1"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1"/>
        <v>#REF!</v>
      </c>
      <c r="AI4914" s="43" t="str">
        <f ca="1">_xll.BInterpol('Base IPCA'!$C$3:$C$14,'Base IPCA'!$E$3:$E$14,AH4914,"Cubic","Extrapolate=Linear","MultiX=Average","Skip=True","Sort=True")</f>
        <v>#N/A Invalid Parameter: Interpolation value</v>
      </c>
      <c r="AJ4914" s="43" t="str">
        <f ca="1"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1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 ca="1"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1"/>
        <v>#REF!</v>
      </c>
      <c r="AI4916" s="43" t="str">
        <f ca="1"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1"/>
        <v>#REF!</v>
      </c>
      <c r="AI4917" s="43" t="str">
        <f ca="1">_xll.BInterpol('Base IPCA'!$C$3:$C$14,'Base IPCA'!$E$3:$E$14,AH4917,"Cubic","Extrapolate=Linear","MultiX=Average","Skip=True","Sort=True")</f>
        <v>#N/A Invalid Parameter: Interpolation value</v>
      </c>
      <c r="AJ4917" s="43" t="str">
        <f ca="1"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1"/>
        <v>#REF!</v>
      </c>
      <c r="AI4918" s="43" t="str">
        <f ca="1">_xll.BInterpol('Base IPCA'!$C$3:$C$14,'Base IPCA'!$E$3:$E$14,AH4918,"Cubic","Extrapolate=Linear","MultiX=Average","Skip=True","Sort=True")</f>
        <v>#N/A Invalid Parameter: Interpolation value</v>
      </c>
      <c r="AJ4918" s="43" t="str">
        <f ca="1"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1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 ca="1"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1"/>
        <v>#REF!</v>
      </c>
      <c r="AI4920" s="43" t="str">
        <f ca="1"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1"/>
        <v>#REF!</v>
      </c>
      <c r="AI4921" s="43" t="str">
        <f ca="1">_xll.BInterpol('Base IPCA'!$C$3:$C$14,'Base IPCA'!$E$3:$E$14,AH4921,"Cubic","Extrapolate=Linear","MultiX=Average","Skip=True","Sort=True")</f>
        <v>#N/A Invalid Parameter: Interpolation value</v>
      </c>
      <c r="AJ4921" s="43" t="str">
        <f ca="1"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1"/>
        <v>#REF!</v>
      </c>
      <c r="AI4922" s="43" t="str">
        <f ca="1">_xll.BInterpol('Base IPCA'!$C$3:$C$14,'Base IPCA'!$E$3:$E$14,AH4922,"Cubic","Extrapolate=Linear","MultiX=Average","Skip=True","Sort=True")</f>
        <v>#N/A Invalid Parameter: Interpolation value</v>
      </c>
      <c r="AJ4922" s="43" t="str">
        <f ca="1"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1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 ca="1"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1"/>
        <v>#REF!</v>
      </c>
      <c r="AI4924" s="43" t="str">
        <f ca="1"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1"/>
        <v>#REF!</v>
      </c>
      <c r="AI4925" s="43" t="str">
        <f ca="1">_xll.BInterpol('Base IPCA'!$C$3:$C$14,'Base IPCA'!$E$3:$E$14,AH4925,"Cubic","Extrapolate=Linear","MultiX=Average","Skip=True","Sort=True")</f>
        <v>#N/A Invalid Parameter: Interpolation value</v>
      </c>
      <c r="AJ4925" s="43" t="str">
        <f ca="1"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1"/>
        <v>#REF!</v>
      </c>
      <c r="AI4926" s="43" t="str">
        <f ca="1">_xll.BInterpol('Base IPCA'!$C$3:$C$14,'Base IPCA'!$E$3:$E$14,AH4926,"Cubic","Extrapolate=Linear","MultiX=Average","Skip=True","Sort=True")</f>
        <v>#N/A Invalid Parameter: Interpolation value</v>
      </c>
      <c r="AJ4926" s="43" t="str">
        <f ca="1"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1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 ca="1"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1"/>
        <v>#REF!</v>
      </c>
      <c r="AI4928" s="43" t="str">
        <f ca="1"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1"/>
        <v>#REF!</v>
      </c>
      <c r="AI4929" s="43" t="str">
        <f ca="1">_xll.BInterpol('Base IPCA'!$C$3:$C$14,'Base IPCA'!$E$3:$E$14,AH4929,"Cubic","Extrapolate=Linear","MultiX=Average","Skip=True","Sort=True")</f>
        <v>#N/A Invalid Parameter: Interpolation value</v>
      </c>
      <c r="AJ4929" s="43" t="str">
        <f ca="1"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1"/>
        <v>#REF!</v>
      </c>
      <c r="AI4930" s="43" t="str">
        <f ca="1">_xll.BInterpol('Base IPCA'!$C$3:$C$14,'Base IPCA'!$E$3:$E$14,AH4930,"Cubic","Extrapolate=Linear","MultiX=Average","Skip=True","Sort=True")</f>
        <v>#N/A Invalid Parameter: Interpolation value</v>
      </c>
      <c r="AJ4930" s="43" t="str">
        <f ca="1"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1"/>
        <v>#REF!</v>
      </c>
      <c r="AI4931" s="43" t="str">
        <f>_xll.BInterpol('Base IPCA'!$C$3:$C$14,'Base IPCA'!$E$3:$E$14,AH4931,"Cubic","Extrapolate=Linear","MultiX=Average","Skip=True","Sort=True")</f>
        <v>#N/A Invalid Parameter: Interpolation value</v>
      </c>
      <c r="AJ4931" s="43" t="str">
        <f ca="1"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1"/>
        <v>#REF!</v>
      </c>
      <c r="AI4932" s="43" t="str">
        <f ca="1"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1"/>
        <v>#REF!</v>
      </c>
      <c r="AI4933" s="43" t="str">
        <f ca="1">_xll.BInterpol('Base IPCA'!$C$3:$C$14,'Base IPCA'!$E$3:$E$14,AH4933,"Cubic","Extrapolate=Linear","MultiX=Average","Skip=True","Sort=True")</f>
        <v>#N/A Invalid Parameter: Interpolation value</v>
      </c>
      <c r="AJ4933" s="43" t="str">
        <f ca="1"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62">AH4933+1</f>
        <v>#REF!</v>
      </c>
      <c r="AI4934" s="43" t="str">
        <f ca="1">_xll.BInterpol('Base IPCA'!$C$3:$C$14,'Base IPCA'!$E$3:$E$14,AH4934,"Cubic","Extrapolate=Linear","MultiX=Average","Skip=True","Sort=True")</f>
        <v>#N/A Invalid Parameter: Interpolation value</v>
      </c>
      <c r="AJ4934" s="43" t="str">
        <f ca="1"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62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 ca="1"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62"/>
        <v>#REF!</v>
      </c>
      <c r="AI4936" s="43" t="str">
        <f ca="1"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62"/>
        <v>#REF!</v>
      </c>
      <c r="AI4937" s="43" t="str">
        <f ca="1">_xll.BInterpol('Base IPCA'!$C$3:$C$14,'Base IPCA'!$E$3:$E$14,AH4937,"Cubic","Extrapolate=Linear","MultiX=Average","Skip=True","Sort=True")</f>
        <v>#N/A Invalid Parameter: Interpolation value</v>
      </c>
      <c r="AJ4937" s="43" t="str">
        <f ca="1"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62"/>
        <v>#REF!</v>
      </c>
      <c r="AI4938" s="43" t="str">
        <f ca="1">_xll.BInterpol('Base IPCA'!$C$3:$C$14,'Base IPCA'!$E$3:$E$14,AH4938,"Cubic","Extrapolate=Linear","MultiX=Average","Skip=True","Sort=True")</f>
        <v>#N/A Invalid Parameter: Interpolation value</v>
      </c>
      <c r="AJ4938" s="43" t="str">
        <f ca="1"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62"/>
        <v>#REF!</v>
      </c>
      <c r="AI4939" s="43" t="str">
        <f>_xll.BInterpol('Base IPCA'!$C$3:$C$14,'Base IPCA'!$E$3:$E$14,AH4939,"Cubic","Extrapolate=Linear","MultiX=Average","Skip=True","Sort=True")</f>
        <v>#N/A Invalid Parameter: Interpolation value</v>
      </c>
      <c r="AJ4939" s="43" t="str">
        <f ca="1"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62"/>
        <v>#REF!</v>
      </c>
      <c r="AI4940" s="43" t="str">
        <f ca="1"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62"/>
        <v>#REF!</v>
      </c>
      <c r="AI4941" s="43" t="str">
        <f ca="1">_xll.BInterpol('Base IPCA'!$C$3:$C$14,'Base IPCA'!$E$3:$E$14,AH4941,"Cubic","Extrapolate=Linear","MultiX=Average","Skip=True","Sort=True")</f>
        <v>#N/A Invalid Parameter: Interpolation value</v>
      </c>
      <c r="AJ4941" s="43" t="str">
        <f ca="1"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62"/>
        <v>#REF!</v>
      </c>
      <c r="AI4942" s="43" t="str">
        <f ca="1">_xll.BInterpol('Base IPCA'!$C$3:$C$14,'Base IPCA'!$E$3:$E$14,AH4942,"Cubic","Extrapolate=Linear","MultiX=Average","Skip=True","Sort=True")</f>
        <v>#N/A Invalid Parameter: Interpolation value</v>
      </c>
      <c r="AJ4942" s="43" t="str">
        <f ca="1"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62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 ca="1"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62"/>
        <v>#REF!</v>
      </c>
      <c r="AI4944" s="43" t="str">
        <f ca="1"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62"/>
        <v>#REF!</v>
      </c>
      <c r="AI4945" s="43" t="str">
        <f ca="1">_xll.BInterpol('Base IPCA'!$C$3:$C$14,'Base IPCA'!$E$3:$E$14,AH4945,"Cubic","Extrapolate=Linear","MultiX=Average","Skip=True","Sort=True")</f>
        <v>#N/A Invalid Parameter: Interpolation value</v>
      </c>
      <c r="AJ4945" s="43" t="str">
        <f ca="1"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62"/>
        <v>#REF!</v>
      </c>
      <c r="AI4946" s="43" t="str">
        <f ca="1">_xll.BInterpol('Base IPCA'!$C$3:$C$14,'Base IPCA'!$E$3:$E$14,AH4946,"Cubic","Extrapolate=Linear","MultiX=Average","Skip=True","Sort=True")</f>
        <v>#N/A Invalid Parameter: Interpolation value</v>
      </c>
      <c r="AJ4946" s="43" t="str">
        <f ca="1"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62"/>
        <v>#REF!</v>
      </c>
      <c r="AI4947" s="43" t="str">
        <f>_xll.BInterpol('Base IPCA'!$C$3:$C$14,'Base IPCA'!$E$3:$E$14,AH4947,"Cubic","Extrapolate=Linear","MultiX=Average","Skip=True","Sort=True")</f>
        <v>#N/A Invalid Parameter: Interpolation value</v>
      </c>
      <c r="AJ4947" s="43" t="str">
        <f ca="1"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62"/>
        <v>#REF!</v>
      </c>
      <c r="AI4948" s="43" t="str">
        <f ca="1"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62"/>
        <v>#REF!</v>
      </c>
      <c r="AI4949" s="43" t="str">
        <f ca="1">_xll.BInterpol('Base IPCA'!$C$3:$C$14,'Base IPCA'!$E$3:$E$14,AH4949,"Cubic","Extrapolate=Linear","MultiX=Average","Skip=True","Sort=True")</f>
        <v>#N/A Invalid Parameter: Interpolation value</v>
      </c>
      <c r="AJ4949" s="43" t="str">
        <f ca="1"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62"/>
        <v>#REF!</v>
      </c>
      <c r="AI4950" s="43" t="str">
        <f ca="1">_xll.BInterpol('Base IPCA'!$C$3:$C$14,'Base IPCA'!$E$3:$E$14,AH4950,"Cubic","Extrapolate=Linear","MultiX=Average","Skip=True","Sort=True")</f>
        <v>#N/A Invalid Parameter: Interpolation value</v>
      </c>
      <c r="AJ4950" s="43" t="str">
        <f ca="1"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62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 ca="1"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62"/>
        <v>#REF!</v>
      </c>
      <c r="AI4952" s="43" t="str">
        <f ca="1">_xll.BInterpol('Base IPCA'!$C$3:$C$14,'Base IPCA'!$E$3:$E$14,AH4952,"Cubic","Extrapolate=Linear","MultiX=Average","Skip=True","Sort=True")</f>
        <v>#N/A Invalid Parameter: Interpolation value</v>
      </c>
      <c r="AJ4952" s="43" t="str">
        <f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62"/>
        <v>#REF!</v>
      </c>
      <c r="AI4953" s="43" t="str">
        <f ca="1">_xll.BInterpol('Base IPCA'!$C$3:$C$14,'Base IPCA'!$E$3:$E$14,AH4953,"Cubic","Extrapolate=Linear","MultiX=Average","Skip=True","Sort=True")</f>
        <v>#N/A Invalid Parameter: Interpolation value</v>
      </c>
      <c r="AJ4953" s="43" t="str">
        <f ca="1"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62"/>
        <v>#REF!</v>
      </c>
      <c r="AI4954" s="43" t="str">
        <f ca="1">_xll.BInterpol('Base IPCA'!$C$3:$C$14,'Base IPCA'!$E$3:$E$14,AH4954,"Cubic","Extrapolate=Linear","MultiX=Average","Skip=True","Sort=True")</f>
        <v>#N/A Invalid Parameter: Interpolation value</v>
      </c>
      <c r="AJ4954" s="43" t="str">
        <f ca="1"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62"/>
        <v>#REF!</v>
      </c>
      <c r="AI4955" s="43" t="str">
        <f>_xll.BInterpol('Base IPCA'!$C$3:$C$14,'Base IPCA'!$E$3:$E$14,AH4955,"Cubic","Extrapolate=Linear","MultiX=Average","Skip=True","Sort=True")</f>
        <v>#N/A Invalid Parameter: Interpolation value</v>
      </c>
      <c r="AJ4955" s="43" t="str">
        <f ca="1"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62"/>
        <v>#REF!</v>
      </c>
      <c r="AI4956" s="43" t="str">
        <f ca="1"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62"/>
        <v>#REF!</v>
      </c>
      <c r="AI4957" s="43" t="str">
        <f ca="1">_xll.BInterpol('Base IPCA'!$C$3:$C$14,'Base IPCA'!$E$3:$E$14,AH4957,"Cubic","Extrapolate=Linear","MultiX=Average","Skip=True","Sort=True")</f>
        <v>#N/A Invalid Parameter: Interpolation value</v>
      </c>
      <c r="AJ4957" s="43" t="str">
        <f ca="1"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62"/>
        <v>#REF!</v>
      </c>
      <c r="AI4958" s="43" t="str">
        <f ca="1">_xll.BInterpol('Base IPCA'!$C$3:$C$14,'Base IPCA'!$E$3:$E$14,AH4958,"Cubic","Extrapolate=Linear","MultiX=Average","Skip=True","Sort=True")</f>
        <v>#N/A Invalid Parameter: Interpolation value</v>
      </c>
      <c r="AJ4958" s="43" t="str">
        <f ca="1"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62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 ca="1"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62"/>
        <v>#REF!</v>
      </c>
      <c r="AI4960" s="43" t="str">
        <f ca="1">_xll.BInterpol('Base IPCA'!$C$3:$C$14,'Base IPCA'!$E$3:$E$14,AH4960,"Cubic","Extrapolate=Linear","MultiX=Average","Skip=True","Sort=True")</f>
        <v>#N/A Invalid Parameter: Interpolation value</v>
      </c>
      <c r="AJ4960" s="43" t="str">
        <f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62"/>
        <v>#REF!</v>
      </c>
      <c r="AI4961" s="43" t="str">
        <f ca="1">_xll.BInterpol('Base IPCA'!$C$3:$C$14,'Base IPCA'!$E$3:$E$14,AH4961,"Cubic","Extrapolate=Linear","MultiX=Average","Skip=True","Sort=True")</f>
        <v>#N/A Invalid Parameter: Interpolation value</v>
      </c>
      <c r="AJ4961" s="43" t="str">
        <f ca="1"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62"/>
        <v>#REF!</v>
      </c>
      <c r="AI4962" s="43" t="str">
        <f ca="1">_xll.BInterpol('Base IPCA'!$C$3:$C$14,'Base IPCA'!$E$3:$E$14,AH4962,"Cubic","Extrapolate=Linear","MultiX=Average","Skip=True","Sort=True")</f>
        <v>#N/A Invalid Parameter: Interpolation value</v>
      </c>
      <c r="AJ4962" s="43" t="str">
        <f ca="1"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62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 ca="1"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62"/>
        <v>#REF!</v>
      </c>
      <c r="AI4964" s="43" t="str">
        <f ca="1"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62"/>
        <v>#REF!</v>
      </c>
      <c r="AI4965" s="43" t="str">
        <f ca="1">_xll.BInterpol('Base IPCA'!$C$3:$C$14,'Base IPCA'!$E$3:$E$14,AH4965,"Cubic","Extrapolate=Linear","MultiX=Average","Skip=True","Sort=True")</f>
        <v>#N/A Invalid Parameter: Interpolation value</v>
      </c>
      <c r="AJ4965" s="43" t="str">
        <f ca="1"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62"/>
        <v>#REF!</v>
      </c>
      <c r="AI4966" s="43" t="str">
        <f ca="1">_xll.BInterpol('Base IPCA'!$C$3:$C$14,'Base IPCA'!$E$3:$E$14,AH4966,"Cubic","Extrapolate=Linear","MultiX=Average","Skip=True","Sort=True")</f>
        <v>#N/A Invalid Parameter: Interpolation value</v>
      </c>
      <c r="AJ4966" s="43" t="str">
        <f ca="1"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62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 ca="1"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62"/>
        <v>#REF!</v>
      </c>
      <c r="AI4968" s="43" t="str">
        <f ca="1">_xll.BInterpol('Base IPCA'!$C$3:$C$14,'Base IPCA'!$E$3:$E$14,AH4968,"Cubic","Extrapolate=Linear","MultiX=Average","Skip=True","Sort=True")</f>
        <v>#N/A Invalid Parameter: Interpolation value</v>
      </c>
      <c r="AJ4968" s="43" t="str">
        <f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62"/>
        <v>#REF!</v>
      </c>
      <c r="AI4969" s="43" t="str">
        <f ca="1">_xll.BInterpol('Base IPCA'!$C$3:$C$14,'Base IPCA'!$E$3:$E$14,AH4969,"Cubic","Extrapolate=Linear","MultiX=Average","Skip=True","Sort=True")</f>
        <v>#N/A Invalid Parameter: Interpolation value</v>
      </c>
      <c r="AJ4969" s="43" t="str">
        <f ca="1"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62"/>
        <v>#REF!</v>
      </c>
      <c r="AI4970" s="43" t="str">
        <f ca="1">_xll.BInterpol('Base IPCA'!$C$3:$C$14,'Base IPCA'!$E$3:$E$14,AH4970,"Cubic","Extrapolate=Linear","MultiX=Average","Skip=True","Sort=True")</f>
        <v>#N/A Invalid Parameter: Interpolation value</v>
      </c>
      <c r="AJ4970" s="43" t="str">
        <f ca="1"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62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 ca="1"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62"/>
        <v>#REF!</v>
      </c>
      <c r="AI4972" s="43" t="str">
        <f ca="1"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62"/>
        <v>#REF!</v>
      </c>
      <c r="AI4973" s="43" t="str">
        <f ca="1">_xll.BInterpol('Base IPCA'!$C$3:$C$14,'Base IPCA'!$E$3:$E$14,AH4973,"Cubic","Extrapolate=Linear","MultiX=Average","Skip=True","Sort=True")</f>
        <v>#N/A Invalid Parameter: Interpolation value</v>
      </c>
      <c r="AJ4973" s="43" t="str">
        <f ca="1"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62"/>
        <v>#REF!</v>
      </c>
      <c r="AI4974" s="43" t="str">
        <f ca="1">_xll.BInterpol('Base IPCA'!$C$3:$C$14,'Base IPCA'!$E$3:$E$14,AH4974,"Cubic","Extrapolate=Linear","MultiX=Average","Skip=True","Sort=True")</f>
        <v>#N/A Invalid Parameter: Interpolation value</v>
      </c>
      <c r="AJ4974" s="43" t="str">
        <f ca="1"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62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 ca="1"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62"/>
        <v>#REF!</v>
      </c>
      <c r="AI4976" s="43" t="str">
        <f ca="1">_xll.BInterpol('Base IPCA'!$C$3:$C$14,'Base IPCA'!$E$3:$E$14,AH4976,"Cubic","Extrapolate=Linear","MultiX=Average","Skip=True","Sort=True")</f>
        <v>#N/A Invalid Parameter: Interpolation value</v>
      </c>
      <c r="AJ4976" s="43" t="str">
        <f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62"/>
        <v>#REF!</v>
      </c>
      <c r="AI4977" s="43" t="str">
        <f ca="1">_xll.BInterpol('Base IPCA'!$C$3:$C$14,'Base IPCA'!$E$3:$E$14,AH4977,"Cubic","Extrapolate=Linear","MultiX=Average","Skip=True","Sort=True")</f>
        <v>#N/A Invalid Parameter: Interpolation value</v>
      </c>
      <c r="AJ4977" s="43" t="str">
        <f ca="1"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62"/>
        <v>#REF!</v>
      </c>
      <c r="AI4978" s="43" t="str">
        <f ca="1">_xll.BInterpol('Base IPCA'!$C$3:$C$14,'Base IPCA'!$E$3:$E$14,AH4978,"Cubic","Extrapolate=Linear","MultiX=Average","Skip=True","Sort=True")</f>
        <v>#N/A Invalid Parameter: Interpolation value</v>
      </c>
      <c r="AJ4978" s="43" t="str">
        <f ca="1"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62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 ca="1"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62"/>
        <v>#REF!</v>
      </c>
      <c r="AI4980" s="43" t="str">
        <f ca="1"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62"/>
        <v>#REF!</v>
      </c>
      <c r="AI4981" s="43" t="str">
        <f ca="1">_xll.BInterpol('Base IPCA'!$C$3:$C$14,'Base IPCA'!$E$3:$E$14,AH4981,"Cubic","Extrapolate=Linear","MultiX=Average","Skip=True","Sort=True")</f>
        <v>#N/A Invalid Parameter: Interpolation value</v>
      </c>
      <c r="AJ4981" s="43" t="str">
        <f ca="1"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62"/>
        <v>#REF!</v>
      </c>
      <c r="AI4982" s="43" t="str">
        <f ca="1">_xll.BInterpol('Base IPCA'!$C$3:$C$14,'Base IPCA'!$E$3:$E$14,AH4982,"Cubic","Extrapolate=Linear","MultiX=Average","Skip=True","Sort=True")</f>
        <v>#N/A Invalid Parameter: Interpolation value</v>
      </c>
      <c r="AJ4982" s="43" t="str">
        <f ca="1"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62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 ca="1"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62"/>
        <v>#REF!</v>
      </c>
      <c r="AI4984" s="43" t="str">
        <f ca="1"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62"/>
        <v>#REF!</v>
      </c>
      <c r="AI4985" s="43" t="str">
        <f ca="1">_xll.BInterpol('Base IPCA'!$C$3:$C$14,'Base IPCA'!$E$3:$E$14,AH4985,"Cubic","Extrapolate=Linear","MultiX=Average","Skip=True","Sort=True")</f>
        <v>#N/A Invalid Parameter: Interpolation value</v>
      </c>
      <c r="AJ4985" s="43" t="str">
        <f ca="1"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62"/>
        <v>#REF!</v>
      </c>
      <c r="AI4986" s="43" t="str">
        <f ca="1">_xll.BInterpol('Base IPCA'!$C$3:$C$14,'Base IPCA'!$E$3:$E$14,AH4986,"Cubic","Extrapolate=Linear","MultiX=Average","Skip=True","Sort=True")</f>
        <v>#N/A Invalid Parameter: Interpolation value</v>
      </c>
      <c r="AJ4986" s="43" t="str">
        <f ca="1"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62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 ca="1"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62"/>
        <v>#REF!</v>
      </c>
      <c r="AI4988" s="43" t="str">
        <f ca="1"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62"/>
        <v>#REF!</v>
      </c>
      <c r="AI4989" s="43" t="str">
        <f ca="1">_xll.BInterpol('Base IPCA'!$C$3:$C$14,'Base IPCA'!$E$3:$E$14,AH4989,"Cubic","Extrapolate=Linear","MultiX=Average","Skip=True","Sort=True")</f>
        <v>#N/A Invalid Parameter: Interpolation value</v>
      </c>
      <c r="AJ4989" s="43" t="str">
        <f ca="1"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62"/>
        <v>#REF!</v>
      </c>
      <c r="AI4990" s="43" t="str">
        <f ca="1">_xll.BInterpol('Base IPCA'!$C$3:$C$14,'Base IPCA'!$E$3:$E$14,AH4990,"Cubic","Extrapolate=Linear","MultiX=Average","Skip=True","Sort=True")</f>
        <v>#N/A Invalid Parameter: Interpolation value</v>
      </c>
      <c r="AJ4990" s="43" t="str">
        <f ca="1"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62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 ca="1"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62"/>
        <v>#REF!</v>
      </c>
      <c r="AI4992" s="43" t="str">
        <f ca="1"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62"/>
        <v>#REF!</v>
      </c>
      <c r="AI4993" s="43" t="str">
        <f ca="1">_xll.BInterpol('Base IPCA'!$C$3:$C$14,'Base IPCA'!$E$3:$E$14,AH4993,"Cubic","Extrapolate=Linear","MultiX=Average","Skip=True","Sort=True")</f>
        <v>#N/A Invalid Parameter: Interpolation value</v>
      </c>
      <c r="AJ4993" s="43" t="str">
        <f ca="1"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62"/>
        <v>#REF!</v>
      </c>
      <c r="AI4994" s="43" t="str">
        <f ca="1">_xll.BInterpol('Base IPCA'!$C$3:$C$14,'Base IPCA'!$E$3:$E$14,AH4994,"Cubic","Extrapolate=Linear","MultiX=Average","Skip=True","Sort=True")</f>
        <v>#N/A Invalid Parameter: Interpolation value</v>
      </c>
      <c r="AJ4994" s="43" t="str">
        <f ca="1"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62"/>
        <v>#REF!</v>
      </c>
      <c r="AI4995" s="43" t="str">
        <f>_xll.BInterpol('Base IPCA'!$C$3:$C$14,'Base IPCA'!$E$3:$E$14,AH4995,"Cubic","Extrapolate=Linear","MultiX=Average","Skip=True","Sort=True")</f>
        <v>#N/A Invalid Parameter: Interpolation value</v>
      </c>
      <c r="AJ4995" s="43" t="str">
        <f ca="1"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62"/>
        <v>#REF!</v>
      </c>
      <c r="AI4996" s="43" t="str">
        <f ca="1"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62"/>
        <v>#REF!</v>
      </c>
      <c r="AI4997" s="43" t="str">
        <f ca="1">_xll.BInterpol('Base IPCA'!$C$3:$C$14,'Base IPCA'!$E$3:$E$14,AH4997,"Cubic","Extrapolate=Linear","MultiX=Average","Skip=True","Sort=True")</f>
        <v>#N/A Invalid Parameter: Interpolation value</v>
      </c>
      <c r="AJ4997" s="43" t="str">
        <f ca="1"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63">AH4997+1</f>
        <v>#REF!</v>
      </c>
      <c r="AI4998" s="43" t="str">
        <f ca="1">_xll.BInterpol('Base IPCA'!$C$3:$C$14,'Base IPCA'!$E$3:$E$14,AH4998,"Cubic","Extrapolate=Linear","MultiX=Average","Skip=True","Sort=True")</f>
        <v>#N/A Invalid Parameter: Interpolation value</v>
      </c>
      <c r="AJ4998" s="43" t="str">
        <f ca="1"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63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 ca="1"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63"/>
        <v>#REF!</v>
      </c>
      <c r="AI5000" s="43" t="str">
        <f ca="1"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63"/>
        <v>#REF!</v>
      </c>
      <c r="AI5001" s="43" t="str">
        <f ca="1">_xll.BInterpol('Base IPCA'!$C$3:$C$14,'Base IPCA'!$E$3:$E$14,AH5001,"Cubic","Extrapolate=Linear","MultiX=Average","Skip=True","Sort=True")</f>
        <v>#N/A Invalid Parameter: Interpolation value</v>
      </c>
      <c r="AJ5001" s="43" t="str">
        <f ca="1"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63"/>
        <v>#REF!</v>
      </c>
      <c r="AI5002" s="43" t="str">
        <f ca="1">_xll.BInterpol('Base IPCA'!$C$3:$C$14,'Base IPCA'!$E$3:$E$14,AH5002,"Cubic","Extrapolate=Linear","MultiX=Average","Skip=True","Sort=True")</f>
        <v>#N/A Invalid Parameter: Interpolation value</v>
      </c>
      <c r="AJ5002" s="43" t="str">
        <f ca="1"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63"/>
        <v>#REF!</v>
      </c>
      <c r="AI5003" s="43" t="str">
        <f>_xll.BInterpol('Base IPCA'!$C$3:$C$14,'Base IPCA'!$E$3:$E$14,AH5003,"Cubic","Extrapolate=Linear","MultiX=Average","Skip=True","Sort=True")</f>
        <v>#N/A Invalid Parameter: Interpolation value</v>
      </c>
      <c r="AJ5003" s="43" t="str">
        <f ca="1"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63"/>
        <v>#REF!</v>
      </c>
      <c r="AI5004" s="43" t="str">
        <f ca="1"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63"/>
        <v>#REF!</v>
      </c>
      <c r="AI5005" s="43" t="str">
        <f ca="1">_xll.BInterpol('Base IPCA'!$C$3:$C$14,'Base IPCA'!$E$3:$E$14,AH5005,"Cubic","Extrapolate=Linear","MultiX=Average","Skip=True","Sort=True")</f>
        <v>#N/A Invalid Parameter: Interpolation value</v>
      </c>
      <c r="AJ5005" s="43" t="str">
        <f ca="1"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63"/>
        <v>#REF!</v>
      </c>
      <c r="AI5006" s="43" t="str">
        <f ca="1">_xll.BInterpol('Base IPCA'!$C$3:$C$14,'Base IPCA'!$E$3:$E$14,AH5006,"Cubic","Extrapolate=Linear","MultiX=Average","Skip=True","Sort=True")</f>
        <v>#N/A Invalid Parameter: Interpolation value</v>
      </c>
      <c r="AJ5006" s="43" t="str">
        <f ca="1"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63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 ca="1"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63"/>
        <v>#REF!</v>
      </c>
      <c r="AI5008" s="43" t="str">
        <f ca="1"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63"/>
        <v>#REF!</v>
      </c>
      <c r="AI5009" s="43" t="str">
        <f ca="1">_xll.BInterpol('Base IPCA'!$C$3:$C$14,'Base IPCA'!$E$3:$E$14,AH5009,"Cubic","Extrapolate=Linear","MultiX=Average","Skip=True","Sort=True")</f>
        <v>#N/A Invalid Parameter: Interpolation value</v>
      </c>
      <c r="AJ5009" s="43" t="str">
        <f ca="1"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63"/>
        <v>#REF!</v>
      </c>
      <c r="AI5010" s="43" t="str">
        <f ca="1">_xll.BInterpol('Base IPCA'!$C$3:$C$14,'Base IPCA'!$E$3:$E$14,AH5010,"Cubic","Extrapolate=Linear","MultiX=Average","Skip=True","Sort=True")</f>
        <v>#N/A Invalid Parameter: Interpolation value</v>
      </c>
      <c r="AJ5010" s="43" t="str">
        <f ca="1"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63"/>
        <v>#REF!</v>
      </c>
      <c r="AI5011" s="43" t="str">
        <f>_xll.BInterpol('Base IPCA'!$C$3:$C$14,'Base IPCA'!$E$3:$E$14,AH5011,"Cubic","Extrapolate=Linear","MultiX=Average","Skip=True","Sort=True")</f>
        <v>#N/A Invalid Parameter: Interpolation value</v>
      </c>
      <c r="AJ5011" s="43" t="str">
        <f ca="1"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63"/>
        <v>#REF!</v>
      </c>
      <c r="AI5012" s="43" t="str">
        <f ca="1"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63"/>
        <v>#REF!</v>
      </c>
      <c r="AI5013" s="43" t="str">
        <f ca="1">_xll.BInterpol('Base IPCA'!$C$3:$C$14,'Base IPCA'!$E$3:$E$14,AH5013,"Cubic","Extrapolate=Linear","MultiX=Average","Skip=True","Sort=True")</f>
        <v>#N/A Invalid Parameter: Interpolation value</v>
      </c>
      <c r="AJ5013" s="43" t="str">
        <f ca="1"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63"/>
        <v>#REF!</v>
      </c>
      <c r="AI5014" s="43" t="str">
        <f ca="1">_xll.BInterpol('Base IPCA'!$C$3:$C$14,'Base IPCA'!$E$3:$E$14,AH5014,"Cubic","Extrapolate=Linear","MultiX=Average","Skip=True","Sort=True")</f>
        <v>#N/A Invalid Parameter: Interpolation value</v>
      </c>
      <c r="AJ5014" s="43" t="str">
        <f ca="1"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63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 ca="1"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63"/>
        <v>#REF!</v>
      </c>
      <c r="AI5016" s="43" t="str">
        <f ca="1">_xll.BInterpol('Base IPCA'!$C$3:$C$14,'Base IPCA'!$E$3:$E$14,AH5016,"Cubic","Extrapolate=Linear","MultiX=Average","Skip=True","Sort=True")</f>
        <v>#N/A Invalid Parameter: Interpolation value</v>
      </c>
      <c r="AJ5016" s="43" t="str">
        <f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63"/>
        <v>#REF!</v>
      </c>
      <c r="AI5017" s="43" t="str">
        <f ca="1">_xll.BInterpol('Base IPCA'!$C$3:$C$14,'Base IPCA'!$E$3:$E$14,AH5017,"Cubic","Extrapolate=Linear","MultiX=Average","Skip=True","Sort=True")</f>
        <v>#N/A Invalid Parameter: Interpolation value</v>
      </c>
      <c r="AJ5017" s="43" t="str">
        <f ca="1"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63"/>
        <v>#REF!</v>
      </c>
      <c r="AI5018" s="43" t="str">
        <f ca="1">_xll.BInterpol('Base IPCA'!$C$3:$C$14,'Base IPCA'!$E$3:$E$14,AH5018,"Cubic","Extrapolate=Linear","MultiX=Average","Skip=True","Sort=True")</f>
        <v>#N/A Invalid Parameter: Interpolation value</v>
      </c>
      <c r="AJ5018" s="43" t="str">
        <f ca="1"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63"/>
        <v>#REF!</v>
      </c>
      <c r="AI5019" s="43" t="str">
        <f>_xll.BInterpol('Base IPCA'!$C$3:$C$14,'Base IPCA'!$E$3:$E$14,AH5019,"Cubic","Extrapolate=Linear","MultiX=Average","Skip=True","Sort=True")</f>
        <v>#N/A Invalid Parameter: Interpolation value</v>
      </c>
      <c r="AJ5019" s="43" t="str">
        <f ca="1"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63"/>
        <v>#REF!</v>
      </c>
      <c r="AI5020" s="43" t="str">
        <f ca="1"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63"/>
        <v>#REF!</v>
      </c>
      <c r="AI5021" s="43" t="str">
        <f ca="1">_xll.BInterpol('Base IPCA'!$C$3:$C$14,'Base IPCA'!$E$3:$E$14,AH5021,"Cubic","Extrapolate=Linear","MultiX=Average","Skip=True","Sort=True")</f>
        <v>#N/A Invalid Parameter: Interpolation value</v>
      </c>
      <c r="AJ5021" s="43" t="str">
        <f ca="1"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63"/>
        <v>#REF!</v>
      </c>
      <c r="AI5022" s="43" t="str">
        <f ca="1">_xll.BInterpol('Base IPCA'!$C$3:$C$14,'Base IPCA'!$E$3:$E$14,AH5022,"Cubic","Extrapolate=Linear","MultiX=Average","Skip=True","Sort=True")</f>
        <v>#N/A Invalid Parameter: Interpolation value</v>
      </c>
      <c r="AJ5022" s="43" t="str">
        <f ca="1"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63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 ca="1"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63"/>
        <v>#REF!</v>
      </c>
      <c r="AI5024" s="43" t="str">
        <f ca="1">_xll.BInterpol('Base IPCA'!$C$3:$C$14,'Base IPCA'!$E$3:$E$14,AH5024,"Cubic","Extrapolate=Linear","MultiX=Average","Skip=True","Sort=True")</f>
        <v>#N/A Invalid Parameter: Interpolation value</v>
      </c>
      <c r="AJ5024" s="43" t="str">
        <f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63"/>
        <v>#REF!</v>
      </c>
      <c r="AI5025" s="43" t="str">
        <f ca="1">_xll.BInterpol('Base IPCA'!$C$3:$C$14,'Base IPCA'!$E$3:$E$14,AH5025,"Cubic","Extrapolate=Linear","MultiX=Average","Skip=True","Sort=True")</f>
        <v>#N/A Invalid Parameter: Interpolation value</v>
      </c>
      <c r="AJ5025" s="43" t="str">
        <f ca="1"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63"/>
        <v>#REF!</v>
      </c>
      <c r="AI5026" s="43" t="str">
        <f ca="1">_xll.BInterpol('Base IPCA'!$C$3:$C$14,'Base IPCA'!$E$3:$E$14,AH5026,"Cubic","Extrapolate=Linear","MultiX=Average","Skip=True","Sort=True")</f>
        <v>#N/A Invalid Parameter: Interpolation value</v>
      </c>
      <c r="AJ5026" s="43" t="str">
        <f ca="1"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63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 ca="1"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63"/>
        <v>#REF!</v>
      </c>
      <c r="AI5028" s="43" t="str">
        <f ca="1"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63"/>
        <v>#REF!</v>
      </c>
      <c r="AI5029" s="43" t="str">
        <f ca="1">_xll.BInterpol('Base IPCA'!$C$3:$C$14,'Base IPCA'!$E$3:$E$14,AH5029,"Cubic","Extrapolate=Linear","MultiX=Average","Skip=True","Sort=True")</f>
        <v>#N/A Invalid Parameter: Interpolation value</v>
      </c>
      <c r="AJ5029" s="43" t="str">
        <f ca="1"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63"/>
        <v>#REF!</v>
      </c>
      <c r="AI5030" s="43" t="str">
        <f ca="1">_xll.BInterpol('Base IPCA'!$C$3:$C$14,'Base IPCA'!$E$3:$E$14,AH5030,"Cubic","Extrapolate=Linear","MultiX=Average","Skip=True","Sort=True")</f>
        <v>#N/A Invalid Parameter: Interpolation value</v>
      </c>
      <c r="AJ5030" s="43" t="str">
        <f ca="1"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63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 ca="1"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63"/>
        <v>#REF!</v>
      </c>
      <c r="AI5032" s="43" t="str">
        <f ca="1">_xll.BInterpol('Base IPCA'!$C$3:$C$14,'Base IPCA'!$E$3:$E$14,AH5032,"Cubic","Extrapolate=Linear","MultiX=Average","Skip=True","Sort=True")</f>
        <v>#N/A Invalid Parameter: Interpolation value</v>
      </c>
      <c r="AJ5032" s="43" t="str">
        <f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63"/>
        <v>#REF!</v>
      </c>
      <c r="AI5033" s="43" t="str">
        <f ca="1">_xll.BInterpol('Base IPCA'!$C$3:$C$14,'Base IPCA'!$E$3:$E$14,AH5033,"Cubic","Extrapolate=Linear","MultiX=Average","Skip=True","Sort=True")</f>
        <v>#N/A Invalid Parameter: Interpolation value</v>
      </c>
      <c r="AJ5033" s="43" t="str">
        <f ca="1"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63"/>
        <v>#REF!</v>
      </c>
      <c r="AI5034" s="43" t="str">
        <f ca="1">_xll.BInterpol('Base IPCA'!$C$3:$C$14,'Base IPCA'!$E$3:$E$14,AH5034,"Cubic","Extrapolate=Linear","MultiX=Average","Skip=True","Sort=True")</f>
        <v>#N/A Invalid Parameter: Interpolation value</v>
      </c>
      <c r="AJ5034" s="43" t="str">
        <f ca="1"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63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 ca="1"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63"/>
        <v>#REF!</v>
      </c>
      <c r="AI5036" s="43" t="str">
        <f ca="1"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63"/>
        <v>#REF!</v>
      </c>
      <c r="AI5037" s="43" t="str">
        <f ca="1">_xll.BInterpol('Base IPCA'!$C$3:$C$14,'Base IPCA'!$E$3:$E$14,AH5037,"Cubic","Extrapolate=Linear","MultiX=Average","Skip=True","Sort=True")</f>
        <v>#N/A Invalid Parameter: Interpolation value</v>
      </c>
      <c r="AJ5037" s="43" t="str">
        <f ca="1"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63"/>
        <v>#REF!</v>
      </c>
      <c r="AI5038" s="43" t="str">
        <f ca="1">_xll.BInterpol('Base IPCA'!$C$3:$C$14,'Base IPCA'!$E$3:$E$14,AH5038,"Cubic","Extrapolate=Linear","MultiX=Average","Skip=True","Sort=True")</f>
        <v>#N/A Invalid Parameter: Interpolation value</v>
      </c>
      <c r="AJ5038" s="43" t="str">
        <f ca="1"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63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 ca="1"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63"/>
        <v>#REF!</v>
      </c>
      <c r="AI5040" s="43" t="str">
        <f ca="1">_xll.BInterpol('Base IPCA'!$C$3:$C$14,'Base IPCA'!$E$3:$E$14,AH5040,"Cubic","Extrapolate=Linear","MultiX=Average","Skip=True","Sort=True")</f>
        <v>#N/A Invalid Parameter: Interpolation value</v>
      </c>
      <c r="AJ5040" s="43" t="str">
        <f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63"/>
        <v>#REF!</v>
      </c>
      <c r="AI5041" s="43" t="str">
        <f ca="1">_xll.BInterpol('Base IPCA'!$C$3:$C$14,'Base IPCA'!$E$3:$E$14,AH5041,"Cubic","Extrapolate=Linear","MultiX=Average","Skip=True","Sort=True")</f>
        <v>#N/A Invalid Parameter: Interpolation value</v>
      </c>
      <c r="AJ5041" s="43" t="str">
        <f ca="1"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63"/>
        <v>#REF!</v>
      </c>
      <c r="AI5042" s="43" t="str">
        <f ca="1">_xll.BInterpol('Base IPCA'!$C$3:$C$14,'Base IPCA'!$E$3:$E$14,AH5042,"Cubic","Extrapolate=Linear","MultiX=Average","Skip=True","Sort=True")</f>
        <v>#N/A Invalid Parameter: Interpolation value</v>
      </c>
      <c r="AJ5042" s="43" t="str">
        <f ca="1"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63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 ca="1"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63"/>
        <v>#REF!</v>
      </c>
      <c r="AI5044" s="43" t="str">
        <f ca="1"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63"/>
        <v>#REF!</v>
      </c>
      <c r="AI5045" s="43" t="str">
        <f ca="1">_xll.BInterpol('Base IPCA'!$C$3:$C$14,'Base IPCA'!$E$3:$E$14,AH5045,"Cubic","Extrapolate=Linear","MultiX=Average","Skip=True","Sort=True")</f>
        <v>#N/A Invalid Parameter: Interpolation value</v>
      </c>
      <c r="AJ5045" s="43" t="str">
        <f ca="1"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63"/>
        <v>#REF!</v>
      </c>
      <c r="AI5046" s="43" t="str">
        <f ca="1">_xll.BInterpol('Base IPCA'!$C$3:$C$14,'Base IPCA'!$E$3:$E$14,AH5046,"Cubic","Extrapolate=Linear","MultiX=Average","Skip=True","Sort=True")</f>
        <v>#N/A Invalid Parameter: Interpolation value</v>
      </c>
      <c r="AJ5046" s="43" t="str">
        <f ca="1"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63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 ca="1"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63"/>
        <v>#REF!</v>
      </c>
      <c r="AI5048" s="43" t="str">
        <f ca="1"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63"/>
        <v>#REF!</v>
      </c>
      <c r="AI5049" s="43" t="str">
        <f ca="1">_xll.BInterpol('Base IPCA'!$C$3:$C$14,'Base IPCA'!$E$3:$E$14,AH5049,"Cubic","Extrapolate=Linear","MultiX=Average","Skip=True","Sort=True")</f>
        <v>#N/A Invalid Parameter: Interpolation value</v>
      </c>
      <c r="AJ5049" s="43" t="str">
        <f ca="1"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63"/>
        <v>#REF!</v>
      </c>
      <c r="AI5050" s="43" t="str">
        <f ca="1">_xll.BInterpol('Base IPCA'!$C$3:$C$14,'Base IPCA'!$E$3:$E$14,AH5050,"Cubic","Extrapolate=Linear","MultiX=Average","Skip=True","Sort=True")</f>
        <v>#N/A Invalid Parameter: Interpolation value</v>
      </c>
      <c r="AJ5050" s="43" t="str">
        <f ca="1"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63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 ca="1"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63"/>
        <v>#REF!</v>
      </c>
      <c r="AI5052" s="43" t="str">
        <f ca="1"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63"/>
        <v>#REF!</v>
      </c>
      <c r="AI5053" s="43" t="str">
        <f ca="1">_xll.BInterpol('Base IPCA'!$C$3:$C$14,'Base IPCA'!$E$3:$E$14,AH5053,"Cubic","Extrapolate=Linear","MultiX=Average","Skip=True","Sort=True")</f>
        <v>#N/A Invalid Parameter: Interpolation value</v>
      </c>
      <c r="AJ5053" s="43" t="str">
        <f ca="1"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63"/>
        <v>#REF!</v>
      </c>
      <c r="AI5054" s="43" t="str">
        <f ca="1">_xll.BInterpol('Base IPCA'!$C$3:$C$14,'Base IPCA'!$E$3:$E$14,AH5054,"Cubic","Extrapolate=Linear","MultiX=Average","Skip=True","Sort=True")</f>
        <v>#N/A Invalid Parameter: Interpolation value</v>
      </c>
      <c r="AJ5054" s="43" t="str">
        <f ca="1"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63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 ca="1"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63"/>
        <v>#REF!</v>
      </c>
      <c r="AI5056" s="43" t="str">
        <f ca="1"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63"/>
        <v>#REF!</v>
      </c>
      <c r="AI5057" s="43" t="str">
        <f ca="1">_xll.BInterpol('Base IPCA'!$C$3:$C$14,'Base IPCA'!$E$3:$E$14,AH5057,"Cubic","Extrapolate=Linear","MultiX=Average","Skip=True","Sort=True")</f>
        <v>#N/A Invalid Parameter: Interpolation value</v>
      </c>
      <c r="AJ5057" s="43" t="str">
        <f ca="1"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63"/>
        <v>#REF!</v>
      </c>
      <c r="AI5058" s="43" t="str">
        <f ca="1">_xll.BInterpol('Base IPCA'!$C$3:$C$14,'Base IPCA'!$E$3:$E$14,AH5058,"Cubic","Extrapolate=Linear","MultiX=Average","Skip=True","Sort=True")</f>
        <v>#N/A Invalid Parameter: Interpolation value</v>
      </c>
      <c r="AJ5058" s="43" t="str">
        <f ca="1"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63"/>
        <v>#REF!</v>
      </c>
      <c r="AI5059" s="43" t="str">
        <f>_xll.BInterpol('Base IPCA'!$C$3:$C$14,'Base IPCA'!$E$3:$E$14,AH5059,"Cubic","Extrapolate=Linear","MultiX=Average","Skip=True","Sort=True")</f>
        <v>#N/A Invalid Parameter: Interpolation value</v>
      </c>
      <c r="AJ5059" s="43" t="str">
        <f ca="1"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63"/>
        <v>#REF!</v>
      </c>
      <c r="AI5060" s="43" t="str">
        <f ca="1"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63"/>
        <v>#REF!</v>
      </c>
      <c r="AI5061" s="43" t="str">
        <f ca="1">_xll.BInterpol('Base IPCA'!$C$3:$C$14,'Base IPCA'!$E$3:$E$14,AH5061,"Cubic","Extrapolate=Linear","MultiX=Average","Skip=True","Sort=True")</f>
        <v>#N/A Invalid Parameter: Interpolation value</v>
      </c>
      <c r="AJ5061" s="43" t="str">
        <f ca="1"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64">AH5061+1</f>
        <v>#REF!</v>
      </c>
      <c r="AI5062" s="43" t="str">
        <f ca="1">_xll.BInterpol('Base IPCA'!$C$3:$C$14,'Base IPCA'!$E$3:$E$14,AH5062,"Cubic","Extrapolate=Linear","MultiX=Average","Skip=True","Sort=True")</f>
        <v>#N/A Invalid Parameter: Interpolation value</v>
      </c>
      <c r="AJ5062" s="43" t="str">
        <f ca="1"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64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 ca="1"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64"/>
        <v>#REF!</v>
      </c>
      <c r="AI5064" s="43" t="str">
        <f ca="1"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64"/>
        <v>#REF!</v>
      </c>
      <c r="AI5065" s="43" t="str">
        <f ca="1">_xll.BInterpol('Base IPCA'!$C$3:$C$14,'Base IPCA'!$E$3:$E$14,AH5065,"Cubic","Extrapolate=Linear","MultiX=Average","Skip=True","Sort=True")</f>
        <v>#N/A Invalid Parameter: Interpolation value</v>
      </c>
      <c r="AJ5065" s="43" t="str">
        <f ca="1"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64"/>
        <v>#REF!</v>
      </c>
      <c r="AI5066" s="43" t="str">
        <f ca="1">_xll.BInterpol('Base IPCA'!$C$3:$C$14,'Base IPCA'!$E$3:$E$14,AH5066,"Cubic","Extrapolate=Linear","MultiX=Average","Skip=True","Sort=True")</f>
        <v>#N/A Invalid Parameter: Interpolation value</v>
      </c>
      <c r="AJ5066" s="43" t="str">
        <f ca="1"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64"/>
        <v>#REF!</v>
      </c>
      <c r="AI5067" s="43" t="str">
        <f>_xll.BInterpol('Base IPCA'!$C$3:$C$14,'Base IPCA'!$E$3:$E$14,AH5067,"Cubic","Extrapolate=Linear","MultiX=Average","Skip=True","Sort=True")</f>
        <v>#N/A Invalid Parameter: Interpolation value</v>
      </c>
      <c r="AJ5067" s="43" t="str">
        <f ca="1"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64"/>
        <v>#REF!</v>
      </c>
      <c r="AI5068" s="43" t="str">
        <f ca="1"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64"/>
        <v>#REF!</v>
      </c>
      <c r="AI5069" s="43" t="str">
        <f ca="1">_xll.BInterpol('Base IPCA'!$C$3:$C$14,'Base IPCA'!$E$3:$E$14,AH5069,"Cubic","Extrapolate=Linear","MultiX=Average","Skip=True","Sort=True")</f>
        <v>#N/A Invalid Parameter: Interpolation value</v>
      </c>
      <c r="AJ5069" s="43" t="str">
        <f ca="1"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64"/>
        <v>#REF!</v>
      </c>
      <c r="AI5070" s="43" t="str">
        <f ca="1">_xll.BInterpol('Base IPCA'!$C$3:$C$14,'Base IPCA'!$E$3:$E$14,AH5070,"Cubic","Extrapolate=Linear","MultiX=Average","Skip=True","Sort=True")</f>
        <v>#N/A Invalid Parameter: Interpolation value</v>
      </c>
      <c r="AJ5070" s="43" t="str">
        <f ca="1"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64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 ca="1"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64"/>
        <v>#REF!</v>
      </c>
      <c r="AI5072" s="43" t="str">
        <f ca="1"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64"/>
        <v>#REF!</v>
      </c>
      <c r="AI5073" s="43" t="str">
        <f ca="1">_xll.BInterpol('Base IPCA'!$C$3:$C$14,'Base IPCA'!$E$3:$E$14,AH5073,"Cubic","Extrapolate=Linear","MultiX=Average","Skip=True","Sort=True")</f>
        <v>#N/A Invalid Parameter: Interpolation value</v>
      </c>
      <c r="AJ5073" s="43" t="str">
        <f ca="1"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64"/>
        <v>#REF!</v>
      </c>
      <c r="AI5074" s="43" t="str">
        <f ca="1">_xll.BInterpol('Base IPCA'!$C$3:$C$14,'Base IPCA'!$E$3:$E$14,AH5074,"Cubic","Extrapolate=Linear","MultiX=Average","Skip=True","Sort=True")</f>
        <v>#N/A Invalid Parameter: Interpolation value</v>
      </c>
      <c r="AJ5074" s="43" t="str">
        <f ca="1"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64"/>
        <v>#REF!</v>
      </c>
      <c r="AI5075" s="43" t="str">
        <f>_xll.BInterpol('Base IPCA'!$C$3:$C$14,'Base IPCA'!$E$3:$E$14,AH5075,"Cubic","Extrapolate=Linear","MultiX=Average","Skip=True","Sort=True")</f>
        <v>#N/A Invalid Parameter: Interpolation value</v>
      </c>
      <c r="AJ5075" s="43" t="str">
        <f ca="1"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64"/>
        <v>#REF!</v>
      </c>
      <c r="AI5076" s="43" t="str">
        <f ca="1"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64"/>
        <v>#REF!</v>
      </c>
      <c r="AI5077" s="43" t="str">
        <f ca="1">_xll.BInterpol('Base IPCA'!$C$3:$C$14,'Base IPCA'!$E$3:$E$14,AH5077,"Cubic","Extrapolate=Linear","MultiX=Average","Skip=True","Sort=True")</f>
        <v>#N/A Invalid Parameter: Interpolation value</v>
      </c>
      <c r="AJ5077" s="43" t="str">
        <f ca="1"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64"/>
        <v>#REF!</v>
      </c>
      <c r="AI5078" s="43" t="str">
        <f ca="1">_xll.BInterpol('Base IPCA'!$C$3:$C$14,'Base IPCA'!$E$3:$E$14,AH5078,"Cubic","Extrapolate=Linear","MultiX=Average","Skip=True","Sort=True")</f>
        <v>#N/A Invalid Parameter: Interpolation value</v>
      </c>
      <c r="AJ5078" s="43" t="str">
        <f ca="1"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64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 ca="1"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64"/>
        <v>#REF!</v>
      </c>
      <c r="AI5080" s="43" t="str">
        <f ca="1">_xll.BInterpol('Base IPCA'!$C$3:$C$14,'Base IPCA'!$E$3:$E$14,AH5080,"Cubic","Extrapolate=Linear","MultiX=Average","Skip=True","Sort=True")</f>
        <v>#N/A Invalid Parameter: Interpolation value</v>
      </c>
      <c r="AJ5080" s="43" t="str">
        <f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64"/>
        <v>#REF!</v>
      </c>
      <c r="AI5081" s="43" t="str">
        <f ca="1">_xll.BInterpol('Base IPCA'!$C$3:$C$14,'Base IPCA'!$E$3:$E$14,AH5081,"Cubic","Extrapolate=Linear","MultiX=Average","Skip=True","Sort=True")</f>
        <v>#N/A Invalid Parameter: Interpolation value</v>
      </c>
      <c r="AJ5081" s="43" t="str">
        <f ca="1"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64"/>
        <v>#REF!</v>
      </c>
      <c r="AI5082" s="43" t="str">
        <f ca="1">_xll.BInterpol('Base IPCA'!$C$3:$C$14,'Base IPCA'!$E$3:$E$14,AH5082,"Cubic","Extrapolate=Linear","MultiX=Average","Skip=True","Sort=True")</f>
        <v>#N/A Invalid Parameter: Interpolation value</v>
      </c>
      <c r="AJ5082" s="43" t="str">
        <f ca="1"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64"/>
        <v>#REF!</v>
      </c>
      <c r="AI5083" s="43" t="str">
        <f>_xll.BInterpol('Base IPCA'!$C$3:$C$14,'Base IPCA'!$E$3:$E$14,AH5083,"Cubic","Extrapolate=Linear","MultiX=Average","Skip=True","Sort=True")</f>
        <v>#N/A Invalid Parameter: Interpolation value</v>
      </c>
      <c r="AJ5083" s="43" t="str">
        <f ca="1"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64"/>
        <v>#REF!</v>
      </c>
      <c r="AI5084" s="43" t="str">
        <f ca="1"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64"/>
        <v>#REF!</v>
      </c>
      <c r="AI5085" s="43" t="str">
        <f ca="1">_xll.BInterpol('Base IPCA'!$C$3:$C$14,'Base IPCA'!$E$3:$E$14,AH5085,"Cubic","Extrapolate=Linear","MultiX=Average","Skip=True","Sort=True")</f>
        <v>#N/A Invalid Parameter: Interpolation value</v>
      </c>
      <c r="AJ5085" s="43" t="str">
        <f ca="1"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64"/>
        <v>#REF!</v>
      </c>
      <c r="AI5086" s="43" t="str">
        <f ca="1">_xll.BInterpol('Base IPCA'!$C$3:$C$14,'Base IPCA'!$E$3:$E$14,AH5086,"Cubic","Extrapolate=Linear","MultiX=Average","Skip=True","Sort=True")</f>
        <v>#N/A Invalid Parameter: Interpolation value</v>
      </c>
      <c r="AJ5086" s="43" t="str">
        <f ca="1"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64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 ca="1"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64"/>
        <v>#REF!</v>
      </c>
      <c r="AI5088" s="43" t="str">
        <f ca="1">_xll.BInterpol('Base IPCA'!$C$3:$C$14,'Base IPCA'!$E$3:$E$14,AH5088,"Cubic","Extrapolate=Linear","MultiX=Average","Skip=True","Sort=True")</f>
        <v>#N/A Invalid Parameter: Interpolation value</v>
      </c>
      <c r="AJ5088" s="43" t="str">
        <f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64"/>
        <v>#REF!</v>
      </c>
      <c r="AI5089" s="43" t="str">
        <f ca="1">_xll.BInterpol('Base IPCA'!$C$3:$C$14,'Base IPCA'!$E$3:$E$14,AH5089,"Cubic","Extrapolate=Linear","MultiX=Average","Skip=True","Sort=True")</f>
        <v>#N/A Invalid Parameter: Interpolation value</v>
      </c>
      <c r="AJ5089" s="43" t="str">
        <f ca="1"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64"/>
        <v>#REF!</v>
      </c>
      <c r="AI5090" s="43" t="str">
        <f ca="1">_xll.BInterpol('Base IPCA'!$C$3:$C$14,'Base IPCA'!$E$3:$E$14,AH5090,"Cubic","Extrapolate=Linear","MultiX=Average","Skip=True","Sort=True")</f>
        <v>#N/A Invalid Parameter: Interpolation value</v>
      </c>
      <c r="AJ5090" s="43" t="str">
        <f ca="1"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64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 ca="1"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64"/>
        <v>#REF!</v>
      </c>
      <c r="AI5092" s="43" t="str">
        <f ca="1"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64"/>
        <v>#REF!</v>
      </c>
      <c r="AI5093" s="43" t="str">
        <f ca="1">_xll.BInterpol('Base IPCA'!$C$3:$C$14,'Base IPCA'!$E$3:$E$14,AH5093,"Cubic","Extrapolate=Linear","MultiX=Average","Skip=True","Sort=True")</f>
        <v>#N/A Invalid Parameter: Interpolation value</v>
      </c>
      <c r="AJ5093" s="43" t="str">
        <f ca="1"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64"/>
        <v>#REF!</v>
      </c>
      <c r="AI5094" s="43" t="str">
        <f ca="1">_xll.BInterpol('Base IPCA'!$C$3:$C$14,'Base IPCA'!$E$3:$E$14,AH5094,"Cubic","Extrapolate=Linear","MultiX=Average","Skip=True","Sort=True")</f>
        <v>#N/A Invalid Parameter: Interpolation value</v>
      </c>
      <c r="AJ5094" s="43" t="str">
        <f ca="1"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64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 ca="1"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64"/>
        <v>#REF!</v>
      </c>
      <c r="AI5096" s="43" t="str">
        <f ca="1">_xll.BInterpol('Base IPCA'!$C$3:$C$14,'Base IPCA'!$E$3:$E$14,AH5096,"Cubic","Extrapolate=Linear","MultiX=Average","Skip=True","Sort=True")</f>
        <v>#N/A Invalid Parameter: Interpolation value</v>
      </c>
      <c r="AJ5096" s="43" t="str">
        <f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64"/>
        <v>#REF!</v>
      </c>
      <c r="AI5097" s="43" t="str">
        <f ca="1">_xll.BInterpol('Base IPCA'!$C$3:$C$14,'Base IPCA'!$E$3:$E$14,AH5097,"Cubic","Extrapolate=Linear","MultiX=Average","Skip=True","Sort=True")</f>
        <v>#N/A Invalid Parameter: Interpolation value</v>
      </c>
      <c r="AJ5097" s="43" t="str">
        <f ca="1"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64"/>
        <v>#REF!</v>
      </c>
      <c r="AI5098" s="43" t="str">
        <f ca="1">_xll.BInterpol('Base IPCA'!$C$3:$C$14,'Base IPCA'!$E$3:$E$14,AH5098,"Cubic","Extrapolate=Linear","MultiX=Average","Skip=True","Sort=True")</f>
        <v>#N/A Invalid Parameter: Interpolation value</v>
      </c>
      <c r="AJ5098" s="43" t="str">
        <f ca="1"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64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 ca="1"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64"/>
        <v>#REF!</v>
      </c>
      <c r="AI5100" s="43" t="str">
        <f ca="1"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64"/>
        <v>#REF!</v>
      </c>
      <c r="AI5101" s="43" t="str">
        <f ca="1">_xll.BInterpol('Base IPCA'!$C$3:$C$14,'Base IPCA'!$E$3:$E$14,AH5101,"Cubic","Extrapolate=Linear","MultiX=Average","Skip=True","Sort=True")</f>
        <v>#N/A Invalid Parameter: Interpolation value</v>
      </c>
      <c r="AJ5101" s="43" t="str">
        <f ca="1"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64"/>
        <v>#REF!</v>
      </c>
      <c r="AI5102" s="43" t="str">
        <f ca="1">_xll.BInterpol('Base IPCA'!$C$3:$C$14,'Base IPCA'!$E$3:$E$14,AH5102,"Cubic","Extrapolate=Linear","MultiX=Average","Skip=True","Sort=True")</f>
        <v>#N/A Invalid Parameter: Interpolation value</v>
      </c>
      <c r="AJ5102" s="43" t="str">
        <f ca="1"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64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 ca="1"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64"/>
        <v>#REF!</v>
      </c>
      <c r="AI5104" s="43" t="str">
        <f ca="1">_xll.BInterpol('Base IPCA'!$C$3:$C$14,'Base IPCA'!$E$3:$E$14,AH5104,"Cubic","Extrapolate=Linear","MultiX=Average","Skip=True","Sort=True")</f>
        <v>#N/A Invalid Parameter: Interpolation value</v>
      </c>
      <c r="AJ5104" s="43" t="str">
        <f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64"/>
        <v>#REF!</v>
      </c>
      <c r="AI5105" s="43" t="str">
        <f ca="1">_xll.BInterpol('Base IPCA'!$C$3:$C$14,'Base IPCA'!$E$3:$E$14,AH5105,"Cubic","Extrapolate=Linear","MultiX=Average","Skip=True","Sort=True")</f>
        <v>#N/A Invalid Parameter: Interpolation value</v>
      </c>
      <c r="AJ5105" s="43" t="str">
        <f ca="1"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64"/>
        <v>#REF!</v>
      </c>
      <c r="AI5106" s="43" t="str">
        <f ca="1">_xll.BInterpol('Base IPCA'!$C$3:$C$14,'Base IPCA'!$E$3:$E$14,AH5106,"Cubic","Extrapolate=Linear","MultiX=Average","Skip=True","Sort=True")</f>
        <v>#N/A Invalid Parameter: Interpolation value</v>
      </c>
      <c r="AJ5106" s="43" t="str">
        <f ca="1"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64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 ca="1"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64"/>
        <v>#REF!</v>
      </c>
      <c r="AI5108" s="43" t="str">
        <f ca="1"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64"/>
        <v>#REF!</v>
      </c>
      <c r="AI5109" s="43" t="str">
        <f ca="1">_xll.BInterpol('Base IPCA'!$C$3:$C$14,'Base IPCA'!$E$3:$E$14,AH5109,"Cubic","Extrapolate=Linear","MultiX=Average","Skip=True","Sort=True")</f>
        <v>#N/A Invalid Parameter: Interpolation value</v>
      </c>
      <c r="AJ5109" s="43" t="str">
        <f ca="1"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64"/>
        <v>#REF!</v>
      </c>
      <c r="AI5110" s="43" t="str">
        <f ca="1">_xll.BInterpol('Base IPCA'!$C$3:$C$14,'Base IPCA'!$E$3:$E$14,AH5110,"Cubic","Extrapolate=Linear","MultiX=Average","Skip=True","Sort=True")</f>
        <v>#N/A Invalid Parameter: Interpolation value</v>
      </c>
      <c r="AJ5110" s="43" t="str">
        <f ca="1"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64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 ca="1"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64"/>
        <v>#REF!</v>
      </c>
      <c r="AI5112" s="43" t="str">
        <f ca="1"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64"/>
        <v>#REF!</v>
      </c>
      <c r="AI5113" s="43" t="str">
        <f ca="1">_xll.BInterpol('Base IPCA'!$C$3:$C$14,'Base IPCA'!$E$3:$E$14,AH5113,"Cubic","Extrapolate=Linear","MultiX=Average","Skip=True","Sort=True")</f>
        <v>#N/A Invalid Parameter: Interpolation value</v>
      </c>
      <c r="AJ5113" s="43" t="str">
        <f ca="1"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64"/>
        <v>#REF!</v>
      </c>
      <c r="AI5114" s="43" t="str">
        <f ca="1">_xll.BInterpol('Base IPCA'!$C$3:$C$14,'Base IPCA'!$E$3:$E$14,AH5114,"Cubic","Extrapolate=Linear","MultiX=Average","Skip=True","Sort=True")</f>
        <v>#N/A Invalid Parameter: Interpolation value</v>
      </c>
      <c r="AJ5114" s="43" t="str">
        <f ca="1"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64"/>
        <v>#REF!</v>
      </c>
      <c r="AI5115" s="43" t="str">
        <f>_xll.BInterpol('Base IPCA'!$C$3:$C$14,'Base IPCA'!$E$3:$E$14,AH5115,"Cubic","Extrapolate=Linear","MultiX=Average","Skip=True","Sort=True")</f>
        <v>#N/A Invalid Parameter: Interpolation value</v>
      </c>
      <c r="AJ5115" s="43" t="str">
        <f ca="1"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64"/>
        <v>#REF!</v>
      </c>
      <c r="AI5116" s="43" t="str">
        <f ca="1"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64"/>
        <v>#REF!</v>
      </c>
      <c r="AI5117" s="43" t="str">
        <f ca="1">_xll.BInterpol('Base IPCA'!$C$3:$C$14,'Base IPCA'!$E$3:$E$14,AH5117,"Cubic","Extrapolate=Linear","MultiX=Average","Skip=True","Sort=True")</f>
        <v>#N/A Invalid Parameter: Interpolation value</v>
      </c>
      <c r="AJ5117" s="43" t="str">
        <f ca="1"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64"/>
        <v>#REF!</v>
      </c>
      <c r="AI5118" s="43" t="str">
        <f ca="1">_xll.BInterpol('Base IPCA'!$C$3:$C$14,'Base IPCA'!$E$3:$E$14,AH5118,"Cubic","Extrapolate=Linear","MultiX=Average","Skip=True","Sort=True")</f>
        <v>#N/A Invalid Parameter: Interpolation value</v>
      </c>
      <c r="AJ5118" s="43" t="str">
        <f ca="1"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64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 ca="1"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64"/>
        <v>#REF!</v>
      </c>
      <c r="AI5120" s="43" t="str">
        <f ca="1"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64"/>
        <v>#REF!</v>
      </c>
      <c r="AI5121" s="43" t="str">
        <f ca="1">_xll.BInterpol('Base IPCA'!$C$3:$C$14,'Base IPCA'!$E$3:$E$14,AH5121,"Cubic","Extrapolate=Linear","MultiX=Average","Skip=True","Sort=True")</f>
        <v>#N/A Invalid Parameter: Interpolation value</v>
      </c>
      <c r="AJ5121" s="43" t="str">
        <f ca="1"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64"/>
        <v>#REF!</v>
      </c>
      <c r="AI5122" s="43" t="str">
        <f ca="1">_xll.BInterpol('Base IPCA'!$C$3:$C$14,'Base IPCA'!$E$3:$E$14,AH5122,"Cubic","Extrapolate=Linear","MultiX=Average","Skip=True","Sort=True")</f>
        <v>#N/A Invalid Parameter: Interpolation value</v>
      </c>
      <c r="AJ5122" s="43" t="str">
        <f ca="1"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64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 ca="1"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64"/>
        <v>#REF!</v>
      </c>
      <c r="AI5124" s="43" t="str">
        <f ca="1"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64"/>
        <v>#REF!</v>
      </c>
      <c r="AI5125" s="43" t="str">
        <f ca="1">_xll.BInterpol('Base IPCA'!$C$3:$C$14,'Base IPCA'!$E$3:$E$14,AH5125,"Cubic","Extrapolate=Linear","MultiX=Average","Skip=True","Sort=True")</f>
        <v>#N/A Invalid Parameter: Interpolation value</v>
      </c>
      <c r="AJ5125" s="43" t="str">
        <f ca="1"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65">AH5125+1</f>
        <v>#REF!</v>
      </c>
      <c r="AI5126" s="43" t="str">
        <f ca="1">_xll.BInterpol('Base IPCA'!$C$3:$C$14,'Base IPCA'!$E$3:$E$14,AH5126,"Cubic","Extrapolate=Linear","MultiX=Average","Skip=True","Sort=True")</f>
        <v>#N/A Invalid Parameter: Interpolation value</v>
      </c>
      <c r="AJ5126" s="43" t="str">
        <f ca="1"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65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 ca="1"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65"/>
        <v>#REF!</v>
      </c>
      <c r="AI5128" s="43" t="str">
        <f ca="1"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65"/>
        <v>#REF!</v>
      </c>
      <c r="AI5129" s="43" t="str">
        <f ca="1">_xll.BInterpol('Base IPCA'!$C$3:$C$14,'Base IPCA'!$E$3:$E$14,AH5129,"Cubic","Extrapolate=Linear","MultiX=Average","Skip=True","Sort=True")</f>
        <v>#N/A Invalid Parameter: Interpolation value</v>
      </c>
      <c r="AJ5129" s="43" t="str">
        <f ca="1"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65"/>
        <v>#REF!</v>
      </c>
      <c r="AI5130" s="43" t="str">
        <f ca="1">_xll.BInterpol('Base IPCA'!$C$3:$C$14,'Base IPCA'!$E$3:$E$14,AH5130,"Cubic","Extrapolate=Linear","MultiX=Average","Skip=True","Sort=True")</f>
        <v>#N/A Invalid Parameter: Interpolation value</v>
      </c>
      <c r="AJ5130" s="43" t="str">
        <f ca="1"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65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 ca="1"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65"/>
        <v>#REF!</v>
      </c>
      <c r="AI5132" s="43" t="str">
        <f ca="1"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65"/>
        <v>#REF!</v>
      </c>
      <c r="AI5133" s="43" t="str">
        <f ca="1">_xll.BInterpol('Base IPCA'!$C$3:$C$14,'Base IPCA'!$E$3:$E$14,AH5133,"Cubic","Extrapolate=Linear","MultiX=Average","Skip=True","Sort=True")</f>
        <v>#N/A Invalid Parameter: Interpolation value</v>
      </c>
      <c r="AJ5133" s="43" t="str">
        <f ca="1"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65"/>
        <v>#REF!</v>
      </c>
      <c r="AI5134" s="43" t="str">
        <f ca="1">_xll.BInterpol('Base IPCA'!$C$3:$C$14,'Base IPCA'!$E$3:$E$14,AH5134,"Cubic","Extrapolate=Linear","MultiX=Average","Skip=True","Sort=True")</f>
        <v>#N/A Invalid Parameter: Interpolation value</v>
      </c>
      <c r="AJ5134" s="43" t="str">
        <f ca="1"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65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 ca="1"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65"/>
        <v>#REF!</v>
      </c>
      <c r="AI5136" s="43" t="str">
        <f ca="1">_xll.BInterpol('Base IPCA'!$C$3:$C$14,'Base IPCA'!$E$3:$E$14,AH5136,"Cubic","Extrapolate=Linear","MultiX=Average","Skip=True","Sort=True")</f>
        <v>#N/A Invalid Parameter: Interpolation value</v>
      </c>
      <c r="AJ5136" s="43" t="str">
        <f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65"/>
        <v>#REF!</v>
      </c>
      <c r="AI5137" s="43" t="str">
        <f ca="1">_xll.BInterpol('Base IPCA'!$C$3:$C$14,'Base IPCA'!$E$3:$E$14,AH5137,"Cubic","Extrapolate=Linear","MultiX=Average","Skip=True","Sort=True")</f>
        <v>#N/A Invalid Parameter: Interpolation value</v>
      </c>
      <c r="AJ5137" s="43" t="str">
        <f ca="1"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65"/>
        <v>#REF!</v>
      </c>
      <c r="AI5138" s="43" t="str">
        <f ca="1">_xll.BInterpol('Base IPCA'!$C$3:$C$14,'Base IPCA'!$E$3:$E$14,AH5138,"Cubic","Extrapolate=Linear","MultiX=Average","Skip=True","Sort=True")</f>
        <v>#N/A Invalid Parameter: Interpolation value</v>
      </c>
      <c r="AJ5138" s="43" t="str">
        <f ca="1"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65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 ca="1"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65"/>
        <v>#REF!</v>
      </c>
      <c r="AI5140" s="43" t="str">
        <f ca="1"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65"/>
        <v>#REF!</v>
      </c>
      <c r="AI5141" s="43" t="str">
        <f ca="1">_xll.BInterpol('Base IPCA'!$C$3:$C$14,'Base IPCA'!$E$3:$E$14,AH5141,"Cubic","Extrapolate=Linear","MultiX=Average","Skip=True","Sort=True")</f>
        <v>#N/A Invalid Parameter: Interpolation value</v>
      </c>
      <c r="AJ5141" s="43" t="str">
        <f ca="1"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65"/>
        <v>#REF!</v>
      </c>
      <c r="AI5142" s="43" t="str">
        <f ca="1">_xll.BInterpol('Base IPCA'!$C$3:$C$14,'Base IPCA'!$E$3:$E$14,AH5142,"Cubic","Extrapolate=Linear","MultiX=Average","Skip=True","Sort=True")</f>
        <v>#N/A Invalid Parameter: Interpolation value</v>
      </c>
      <c r="AJ5142" s="43" t="str">
        <f ca="1"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65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 ca="1"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65"/>
        <v>#REF!</v>
      </c>
      <c r="AI5144" s="43" t="str">
        <f ca="1"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65"/>
        <v>#REF!</v>
      </c>
      <c r="AI5145" s="43" t="str">
        <f ca="1">_xll.BInterpol('Base IPCA'!$C$3:$C$14,'Base IPCA'!$E$3:$E$14,AH5145,"Cubic","Extrapolate=Linear","MultiX=Average","Skip=True","Sort=True")</f>
        <v>#N/A Invalid Parameter: Interpolation value</v>
      </c>
      <c r="AJ5145" s="43" t="str">
        <f ca="1"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65"/>
        <v>#REF!</v>
      </c>
      <c r="AI5146" s="43" t="str">
        <f ca="1">_xll.BInterpol('Base IPCA'!$C$3:$C$14,'Base IPCA'!$E$3:$E$14,AH5146,"Cubic","Extrapolate=Linear","MultiX=Average","Skip=True","Sort=True")</f>
        <v>#N/A Invalid Parameter: Interpolation value</v>
      </c>
      <c r="AJ5146" s="43" t="str">
        <f ca="1"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65"/>
        <v>#REF!</v>
      </c>
      <c r="AI5147" s="43" t="str">
        <f>_xll.BInterpol('Base IPCA'!$C$3:$C$14,'Base IPCA'!$E$3:$E$14,AH5147,"Cubic","Extrapolate=Linear","MultiX=Average","Skip=True","Sort=True")</f>
        <v>#N/A Invalid Parameter: Interpolation value</v>
      </c>
      <c r="AJ5147" s="43" t="str">
        <f ca="1"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65"/>
        <v>#REF!</v>
      </c>
      <c r="AI5148" s="43" t="str">
        <f ca="1"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65"/>
        <v>#REF!</v>
      </c>
      <c r="AI5149" s="43" t="str">
        <f ca="1">_xll.BInterpol('Base IPCA'!$C$3:$C$14,'Base IPCA'!$E$3:$E$14,AH5149,"Cubic","Extrapolate=Linear","MultiX=Average","Skip=True","Sort=True")</f>
        <v>#N/A Invalid Parameter: Interpolation value</v>
      </c>
      <c r="AJ5149" s="43" t="str">
        <f ca="1"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65"/>
        <v>#REF!</v>
      </c>
      <c r="AI5150" s="43" t="str">
        <f ca="1">_xll.BInterpol('Base IPCA'!$C$3:$C$14,'Base IPCA'!$E$3:$E$14,AH5150,"Cubic","Extrapolate=Linear","MultiX=Average","Skip=True","Sort=True")</f>
        <v>#N/A Invalid Parameter: Interpolation value</v>
      </c>
      <c r="AJ5150" s="43" t="str">
        <f ca="1"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65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 ca="1"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65"/>
        <v>#REF!</v>
      </c>
      <c r="AI5152" s="43" t="str">
        <f ca="1"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65"/>
        <v>#REF!</v>
      </c>
      <c r="AI5153" s="43" t="str">
        <f ca="1">_xll.BInterpol('Base IPCA'!$C$3:$C$14,'Base IPCA'!$E$3:$E$14,AH5153,"Cubic","Extrapolate=Linear","MultiX=Average","Skip=True","Sort=True")</f>
        <v>#N/A Invalid Parameter: Interpolation value</v>
      </c>
      <c r="AJ5153" s="43" t="str">
        <f ca="1"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65"/>
        <v>#REF!</v>
      </c>
      <c r="AI5154" s="43" t="str">
        <f ca="1">_xll.BInterpol('Base IPCA'!$C$3:$C$14,'Base IPCA'!$E$3:$E$14,AH5154,"Cubic","Extrapolate=Linear","MultiX=Average","Skip=True","Sort=True")</f>
        <v>#N/A Invalid Parameter: Interpolation value</v>
      </c>
      <c r="AJ5154" s="43" t="str">
        <f ca="1"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65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 ca="1"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65"/>
        <v>#REF!</v>
      </c>
      <c r="AI5156" s="43" t="str">
        <f ca="1"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65"/>
        <v>#REF!</v>
      </c>
      <c r="AI5157" s="43" t="str">
        <f ca="1">_xll.BInterpol('Base IPCA'!$C$3:$C$14,'Base IPCA'!$E$3:$E$14,AH5157,"Cubic","Extrapolate=Linear","MultiX=Average","Skip=True","Sort=True")</f>
        <v>#N/A Invalid Parameter: Interpolation value</v>
      </c>
      <c r="AJ5157" s="43" t="str">
        <f ca="1"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65"/>
        <v>#REF!</v>
      </c>
      <c r="AI5158" s="43" t="str">
        <f ca="1">_xll.BInterpol('Base IPCA'!$C$3:$C$14,'Base IPCA'!$E$3:$E$14,AH5158,"Cubic","Extrapolate=Linear","MultiX=Average","Skip=True","Sort=True")</f>
        <v>#N/A Invalid Parameter: Interpolation value</v>
      </c>
      <c r="AJ5158" s="43" t="str">
        <f ca="1"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65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 ca="1"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65"/>
        <v>#REF!</v>
      </c>
      <c r="AI5160" s="43" t="str">
        <f ca="1"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65"/>
        <v>#REF!</v>
      </c>
      <c r="AI5161" s="43" t="str">
        <f ca="1">_xll.BInterpol('Base IPCA'!$C$3:$C$14,'Base IPCA'!$E$3:$E$14,AH5161,"Cubic","Extrapolate=Linear","MultiX=Average","Skip=True","Sort=True")</f>
        <v>#N/A Invalid Parameter: Interpolation value</v>
      </c>
      <c r="AJ5161" s="43" t="str">
        <f ca="1"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65"/>
        <v>#REF!</v>
      </c>
      <c r="AI5162" s="43" t="str">
        <f ca="1">_xll.BInterpol('Base IPCA'!$C$3:$C$14,'Base IPCA'!$E$3:$E$14,AH5162,"Cubic","Extrapolate=Linear","MultiX=Average","Skip=True","Sort=True")</f>
        <v>#N/A Invalid Parameter: Interpolation value</v>
      </c>
      <c r="AJ5162" s="43" t="str">
        <f ca="1"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65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 ca="1"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65"/>
        <v>#REF!</v>
      </c>
      <c r="AI5164" s="43" t="str">
        <f ca="1"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65"/>
        <v>#REF!</v>
      </c>
      <c r="AI5165" s="43" t="str">
        <f ca="1">_xll.BInterpol('Base IPCA'!$C$3:$C$14,'Base IPCA'!$E$3:$E$14,AH5165,"Cubic","Extrapolate=Linear","MultiX=Average","Skip=True","Sort=True")</f>
        <v>#N/A Invalid Parameter: Interpolation value</v>
      </c>
      <c r="AJ5165" s="43" t="str">
        <f ca="1"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65"/>
        <v>#REF!</v>
      </c>
      <c r="AI5166" s="43" t="str">
        <f ca="1">_xll.BInterpol('Base IPCA'!$C$3:$C$14,'Base IPCA'!$E$3:$E$14,AH5166,"Cubic","Extrapolate=Linear","MultiX=Average","Skip=True","Sort=True")</f>
        <v>#N/A Invalid Parameter: Interpolation value</v>
      </c>
      <c r="AJ5166" s="43" t="str">
        <f ca="1"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65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 ca="1"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65"/>
        <v>#REF!</v>
      </c>
      <c r="AI5168" s="43" t="str">
        <f ca="1">_xll.BInterpol('Base IPCA'!$C$3:$C$14,'Base IPCA'!$E$3:$E$14,AH5168,"Cubic","Extrapolate=Linear","MultiX=Average","Skip=True","Sort=True")</f>
        <v>#N/A Invalid Parameter: Interpolation value</v>
      </c>
      <c r="AJ5168" s="43" t="str">
        <f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65"/>
        <v>#REF!</v>
      </c>
      <c r="AI5169" s="43" t="str">
        <f ca="1">_xll.BInterpol('Base IPCA'!$C$3:$C$14,'Base IPCA'!$E$3:$E$14,AH5169,"Cubic","Extrapolate=Linear","MultiX=Average","Skip=True","Sort=True")</f>
        <v>#N/A Invalid Parameter: Interpolation value</v>
      </c>
      <c r="AJ5169" s="43" t="str">
        <f ca="1"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65"/>
        <v>#REF!</v>
      </c>
      <c r="AI5170" s="43" t="str">
        <f ca="1">_xll.BInterpol('Base IPCA'!$C$3:$C$14,'Base IPCA'!$E$3:$E$14,AH5170,"Cubic","Extrapolate=Linear","MultiX=Average","Skip=True","Sort=True")</f>
        <v>#N/A Invalid Parameter: Interpolation value</v>
      </c>
      <c r="AJ5170" s="43" t="str">
        <f ca="1"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65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 ca="1"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65"/>
        <v>#REF!</v>
      </c>
      <c r="AI5172" s="43" t="str">
        <f ca="1"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65"/>
        <v>#REF!</v>
      </c>
      <c r="AI5173" s="43" t="str">
        <f ca="1">_xll.BInterpol('Base IPCA'!$C$3:$C$14,'Base IPCA'!$E$3:$E$14,AH5173,"Cubic","Extrapolate=Linear","MultiX=Average","Skip=True","Sort=True")</f>
        <v>#N/A Invalid Parameter: Interpolation value</v>
      </c>
      <c r="AJ5173" s="43" t="str">
        <f ca="1"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65"/>
        <v>#REF!</v>
      </c>
      <c r="AI5174" s="43" t="str">
        <f ca="1">_xll.BInterpol('Base IPCA'!$C$3:$C$14,'Base IPCA'!$E$3:$E$14,AH5174,"Cubic","Extrapolate=Linear","MultiX=Average","Skip=True","Sort=True")</f>
        <v>#N/A Invalid Parameter: Interpolation value</v>
      </c>
      <c r="AJ5174" s="43" t="str">
        <f ca="1"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65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 ca="1"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65"/>
        <v>#REF!</v>
      </c>
      <c r="AI5176" s="43" t="str">
        <f ca="1"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65"/>
        <v>#REF!</v>
      </c>
      <c r="AI5177" s="43" t="str">
        <f ca="1">_xll.BInterpol('Base IPCA'!$C$3:$C$14,'Base IPCA'!$E$3:$E$14,AH5177,"Cubic","Extrapolate=Linear","MultiX=Average","Skip=True","Sort=True")</f>
        <v>#N/A Invalid Parameter: Interpolation value</v>
      </c>
      <c r="AJ5177" s="43" t="str">
        <f ca="1"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65"/>
        <v>#REF!</v>
      </c>
      <c r="AI5178" s="43" t="str">
        <f ca="1">_xll.BInterpol('Base IPCA'!$C$3:$C$14,'Base IPCA'!$E$3:$E$14,AH5178,"Cubic","Extrapolate=Linear","MultiX=Average","Skip=True","Sort=True")</f>
        <v>#N/A Invalid Parameter: Interpolation value</v>
      </c>
      <c r="AJ5178" s="43" t="str">
        <f ca="1"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65"/>
        <v>#REF!</v>
      </c>
      <c r="AI5179" s="43" t="str">
        <f>_xll.BInterpol('Base IPCA'!$C$3:$C$14,'Base IPCA'!$E$3:$E$14,AH5179,"Cubic","Extrapolate=Linear","MultiX=Average","Skip=True","Sort=True")</f>
        <v>#N/A Invalid Parameter: Interpolation value</v>
      </c>
      <c r="AJ5179" s="43" t="str">
        <f ca="1"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65"/>
        <v>#REF!</v>
      </c>
      <c r="AI5180" s="43" t="str">
        <f ca="1"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65"/>
        <v>#REF!</v>
      </c>
      <c r="AI5181" s="43" t="str">
        <f ca="1">_xll.BInterpol('Base IPCA'!$C$3:$C$14,'Base IPCA'!$E$3:$E$14,AH5181,"Cubic","Extrapolate=Linear","MultiX=Average","Skip=True","Sort=True")</f>
        <v>#N/A Invalid Parameter: Interpolation value</v>
      </c>
      <c r="AJ5181" s="43" t="str">
        <f ca="1"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65"/>
        <v>#REF!</v>
      </c>
      <c r="AI5182" s="43" t="str">
        <f ca="1">_xll.BInterpol('Base IPCA'!$C$3:$C$14,'Base IPCA'!$E$3:$E$14,AH5182,"Cubic","Extrapolate=Linear","MultiX=Average","Skip=True","Sort=True")</f>
        <v>#N/A Invalid Parameter: Interpolation value</v>
      </c>
      <c r="AJ5182" s="43" t="str">
        <f ca="1"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65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 ca="1"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65"/>
        <v>#REF!</v>
      </c>
      <c r="AI5184" s="43" t="str">
        <f ca="1"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65"/>
        <v>#REF!</v>
      </c>
      <c r="AI5185" s="43" t="str">
        <f ca="1">_xll.BInterpol('Base IPCA'!$C$3:$C$14,'Base IPCA'!$E$3:$E$14,AH5185,"Cubic","Extrapolate=Linear","MultiX=Average","Skip=True","Sort=True")</f>
        <v>#N/A Invalid Parameter: Interpolation value</v>
      </c>
      <c r="AJ5185" s="43" t="str">
        <f ca="1"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65"/>
        <v>#REF!</v>
      </c>
      <c r="AI5186" s="43" t="str">
        <f ca="1">_xll.BInterpol('Base IPCA'!$C$3:$C$14,'Base IPCA'!$E$3:$E$14,AH5186,"Cubic","Extrapolate=Linear","MultiX=Average","Skip=True","Sort=True")</f>
        <v>#N/A Invalid Parameter: Interpolation value</v>
      </c>
      <c r="AJ5186" s="43" t="str">
        <f ca="1"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65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 ca="1"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65"/>
        <v>#REF!</v>
      </c>
      <c r="AI5188" s="43" t="str">
        <f ca="1"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65"/>
        <v>#REF!</v>
      </c>
      <c r="AI5189" s="43" t="str">
        <f ca="1">_xll.BInterpol('Base IPCA'!$C$3:$C$14,'Base IPCA'!$E$3:$E$14,AH5189,"Cubic","Extrapolate=Linear","MultiX=Average","Skip=True","Sort=True")</f>
        <v>#N/A Invalid Parameter: Interpolation value</v>
      </c>
      <c r="AJ5189" s="43" t="str">
        <f ca="1"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66">AH5189+1</f>
        <v>#REF!</v>
      </c>
      <c r="AI5190" s="43" t="str">
        <f ca="1">_xll.BInterpol('Base IPCA'!$C$3:$C$14,'Base IPCA'!$E$3:$E$14,AH5190,"Cubic","Extrapolate=Linear","MultiX=Average","Skip=True","Sort=True")</f>
        <v>#N/A Invalid Parameter: Interpolation value</v>
      </c>
      <c r="AJ5190" s="43" t="str">
        <f ca="1"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66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 ca="1"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66"/>
        <v>#REF!</v>
      </c>
      <c r="AI5192" s="43" t="str">
        <f ca="1"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66"/>
        <v>#REF!</v>
      </c>
      <c r="AI5193" s="43" t="str">
        <f ca="1">_xll.BInterpol('Base IPCA'!$C$3:$C$14,'Base IPCA'!$E$3:$E$14,AH5193,"Cubic","Extrapolate=Linear","MultiX=Average","Skip=True","Sort=True")</f>
        <v>#N/A Invalid Parameter: Interpolation value</v>
      </c>
      <c r="AJ5193" s="43" t="str">
        <f ca="1"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66"/>
        <v>#REF!</v>
      </c>
      <c r="AI5194" s="43" t="str">
        <f ca="1">_xll.BInterpol('Base IPCA'!$C$3:$C$14,'Base IPCA'!$E$3:$E$14,AH5194,"Cubic","Extrapolate=Linear","MultiX=Average","Skip=True","Sort=True")</f>
        <v>#N/A Invalid Parameter: Interpolation value</v>
      </c>
      <c r="AJ5194" s="43" t="str">
        <f ca="1"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66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 ca="1"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66"/>
        <v>#REF!</v>
      </c>
      <c r="AI5196" s="43" t="str">
        <f ca="1"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66"/>
        <v>#REF!</v>
      </c>
      <c r="AI5197" s="43" t="str">
        <f ca="1">_xll.BInterpol('Base IPCA'!$C$3:$C$14,'Base IPCA'!$E$3:$E$14,AH5197,"Cubic","Extrapolate=Linear","MultiX=Average","Skip=True","Sort=True")</f>
        <v>#N/A Invalid Parameter: Interpolation value</v>
      </c>
      <c r="AJ5197" s="43" t="str">
        <f ca="1"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66"/>
        <v>#REF!</v>
      </c>
      <c r="AI5198" s="43" t="str">
        <f ca="1">_xll.BInterpol('Base IPCA'!$C$3:$C$14,'Base IPCA'!$E$3:$E$14,AH5198,"Cubic","Extrapolate=Linear","MultiX=Average","Skip=True","Sort=True")</f>
        <v>#N/A Invalid Parameter: Interpolation value</v>
      </c>
      <c r="AJ5198" s="43" t="str">
        <f ca="1"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66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 ca="1"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66"/>
        <v>#REF!</v>
      </c>
      <c r="AI5200" s="43" t="str">
        <f ca="1"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66"/>
        <v>#REF!</v>
      </c>
      <c r="AI5201" s="43" t="str">
        <f ca="1">_xll.BInterpol('Base IPCA'!$C$3:$C$14,'Base IPCA'!$E$3:$E$14,AH5201,"Cubic","Extrapolate=Linear","MultiX=Average","Skip=True","Sort=True")</f>
        <v>#N/A Invalid Parameter: Interpolation value</v>
      </c>
      <c r="AJ5201" s="43" t="str">
        <f ca="1"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66"/>
        <v>#REF!</v>
      </c>
      <c r="AI5202" s="43" t="str">
        <f ca="1">_xll.BInterpol('Base IPCA'!$C$3:$C$14,'Base IPCA'!$E$3:$E$14,AH5202,"Cubic","Extrapolate=Linear","MultiX=Average","Skip=True","Sort=True")</f>
        <v>#N/A Invalid Parameter: Interpolation value</v>
      </c>
      <c r="AJ5202" s="43" t="str">
        <f ca="1"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66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 ca="1"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66"/>
        <v>#REF!</v>
      </c>
      <c r="AI5204" s="43" t="str">
        <f ca="1"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66"/>
        <v>#REF!</v>
      </c>
      <c r="AI5205" s="43" t="str">
        <f ca="1">_xll.BInterpol('Base IPCA'!$C$3:$C$14,'Base IPCA'!$E$3:$E$14,AH5205,"Cubic","Extrapolate=Linear","MultiX=Average","Skip=True","Sort=True")</f>
        <v>#N/A Invalid Parameter: Interpolation value</v>
      </c>
      <c r="AJ5205" s="43" t="str">
        <f ca="1"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66"/>
        <v>#REF!</v>
      </c>
      <c r="AI5206" s="43" t="str">
        <f ca="1">_xll.BInterpol('Base IPCA'!$C$3:$C$14,'Base IPCA'!$E$3:$E$14,AH5206,"Cubic","Extrapolate=Linear","MultiX=Average","Skip=True","Sort=True")</f>
        <v>#N/A Invalid Parameter: Interpolation value</v>
      </c>
      <c r="AJ5206" s="43" t="str">
        <f ca="1"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66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 ca="1"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66"/>
        <v>#REF!</v>
      </c>
      <c r="AI5208" s="43" t="str">
        <f ca="1"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66"/>
        <v>#REF!</v>
      </c>
      <c r="AI5209" s="43" t="str">
        <f ca="1">_xll.BInterpol('Base IPCA'!$C$3:$C$14,'Base IPCA'!$E$3:$E$14,AH5209,"Cubic","Extrapolate=Linear","MultiX=Average","Skip=True","Sort=True")</f>
        <v>#N/A Invalid Parameter: Interpolation value</v>
      </c>
      <c r="AJ5209" s="43" t="str">
        <f ca="1"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66"/>
        <v>#REF!</v>
      </c>
      <c r="AI5210" s="43" t="str">
        <f ca="1">_xll.BInterpol('Base IPCA'!$C$3:$C$14,'Base IPCA'!$E$3:$E$14,AH5210,"Cubic","Extrapolate=Linear","MultiX=Average","Skip=True","Sort=True")</f>
        <v>#N/A Invalid Parameter: Interpolation value</v>
      </c>
      <c r="AJ5210" s="43" t="str">
        <f ca="1"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66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 ca="1"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66"/>
        <v>#REF!</v>
      </c>
      <c r="AI5212" s="43" t="str">
        <f ca="1"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66"/>
        <v>#REF!</v>
      </c>
      <c r="AI5213" s="43" t="str">
        <f ca="1">_xll.BInterpol('Base IPCA'!$C$3:$C$14,'Base IPCA'!$E$3:$E$14,AH5213,"Cubic","Extrapolate=Linear","MultiX=Average","Skip=True","Sort=True")</f>
        <v>#N/A Invalid Parameter: Interpolation value</v>
      </c>
      <c r="AJ5213" s="43" t="str">
        <f ca="1"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66"/>
        <v>#REF!</v>
      </c>
      <c r="AI5214" s="43" t="str">
        <f ca="1">_xll.BInterpol('Base IPCA'!$C$3:$C$14,'Base IPCA'!$E$3:$E$14,AH5214,"Cubic","Extrapolate=Linear","MultiX=Average","Skip=True","Sort=True")</f>
        <v>#N/A Invalid Parameter: Interpolation value</v>
      </c>
      <c r="AJ5214" s="43" t="str">
        <f ca="1"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66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 ca="1"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66"/>
        <v>#REF!</v>
      </c>
      <c r="AI5216" s="43" t="str">
        <f ca="1"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66"/>
        <v>#REF!</v>
      </c>
      <c r="AI5217" s="43" t="str">
        <f ca="1">_xll.BInterpol('Base IPCA'!$C$3:$C$14,'Base IPCA'!$E$3:$E$14,AH5217,"Cubic","Extrapolate=Linear","MultiX=Average","Skip=True","Sort=True")</f>
        <v>#N/A Invalid Parameter: Interpolation value</v>
      </c>
      <c r="AJ5217" s="43" t="str">
        <f ca="1"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66"/>
        <v>#REF!</v>
      </c>
      <c r="AI5218" s="43" t="str">
        <f ca="1">_xll.BInterpol('Base IPCA'!$C$3:$C$14,'Base IPCA'!$E$3:$E$14,AH5218,"Cubic","Extrapolate=Linear","MultiX=Average","Skip=True","Sort=True")</f>
        <v>#N/A Invalid Parameter: Interpolation value</v>
      </c>
      <c r="AJ5218" s="43" t="str">
        <f ca="1"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66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 ca="1"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66"/>
        <v>#REF!</v>
      </c>
      <c r="AI5220" s="43" t="str">
        <f ca="1"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66"/>
        <v>#REF!</v>
      </c>
      <c r="AI5221" s="43" t="str">
        <f ca="1">_xll.BInterpol('Base IPCA'!$C$3:$C$14,'Base IPCA'!$E$3:$E$14,AH5221,"Cubic","Extrapolate=Linear","MultiX=Average","Skip=True","Sort=True")</f>
        <v>#N/A Invalid Parameter: Interpolation value</v>
      </c>
      <c r="AJ5221" s="43" t="str">
        <f ca="1"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66"/>
        <v>#REF!</v>
      </c>
      <c r="AI5222" s="43" t="str">
        <f ca="1">_xll.BInterpol('Base IPCA'!$C$3:$C$14,'Base IPCA'!$E$3:$E$14,AH5222,"Cubic","Extrapolate=Linear","MultiX=Average","Skip=True","Sort=True")</f>
        <v>#N/A Invalid Parameter: Interpolation value</v>
      </c>
      <c r="AJ5222" s="43" t="str">
        <f ca="1"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66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 ca="1"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66"/>
        <v>#REF!</v>
      </c>
      <c r="AI5224" s="43" t="str">
        <f ca="1"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66"/>
        <v>#REF!</v>
      </c>
      <c r="AI5225" s="43" t="str">
        <f ca="1">_xll.BInterpol('Base IPCA'!$C$3:$C$14,'Base IPCA'!$E$3:$E$14,AH5225,"Cubic","Extrapolate=Linear","MultiX=Average","Skip=True","Sort=True")</f>
        <v>#N/A Invalid Parameter: Interpolation value</v>
      </c>
      <c r="AJ5225" s="43" t="str">
        <f ca="1"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66"/>
        <v>#REF!</v>
      </c>
      <c r="AI5226" s="43" t="str">
        <f ca="1">_xll.BInterpol('Base IPCA'!$C$3:$C$14,'Base IPCA'!$E$3:$E$14,AH5226,"Cubic","Extrapolate=Linear","MultiX=Average","Skip=True","Sort=True")</f>
        <v>#N/A Invalid Parameter: Interpolation value</v>
      </c>
      <c r="AJ5226" s="43" t="str">
        <f ca="1"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66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 ca="1"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66"/>
        <v>#REF!</v>
      </c>
      <c r="AI5228" s="43" t="str">
        <f ca="1"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66"/>
        <v>#REF!</v>
      </c>
      <c r="AI5229" s="43" t="str">
        <f ca="1">_xll.BInterpol('Base IPCA'!$C$3:$C$14,'Base IPCA'!$E$3:$E$14,AH5229,"Cubic","Extrapolate=Linear","MultiX=Average","Skip=True","Sort=True")</f>
        <v>#N/A Invalid Parameter: Interpolation value</v>
      </c>
      <c r="AJ5229" s="43" t="str">
        <f ca="1"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66"/>
        <v>#REF!</v>
      </c>
      <c r="AI5230" s="43" t="str">
        <f ca="1">_xll.BInterpol('Base IPCA'!$C$3:$C$14,'Base IPCA'!$E$3:$E$14,AH5230,"Cubic","Extrapolate=Linear","MultiX=Average","Skip=True","Sort=True")</f>
        <v>#N/A Invalid Parameter: Interpolation value</v>
      </c>
      <c r="AJ5230" s="43" t="str">
        <f ca="1"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66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 ca="1"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66"/>
        <v>#REF!</v>
      </c>
      <c r="AI5232" s="43" t="str">
        <f ca="1"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66"/>
        <v>#REF!</v>
      </c>
      <c r="AI5233" s="43" t="str">
        <f ca="1">_xll.BInterpol('Base IPCA'!$C$3:$C$14,'Base IPCA'!$E$3:$E$14,AH5233,"Cubic","Extrapolate=Linear","MultiX=Average","Skip=True","Sort=True")</f>
        <v>#N/A Invalid Parameter: Interpolation value</v>
      </c>
      <c r="AJ5233" s="43" t="str">
        <f ca="1"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66"/>
        <v>#REF!</v>
      </c>
      <c r="AI5234" s="43" t="str">
        <f ca="1">_xll.BInterpol('Base IPCA'!$C$3:$C$14,'Base IPCA'!$E$3:$E$14,AH5234,"Cubic","Extrapolate=Linear","MultiX=Average","Skip=True","Sort=True")</f>
        <v>#N/A Invalid Parameter: Interpolation value</v>
      </c>
      <c r="AJ5234" s="43" t="str">
        <f ca="1"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66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 ca="1"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66"/>
        <v>#REF!</v>
      </c>
      <c r="AI5236" s="43" t="str">
        <f ca="1"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66"/>
        <v>#REF!</v>
      </c>
      <c r="AI5237" s="43" t="str">
        <f ca="1">_xll.BInterpol('Base IPCA'!$C$3:$C$14,'Base IPCA'!$E$3:$E$14,AH5237,"Cubic","Extrapolate=Linear","MultiX=Average","Skip=True","Sort=True")</f>
        <v>#N/A Invalid Parameter: Interpolation value</v>
      </c>
      <c r="AJ5237" s="43" t="str">
        <f ca="1"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66"/>
        <v>#REF!</v>
      </c>
      <c r="AI5238" s="43" t="str">
        <f ca="1">_xll.BInterpol('Base IPCA'!$C$3:$C$14,'Base IPCA'!$E$3:$E$14,AH5238,"Cubic","Extrapolate=Linear","MultiX=Average","Skip=True","Sort=True")</f>
        <v>#N/A Invalid Parameter: Interpolation value</v>
      </c>
      <c r="AJ5238" s="43" t="str">
        <f ca="1"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66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 ca="1"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66"/>
        <v>#REF!</v>
      </c>
      <c r="AI5240" s="43" t="str">
        <f ca="1"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66"/>
        <v>#REF!</v>
      </c>
      <c r="AI5241" s="43" t="str">
        <f ca="1">_xll.BInterpol('Base IPCA'!$C$3:$C$14,'Base IPCA'!$E$3:$E$14,AH5241,"Cubic","Extrapolate=Linear","MultiX=Average","Skip=True","Sort=True")</f>
        <v>#N/A Invalid Parameter: Interpolation value</v>
      </c>
      <c r="AJ5241" s="43" t="str">
        <f ca="1"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66"/>
        <v>#REF!</v>
      </c>
      <c r="AI5242" s="43" t="str">
        <f ca="1">_xll.BInterpol('Base IPCA'!$C$3:$C$14,'Base IPCA'!$E$3:$E$14,AH5242,"Cubic","Extrapolate=Linear","MultiX=Average","Skip=True","Sort=True")</f>
        <v>#N/A Invalid Parameter: Interpolation value</v>
      </c>
      <c r="AJ5242" s="43" t="str">
        <f ca="1"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66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 ca="1"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66"/>
        <v>#REF!</v>
      </c>
      <c r="AI5244" s="43" t="str">
        <f ca="1"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66"/>
        <v>#REF!</v>
      </c>
      <c r="AI5245" s="43" t="str">
        <f ca="1">_xll.BInterpol('Base IPCA'!$C$3:$C$14,'Base IPCA'!$E$3:$E$14,AH5245,"Cubic","Extrapolate=Linear","MultiX=Average","Skip=True","Sort=True")</f>
        <v>#N/A Invalid Parameter: Interpolation value</v>
      </c>
      <c r="AJ5245" s="43" t="str">
        <f ca="1"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66"/>
        <v>#REF!</v>
      </c>
      <c r="AI5246" s="43" t="str">
        <f ca="1">_xll.BInterpol('Base IPCA'!$C$3:$C$14,'Base IPCA'!$E$3:$E$14,AH5246,"Cubic","Extrapolate=Linear","MultiX=Average","Skip=True","Sort=True")</f>
        <v>#N/A Invalid Parameter: Interpolation value</v>
      </c>
      <c r="AJ5246" s="43" t="str">
        <f ca="1"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66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 ca="1"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66"/>
        <v>#REF!</v>
      </c>
      <c r="AI5248" s="43" t="str">
        <f ca="1"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66"/>
        <v>#REF!</v>
      </c>
      <c r="AI5249" s="43" t="str">
        <f ca="1">_xll.BInterpol('Base IPCA'!$C$3:$C$14,'Base IPCA'!$E$3:$E$14,AH5249,"Cubic","Extrapolate=Linear","MultiX=Average","Skip=True","Sort=True")</f>
        <v>#N/A Invalid Parameter: Interpolation value</v>
      </c>
      <c r="AJ5249" s="43" t="str">
        <f ca="1"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66"/>
        <v>#REF!</v>
      </c>
      <c r="AI5250" s="43" t="str">
        <f ca="1">_xll.BInterpol('Base IPCA'!$C$3:$C$14,'Base IPCA'!$E$3:$E$14,AH5250,"Cubic","Extrapolate=Linear","MultiX=Average","Skip=True","Sort=True")</f>
        <v>#N/A Invalid Parameter: Interpolation value</v>
      </c>
      <c r="AJ5250" s="43" t="str">
        <f ca="1"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66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 ca="1"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66"/>
        <v>#REF!</v>
      </c>
      <c r="AI5252" s="43" t="str">
        <f ca="1"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66"/>
        <v>#REF!</v>
      </c>
      <c r="AI5253" s="43" t="str">
        <f ca="1">_xll.BInterpol('Base IPCA'!$C$3:$C$14,'Base IPCA'!$E$3:$E$14,AH5253,"Cubic","Extrapolate=Linear","MultiX=Average","Skip=True","Sort=True")</f>
        <v>#N/A Invalid Parameter: Interpolation value</v>
      </c>
      <c r="AJ5253" s="43" t="str">
        <f ca="1"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67">AH5253+1</f>
        <v>#REF!</v>
      </c>
      <c r="AI5254" s="43" t="str">
        <f ca="1">_xll.BInterpol('Base IPCA'!$C$3:$C$14,'Base IPCA'!$E$3:$E$14,AH5254,"Cubic","Extrapolate=Linear","MultiX=Average","Skip=True","Sort=True")</f>
        <v>#N/A Invalid Parameter: Interpolation value</v>
      </c>
      <c r="AJ5254" s="43" t="str">
        <f ca="1"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67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 ca="1"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67"/>
        <v>#REF!</v>
      </c>
      <c r="AI5256" s="43" t="str">
        <f ca="1"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67"/>
        <v>#REF!</v>
      </c>
      <c r="AI5257" s="43" t="str">
        <f ca="1">_xll.BInterpol('Base IPCA'!$C$3:$C$14,'Base IPCA'!$E$3:$E$14,AH5257,"Cubic","Extrapolate=Linear","MultiX=Average","Skip=True","Sort=True")</f>
        <v>#N/A Invalid Parameter: Interpolation value</v>
      </c>
      <c r="AJ5257" s="43" t="str">
        <f ca="1"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67"/>
        <v>#REF!</v>
      </c>
      <c r="AI5258" s="43" t="str">
        <f ca="1">_xll.BInterpol('Base IPCA'!$C$3:$C$14,'Base IPCA'!$E$3:$E$14,AH5258,"Cubic","Extrapolate=Linear","MultiX=Average","Skip=True","Sort=True")</f>
        <v>#N/A Invalid Parameter: Interpolation value</v>
      </c>
      <c r="AJ5258" s="43" t="str">
        <f ca="1"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67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 ca="1"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67"/>
        <v>#REF!</v>
      </c>
      <c r="AI5260" s="43" t="str">
        <f ca="1"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67"/>
        <v>#REF!</v>
      </c>
      <c r="AI5261" s="43" t="str">
        <f ca="1">_xll.BInterpol('Base IPCA'!$C$3:$C$14,'Base IPCA'!$E$3:$E$14,AH5261,"Cubic","Extrapolate=Linear","MultiX=Average","Skip=True","Sort=True")</f>
        <v>#N/A Invalid Parameter: Interpolation value</v>
      </c>
      <c r="AJ5261" s="43" t="str">
        <f ca="1"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67"/>
        <v>#REF!</v>
      </c>
      <c r="AI5262" s="43" t="str">
        <f ca="1"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67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 ca="1"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67"/>
        <v>#REF!</v>
      </c>
      <c r="AI5264" s="43" t="str">
        <f ca="1"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67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 ca="1"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67"/>
        <v>#REF!</v>
      </c>
      <c r="AI5266" s="43" t="str">
        <f ca="1"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67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 ca="1"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67"/>
        <v>#REF!</v>
      </c>
      <c r="AI5268" s="43" t="str">
        <f ca="1"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67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 ca="1"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67"/>
        <v>#REF!</v>
      </c>
      <c r="AI5270" s="43" t="str">
        <f ca="1"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67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 ca="1"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67"/>
        <v>#REF!</v>
      </c>
      <c r="AI5272" s="43" t="str">
        <f ca="1"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67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 ca="1"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67"/>
        <v>#REF!</v>
      </c>
      <c r="AI5274" s="43" t="str">
        <f ca="1"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67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 ca="1"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67"/>
        <v>#REF!</v>
      </c>
      <c r="AI5276" s="43" t="str">
        <f ca="1"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67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 ca="1"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67"/>
        <v>#REF!</v>
      </c>
      <c r="AI5278" s="43" t="str">
        <f ca="1"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67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 ca="1"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67"/>
        <v>#REF!</v>
      </c>
      <c r="AI5280" s="43" t="str">
        <f ca="1"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67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 ca="1"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67"/>
        <v>#REF!</v>
      </c>
      <c r="AI5282" s="43" t="str">
        <f ca="1"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67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 ca="1"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67"/>
        <v>#REF!</v>
      </c>
      <c r="AI5284" s="43" t="str">
        <f ca="1"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67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 ca="1"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67"/>
        <v>#REF!</v>
      </c>
      <c r="AI5286" s="43" t="str">
        <f ca="1"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67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 ca="1"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67"/>
        <v>#REF!</v>
      </c>
      <c r="AI5288" s="43" t="str">
        <f ca="1"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67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 ca="1"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67"/>
        <v>#REF!</v>
      </c>
      <c r="AI5290" s="43" t="str">
        <f ca="1"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67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 ca="1"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67"/>
        <v>#REF!</v>
      </c>
      <c r="AI5292" s="43" t="str">
        <f ca="1"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67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67"/>
        <v>#REF!</v>
      </c>
      <c r="AI5294" s="43" t="str">
        <f ca="1"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67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 ca="1"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67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67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67"/>
        <v>#REF!</v>
      </c>
      <c r="AI5298" s="43" t="str">
        <f ca="1"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67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 ca="1"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67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67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67"/>
        <v>#REF!</v>
      </c>
      <c r="AI5302" s="43" t="str">
        <f ca="1"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67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 ca="1"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67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67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67"/>
        <v>#REF!</v>
      </c>
      <c r="AI5306" s="43" t="str">
        <f ca="1"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67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 ca="1"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67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67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67"/>
        <v>#REF!</v>
      </c>
      <c r="AI5310" s="43" t="str">
        <f ca="1"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67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 ca="1"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67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67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67"/>
        <v>#REF!</v>
      </c>
      <c r="AI5314" s="43" t="str">
        <f ca="1"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67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 ca="1"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67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67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68">AH5317+1</f>
        <v>#REF!</v>
      </c>
      <c r="AI5318" s="43" t="str">
        <f ca="1"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68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 ca="1"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68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68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68"/>
        <v>#REF!</v>
      </c>
      <c r="AI5322" s="43" t="str">
        <f ca="1"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68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 ca="1"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68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68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68"/>
        <v>#REF!</v>
      </c>
      <c r="AI5326" s="43" t="str">
        <f ca="1"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68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 ca="1"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68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68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68"/>
        <v>#REF!</v>
      </c>
      <c r="AI5330" s="43" t="str">
        <f ca="1"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68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 ca="1"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68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68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68"/>
        <v>#REF!</v>
      </c>
      <c r="AI5334" s="43" t="str">
        <f ca="1"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68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 ca="1"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68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68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68"/>
        <v>#REF!</v>
      </c>
      <c r="AI5338" s="43" t="str">
        <f ca="1"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68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 ca="1"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68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68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68"/>
        <v>#REF!</v>
      </c>
      <c r="AI5342" s="43" t="str">
        <f ca="1"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68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 ca="1"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68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68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68"/>
        <v>#REF!</v>
      </c>
      <c r="AI5346" s="43" t="str">
        <f ca="1"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68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 ca="1"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68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68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68"/>
        <v>#REF!</v>
      </c>
      <c r="AI5350" s="43" t="str">
        <f ca="1"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68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 ca="1"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68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68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68"/>
        <v>#REF!</v>
      </c>
      <c r="AI5354" s="43" t="str">
        <f ca="1"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68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 ca="1"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68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68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68"/>
        <v>#REF!</v>
      </c>
      <c r="AI5358" s="43" t="str">
        <f ca="1"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68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 ca="1"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68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68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68"/>
        <v>#REF!</v>
      </c>
      <c r="AI5362" s="43" t="str">
        <f ca="1"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68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 ca="1"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68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68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68"/>
        <v>#REF!</v>
      </c>
      <c r="AI5366" s="43" t="str">
        <f ca="1"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68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 ca="1"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68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68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68"/>
        <v>#REF!</v>
      </c>
      <c r="AI5370" s="43" t="str">
        <f ca="1"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68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 ca="1"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68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68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68"/>
        <v>#REF!</v>
      </c>
      <c r="AI5374" s="43" t="str">
        <f ca="1"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68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 ca="1"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68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68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68"/>
        <v>#REF!</v>
      </c>
      <c r="AI5378" s="43" t="str">
        <f ca="1"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68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 ca="1"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68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68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69">AH5381+1</f>
        <v>#REF!</v>
      </c>
      <c r="AI5382" s="43" t="str">
        <f ca="1"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69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 ca="1"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69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69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69"/>
        <v>#REF!</v>
      </c>
      <c r="AI5386" s="43" t="str">
        <f ca="1"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69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 ca="1"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69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69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69"/>
        <v>#REF!</v>
      </c>
      <c r="AI5390" s="43" t="str">
        <f ca="1"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69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 ca="1"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69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69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 ca="1"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69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69"/>
        <v>#REF!</v>
      </c>
      <c r="AI5395" s="43" t="str">
        <f ca="1"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69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69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69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69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69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 ca="1"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69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69"/>
        <v>#REF!</v>
      </c>
      <c r="AI5402" s="43" t="str">
        <f ca="1"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69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69"/>
        <v>#REF!</v>
      </c>
      <c r="AI5404" s="43" t="str">
        <f ca="1"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69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69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69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 ca="1"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69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69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 ca="1"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69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69"/>
        <v>#REF!</v>
      </c>
      <c r="AI5411" s="43" t="str">
        <f ca="1"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69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69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69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69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69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 ca="1"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69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69"/>
        <v>#REF!</v>
      </c>
      <c r="AI5418" s="43" t="str">
        <f ca="1"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69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69"/>
        <v>#REF!</v>
      </c>
      <c r="AI5420" s="43" t="str">
        <f ca="1"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69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69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69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 ca="1"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69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69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 ca="1"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69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69"/>
        <v>#REF!</v>
      </c>
      <c r="AI5427" s="43" t="str">
        <f ca="1"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69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69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69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69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69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69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 ca="1"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69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69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69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69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69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69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69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69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69"/>
        <v>#REF!</v>
      </c>
      <c r="AI5442" s="43" t="str">
        <f ca="1"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69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69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69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0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0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 ca="1"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0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0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0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0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0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0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0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0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0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0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0"/>
        <v>#REF!</v>
      </c>
      <c r="AI5458" s="43" t="str">
        <f ca="1"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0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0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0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0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0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 ca="1"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0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0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0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0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0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0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0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0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0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0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0"/>
        <v>#REF!</v>
      </c>
      <c r="AI5474" s="43" t="str">
        <f ca="1"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0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0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0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0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0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 ca="1"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0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0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0"/>
        <v>#REF!</v>
      </c>
      <c r="AI5482" s="43" t="str">
        <f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0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0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0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0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0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0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0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0"/>
        <v>#REF!</v>
      </c>
      <c r="AI5490" s="43" t="str">
        <f ca="1"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0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0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0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0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0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 ca="1"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0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0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0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0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0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0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0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0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0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0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0"/>
        <v>#REF!</v>
      </c>
      <c r="AI5506" s="43" t="str">
        <f ca="1"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0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0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0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1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1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 ca="1"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1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1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1"/>
        <v>#REF!</v>
      </c>
      <c r="AI5514" s="43" t="str">
        <f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1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1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1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1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1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1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1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1"/>
        <v>#REF!</v>
      </c>
      <c r="AI5522" s="43" t="str">
        <f ca="1"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1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1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1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1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1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 ca="1"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1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1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1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1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1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1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1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1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1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1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1"/>
        <v>#REF!</v>
      </c>
      <c r="AI5538" s="43" t="str">
        <f ca="1"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1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1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1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1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1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 ca="1"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1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1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1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1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1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1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1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1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1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1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1"/>
        <v>#REF!</v>
      </c>
      <c r="AI5554" s="43" t="str">
        <f ca="1"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1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1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1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1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1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 ca="1"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1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1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1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1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1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1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1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1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1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1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1"/>
        <v>#REF!</v>
      </c>
      <c r="AI5570" s="43" t="str">
        <f ca="1"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1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1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1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72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72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 ca="1"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72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72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72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72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72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72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72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72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72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72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72"/>
        <v>#REF!</v>
      </c>
      <c r="AI5586" s="43" t="str">
        <f ca="1"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72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72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72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72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72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 ca="1"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72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72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72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72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72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72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72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72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72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72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72"/>
        <v>#REF!</v>
      </c>
      <c r="AI5602" s="43" t="str">
        <f ca="1"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72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72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72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72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72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 ca="1"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72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72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72"/>
        <v>#REF!</v>
      </c>
      <c r="AI5610" s="43" t="str">
        <f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72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72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72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72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72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72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72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72"/>
        <v>#REF!</v>
      </c>
      <c r="AI5618" s="43" t="str">
        <f ca="1"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72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72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72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72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72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 ca="1"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72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72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72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72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72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72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72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72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72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72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72"/>
        <v>#REF!</v>
      </c>
      <c r="AI5634" s="43" t="str">
        <f ca="1"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72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72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72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73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73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 ca="1"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73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73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73"/>
        <v>#REF!</v>
      </c>
      <c r="AI5642" s="43" t="str">
        <f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73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73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73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73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73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73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73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73"/>
        <v>#REF!</v>
      </c>
      <c r="AI5650" s="43" t="str">
        <f ca="1"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73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73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73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73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73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 ca="1"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73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73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73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73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73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73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73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73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73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73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73"/>
        <v>#REF!</v>
      </c>
      <c r="AI5666" s="43" t="str">
        <f ca="1"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73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73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73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73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73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 ca="1"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73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73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73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73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73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73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73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73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73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73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73"/>
        <v>#REF!</v>
      </c>
      <c r="AI5682" s="43" t="str">
        <f ca="1"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73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73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73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73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73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 ca="1"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73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73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73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73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73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73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73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73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73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73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73"/>
        <v>#REF!</v>
      </c>
      <c r="AI5698" s="43" t="str">
        <f ca="1"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73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73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73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74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74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 ca="1"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74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74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74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74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74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74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74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74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74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74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74"/>
        <v>#REF!</v>
      </c>
      <c r="AI5714" s="43" t="str">
        <f ca="1"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74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74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74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74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74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 ca="1"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74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74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74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74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74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74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74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74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74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74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74"/>
        <v>#REF!</v>
      </c>
      <c r="AI5730" s="43" t="str">
        <f ca="1"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74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74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74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74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74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 ca="1"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74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74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74"/>
        <v>#REF!</v>
      </c>
      <c r="AI5738" s="43" t="str">
        <f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74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74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74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74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74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74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74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74"/>
        <v>#REF!</v>
      </c>
      <c r="AI5746" s="43" t="str">
        <f ca="1"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74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74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74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74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74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 ca="1"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74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74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74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74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74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74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74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74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74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74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74"/>
        <v>#REF!</v>
      </c>
      <c r="AI5762" s="43" t="str">
        <f ca="1"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74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74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74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75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75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 ca="1"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75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75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75"/>
        <v>#REF!</v>
      </c>
      <c r="AI5770" s="43" t="str">
        <f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75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75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75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75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75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75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75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75"/>
        <v>#REF!</v>
      </c>
      <c r="AI5778" s="43" t="str">
        <f ca="1"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75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75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75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75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75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 ca="1"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75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75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75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75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75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75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75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75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75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75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75"/>
        <v>#REF!</v>
      </c>
      <c r="AI5794" s="43" t="str">
        <f ca="1"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75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75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75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75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75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 ca="1"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75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75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75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75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75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75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75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75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75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75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75"/>
        <v>#REF!</v>
      </c>
      <c r="AI5810" s="43" t="str">
        <f ca="1"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75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75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75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75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75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 ca="1"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75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75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75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75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75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75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75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75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75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75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75"/>
        <v>#REF!</v>
      </c>
      <c r="AI5826" s="43" t="str">
        <f ca="1"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75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75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75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76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76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76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76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76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76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 ca="1"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76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76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76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76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76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76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76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76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76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76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76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76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76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76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76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76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76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76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76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76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76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76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76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76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76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76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76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76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76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76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76"/>
        <v>#REF!</v>
      </c>
      <c r="AI5866" s="43" t="str">
        <f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76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76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76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76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76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76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76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76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76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76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76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76"/>
        <v>#REF!</v>
      </c>
      <c r="AI5878" s="43" t="str">
        <f ca="1"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76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76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76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76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76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76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76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76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76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76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76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76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76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76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76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77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77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77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77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77"/>
        <v>#REF!</v>
      </c>
      <c r="AI5898" s="43" t="str">
        <f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77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 ca="1"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77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77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77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77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77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77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77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77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77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77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77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77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77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77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77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77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77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77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77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77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77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77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77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77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77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77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77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77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77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77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77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77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77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77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77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77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77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77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77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77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77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77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77"/>
        <v>#REF!</v>
      </c>
      <c r="AI5942" s="43" t="str">
        <f ca="1"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77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77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77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77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77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77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77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77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77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77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77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77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77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77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77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78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78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78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78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78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78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 ca="1"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78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78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78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78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78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78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78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78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78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78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78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78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78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78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78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78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78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78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78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78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78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78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78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78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78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78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78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78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78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78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78"/>
        <v>#REF!</v>
      </c>
      <c r="AI5994" s="43" t="str">
        <f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78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78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78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78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78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78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78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78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78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78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78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78"/>
        <v>#REF!</v>
      </c>
      <c r="AI6006" s="43" t="str">
        <f ca="1"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78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78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78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78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78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78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78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78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78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78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78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78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78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78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78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79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79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79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79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79"/>
        <v>#REF!</v>
      </c>
      <c r="AI6026" s="43" t="str">
        <f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79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 ca="1"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79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79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79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79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79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79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79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79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79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79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79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79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79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79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79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79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79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79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79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79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79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79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79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79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79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79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79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79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79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79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79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79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79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79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79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79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79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79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79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79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79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79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79"/>
        <v>#REF!</v>
      </c>
      <c r="AI6070" s="43" t="str">
        <f ca="1"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79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79"/>
        <v>#REF!</v>
      </c>
      <c r="AI6072" s="43" t="str">
        <f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79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79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79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79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79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79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79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79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79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79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79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79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79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0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0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0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0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0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0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 ca="1"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0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0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0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0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0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0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0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0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0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0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0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0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0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0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0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0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0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0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0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0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0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0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0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0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0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0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0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0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0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0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0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0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0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0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0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0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0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0"/>
        <v>#REF!</v>
      </c>
      <c r="AI6129" s="43" t="str">
        <f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0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0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0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0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0"/>
        <v>#REF!</v>
      </c>
      <c r="AI6134" s="43" t="str">
        <f ca="1"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0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0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0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0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0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0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0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0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0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0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0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0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0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0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0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1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1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1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1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1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1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 ca="1"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1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1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1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1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1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1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1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1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1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1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1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1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1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1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1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1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1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1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1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1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1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1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1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1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1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1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1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1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1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1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1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1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1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1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1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1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1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1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1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1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1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1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1"/>
        <v>#REF!</v>
      </c>
      <c r="AI6198" s="43" t="str">
        <f ca="1"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1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1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1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1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1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1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1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1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1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1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1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1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1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1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1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82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82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82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82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82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82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 ca="1"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82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82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82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82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82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82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82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82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82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82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82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82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82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82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82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82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82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82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82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82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82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82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82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82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82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82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82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82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82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82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82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82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82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82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82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82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82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82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82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82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82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82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82"/>
        <v>#REF!</v>
      </c>
      <c r="AI6262" s="43" t="str">
        <f ca="1"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82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82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82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82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82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82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82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82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82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82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82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82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82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82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82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83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83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83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83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83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83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 ca="1"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83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83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83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83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83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83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83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83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83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83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83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83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83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83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83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83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83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83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83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83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83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83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83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83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83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83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83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83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83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83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83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83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83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83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83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83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83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83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83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83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83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83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83"/>
        <v>#REF!</v>
      </c>
      <c r="AI6326" s="43" t="str">
        <f ca="1">_xll.BInterpol('Base IPCA'!$C$3:$C$14,'Base IPCA'!$E$3:$E$14,AH6326,"Cubic","Extrapolate=Linear","MultiX=Average","Skip=True","Sort=True")</f>
        <v>#N/A Invalid Parameter: Interpolation value</v>
      </c>
      <c r="AJ6326" s="43" t="str">
        <f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83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83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83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83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83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83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83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83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83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83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83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83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83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83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83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84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84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84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84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84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84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84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84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84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84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84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84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84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84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84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84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84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84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84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84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84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84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84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84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84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84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84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84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84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84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84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84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84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84"/>
        <v>#REF!</v>
      </c>
      <c r="AI6375" s="43" t="str">
        <f ca="1"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84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84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84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84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84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84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84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84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84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84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84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84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84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84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84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84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84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84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84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84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84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84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84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84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84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84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84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84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84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84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85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85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85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85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85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85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85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85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85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85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85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85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85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85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85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85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85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85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85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85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85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85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85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85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85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85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85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85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85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85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85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85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85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85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85"/>
        <v>#REF!</v>
      </c>
      <c r="AI6440" s="43" t="str">
        <f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85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85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85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85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85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85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85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85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85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85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85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85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85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85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85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85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85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85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85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85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 ca="1"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85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85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85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85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85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85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85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85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85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86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86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86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86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86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86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86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86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86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86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86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86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86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86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86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86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86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86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86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86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86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86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86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86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86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86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86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86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86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86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86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86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86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86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86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86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86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86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86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86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86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86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86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86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86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86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86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86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86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86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86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86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86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86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86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86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86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86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86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86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86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86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86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86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87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87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87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87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87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87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87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87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87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87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87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87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87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87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87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87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87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87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87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87"/>
        <v>#REF!</v>
      </c>
      <c r="AI6553" s="43" t="str">
        <f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87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87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87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87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87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87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87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87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87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87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87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87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87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87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87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87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87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87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87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87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87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87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87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87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87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87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87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87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87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87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87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87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87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87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87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87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87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87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87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87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87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87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87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87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88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88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88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88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88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88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88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88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88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88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88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88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88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88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88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88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88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88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88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88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88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88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88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88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88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88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88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88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88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88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88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88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88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88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88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88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88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88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88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88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88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88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88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88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88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88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88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88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88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88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88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88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88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88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88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88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88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88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88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88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88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88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88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88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89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89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89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89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89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89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89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89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89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89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89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89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89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89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89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89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89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89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89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89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89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89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89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89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89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89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89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89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89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89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89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89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89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89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89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89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89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89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89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89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89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89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89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89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89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89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89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89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89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89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89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89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89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89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89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89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89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89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89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89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89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89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89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89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0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0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0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0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0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0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0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0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0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0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0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0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0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0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0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0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0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0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0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0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0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0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0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0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0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0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0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0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0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0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0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0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0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0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0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0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0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0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0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0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0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0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0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0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0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0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0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0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0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0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0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0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0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0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0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0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0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0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0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0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0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0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0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0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1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1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1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1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1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1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1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1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1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1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1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1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1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1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1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1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1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1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1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1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1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1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1"/>
        <v>#REF!</v>
      </c>
      <c r="AI6812" s="43" t="str">
        <f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1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1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1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1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1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1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1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1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1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1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1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1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1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1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1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1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1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1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1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1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1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1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1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1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1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1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1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1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1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1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1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1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1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1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1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1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1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1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1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1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1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192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192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192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192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192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192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192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192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192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192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192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192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192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192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192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192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192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192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192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192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192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192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192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192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192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192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192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192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192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192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192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192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192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192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192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192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192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192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192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192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192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192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192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192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192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192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192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192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192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192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192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192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192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192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192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192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192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192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192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192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192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192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192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192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193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193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193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193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193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193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193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193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193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193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193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193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193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193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193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193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193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193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193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193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193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193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193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193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193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193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193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193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193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193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193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193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193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193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193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193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193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193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193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193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193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193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193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193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193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193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193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193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193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193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193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193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193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193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193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193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193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193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193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193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193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193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193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193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194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194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194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194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194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194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194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194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194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194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194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194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194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194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194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194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194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194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194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194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194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194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194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194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194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194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194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194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194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194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194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194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194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194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194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194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194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194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194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194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194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194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194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194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194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194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194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194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194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194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194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194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194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194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194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194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194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194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194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194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194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194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194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194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195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195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195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195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195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195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195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195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195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195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195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195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195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195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195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195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195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195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195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195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195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195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195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195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195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195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195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195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195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195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195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195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195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195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195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195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195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195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195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195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195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195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195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195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195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195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195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195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195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195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195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195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195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195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195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195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195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195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195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195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195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195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195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195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196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196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196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196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196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196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196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196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196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196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196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196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196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196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196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196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196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196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196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196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196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196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196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196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196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196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196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196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196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196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196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196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196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196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196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196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196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196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196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196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196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196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196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196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196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196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196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196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196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196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196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196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196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196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196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196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196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196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196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196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196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196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196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196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197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197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197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197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197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197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197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197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197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197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197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197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197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197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197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197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197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197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197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197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197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197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197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197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197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197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197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197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197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197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197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197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197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197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197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197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197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197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197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197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197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197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197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197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46:AC146"/>
    <mergeCell ref="P131:AC131"/>
    <mergeCell ref="AH2:AJ2"/>
    <mergeCell ref="P118:AC118"/>
    <mergeCell ref="P105:AC105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33:AB141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1" workbookViewId="0">
      <selection activeCell="G13" sqref="G13"/>
    </sheetView>
  </sheetViews>
  <sheetFormatPr defaultColWidth="15.140625" defaultRowHeight="15" x14ac:dyDescent="0.25"/>
  <sheetData>
    <row r="1" spans="1:13" ht="15.75" thickBot="1" x14ac:dyDescent="0.3">
      <c r="A1" s="344" t="s">
        <v>421</v>
      </c>
      <c r="B1" s="346" t="s">
        <v>351</v>
      </c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</row>
    <row r="2" spans="1:13" ht="15.75" thickBot="1" x14ac:dyDescent="0.3">
      <c r="A2" s="344"/>
      <c r="B2" s="48" t="s">
        <v>100</v>
      </c>
      <c r="C2" s="49" t="s">
        <v>108</v>
      </c>
      <c r="D2" s="49" t="s">
        <v>357</v>
      </c>
      <c r="E2" s="49" t="s">
        <v>361</v>
      </c>
      <c r="F2" s="49" t="s">
        <v>106</v>
      </c>
      <c r="G2" s="49" t="s">
        <v>102</v>
      </c>
      <c r="H2" s="49" t="s">
        <v>358</v>
      </c>
      <c r="I2" s="49" t="s">
        <v>362</v>
      </c>
      <c r="J2" s="49" t="s">
        <v>284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46"/>
      <c r="B3" s="67">
        <f ca="1">HLOOKUP(RISCO!B2,'Base IPCA'!$P$97:$AC$100,2,0)</f>
        <v>10.149789547476303</v>
      </c>
      <c r="C3" s="67">
        <f ca="1">HLOOKUP(RISCO!C2,'Base IPCA'!$P$97:$AC$100,2,0)</f>
        <v>79.289125503170453</v>
      </c>
      <c r="D3" s="67">
        <f ca="1">HLOOKUP(RISCO!D2,'Base IPCA'!$P$97:$AC$100,2,0)</f>
        <v>1277.2857677296915</v>
      </c>
      <c r="E3" s="67" t="e">
        <f ca="1">HLOOKUP(RISCO!E2,'Base IPCA'!$P$97:$AC$100,2,0)</f>
        <v>#N/A</v>
      </c>
      <c r="F3" s="67" t="e">
        <f ca="1">HLOOKUP(RISCO!F2,'Base IPCA'!$P$97:$AC$100,2,0)</f>
        <v>#N/A</v>
      </c>
      <c r="G3" s="67" t="e">
        <f ca="1">HLOOKUP(RISCO!G2,'Base IPCA'!$P$97:$AC$100,2,0)</f>
        <v>#N/A</v>
      </c>
      <c r="H3" s="67">
        <f ca="1">HLOOKUP(RISCO!H2,'Base IPCA'!$P$97:$AC$100,2,0)</f>
        <v>322.72939484491678</v>
      </c>
      <c r="I3" s="67">
        <f ca="1">HLOOKUP(RISCO!I2,'Base IPCA'!$P$97:$AC$100,2,0)</f>
        <v>0</v>
      </c>
      <c r="J3" s="67">
        <f ca="1">HLOOKUP(RISCO!J2,'Base IPCA'!$P$97:$AC$100,2,0)</f>
        <v>1360.6586145458241</v>
      </c>
      <c r="K3" s="67">
        <f ca="1">HLOOKUP(RISCO!K2,'Base IPCA'!$P$97:$AC$100,2,0)</f>
        <v>0</v>
      </c>
      <c r="L3" s="67" t="e">
        <f ca="1">HLOOKUP(RISCO!L2,'Base IPCA'!$P$97:$AC$100,2,0)</f>
        <v>#N/A</v>
      </c>
      <c r="M3" s="67" t="e">
        <f ca="1">HLOOKUP(RISCO!M2,'Base IPCA'!$P$97:$AC$100,2,0)</f>
        <v>#N/A</v>
      </c>
    </row>
    <row r="4" spans="1:13" ht="15.75" thickBot="1" x14ac:dyDescent="0.3">
      <c r="A4" s="74" t="s">
        <v>78</v>
      </c>
      <c r="B4" s="157">
        <f ca="1">HLOOKUP(RISCO!B2,'Base IPCA'!$P$97:$AC$100,3,0)</f>
        <v>3.9824969668153474E-5</v>
      </c>
      <c r="C4" s="157">
        <f ca="1">HLOOKUP(RISCO!C2,'Base IPCA'!$P$97:$AC$100,3,0)</f>
        <v>5.8080271774545362E-4</v>
      </c>
      <c r="D4" s="157">
        <f ca="1">HLOOKUP(RISCO!D2,'Base IPCA'!$P$97:$AC$100,3,0)</f>
        <v>1.0627819109898637E-2</v>
      </c>
      <c r="E4" s="157" t="e">
        <f ca="1">HLOOKUP(RISCO!E2,'Base IPCA'!$P$97:$AC$100,3,0)</f>
        <v>#N/A</v>
      </c>
      <c r="F4" s="157" t="e">
        <f ca="1">HLOOKUP(RISCO!F2,'Base IPCA'!$P$97:$AC$100,3,0)</f>
        <v>#N/A</v>
      </c>
      <c r="G4" s="157" t="e">
        <f ca="1">HLOOKUP(RISCO!G2,'Base IPCA'!$P$97:$AC$100,3,0)</f>
        <v>#N/A</v>
      </c>
      <c r="H4" s="157">
        <f ca="1">HLOOKUP(RISCO!H2,'Base IPCA'!$P$97:$AC$100,3,0)</f>
        <v>1.7682516511196438E-2</v>
      </c>
      <c r="I4" s="157">
        <f ca="1">HLOOKUP(RISCO!I2,'Base IPCA'!$P$97:$AC$100,3,0)</f>
        <v>0</v>
      </c>
      <c r="J4" s="157">
        <f ca="1">HLOOKUP(RISCO!J2,'Base IPCA'!$P$97:$AC$100,3,0)</f>
        <v>1.420585297220407E-2</v>
      </c>
      <c r="K4" s="157">
        <f ca="1">HLOOKUP(RISCO!K2,'Base IPCA'!$P$97:$AC$100,3,0)</f>
        <v>0</v>
      </c>
      <c r="L4" s="157" t="e">
        <f ca="1">HLOOKUP(RISCO!L2,'Base IPCA'!$P$97:$AC$100,3,0)</f>
        <v>#N/A</v>
      </c>
      <c r="M4" s="157" t="e">
        <f ca="1">HLOOKUP(RISCO!M2,'Base IPCA'!$P$97:$AC$100,3,0)</f>
        <v>#N/A</v>
      </c>
    </row>
    <row r="5" spans="1:13" ht="15.75" thickBot="1" x14ac:dyDescent="0.3">
      <c r="A5" s="74" t="s">
        <v>218</v>
      </c>
      <c r="B5" s="153">
        <f ca="1">HLOOKUP(RISCO!B2,'Base IPCA'!$P$97:$AC$100,4,0)</f>
        <v>1.9529165565993962E-8</v>
      </c>
      <c r="C5" s="153">
        <f ca="1">HLOOKUP(RISCO!C2,'Base IPCA'!$P$97:$AC$100,4,0)</f>
        <v>2.8481107532645444E-7</v>
      </c>
      <c r="D5" s="153">
        <f ca="1">HLOOKUP(RISCO!D2,'Base IPCA'!$P$97:$AC$100,4,0)</f>
        <v>5.2116157459026754E-6</v>
      </c>
      <c r="E5" s="153" t="e">
        <f ca="1">HLOOKUP(RISCO!E2,'Base IPCA'!$P$97:$AC$100,4,0)</f>
        <v>#N/A</v>
      </c>
      <c r="F5" s="153" t="e">
        <f ca="1">HLOOKUP(RISCO!F2,'Base IPCA'!$P$97:$AC$100,4,0)</f>
        <v>#N/A</v>
      </c>
      <c r="G5" s="153" t="e">
        <f ca="1">HLOOKUP(RISCO!G2,'Base IPCA'!$P$97:$AC$100,4,0)</f>
        <v>#N/A</v>
      </c>
      <c r="H5" s="153">
        <f ca="1">HLOOKUP(RISCO!H2,'Base IPCA'!$P$97:$AC$100,4,0)</f>
        <v>8.6710622870033313E-6</v>
      </c>
      <c r="I5" s="153">
        <f ca="1">HLOOKUP(RISCO!I2,'Base IPCA'!$P$97:$AC$100,4,0)</f>
        <v>0</v>
      </c>
      <c r="J5" s="153">
        <f ca="1">HLOOKUP(RISCO!J2,'Base IPCA'!$P$97:$AC$100,4,0)</f>
        <v>6.9661937475922249E-6</v>
      </c>
      <c r="K5" s="153">
        <f ca="1">HLOOKUP(RISCO!K2,'Base IPCA'!$P$97:$AC$100,4,0)</f>
        <v>0</v>
      </c>
      <c r="L5" s="153" t="e">
        <f ca="1">HLOOKUP(RISCO!L2,'Base IPCA'!$P$97:$AC$100,4,0)</f>
        <v>#N/A</v>
      </c>
      <c r="M5" s="153" t="e">
        <f ca="1">HLOOKUP(RISCO!M2,'Base IPCA'!$P$97:$AC$100,4,0)</f>
        <v>#N/A</v>
      </c>
    </row>
    <row r="6" spans="1:13" x14ac:dyDescent="0.25">
      <c r="A6" s="69"/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</row>
    <row r="7" spans="1:13" ht="15.75" thickBot="1" x14ac:dyDescent="0.3">
      <c r="A7" s="344" t="s">
        <v>422</v>
      </c>
      <c r="B7" s="346" t="s">
        <v>420</v>
      </c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</row>
    <row r="8" spans="1:13" ht="15.75" thickBot="1" x14ac:dyDescent="0.3">
      <c r="A8" s="344"/>
      <c r="B8" s="48" t="s">
        <v>100</v>
      </c>
      <c r="C8" s="49" t="s">
        <v>108</v>
      </c>
      <c r="D8" s="49" t="s">
        <v>357</v>
      </c>
      <c r="E8" s="49" t="s">
        <v>361</v>
      </c>
      <c r="F8" s="49" t="s">
        <v>106</v>
      </c>
      <c r="G8" s="49" t="s">
        <v>102</v>
      </c>
      <c r="H8" s="49" t="s">
        <v>358</v>
      </c>
      <c r="I8" s="49" t="s">
        <v>362</v>
      </c>
      <c r="J8" s="49" t="s">
        <v>284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46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225</v>
      </c>
      <c r="B10" s="152">
        <f ca="1">IFERROR(HLOOKUP(RISCO!B8,Bolsa!$B$10:$H$22,12,0),0)</f>
        <v>0</v>
      </c>
      <c r="C10" s="152">
        <f ca="1">IFERROR(HLOOKUP(RISCO!C8,Bolsa!$B$10:$H$22,12,0),0)</f>
        <v>0</v>
      </c>
      <c r="D10" s="152">
        <f ca="1">IFERROR(HLOOKUP(RISCO!D8,Bolsa!$B$10:$H$22,12,0),0)</f>
        <v>0</v>
      </c>
      <c r="E10" s="152">
        <f ca="1">IFERROR(HLOOKUP(RISCO!E8,Bolsa!$B$10:$H$22,12,0),0)</f>
        <v>0</v>
      </c>
      <c r="F10" s="152">
        <f ca="1">IFERROR(HLOOKUP(RISCO!F8,Bolsa!$B$10:$H$22,12,0),0)</f>
        <v>0</v>
      </c>
      <c r="G10" s="152">
        <f ca="1">IFERROR(HLOOKUP(RISCO!G8,Bolsa!$B$10:$H$22,12,0),0)</f>
        <v>0</v>
      </c>
      <c r="H10" s="152">
        <f ca="1">IFERROR(HLOOKUP(RISCO!H8,Bolsa!$B$10:$H$22,12,0),0)</f>
        <v>1.0877141393818564E-2</v>
      </c>
      <c r="I10" s="152">
        <f ca="1">IFERROR(HLOOKUP(RISCO!I8,Bolsa!$B$10:$H$22,12,0),0)</f>
        <v>0</v>
      </c>
      <c r="J10" s="152">
        <f ca="1">IFERROR(HLOOKUP(RISCO!J8,Bolsa!$B$10:$H$22,12,0),0)</f>
        <v>1.0107254174898392E-2</v>
      </c>
      <c r="K10" s="152">
        <f ca="1">IFERROR(HLOOKUP(RISCO!K8,Bolsa!$B$10:$H$22,12,0),0)</f>
        <v>0</v>
      </c>
      <c r="L10" s="152">
        <f ca="1">IFERROR(HLOOKUP(RISCO!L8,Bolsa!$B$10:$H$22,12,0),0)</f>
        <v>0</v>
      </c>
      <c r="M10" s="152" t="str">
        <f ca="1">IFERROR(HLOOKUP(RISCO!M8,Bolsa!$B$10:$H$22,12,0),0)</f>
        <v/>
      </c>
    </row>
    <row r="11" spans="1:13" ht="15.75" thickBot="1" x14ac:dyDescent="0.3">
      <c r="A11" s="74" t="s">
        <v>223</v>
      </c>
      <c r="B11" s="152">
        <f ca="1">IFERROR(HLOOKUP(RISCO!B8,Bolsa!$B$10:$H$22,13,0),0)</f>
        <v>0</v>
      </c>
      <c r="C11" s="152">
        <f ca="1">IFERROR(HLOOKUP(RISCO!C8,Bolsa!$B$10:$H$22,13,0),0)</f>
        <v>0</v>
      </c>
      <c r="D11" s="152">
        <f ca="1">IFERROR(HLOOKUP(RISCO!D8,Bolsa!$B$10:$H$22,13,0),0)</f>
        <v>0</v>
      </c>
      <c r="E11" s="152">
        <f ca="1">IFERROR(HLOOKUP(RISCO!E8,Bolsa!$B$10:$H$22,13,0),0)</f>
        <v>0</v>
      </c>
      <c r="F11" s="152">
        <f ca="1">IFERROR(HLOOKUP(RISCO!F8,Bolsa!$B$10:$H$22,13,0),0)</f>
        <v>0</v>
      </c>
      <c r="G11" s="152">
        <f ca="1">IFERROR(HLOOKUP(RISCO!G8,Bolsa!$B$10:$H$22,13,0),0)</f>
        <v>0</v>
      </c>
      <c r="H11" s="152">
        <f ca="1">IFERROR(HLOOKUP(RISCO!H8,Bolsa!$B$10:$H$22,13,0),0)</f>
        <v>0</v>
      </c>
      <c r="I11" s="152">
        <f ca="1">IFERROR(HLOOKUP(RISCO!I8,Bolsa!$B$10:$H$22,13,0),0)</f>
        <v>0</v>
      </c>
      <c r="J11" s="152">
        <f ca="1">IFERROR(HLOOKUP(RISCO!J8,Bolsa!$B$10:$H$22,13,0),0)</f>
        <v>0</v>
      </c>
      <c r="K11" s="152">
        <f ca="1">IFERROR(HLOOKUP(RISCO!K8,Bolsa!$B$10:$H$22,13,0),0)</f>
        <v>0</v>
      </c>
      <c r="L11" s="152">
        <f ca="1">IFERROR(HLOOKUP(RISCO!L8,Bolsa!$B$10:$H$22,13,0),0)</f>
        <v>0</v>
      </c>
      <c r="M11" s="152">
        <f ca="1">IFERROR(HLOOKUP(RISCO!M8,Bolsa!$B$10:$H$22,13,0),0)</f>
        <v>0</v>
      </c>
    </row>
    <row r="12" spans="1:13" ht="15.75" thickBot="1" x14ac:dyDescent="0.3">
      <c r="A12" s="74" t="s">
        <v>224</v>
      </c>
      <c r="B12" s="157">
        <f ca="1">SUM(B10:B11)</f>
        <v>0</v>
      </c>
      <c r="C12" s="157">
        <f ca="1">SUM(C10:C11)</f>
        <v>0</v>
      </c>
      <c r="D12" s="157">
        <f ca="1">SUM(D10:D11)</f>
        <v>0</v>
      </c>
      <c r="E12" s="157">
        <f t="shared" ref="E12:M12" ca="1" si="0">SUM(E10:E11)</f>
        <v>0</v>
      </c>
      <c r="F12" s="157">
        <f t="shared" ca="1" si="0"/>
        <v>0</v>
      </c>
      <c r="G12" s="157">
        <f t="shared" ca="1" si="0"/>
        <v>0</v>
      </c>
      <c r="H12" s="157">
        <f t="shared" ca="1" si="0"/>
        <v>1.0877141393818564E-2</v>
      </c>
      <c r="I12" s="157">
        <f t="shared" ca="1" si="0"/>
        <v>0</v>
      </c>
      <c r="J12" s="157">
        <f t="shared" ca="1" si="0"/>
        <v>1.0107254174898392E-2</v>
      </c>
      <c r="K12" s="157">
        <f t="shared" ca="1" si="0"/>
        <v>0</v>
      </c>
      <c r="L12" s="157">
        <f t="shared" ca="1" si="0"/>
        <v>0</v>
      </c>
      <c r="M12" s="157">
        <f t="shared" ca="1" si="0"/>
        <v>0</v>
      </c>
    </row>
    <row r="13" spans="1:13" ht="15.75" thickBot="1" x14ac:dyDescent="0.3">
      <c r="A13" s="74" t="s">
        <v>222</v>
      </c>
      <c r="B13" s="75">
        <v>0</v>
      </c>
      <c r="C13" s="75">
        <v>0</v>
      </c>
      <c r="D13" s="75">
        <v>0</v>
      </c>
      <c r="E13" s="152" t="e">
        <f ca="1">HLOOKUP(RISCO!E8,Bolsa!$B$10:$H$22,14,0)</f>
        <v>#REF!</v>
      </c>
      <c r="F13" s="75">
        <v>0</v>
      </c>
      <c r="G13" s="152" t="e">
        <f ca="1">HLOOKUP(RISCO!G8,Bolsa!$B$10:$H$22,14,0)</f>
        <v>#N/A</v>
      </c>
      <c r="H13" s="152" t="e">
        <f ca="1">HLOOKUP(RISCO!H8,Bolsa!$B$10:$H$22,14,0)</f>
        <v>#REF!</v>
      </c>
      <c r="I13" s="152" t="e">
        <f ca="1">HLOOKUP(RISCO!I8,Bolsa!$B$10:$H$22,14,0)</f>
        <v>#REF!</v>
      </c>
      <c r="J13" s="152" t="e">
        <f ca="1">HLOOKUP(RISCO!J8,Bolsa!$B$10:$H$22,14,0)</f>
        <v>#REF!</v>
      </c>
      <c r="K13" s="75">
        <v>0</v>
      </c>
      <c r="L13" s="75">
        <v>0</v>
      </c>
      <c r="M13" s="152" t="e">
        <f ca="1">HLOOKUP(RISCO!M8,Bolsa!$B$10:$H$22,14,0)</f>
        <v>#REF!</v>
      </c>
    </row>
    <row r="15" spans="1:13" ht="15.75" thickBot="1" x14ac:dyDescent="0.3">
      <c r="A15" s="344" t="s">
        <v>444</v>
      </c>
      <c r="B15" s="346" t="s">
        <v>436</v>
      </c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</row>
    <row r="16" spans="1:13" ht="15.75" thickBot="1" x14ac:dyDescent="0.3">
      <c r="A16" s="344"/>
      <c r="B16" s="48" t="s">
        <v>100</v>
      </c>
      <c r="C16" s="49" t="s">
        <v>108</v>
      </c>
      <c r="D16" s="49" t="s">
        <v>357</v>
      </c>
      <c r="E16" s="49" t="s">
        <v>361</v>
      </c>
      <c r="F16" s="49" t="s">
        <v>106</v>
      </c>
      <c r="G16" s="49" t="s">
        <v>102</v>
      </c>
      <c r="H16" s="49" t="s">
        <v>358</v>
      </c>
      <c r="I16" s="49" t="s">
        <v>362</v>
      </c>
      <c r="J16" s="49" t="s">
        <v>284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64" t="s">
        <v>442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64" t="s">
        <v>441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64" t="s">
        <v>443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445</v>
      </c>
      <c r="B20" s="155">
        <f ca="1">IFERROR(VLOOKUP(B$16,FRC!$L$31:$T$42,6,0),0)</f>
        <v>0</v>
      </c>
      <c r="C20" s="155">
        <f ca="1">IFERROR(VLOOKUP(C$16,FRC!$L$31:$T$42,6,0),0)</f>
        <v>0</v>
      </c>
      <c r="D20" s="155">
        <f ca="1">IFERROR(VLOOKUP(D$16,FRC!$L$31:$T$42,6,0),0)</f>
        <v>0</v>
      </c>
      <c r="E20" s="155">
        <f ca="1">IFERROR(VLOOKUP(E$16,FRC!$L$31:$T$42,6,0),0)</f>
        <v>0</v>
      </c>
      <c r="F20" s="155">
        <f ca="1">IFERROR(VLOOKUP(F$16,FRC!$L$31:$T$42,6,0),0)</f>
        <v>0</v>
      </c>
      <c r="G20" s="155">
        <f ca="1">IFERROR(VLOOKUP(G$16,FRC!$L$31:$T$42,6,0),0)</f>
        <v>0</v>
      </c>
      <c r="H20" s="155">
        <f ca="1">IFERROR(VLOOKUP(H$16,FRC!$L$31:$T$42,6,0),0)</f>
        <v>0</v>
      </c>
      <c r="I20" s="155">
        <f ca="1">IFERROR(VLOOKUP(I$16,FRC!$L$31:$T$42,6,0),0)</f>
        <v>0</v>
      </c>
      <c r="J20" s="155">
        <f ca="1">IFERROR(VLOOKUP(J$16,FRC!$L$31:$T$42,6,0),0)</f>
        <v>0</v>
      </c>
      <c r="K20" s="155">
        <f ca="1">IFERROR(VLOOKUP(K$16,FRC!$L$31:$T$42,6,0),0)</f>
        <v>0</v>
      </c>
      <c r="L20" s="155">
        <f ca="1">IFERROR(VLOOKUP(L$16,FRC!$L$31:$T$42,6,0),0)</f>
        <v>0</v>
      </c>
      <c r="M20" s="155">
        <f ca="1">IFERROR(VLOOKUP(M$16,FRC!$L$31:$T$42,6,0),0)</f>
        <v>0</v>
      </c>
    </row>
    <row r="21" spans="1:13" ht="15.75" thickBot="1" x14ac:dyDescent="0.3">
      <c r="A21" s="74" t="s">
        <v>446</v>
      </c>
      <c r="B21" s="156">
        <f ca="1">IFERROR(VLOOKUP(B$16,FRC!$L$31:$T$42,7,0),0)</f>
        <v>0</v>
      </c>
      <c r="C21" s="156">
        <f ca="1">IFERROR(VLOOKUP(C$16,FRC!$L$31:$T$42,7,0),0)</f>
        <v>0</v>
      </c>
      <c r="D21" s="156">
        <f ca="1">IFERROR(VLOOKUP(D$16,FRC!$L$31:$T$42,7,0),0)</f>
        <v>0</v>
      </c>
      <c r="E21" s="156">
        <f ca="1">IFERROR(VLOOKUP(E$16,FRC!$L$31:$T$42,7,0),0)</f>
        <v>0</v>
      </c>
      <c r="F21" s="156">
        <f ca="1">IFERROR(VLOOKUP(F$16,FRC!$L$31:$T$42,7,0),0)</f>
        <v>0</v>
      </c>
      <c r="G21" s="156">
        <f ca="1">IFERROR(VLOOKUP(G$16,FRC!$L$31:$T$42,7,0),0)</f>
        <v>0</v>
      </c>
      <c r="H21" s="156">
        <f ca="1">IFERROR(VLOOKUP(H$16,FRC!$L$31:$T$42,7,0),0)</f>
        <v>0</v>
      </c>
      <c r="I21" s="156">
        <f ca="1">IFERROR(VLOOKUP(I$16,FRC!$L$31:$T$42,7,0),0)</f>
        <v>0</v>
      </c>
      <c r="J21" s="156">
        <f ca="1">IFERROR(VLOOKUP(J$16,FRC!$L$31:$T$42,7,0),0)</f>
        <v>0</v>
      </c>
      <c r="K21" s="156">
        <f ca="1">IFERROR(VLOOKUP(K$16,FRC!$L$31:$T$42,7,0),0)</f>
        <v>0</v>
      </c>
      <c r="L21" s="156">
        <f ca="1">IFERROR(VLOOKUP(L$16,FRC!$L$31:$T$42,7,0),0)</f>
        <v>0</v>
      </c>
      <c r="M21" s="156">
        <f ca="1">IFERROR(VLOOKUP(M$16,FRC!$L$31:$T$42,7,0),0)</f>
        <v>0</v>
      </c>
    </row>
    <row r="22" spans="1:13" ht="15.75" thickBot="1" x14ac:dyDescent="0.3">
      <c r="A22" s="74" t="s">
        <v>450</v>
      </c>
      <c r="B22" s="155">
        <f ca="1">IFERROR(VLOOKUP(B$16,FRC!$L$31:$T$42,8,0),0)</f>
        <v>0</v>
      </c>
      <c r="C22" s="155">
        <f ca="1">IFERROR(VLOOKUP(C$16,FRC!$L$31:$T$42,8,0),0)</f>
        <v>0</v>
      </c>
      <c r="D22" s="155">
        <f ca="1">IFERROR(VLOOKUP(D$16,FRC!$L$31:$T$42,8,0),0)</f>
        <v>0</v>
      </c>
      <c r="E22" s="155">
        <f ca="1">IFERROR(VLOOKUP(E$16,FRC!$L$31:$T$42,8,0),0)</f>
        <v>0</v>
      </c>
      <c r="F22" s="155">
        <f ca="1">IFERROR(VLOOKUP(F$16,FRC!$L$31:$T$42,8,0),0)</f>
        <v>0</v>
      </c>
      <c r="G22" s="155">
        <f ca="1">IFERROR(VLOOKUP(G$16,FRC!$L$31:$T$42,8,0),0)</f>
        <v>0</v>
      </c>
      <c r="H22" s="155">
        <f ca="1">IFERROR(VLOOKUP(H$16,FRC!$L$31:$T$42,8,0),0)</f>
        <v>0</v>
      </c>
      <c r="I22" s="155">
        <f ca="1">IFERROR(VLOOKUP(I$16,FRC!$L$31:$T$42,8,0),0)</f>
        <v>0</v>
      </c>
      <c r="J22" s="155">
        <f ca="1">IFERROR(VLOOKUP(J$16,FRC!$L$31:$T$42,8,0),0)</f>
        <v>0</v>
      </c>
      <c r="K22" s="155">
        <f ca="1">IFERROR(VLOOKUP(K$16,FRC!$L$31:$T$42,8,0),0)</f>
        <v>0</v>
      </c>
      <c r="L22" s="155">
        <f ca="1">IFERROR(VLOOKUP(L$16,FRC!$L$31:$T$42,8,0),0)</f>
        <v>0</v>
      </c>
      <c r="M22" s="155">
        <f ca="1">IFERROR(VLOOKUP(M$16,FRC!$L$31:$T$42,8,0),0)</f>
        <v>0</v>
      </c>
    </row>
    <row r="23" spans="1:13" ht="15.75" thickBot="1" x14ac:dyDescent="0.3">
      <c r="A23" s="74" t="s">
        <v>448</v>
      </c>
      <c r="B23" s="156">
        <f ca="1">IFERROR(VLOOKUP(B$16,FRC!$L$31:$T$42,9,0),0)</f>
        <v>0</v>
      </c>
      <c r="C23" s="156">
        <f ca="1">IFERROR(VLOOKUP(C$16,FRC!$L$31:$T$42,9,0),0)</f>
        <v>0</v>
      </c>
      <c r="D23" s="156">
        <f ca="1">IFERROR(VLOOKUP(D$16,FRC!$L$31:$T$42,9,0),0)</f>
        <v>0</v>
      </c>
      <c r="E23" s="156">
        <f ca="1">IFERROR(VLOOKUP(E$16,FRC!$L$31:$T$42,9,0),0)</f>
        <v>0</v>
      </c>
      <c r="F23" s="156">
        <f ca="1">IFERROR(VLOOKUP(F$16,FRC!$L$31:$T$42,9,0),0)</f>
        <v>0</v>
      </c>
      <c r="G23" s="156">
        <f ca="1">IFERROR(VLOOKUP(G$16,FRC!$L$31:$T$42,9,0),0)</f>
        <v>0</v>
      </c>
      <c r="H23" s="156">
        <f ca="1">IFERROR(VLOOKUP(H$16,FRC!$L$31:$T$42,9,0),0)</f>
        <v>0</v>
      </c>
      <c r="I23" s="156">
        <f ca="1">IFERROR(VLOOKUP(I$16,FRC!$L$31:$T$42,9,0),0)</f>
        <v>0</v>
      </c>
      <c r="J23" s="156">
        <f ca="1">IFERROR(VLOOKUP(J$16,FRC!$L$31:$T$42,9,0),0)</f>
        <v>0</v>
      </c>
      <c r="K23" s="156">
        <f ca="1">IFERROR(VLOOKUP(K$16,FRC!$L$31:$T$42,9,0),0)</f>
        <v>0</v>
      </c>
      <c r="L23" s="156">
        <f ca="1">IFERROR(VLOOKUP(L$16,FRC!$L$31:$T$42,9,0),0)</f>
        <v>0</v>
      </c>
      <c r="M23" s="156">
        <f ca="1">IFERROR(VLOOKUP(M$16,FRC!$L$31:$T$42,9,0),0)</f>
        <v>0</v>
      </c>
    </row>
    <row r="25" spans="1:13" ht="15.75" thickBot="1" x14ac:dyDescent="0.3">
      <c r="A25" s="344" t="s">
        <v>423</v>
      </c>
      <c r="B25" s="346" t="s">
        <v>159</v>
      </c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</row>
    <row r="26" spans="1:13" ht="15.75" thickBot="1" x14ac:dyDescent="0.3">
      <c r="A26" s="344"/>
      <c r="B26" s="49" t="s">
        <v>100</v>
      </c>
      <c r="C26" s="49" t="s">
        <v>108</v>
      </c>
      <c r="D26" s="49" t="s">
        <v>357</v>
      </c>
      <c r="E26" s="49" t="s">
        <v>361</v>
      </c>
      <c r="F26" s="49" t="s">
        <v>106</v>
      </c>
      <c r="G26" s="49" t="s">
        <v>102</v>
      </c>
      <c r="H26" s="49" t="s">
        <v>358</v>
      </c>
      <c r="I26" s="49" t="s">
        <v>362</v>
      </c>
      <c r="J26" s="49" t="s">
        <v>284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6" t="s">
        <v>474</v>
      </c>
      <c r="B27" s="158">
        <f t="shared" ref="B27:M27" ca="1" si="1">SUM(B12+B4+B21)</f>
        <v>3.9824969668153474E-5</v>
      </c>
      <c r="C27" s="158">
        <f t="shared" ca="1" si="1"/>
        <v>5.8080271774545362E-4</v>
      </c>
      <c r="D27" s="158">
        <f t="shared" ca="1" si="1"/>
        <v>1.0627819109898637E-2</v>
      </c>
      <c r="E27" s="158" t="e">
        <f t="shared" ca="1" si="1"/>
        <v>#N/A</v>
      </c>
      <c r="F27" s="158" t="e">
        <f t="shared" ca="1" si="1"/>
        <v>#N/A</v>
      </c>
      <c r="G27" s="158" t="e">
        <f t="shared" ca="1" si="1"/>
        <v>#N/A</v>
      </c>
      <c r="H27" s="158">
        <f t="shared" ca="1" si="1"/>
        <v>2.8559657905015003E-2</v>
      </c>
      <c r="I27" s="158">
        <f t="shared" ca="1" si="1"/>
        <v>0</v>
      </c>
      <c r="J27" s="158">
        <f t="shared" ca="1" si="1"/>
        <v>2.4313107147102463E-2</v>
      </c>
      <c r="K27" s="158">
        <f t="shared" ca="1" si="1"/>
        <v>0</v>
      </c>
      <c r="L27" s="158" t="e">
        <f t="shared" ca="1" si="1"/>
        <v>#N/A</v>
      </c>
      <c r="M27" s="158" t="e">
        <f t="shared" ca="1" si="1"/>
        <v>#N/A</v>
      </c>
    </row>
    <row r="28" spans="1:13" ht="15.75" thickBot="1" x14ac:dyDescent="0.3">
      <c r="A28" s="166" t="s">
        <v>425</v>
      </c>
      <c r="B28" s="158">
        <f t="shared" ref="B28:M28" ca="1" si="2">B23</f>
        <v>0</v>
      </c>
      <c r="C28" s="158">
        <f t="shared" ca="1" si="2"/>
        <v>0</v>
      </c>
      <c r="D28" s="158">
        <f t="shared" ca="1" si="2"/>
        <v>0</v>
      </c>
      <c r="E28" s="158">
        <f t="shared" ca="1" si="2"/>
        <v>0</v>
      </c>
      <c r="F28" s="158">
        <f t="shared" ca="1" si="2"/>
        <v>0</v>
      </c>
      <c r="G28" s="158">
        <f t="shared" ca="1" si="2"/>
        <v>0</v>
      </c>
      <c r="H28" s="158">
        <f t="shared" ca="1" si="2"/>
        <v>0</v>
      </c>
      <c r="I28" s="158">
        <f t="shared" ca="1" si="2"/>
        <v>0</v>
      </c>
      <c r="J28" s="158">
        <f t="shared" ca="1" si="2"/>
        <v>0</v>
      </c>
      <c r="K28" s="158">
        <f t="shared" ca="1" si="2"/>
        <v>0</v>
      </c>
      <c r="L28" s="158">
        <f t="shared" ca="1" si="2"/>
        <v>0</v>
      </c>
      <c r="M28" s="158">
        <f t="shared" ca="1" si="2"/>
        <v>0</v>
      </c>
    </row>
    <row r="29" spans="1:13" ht="15.75" thickBot="1" x14ac:dyDescent="0.3">
      <c r="A29" s="166" t="s">
        <v>424</v>
      </c>
      <c r="B29" s="158">
        <f t="shared" ref="B29:M29" ca="1" si="3">SUM(B27:B28)</f>
        <v>3.9824969668153474E-5</v>
      </c>
      <c r="C29" s="158">
        <f t="shared" ca="1" si="3"/>
        <v>5.8080271774545362E-4</v>
      </c>
      <c r="D29" s="158">
        <f t="shared" ca="1" si="3"/>
        <v>1.0627819109898637E-2</v>
      </c>
      <c r="E29" s="158" t="e">
        <f t="shared" ca="1" si="3"/>
        <v>#N/A</v>
      </c>
      <c r="F29" s="158" t="e">
        <f t="shared" ca="1" si="3"/>
        <v>#N/A</v>
      </c>
      <c r="G29" s="158" t="e">
        <f t="shared" ca="1" si="3"/>
        <v>#N/A</v>
      </c>
      <c r="H29" s="158">
        <f t="shared" ca="1" si="3"/>
        <v>2.8559657905015003E-2</v>
      </c>
      <c r="I29" s="158">
        <f t="shared" ca="1" si="3"/>
        <v>0</v>
      </c>
      <c r="J29" s="158">
        <f t="shared" ca="1" si="3"/>
        <v>2.4313107147102463E-2</v>
      </c>
      <c r="K29" s="158">
        <f t="shared" ca="1" si="3"/>
        <v>0</v>
      </c>
      <c r="L29" s="158" t="e">
        <f t="shared" ca="1" si="3"/>
        <v>#N/A</v>
      </c>
      <c r="M29" s="158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358</v>
      </c>
      <c r="D2" s="49" t="s">
        <v>362</v>
      </c>
      <c r="E2" s="49" t="s">
        <v>361</v>
      </c>
      <c r="F2" s="49" t="s">
        <v>284</v>
      </c>
      <c r="G2" s="50" t="s">
        <v>110</v>
      </c>
      <c r="H2" s="45" t="s">
        <v>159</v>
      </c>
    </row>
    <row r="3" spans="2:17" x14ac:dyDescent="0.25">
      <c r="B3" s="51" t="s">
        <v>229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339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123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850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938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939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159</v>
      </c>
      <c r="J10" s="45" t="s">
        <v>49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159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107100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382186.35</v>
      </c>
      <c r="G11" s="59">
        <f ca="1">SUMIFS(Extranet!$J:$J,Extranet!$C:$C,G$2,Extranet!$D:$D,$B11)</f>
        <v>0</v>
      </c>
      <c r="H11" s="54">
        <f t="shared" ref="H11:H16" ca="1" si="1">SUM(C11:G11)</f>
        <v>489286.35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2.8775524813421998E-3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1.9566878372895718E-3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358225.8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1301932.2</v>
      </c>
      <c r="G12" s="31">
        <f ca="1">SUMIFS(Extranet!$J:$J,Extranet!$C:$C,G$2,Extranet!$D:$D,$B12)</f>
        <v>0</v>
      </c>
      <c r="H12" s="55">
        <f t="shared" ca="1" si="1"/>
        <v>1660158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9.6247762807730574E-3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6.665530835195067E-3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404837.74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1974180.3</v>
      </c>
      <c r="G13" s="16">
        <f ca="1">SUMIFS(Extranet!$J:$J,Extranet!$C:$C,G$2,Extranet!$D:$D,$B13)</f>
        <v>0</v>
      </c>
      <c r="H13" s="55">
        <f t="shared" ca="1" si="1"/>
        <v>2379018.04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1.0877141393818564E-2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1.0107254174898392E-2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415</v>
      </c>
      <c r="C16" s="64">
        <f ca="1">SUM(C13:C15)</f>
        <v>404837.74</v>
      </c>
      <c r="D16" s="64">
        <f ca="1">SUM(D13:D15)</f>
        <v>0</v>
      </c>
      <c r="E16" s="64">
        <f ca="1">SUM(E13:E15)</f>
        <v>0</v>
      </c>
      <c r="F16" s="64">
        <f ca="1">SUM(F13:F15)</f>
        <v>1974180.3</v>
      </c>
      <c r="G16" s="57">
        <f ca="1">SUM(G13:G15)</f>
        <v>0</v>
      </c>
      <c r="H16" s="72">
        <f t="shared" ca="1" si="1"/>
        <v>2379018.04</v>
      </c>
    </row>
    <row r="17" spans="1:11" ht="15.75" thickBot="1" x14ac:dyDescent="0.3">
      <c r="B17" s="74" t="s">
        <v>523</v>
      </c>
      <c r="C17" s="73">
        <f ca="1">IF(SUM(C14:C15)&gt;0,SUM(C14:C15,C13:C13),SUM(C13:C13))/VLOOKUP(C$10,'Base CDI'!$A:$D,3,0)</f>
        <v>1.0877141393818564E-2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1.0107254174898392E-2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522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520</v>
      </c>
      <c r="C19" s="75">
        <f ca="1">+C17+C18</f>
        <v>1.0877141393818564E-2</v>
      </c>
      <c r="D19" s="75">
        <f ca="1">+D17+D18</f>
        <v>0</v>
      </c>
      <c r="E19" s="75">
        <f ca="1">+E17+E18</f>
        <v>0</v>
      </c>
      <c r="F19" s="75">
        <f ca="1">+F17+F18</f>
        <v>1.0107254174898392E-2</v>
      </c>
      <c r="G19" s="76" t="e">
        <f ca="1">+G17+G18</f>
        <v>#N/A</v>
      </c>
    </row>
    <row r="20" spans="1:11" ht="15.75" thickBot="1" x14ac:dyDescent="0.3">
      <c r="B20" s="74" t="s">
        <v>524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4"/>
    </row>
    <row r="21" spans="1:11" ht="15.75" thickBot="1" x14ac:dyDescent="0.3">
      <c r="B21" s="74" t="s">
        <v>521</v>
      </c>
      <c r="C21" s="75">
        <f ca="1">+IFERROR(SUM(C16)/VLOOKUP(C$10,'Base CDI'!$A:$D,3,0),"")</f>
        <v>1.0877141393818564E-2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1.0107254174898392E-2</v>
      </c>
      <c r="G21" s="76" t="str">
        <f ca="1">+IFERROR(SUM(G16)/VLOOKUP(G$10,'Base CDI'!$A:$D,3,0),"")</f>
        <v/>
      </c>
      <c r="K21" s="204"/>
    </row>
    <row r="22" spans="1:11" ht="15.75" thickBot="1" x14ac:dyDescent="0.3">
      <c r="B22" s="74" t="s">
        <v>222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4"/>
      <c r="D24" s="144"/>
      <c r="E24" s="144"/>
      <c r="F24" s="144"/>
      <c r="G24" s="144"/>
      <c r="H24" s="215"/>
    </row>
    <row r="25" spans="1:11" x14ac:dyDescent="0.25">
      <c r="A25" s="221"/>
      <c r="B25" s="69"/>
      <c r="C25" s="214"/>
      <c r="D25" s="214"/>
      <c r="E25" s="214"/>
      <c r="F25" s="214"/>
      <c r="G25" s="214"/>
    </row>
    <row r="26" spans="1:11" x14ac:dyDescent="0.25">
      <c r="A26" s="88"/>
      <c r="B26" s="216"/>
      <c r="C26" s="204"/>
      <c r="D26" s="204"/>
      <c r="E26" s="204"/>
      <c r="F26" s="204"/>
      <c r="G26" s="204"/>
      <c r="H26" s="211"/>
    </row>
    <row r="27" spans="1:11" x14ac:dyDescent="0.25">
      <c r="A27" s="221"/>
      <c r="B27" s="216"/>
      <c r="C27" s="214"/>
      <c r="D27" s="214"/>
      <c r="E27" s="214"/>
      <c r="F27" s="214"/>
      <c r="G27" s="214"/>
      <c r="H27" s="220"/>
    </row>
    <row r="28" spans="1:11" x14ac:dyDescent="0.25">
      <c r="A28" s="144"/>
      <c r="B28" s="217"/>
      <c r="C28" s="214"/>
      <c r="D28" s="214"/>
      <c r="E28" s="214"/>
      <c r="F28" s="214"/>
      <c r="G28" s="214"/>
      <c r="H28" s="220"/>
    </row>
    <row r="29" spans="1:11" x14ac:dyDescent="0.25">
      <c r="B29" s="69"/>
      <c r="C29" s="214"/>
      <c r="D29" s="214"/>
      <c r="E29" s="214"/>
      <c r="F29" s="214"/>
      <c r="G29" s="214"/>
      <c r="H29" s="189"/>
    </row>
    <row r="30" spans="1:11" x14ac:dyDescent="0.25">
      <c r="B30" s="69"/>
      <c r="C30" s="214"/>
      <c r="D30" s="214"/>
      <c r="E30" s="214"/>
      <c r="F30" s="214"/>
      <c r="G30" s="214"/>
    </row>
    <row r="31" spans="1:11" x14ac:dyDescent="0.25">
      <c r="B31" s="69"/>
      <c r="C31" s="88"/>
    </row>
    <row r="32" spans="1:11" x14ac:dyDescent="0.25">
      <c r="B32" s="69"/>
      <c r="G32" s="204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F6" sqref="F6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277</v>
      </c>
      <c r="J1" s="45" t="s">
        <v>278</v>
      </c>
      <c r="K1"/>
      <c r="M1" s="45" t="s">
        <v>160</v>
      </c>
      <c r="N1" s="192" t="s">
        <v>246</v>
      </c>
      <c r="Q1" s="45" t="s">
        <v>66</v>
      </c>
      <c r="R1" s="192" t="str">
        <f ca="1">N1</f>
        <v>AF DEB INCENTIVADAS</v>
      </c>
      <c r="T1" s="45" t="s">
        <v>127</v>
      </c>
      <c r="U1" s="237">
        <v>12431</v>
      </c>
      <c r="V1" s="237" t="s">
        <v>74</v>
      </c>
      <c r="W1" s="237" t="s">
        <v>49</v>
      </c>
      <c r="AD1" t="s">
        <v>65</v>
      </c>
      <c r="AE1" t="s">
        <v>920</v>
      </c>
    </row>
    <row r="2" spans="1:31" x14ac:dyDescent="0.25">
      <c r="A2" t="s">
        <v>168</v>
      </c>
      <c r="B2" t="s">
        <v>459</v>
      </c>
      <c r="C2" s="10">
        <v>45792</v>
      </c>
      <c r="D2" s="47">
        <f ca="1">_xll.BDP(A2,"YLD_CNV_MID",,)</f>
        <v>3.2747999999999999</v>
      </c>
      <c r="E2" s="47">
        <f ca="1">_xll.BDP(A2,"YLD_YTM_MID", "PRICING_SOURCE=ANDE")</f>
        <v>3.1436999999999999</v>
      </c>
      <c r="F2" s="4">
        <f t="shared" ref="F2:F15" ca="1" si="0">+D2-E2</f>
        <v>0.13109999999999999</v>
      </c>
      <c r="G2" s="71">
        <f ca="1">_xll.BDP(A2,"RISK_MID",,)/100</f>
        <v>8.4226694594235596E-2</v>
      </c>
      <c r="H2" s="12">
        <f ca="1">_xll.BDP(A2,"DUR_MID",,)</f>
        <v>0.19178575393835187</v>
      </c>
      <c r="I2" s="12">
        <f ca="1">_xll.BDP(A2,"px_LAST",,)</f>
        <v>4535.5288090000004</v>
      </c>
      <c r="J2" s="3">
        <f ca="1">_xll.BDP(A2,"PX_LAST",,)/_xll.BDP(A2,"PX_YEST_CLOSE",,)-1</f>
        <v>5.4285728782366149E-4</v>
      </c>
      <c r="K2" s="12"/>
      <c r="M2" s="174" t="s">
        <v>279</v>
      </c>
      <c r="N2" s="170">
        <f ca="1">SUMIFS(Extranet!$H:$H,Extranet!$C:$C,N$1,Extranet!$D:$D,$M2)</f>
        <v>500</v>
      </c>
      <c r="P2" t="s">
        <v>179</v>
      </c>
      <c r="Q2" s="173" t="str">
        <f ca="1">$M2</f>
        <v>ALGAB1</v>
      </c>
      <c r="R2" s="171">
        <f ca="1">N2*_xll.BDP(Q2&amp;" Corp","RISK_MTY_MID")/100</f>
        <v>266.77749999998923</v>
      </c>
      <c r="T2" s="51" t="s">
        <v>279</v>
      </c>
      <c r="U2" s="23" t="str">
        <f t="shared" ref="U2:U30" ca="1" si="1">IFERROR(VLOOKUP(T2,$AD$1:$AE$122,2,0),"Não")</f>
        <v>Sim</v>
      </c>
      <c r="V2" s="243">
        <f ca="1">IF(U2="Sim",SUMIFS(Extranet!J:J,Extranet!C:C,'AF INFRA'!$N$1,Extranet!D:D,'AF INFRA'!T2),0)</f>
        <v>533813.16</v>
      </c>
      <c r="W2" s="240">
        <f ca="1">V2/(VLOOKUP($N$1,'Base CDI'!$A$9:$D$23,3,0))</f>
        <v>4.5310430308999144E-2</v>
      </c>
      <c r="Y2" s="245"/>
      <c r="Z2" t="s">
        <v>924</v>
      </c>
      <c r="AB2" s="144"/>
      <c r="AD2" t="s">
        <v>393</v>
      </c>
      <c r="AE2" s="238" t="s">
        <v>921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7.9315999999999995</v>
      </c>
      <c r="E3" s="47">
        <f ca="1">_xll.BDP(A3,"YLD_YTM_MID", "PRICING_SOURCE=ANDE")</f>
        <v>7.8784000000000001</v>
      </c>
      <c r="F3" s="4">
        <f t="shared" ca="1" si="0"/>
        <v>5.319999999999947E-2</v>
      </c>
      <c r="G3" s="71">
        <f ca="1">_xll.BDP(A3,"RISK_MID",,)/100</f>
        <v>0.56520545056446281</v>
      </c>
      <c r="H3" s="12">
        <f ca="1">_xll.BDP(A3,"DUR_MID",,)</f>
        <v>1.4077182808299071</v>
      </c>
      <c r="I3" s="12">
        <f ca="1">_xll.BDP(A3,"px_LAST",,)</f>
        <v>4333.5078130000002</v>
      </c>
      <c r="J3" s="3">
        <f ca="1">_xll.BDP(A3,"PX_LAST",,)/_xll.BDP(A3,"PX_YEST_CLOSE",,)-1</f>
        <v>2.9079891086580822E-4</v>
      </c>
      <c r="K3" s="12"/>
      <c r="M3" s="174" t="s">
        <v>161</v>
      </c>
      <c r="N3" s="171">
        <f ca="1">SUMIFS(Extranet!$H:$H,Extranet!$C:$C,N$1,Extranet!$D:$D,$M3)</f>
        <v>390</v>
      </c>
      <c r="P3" t="s">
        <v>116</v>
      </c>
      <c r="Q3" s="174" t="str">
        <f ca="1">$M3</f>
        <v>ARTR19</v>
      </c>
      <c r="R3" s="171">
        <f ca="1">N3*_xll.BDP(Q3&amp;" Corp","RISK_MTY_MID")/100</f>
        <v>108.9845250000235</v>
      </c>
      <c r="S3" s="36"/>
      <c r="T3" s="52" t="s">
        <v>161</v>
      </c>
      <c r="U3" s="32" t="str">
        <f t="shared" ca="1" si="1"/>
        <v>Sim</v>
      </c>
      <c r="V3" s="179">
        <f ca="1">IF(U3="Sim",SUMIFS(Extranet!J:J,Extranet!C:C,'AF INFRA'!$N$1,Extranet!D:D,'AF INFRA'!T3),0)</f>
        <v>496018.26</v>
      </c>
      <c r="W3" s="241">
        <f ca="1">V3/(VLOOKUP($N$1,'Base CDI'!$A$9:$D$23,3,0))</f>
        <v>4.2102373050752477E-2</v>
      </c>
      <c r="AB3" s="144"/>
      <c r="AD3" t="s">
        <v>282</v>
      </c>
      <c r="AE3" s="238" t="s">
        <v>921</v>
      </c>
    </row>
    <row r="4" spans="1:31" x14ac:dyDescent="0.25">
      <c r="A4" t="s">
        <v>314</v>
      </c>
      <c r="B4" t="s">
        <v>315</v>
      </c>
      <c r="C4" s="10">
        <v>46522</v>
      </c>
      <c r="D4" s="47">
        <f ca="1">_xll.BDP(A4,"YLD_CNV_MID",,)</f>
        <v>7.5849000000000002</v>
      </c>
      <c r="E4" s="47">
        <f ca="1">_xll.BDP(A4,"YLD_YTM_MID", "PRICING_SOURCE=ANDE")</f>
        <v>7.5498000000000003</v>
      </c>
      <c r="F4" s="4">
        <f t="shared" ca="1" si="0"/>
        <v>3.5099999999999909E-2</v>
      </c>
      <c r="G4" s="71">
        <f ca="1">_xll.BDP(A4,"RISK_MID",,)/100</f>
        <v>0.83118448612503926</v>
      </c>
      <c r="H4" s="12">
        <f ca="1">_xll.BDP(A4,"DUR_MID",,)</f>
        <v>2.0419960397306145</v>
      </c>
      <c r="I4" s="12">
        <f ca="1">_xll.BDP(A4,"px_LAST",,)</f>
        <v>4379.1982420000004</v>
      </c>
      <c r="J4" s="3">
        <f ca="1">_xll.BDP(A4,"PX_LAST",,)/_xll.BDP(A4,"PX_YEST_CLOSE",,)-1</f>
        <v>3.4407217319087913E-4</v>
      </c>
      <c r="K4" s="12"/>
      <c r="M4" s="174" t="s">
        <v>280</v>
      </c>
      <c r="N4" s="171">
        <f ca="1">SUMIFS(Extranet!$H:$H,Extranet!$C:$C,N$1,Extranet!$D:$D,$M4)</f>
        <v>500</v>
      </c>
      <c r="P4" t="s">
        <v>179</v>
      </c>
      <c r="Q4" s="174" t="str">
        <f t="shared" ref="Q4:Q26" ca="1" si="2">$M4</f>
        <v>CEEBC3</v>
      </c>
      <c r="R4" s="171">
        <f ca="1">N4*_xll.BDP(Q4&amp;" Corp","RISK_MTY_MID")/100</f>
        <v>282.56300000003876</v>
      </c>
      <c r="T4" s="52" t="s">
        <v>280</v>
      </c>
      <c r="U4" s="32" t="str">
        <f t="shared" ca="1" si="1"/>
        <v>Sim</v>
      </c>
      <c r="V4" s="179">
        <f ca="1">IF(U4="Sim",SUMIFS(Extranet!J:J,Extranet!C:C,'AF INFRA'!$N$1,Extranet!D:D,'AF INFRA'!T4),0)</f>
        <v>562667.1</v>
      </c>
      <c r="W4" s="241">
        <f ca="1">V4/(VLOOKUP($N$1,'Base CDI'!$A$9:$D$23,3,0))</f>
        <v>4.7759572697152412E-2</v>
      </c>
      <c r="AB4" s="144"/>
      <c r="AD4" t="s">
        <v>411</v>
      </c>
      <c r="AE4" s="238" t="s">
        <v>921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7.6471</v>
      </c>
      <c r="E5" s="47">
        <f ca="1">_xll.BDP(A5,"YLD_YTM_MID", "PRICING_SOURCE=ANDE")</f>
        <v>7.6231</v>
      </c>
      <c r="F5" s="4">
        <f t="shared" ca="1" si="0"/>
        <v>2.4000000000000021E-2</v>
      </c>
      <c r="G5" s="71">
        <f ca="1">_xll.BDP(A5,"RISK_MID",,)/100</f>
        <v>1.2368025153541566</v>
      </c>
      <c r="H5" s="12">
        <f ca="1">_xll.BDP(A5,"DUR_MID",,)</f>
        <v>3.1413859553843295</v>
      </c>
      <c r="I5" s="12">
        <f ca="1">_xll.BDP(A5,"px_LAST",,)</f>
        <v>4238.2070309999999</v>
      </c>
      <c r="J5" s="3">
        <f ca="1">_xll.BDP(A5,"PX_LAST",,)/_xll.BDP(A5,"PX_YEST_CLOSE",,)-1</f>
        <v>1.2247975783008513E-4</v>
      </c>
      <c r="K5" s="12"/>
      <c r="M5" s="174" t="s">
        <v>848</v>
      </c>
      <c r="N5" s="171">
        <f ca="1">SUMIFS(Extranet!$H:$H,Extranet!$C:$C,N$1,Extranet!$D:$D,$M5)</f>
        <v>538</v>
      </c>
      <c r="P5" t="s">
        <v>180</v>
      </c>
      <c r="Q5" s="174" t="str">
        <f ca="1">$M5</f>
        <v>COCE18</v>
      </c>
      <c r="R5" s="171">
        <f ca="1">N5*_xll.BDP(Q5&amp;" Corp","RISK_MTY_MID")/100</f>
        <v>300.66990799998189</v>
      </c>
      <c r="T5" s="52" t="s">
        <v>848</v>
      </c>
      <c r="U5" s="32" t="str">
        <f t="shared" ca="1" si="1"/>
        <v>Sim</v>
      </c>
      <c r="V5" s="179">
        <f ca="1">IF(U5="Sim",SUMIFS(Extranet!J:J,Extranet!C:C,'AF INFRA'!$N$1,Extranet!D:D,'AF INFRA'!T5),0)</f>
        <v>564839.67000000004</v>
      </c>
      <c r="W5" s="241">
        <f ca="1">V5/(VLOOKUP($N$1,'Base CDI'!$A$9:$D$23,3,0))</f>
        <v>4.7943981941721101E-2</v>
      </c>
      <c r="AB5" s="144"/>
      <c r="AD5" t="s">
        <v>44</v>
      </c>
      <c r="AE5" s="238" t="s">
        <v>921</v>
      </c>
    </row>
    <row r="6" spans="1:31" x14ac:dyDescent="0.25">
      <c r="A6" t="s">
        <v>1070</v>
      </c>
      <c r="B6" t="s">
        <v>1069</v>
      </c>
      <c r="C6" s="10">
        <v>47253</v>
      </c>
      <c r="D6" s="47">
        <f ca="1">_xll.BDP(A6,"YLD_CNV_MID",,)</f>
        <v>7.585</v>
      </c>
      <c r="E6" s="47">
        <f ca="1">_xll.BDP(A6,"YLD_YTM_MID", "PRICING_SOURCE=ANDE")</f>
        <v>7.5792999999999999</v>
      </c>
      <c r="F6" s="4">
        <f t="shared" ref="F6" ca="1" si="3">+D6-E6</f>
        <v>5.7000000000000384E-3</v>
      </c>
      <c r="G6" s="71">
        <f ca="1">_xll.BDP(A6,"RISK_MID",,)/100</f>
        <v>1.4606682036173879</v>
      </c>
      <c r="H6" s="12">
        <f ca="1">_xll.BDP(A6,"DUR_MID",,)</f>
        <v>3.6731178606424311</v>
      </c>
      <c r="I6" s="12">
        <f ca="1">_xll.BDP(A6,"px_LAST",,)</f>
        <v>4278.2729490000002</v>
      </c>
      <c r="J6" s="3">
        <f ca="1">_xll.BDP(A6,"PX_LAST",,)/_xll.BDP(A6,"PX_YEST_CLOSE",,)-1</f>
        <v>9.1622230725896259E-5</v>
      </c>
      <c r="K6" s="12"/>
      <c r="M6" s="174" t="s">
        <v>346</v>
      </c>
      <c r="N6" s="171">
        <f ca="1">SUMIFS(Extranet!$H:$H,Extranet!$C:$C,N$1,Extranet!$D:$D,$M6)</f>
        <v>357</v>
      </c>
      <c r="P6" t="s">
        <v>180</v>
      </c>
      <c r="Q6" s="174" t="str">
        <f t="shared" ca="1" si="2"/>
        <v>CPLD37</v>
      </c>
      <c r="R6" s="171">
        <f ca="1">N6*_xll.BDP(Q6&amp;" Corp","RISK_MTY_MID")/100</f>
        <v>203.28633149998416</v>
      </c>
      <c r="T6" s="52" t="s">
        <v>346</v>
      </c>
      <c r="U6" s="32" t="str">
        <f t="shared" ca="1" si="1"/>
        <v>Sim</v>
      </c>
      <c r="V6" s="179">
        <f ca="1">IF(U6="Sim",SUMIFS(Extranet!J:J,Extranet!C:C,'AF INFRA'!$N$1,Extranet!D:D,'AF INFRA'!T6),0)</f>
        <v>378382.09</v>
      </c>
      <c r="W6" s="241">
        <f ca="1">V6/(VLOOKUP($N$1,'Base CDI'!$A$9:$D$23,3,0))</f>
        <v>3.2117333561275344E-2</v>
      </c>
      <c r="AB6" s="144"/>
      <c r="AD6" t="s">
        <v>262</v>
      </c>
      <c r="AE6" s="238" t="s">
        <v>921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7.7347000000000001</v>
      </c>
      <c r="E7" s="47">
        <f ca="1">_xll.BDP(A7,"YLD_YTM_MID", "PRICING_SOURCE=ANDE")</f>
        <v>7.7343000000000002</v>
      </c>
      <c r="F7" s="4">
        <f t="shared" ca="1" si="0"/>
        <v>3.9999999999995595E-4</v>
      </c>
      <c r="G7" s="71">
        <f ca="1">_xll.BDP(A7,"RISK_MID",,)/100</f>
        <v>1.7864925221783778</v>
      </c>
      <c r="H7" s="12">
        <f ca="1">_xll.BDP(A7,"DUR_MID",,)</f>
        <v>4.6624240282230671</v>
      </c>
      <c r="I7" s="12">
        <f ca="1">_xll.BDP(A7,"px_LAST",,)</f>
        <v>4128.0532229999999</v>
      </c>
      <c r="J7" s="3">
        <f ca="1">_xll.BDP(A7,"PX_LAST",,)/_xll.BDP(A7,"PX_YEST_CLOSE",,)-1</f>
        <v>8.3649820358466798E-4</v>
      </c>
      <c r="K7" s="12"/>
      <c r="M7" s="174" t="s">
        <v>163</v>
      </c>
      <c r="N7" s="171">
        <f ca="1">SUMIFS(Extranet!$H:$H,Extranet!$C:$C,N$1,Extranet!$D:$D,$M7)</f>
        <v>300</v>
      </c>
      <c r="P7" t="s">
        <v>451</v>
      </c>
      <c r="Q7" s="174" t="str">
        <f t="shared" ca="1" si="2"/>
        <v>CTEE29</v>
      </c>
      <c r="R7" s="171">
        <f ca="1">N7*_xll.BDP(Q7&amp;" Corp","RISK_MTY_MID")/100</f>
        <v>320.15760000001023</v>
      </c>
      <c r="T7" s="52" t="s">
        <v>163</v>
      </c>
      <c r="U7" s="32" t="str">
        <f t="shared" ca="1" si="1"/>
        <v>Sim</v>
      </c>
      <c r="V7" s="179">
        <f ca="1">IF(U7="Sim",SUMIFS(Extranet!J:J,Extranet!C:C,'AF INFRA'!$N$1,Extranet!D:D,'AF INFRA'!T7),0)</f>
        <v>292211.71999999997</v>
      </c>
      <c r="W7" s="241">
        <f ca="1">V7/(VLOOKUP($N$1,'Base CDI'!$A$9:$D$23,3,0))</f>
        <v>2.4803132943617894E-2</v>
      </c>
      <c r="AB7" s="144"/>
      <c r="AD7" t="s">
        <v>128</v>
      </c>
      <c r="AE7" s="238" t="s">
        <v>921</v>
      </c>
    </row>
    <row r="8" spans="1:31" x14ac:dyDescent="0.25">
      <c r="A8" t="s">
        <v>316</v>
      </c>
      <c r="B8" t="s">
        <v>317</v>
      </c>
      <c r="C8" s="10">
        <v>48441</v>
      </c>
      <c r="D8" s="47">
        <f ca="1">_xll.BDP(A8,"YLD_CNV_MID",,)</f>
        <v>7.7869999999999999</v>
      </c>
      <c r="E8" s="47">
        <f ca="1">_xll.BDP(A8,"YLD_YTM_MID", "PRICING_SOURCE=ANDE")</f>
        <v>7.7739000000000003</v>
      </c>
      <c r="F8" s="4">
        <f t="shared" ca="1" si="0"/>
        <v>1.3099999999999667E-2</v>
      </c>
      <c r="G8" s="71">
        <f ca="1">_xll.BDP(A8,"RISK_MID",,)/100</f>
        <v>2.2430898665559198</v>
      </c>
      <c r="H8" s="12">
        <f ca="1">_xll.BDP(A8,"DUR_MID",,)</f>
        <v>6.0058881756480202</v>
      </c>
      <c r="I8" s="12">
        <f ca="1">_xll.BDP(A8,"px_LAST",,)</f>
        <v>4025.6520999999998</v>
      </c>
      <c r="J8" s="3">
        <f ca="1">_xll.BDP(A8,"PX_LAST",,)/_xll.BDP(A8,"PX_YEST_CLOSE",,)-1</f>
        <v>-3.143341358070928E-3</v>
      </c>
      <c r="K8" s="246"/>
      <c r="M8" s="174" t="s">
        <v>164</v>
      </c>
      <c r="N8" s="171">
        <f ca="1">SUMIFS(Extranet!$H:$H,Extranet!$C:$C,N$1,Extranet!$D:$D,$M8)</f>
        <v>390</v>
      </c>
      <c r="P8" t="s">
        <v>319</v>
      </c>
      <c r="Q8" s="174" t="str">
        <f ca="1">$M8</f>
        <v>ECHP11</v>
      </c>
      <c r="R8" s="171">
        <f ca="1">N8*_xll.BDP(Q8&amp;" Corp","RISK_MTY_MID")/100</f>
        <v>204.80050500001883</v>
      </c>
      <c r="T8" s="52" t="s">
        <v>164</v>
      </c>
      <c r="U8" s="32" t="str">
        <f t="shared" ca="1" si="1"/>
        <v>Sim</v>
      </c>
      <c r="V8" s="179">
        <f ca="1">IF(U8="Sim",SUMIFS(Extranet!J:J,Extranet!C:C,'AF INFRA'!$N$1,Extranet!D:D,'AF INFRA'!T8),0)</f>
        <v>493086.96</v>
      </c>
      <c r="W8" s="241">
        <f ca="1">V8/(VLOOKUP($N$1,'Base CDI'!$A$9:$D$23,3,0))</f>
        <v>4.1853562278899699E-2</v>
      </c>
      <c r="AB8" s="144"/>
      <c r="AD8" t="s">
        <v>41</v>
      </c>
      <c r="AE8" s="238" t="s">
        <v>921</v>
      </c>
    </row>
    <row r="9" spans="1:31" x14ac:dyDescent="0.25">
      <c r="A9" t="s">
        <v>780</v>
      </c>
      <c r="B9" t="s">
        <v>460</v>
      </c>
      <c r="C9" s="10">
        <v>48714</v>
      </c>
      <c r="D9" s="47">
        <f ca="1">_xll.BDP(A9,"YLD_CNV_MID",,)</f>
        <v>7.6406000000000001</v>
      </c>
      <c r="E9" s="47">
        <f ca="1">_xll.BDP(A9,"YLD_YTM_MID", "PRICING_SOURCE=ANDE")</f>
        <v>7.7244000000000002</v>
      </c>
      <c r="F9" s="4">
        <f t="shared" ca="1" si="0"/>
        <v>-8.3800000000000097E-2</v>
      </c>
      <c r="G9" s="71">
        <f ca="1">_xll.BDP(A9,"RISK_MID",,)/100</f>
        <v>2.4204092235961525</v>
      </c>
      <c r="H9" s="12">
        <f ca="1">_xll.BDP(A9,"DUR_MID",,)</f>
        <v>6.3601450054091639</v>
      </c>
      <c r="I9" s="12">
        <f ca="1">_xll.BDP(A9,"px_LAST",,)</f>
        <v>4096.3618159999996</v>
      </c>
      <c r="J9" s="3" t="e">
        <f ca="1">_xll.BDP(A9,"PX_LAST",,)/_xll.BDP(A9,"PX_YEST_CLOSE",,)-1</f>
        <v>#VALUE!</v>
      </c>
      <c r="K9" s="12"/>
      <c r="M9" s="174" t="s">
        <v>799</v>
      </c>
      <c r="N9" s="171">
        <f ca="1">SUMIFS(Extranet!$H:$H,Extranet!$C:$C,N$1,Extranet!$D:$D,$M9)</f>
        <v>191</v>
      </c>
      <c r="P9" t="s">
        <v>179</v>
      </c>
      <c r="Q9" s="174" t="str">
        <f ca="1">$M9</f>
        <v>ELET14</v>
      </c>
      <c r="R9" s="171">
        <f ca="1">N9*_xll.BDP(Q9&amp;" Corp","RISK_MTY_MID")/100</f>
        <v>97.638244999986568</v>
      </c>
      <c r="T9" s="52" t="s">
        <v>799</v>
      </c>
      <c r="U9" s="32" t="str">
        <f t="shared" ca="1" si="1"/>
        <v>Sim</v>
      </c>
      <c r="V9" s="179">
        <f ca="1">IF(U9="Sim",SUMIFS(Extranet!J:J,Extranet!C:C,'AF INFRA'!$N$1,Extranet!D:D,'AF INFRA'!T9),0)</f>
        <v>199230.75</v>
      </c>
      <c r="W9" s="241">
        <f ca="1">V9/(VLOOKUP($N$1,'Base CDI'!$A$9:$D$23,3,0))</f>
        <v>1.6910843886435156E-2</v>
      </c>
      <c r="AB9" s="144"/>
      <c r="AD9" t="s">
        <v>40</v>
      </c>
      <c r="AE9" s="238" t="s">
        <v>921</v>
      </c>
    </row>
    <row r="10" spans="1:31" x14ac:dyDescent="0.25">
      <c r="A10" t="s">
        <v>172</v>
      </c>
      <c r="B10" t="s">
        <v>460</v>
      </c>
      <c r="C10" s="10">
        <v>49444</v>
      </c>
      <c r="D10" s="47">
        <f ca="1">_xll.BDP(A10,"YLD_CNV_MID",,)</f>
        <v>7.7094000000000005</v>
      </c>
      <c r="E10" s="47">
        <f ca="1">_xll.BDP(A10,"YLD_YTM_MID", "PRICING_SOURCE=ANDE")</f>
        <v>7.7146999999999997</v>
      </c>
      <c r="F10" s="4">
        <f t="shared" ca="1" si="0"/>
        <v>-5.2999999999991942E-3</v>
      </c>
      <c r="G10" s="71">
        <f ca="1">_xll.BDP(A10,"RISK_MID",,)/100</f>
        <v>2.768398461787001</v>
      </c>
      <c r="H10" s="12">
        <f ca="1">_xll.BDP(A10,"DUR_MID",,)</f>
        <v>7.4360362583951334</v>
      </c>
      <c r="I10" s="12">
        <f ca="1">_xll.BDP(A10,"px_LAST",,)</f>
        <v>4009.9689939999998</v>
      </c>
      <c r="J10" s="3">
        <f ca="1">_xll.BDP(A10,"PX_LAST",,)/_xll.BDP(A10,"PX_YEST_CLOSE",,)-1</f>
        <v>-2.9384962455744068E-3</v>
      </c>
      <c r="K10" s="12"/>
      <c r="M10" s="174" t="s">
        <v>40</v>
      </c>
      <c r="N10" s="171">
        <f ca="1">SUMIFS(Extranet!$H:$H,Extranet!$C:$C,N$1,Extranet!$D:$D,$M10)</f>
        <v>430</v>
      </c>
      <c r="P10" t="s">
        <v>319</v>
      </c>
      <c r="Q10" s="174" t="str">
        <f t="shared" ca="1" si="2"/>
        <v>ENEV32</v>
      </c>
      <c r="R10" s="171">
        <f ca="1">N10*_xll.BDP(Q10&amp;" Corp","RISK_MTY_MID")/100</f>
        <v>195.53669499998591</v>
      </c>
      <c r="T10" s="52" t="s">
        <v>40</v>
      </c>
      <c r="U10" s="32" t="str">
        <f t="shared" ca="1" si="1"/>
        <v>Sim</v>
      </c>
      <c r="V10" s="179">
        <f ca="1">IF(U10="Sim",SUMIFS(Extranet!J:J,Extranet!C:C,'AF INFRA'!$N$1,Extranet!D:D,'AF INFRA'!T10),0)</f>
        <v>558222.01</v>
      </c>
      <c r="W10" s="241">
        <f ca="1">V10/(VLOOKUP($N$1,'Base CDI'!$A$9:$D$23,3,0))</f>
        <v>4.7382270382870337E-2</v>
      </c>
      <c r="AB10" s="144"/>
      <c r="AD10" t="s">
        <v>243</v>
      </c>
      <c r="AE10" s="238" t="s">
        <v>921</v>
      </c>
    </row>
    <row r="11" spans="1:31" x14ac:dyDescent="0.25">
      <c r="A11" t="s">
        <v>173</v>
      </c>
      <c r="B11" t="s">
        <v>461</v>
      </c>
      <c r="C11" s="10">
        <v>51363</v>
      </c>
      <c r="D11" s="47">
        <f ca="1">_xll.BDP(A11,"YLD_CNV_MID",,)</f>
        <v>7.51</v>
      </c>
      <c r="E11" s="47">
        <f ca="1">_xll.BDP(A11,"YLD_YTM_MID", "PRICING_SOURCE=ANDE")</f>
        <v>7.5141</v>
      </c>
      <c r="F11" s="4">
        <f t="shared" ca="1" si="0"/>
        <v>-4.1000000000002146E-3</v>
      </c>
      <c r="G11" s="71">
        <f ca="1">_xll.BDP(A11,"RISK_MID",,)/100</f>
        <v>3.5419541568737714</v>
      </c>
      <c r="H11" s="12">
        <f ca="1">_xll.BDP(A11,"DUR_MID",,)</f>
        <v>9.8430783103408448</v>
      </c>
      <c r="I11" s="12">
        <f ca="1">_xll.BDP(A11,"px_LAST",,)</f>
        <v>3868.6689449999999</v>
      </c>
      <c r="J11" s="3">
        <f ca="1">_xll.BDP(A11,"PX_LAST",,)/_xll.BDP(A11,"PX_YEST_CLOSE",,)-1</f>
        <v>-5.3789858625238329E-3</v>
      </c>
      <c r="K11" s="12"/>
      <c r="M11" s="174" t="s">
        <v>41</v>
      </c>
      <c r="N11" s="171">
        <f ca="1">SUMIFS(Extranet!$H:$H,Extranet!$C:$C,N$1,Extranet!$D:$D,$M11)</f>
        <v>300</v>
      </c>
      <c r="P11" t="s">
        <v>180</v>
      </c>
      <c r="Q11" s="174" t="str">
        <f t="shared" ca="1" si="2"/>
        <v>EQTR11</v>
      </c>
      <c r="R11" s="171">
        <f ca="1">N11*_xll.BDP(Q11&amp;" Corp","RISK_MTY_MID")/100</f>
        <v>300.79829999999674</v>
      </c>
      <c r="T11" s="52" t="s">
        <v>41</v>
      </c>
      <c r="U11" s="32" t="str">
        <f t="shared" ca="1" si="1"/>
        <v>Sim</v>
      </c>
      <c r="V11" s="179">
        <f ca="1">IF(U11="Sim",SUMIFS(Extranet!J:J,Extranet!C:C,'AF INFRA'!$N$1,Extranet!D:D,'AF INFRA'!T11),0)</f>
        <v>335500.83</v>
      </c>
      <c r="W11" s="241">
        <f ca="1">V11/(VLOOKUP($N$1,'Base CDI'!$A$9:$D$23,3,0))</f>
        <v>2.8477542547520503E-2</v>
      </c>
      <c r="AB11" s="144"/>
      <c r="AD11" t="s">
        <v>281</v>
      </c>
      <c r="AE11" s="238" t="s">
        <v>921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7.5399000000000003</v>
      </c>
      <c r="E12" s="47">
        <f ca="1">_xll.BDP(A12,"YLD_YTM_MID", "PRICING_SOURCE=ANDE")</f>
        <v>7.5491999999999999</v>
      </c>
      <c r="F12" s="4">
        <f t="shared" ca="1" si="0"/>
        <v>-9.2999999999996419E-3</v>
      </c>
      <c r="G12" s="71">
        <f ca="1">_xll.BDP(A12,"RISK_MID",,)/100</f>
        <v>3.9387062182511272</v>
      </c>
      <c r="H12" s="12">
        <f ca="1">_xll.BDP(A12,"DUR_MID",,)</f>
        <v>11.024577712877717</v>
      </c>
      <c r="I12" s="12">
        <f ca="1">_xll.BDP(A12,"px_LAST",,)</f>
        <v>3842.038086</v>
      </c>
      <c r="J12" s="3">
        <f ca="1">_xll.BDP(A12,"PX_LAST",,)/_xll.BDP(A12,"PX_YEST_CLOSE",,)-1</f>
        <v>3.0545831725554695E-3</v>
      </c>
      <c r="K12" s="12"/>
      <c r="M12" s="244" t="s">
        <v>849</v>
      </c>
      <c r="N12" s="248">
        <f ca="1">SUMIFS(Extranet!$H:$H,Extranet!$C:$C,N$1,Extranet!$D:$D,$M12)</f>
        <v>560</v>
      </c>
      <c r="P12" t="s">
        <v>180</v>
      </c>
      <c r="Q12" s="174" t="str">
        <f ca="1">$M12</f>
        <v>ERDVC3</v>
      </c>
      <c r="R12" s="171">
        <f ca="1">IFERROR(N12*_xll.BDP(Q12&amp;" Corp","RISK_MTY_MID")/100,(N12*62.814/100))</f>
        <v>337.32524000000922</v>
      </c>
      <c r="T12" s="52" t="s">
        <v>849</v>
      </c>
      <c r="U12" s="32" t="str">
        <f t="shared" ca="1" si="1"/>
        <v>Sim</v>
      </c>
      <c r="V12" s="179">
        <f ca="1">IF(U12="Sim",SUMIFS(Extranet!J:J,Extranet!C:C,'AF INFRA'!$N$1,Extranet!D:D,'AF INFRA'!T12),0)</f>
        <v>568652.46</v>
      </c>
      <c r="W12" s="241">
        <f ca="1">V12/(VLOOKUP($N$1,'Base CDI'!$A$9:$D$23,3,0))</f>
        <v>4.8267614194582469E-2</v>
      </c>
      <c r="AB12" s="144"/>
      <c r="AD12" t="s">
        <v>849</v>
      </c>
      <c r="AE12" s="238" t="s">
        <v>921</v>
      </c>
    </row>
    <row r="13" spans="1:31" x14ac:dyDescent="0.25">
      <c r="A13" t="s">
        <v>175</v>
      </c>
      <c r="B13" t="s">
        <v>294</v>
      </c>
      <c r="C13" s="10">
        <v>55015</v>
      </c>
      <c r="D13" s="47">
        <f ca="1">_xll.BDP(A13,"YLD_CNV_MID",,)</f>
        <v>7.4698000000000002</v>
      </c>
      <c r="E13" s="47">
        <f ca="1">_xll.BDP(A13,"YLD_YTM_MID", "PRICING_SOURCE=ANDE")</f>
        <v>7.4749999999999996</v>
      </c>
      <c r="F13" s="4">
        <f t="shared" ca="1" si="0"/>
        <v>-5.1999999999994273E-3</v>
      </c>
      <c r="G13" s="71">
        <f ca="1">_xll.BDP(A13,"RISK_MID",,)/100</f>
        <v>4.2822624725163223</v>
      </c>
      <c r="H13" s="12">
        <f ca="1">_xll.BDP(A13,"DUR_MID",,)</f>
        <v>12.298172276733018</v>
      </c>
      <c r="I13" s="12">
        <f ca="1">_xll.BDP(A13,"px_LAST",,)</f>
        <v>3742.1369629999999</v>
      </c>
      <c r="J13" s="3">
        <f ca="1">_xll.BDP(A13,"PX_LAST",,)/_xll.BDP(A13,"PX_YEST_CLOSE",,)-1</f>
        <v>-1.2078189723740973E-4</v>
      </c>
      <c r="K13" s="12"/>
      <c r="M13" s="174" t="s">
        <v>281</v>
      </c>
      <c r="N13" s="171">
        <f ca="1">SUMIFS(Extranet!$H:$H,Extranet!$C:$C,N$1,Extranet!$D:$D,$M13)</f>
        <v>250</v>
      </c>
      <c r="P13" t="s">
        <v>179</v>
      </c>
      <c r="Q13" s="174" t="str">
        <f t="shared" ca="1" si="2"/>
        <v>ESULA6</v>
      </c>
      <c r="R13" s="171">
        <f ca="1">N13*_xll.BDP(Q13&amp;" Corp","RISK_MTY_MID")/100</f>
        <v>142.28537500000016</v>
      </c>
      <c r="T13" s="52" t="s">
        <v>281</v>
      </c>
      <c r="U13" s="32" t="str">
        <f t="shared" ca="1" si="1"/>
        <v>Sim</v>
      </c>
      <c r="V13" s="179">
        <f ca="1">IF(U13="Sim",SUMIFS(Extranet!J:J,Extranet!C:C,'AF INFRA'!$N$1,Extranet!D:D,'AF INFRA'!T13),0)</f>
        <v>284393.71000000002</v>
      </c>
      <c r="W13" s="241">
        <f ca="1">V13/(VLOOKUP($N$1,'Base CDI'!$A$9:$D$23,3,0))</f>
        <v>2.4139534846373427E-2</v>
      </c>
      <c r="AB13" s="144"/>
      <c r="AD13" t="s">
        <v>164</v>
      </c>
      <c r="AE13" s="238" t="s">
        <v>921</v>
      </c>
    </row>
    <row r="14" spans="1:31" x14ac:dyDescent="0.25">
      <c r="A14" t="s">
        <v>176</v>
      </c>
      <c r="B14" t="s">
        <v>462</v>
      </c>
      <c r="C14" s="10">
        <v>56749</v>
      </c>
      <c r="D14" s="47">
        <f ca="1">_xll.BDP(A14,"YLD_CNV_MID",,)</f>
        <v>7.4196999999999997</v>
      </c>
      <c r="E14" s="47">
        <f ca="1">_xll.BDP(A14,"YLD_YTM_MID", "PRICING_SOURCE=ANDE")</f>
        <v>7.4226000000000001</v>
      </c>
      <c r="F14" s="4">
        <f t="shared" ca="1" si="0"/>
        <v>-2.9000000000003467E-3</v>
      </c>
      <c r="G14" s="71">
        <f ca="1">_xll.BDP(A14,"RISK_MID",,)/100</f>
        <v>4.499478684890164</v>
      </c>
      <c r="H14" s="12">
        <f ca="1">_xll.BDP(A14,"DUR_MID",,)</f>
        <v>12.747759374707201</v>
      </c>
      <c r="I14" s="12">
        <f ca="1">_xll.BDP(A14,"px_LAST",,)</f>
        <v>3791.5170899999998</v>
      </c>
      <c r="J14" s="3">
        <f ca="1">_xll.BDP(A14,"PX_LAST",,)/_xll.BDP(A14,"PX_YEST_CLOSE",,)-1</f>
        <v>-1.9166352093478167E-3</v>
      </c>
      <c r="K14" s="12"/>
      <c r="M14" s="174" t="s">
        <v>282</v>
      </c>
      <c r="N14" s="171">
        <f ca="1">SUMIFS(Extranet!$H:$H,Extranet!$C:$C,N$1,Extranet!$D:$D,$M14)</f>
        <v>720</v>
      </c>
      <c r="P14" t="s">
        <v>451</v>
      </c>
      <c r="Q14" s="174" t="str">
        <f t="shared" ca="1" si="2"/>
        <v>GASC23</v>
      </c>
      <c r="R14" s="171">
        <f ca="1">N14*_xll.BDP(Q14&amp;" Corp","RISK_MTY_MID")/100</f>
        <v>482.78663999997661</v>
      </c>
      <c r="S14" s="1"/>
      <c r="T14" s="52" t="s">
        <v>282</v>
      </c>
      <c r="U14" s="32" t="str">
        <f t="shared" ca="1" si="1"/>
        <v>Sim</v>
      </c>
      <c r="V14" s="179">
        <f ca="1">IF(U14="Sim",SUMIFS(Extranet!J:J,Extranet!C:C,'AF INFRA'!$N$1,Extranet!D:D,'AF INFRA'!T14),0)</f>
        <v>775186.69</v>
      </c>
      <c r="W14" s="241">
        <f ca="1">V14/(VLOOKUP($N$1,'Base CDI'!$A$9:$D$23,3,0))</f>
        <v>6.5798382515913842E-2</v>
      </c>
      <c r="AB14" s="144"/>
      <c r="AD14" t="s">
        <v>346</v>
      </c>
      <c r="AE14" s="238" t="s">
        <v>921</v>
      </c>
    </row>
    <row r="15" spans="1:31" x14ac:dyDescent="0.25">
      <c r="A15" t="s">
        <v>313</v>
      </c>
      <c r="B15" t="s">
        <v>463</v>
      </c>
      <c r="C15" s="10">
        <v>58668</v>
      </c>
      <c r="D15" s="47">
        <f ca="1">_xll.BDP(A15,"YLD_CNV_MID",,)</f>
        <v>7.4249000000000001</v>
      </c>
      <c r="E15" s="47">
        <f ca="1">_xll.BDP(A15,"YLD_YTM_MID", "PRICING_SOURCE=ANDE")</f>
        <v>7.4257999999999997</v>
      </c>
      <c r="F15" s="4">
        <f t="shared" ca="1" si="0"/>
        <v>-8.9999999999967883E-4</v>
      </c>
      <c r="G15" s="71">
        <f ca="1">_xll.BDP(A15,"RISK_MID",,)/100</f>
        <v>4.6147362669662471</v>
      </c>
      <c r="H15" s="12">
        <f ca="1">_xll.BDP(A15,"DUR_MID",,)</f>
        <v>13.422395619599529</v>
      </c>
      <c r="I15" s="12">
        <f ca="1">_xll.BDP(A15,"px_LAST",,)</f>
        <v>3693.36499</v>
      </c>
      <c r="J15" s="3">
        <f ca="1">_xll.BDP(A15,"PX_LAST",,)/_xll.BDP(A15,"PX_YEST_CLOSE",,)-1</f>
        <v>1.0049687545481412E-3</v>
      </c>
      <c r="K15" s="12"/>
      <c r="M15" s="174" t="s">
        <v>495</v>
      </c>
      <c r="N15" s="171">
        <f ca="1">SUMIFS(Extranet!$H:$H,Extranet!$C:$C,N$1,Extranet!$D:$D,$M15)</f>
        <v>500</v>
      </c>
      <c r="P15" t="s">
        <v>180</v>
      </c>
      <c r="Q15" s="174" t="str">
        <f ca="1">$M15</f>
        <v>GSTS14</v>
      </c>
      <c r="R15" s="171">
        <f ca="1">N15*_xll.BDP(Q15&amp;" Corp","RISK_MTY_MID")/100</f>
        <v>278.21349999999256</v>
      </c>
      <c r="S15" s="1"/>
      <c r="T15" s="52" t="s">
        <v>495</v>
      </c>
      <c r="U15" s="32" t="str">
        <f t="shared" ca="1" si="1"/>
        <v>Sim</v>
      </c>
      <c r="V15" s="179">
        <f ca="1">IF(U15="Sim",SUMIFS(Extranet!J:J,Extranet!C:C,'AF INFRA'!$N$1,Extranet!D:D,'AF INFRA'!T15),0)</f>
        <v>527182.68000000005</v>
      </c>
      <c r="W15" s="241">
        <f ca="1">V15/(VLOOKUP($N$1,'Base CDI'!$A$9:$D$23,3,0))</f>
        <v>4.47476305796796E-2</v>
      </c>
      <c r="AB15" s="144"/>
      <c r="AD15" t="s">
        <v>848</v>
      </c>
      <c r="AE15" s="238" t="s">
        <v>921</v>
      </c>
    </row>
    <row r="16" spans="1:31" x14ac:dyDescent="0.25">
      <c r="I16" s="146"/>
      <c r="K16"/>
      <c r="M16" s="174" t="s">
        <v>128</v>
      </c>
      <c r="N16" s="171">
        <f ca="1">SUMIFS(Extranet!$H:$H,Extranet!$C:$C,N$1,Extranet!$D:$D,$M16)</f>
        <v>536</v>
      </c>
      <c r="P16" t="s">
        <v>179</v>
      </c>
      <c r="Q16" s="174" t="str">
        <f t="shared" ca="1" si="2"/>
        <v>IGSN15</v>
      </c>
      <c r="R16" s="171">
        <f ca="1">IFERROR(N16*_xll.BDP(Q16&amp;" Corp","RISK_MTY_MID")/100,(N16*44.84/100))</f>
        <v>371.50803200002252</v>
      </c>
      <c r="S16" s="1"/>
      <c r="T16" s="52" t="s">
        <v>128</v>
      </c>
      <c r="U16" s="32" t="str">
        <f t="shared" ca="1" si="1"/>
        <v>Sim</v>
      </c>
      <c r="V16" s="179">
        <f ca="1">IF(U16="Sim",SUMIFS(Extranet!J:J,Extranet!C:C,'AF INFRA'!$N$1,Extranet!D:D,'AF INFRA'!T16),0)</f>
        <v>577647.42000000004</v>
      </c>
      <c r="W16" s="241">
        <f ca="1">V16/(VLOOKUP($N$1,'Base CDI'!$A$9:$D$23,3,0))</f>
        <v>4.9031112622032698E-2</v>
      </c>
      <c r="AB16" s="144"/>
      <c r="AD16" t="s">
        <v>163</v>
      </c>
      <c r="AE16" s="238" t="s">
        <v>921</v>
      </c>
    </row>
    <row r="17" spans="1:31" x14ac:dyDescent="0.25">
      <c r="C17" s="10"/>
      <c r="F17" s="4"/>
      <c r="G17" s="12"/>
      <c r="H17" s="12"/>
      <c r="I17" s="146"/>
      <c r="J17" s="12"/>
      <c r="K17"/>
      <c r="M17" s="244" t="s">
        <v>264</v>
      </c>
      <c r="N17" s="248">
        <f ca="1">SUMIFS(Extranet!$H:$H,Extranet!$C:$C,N$1,Extranet!$D:$D,$M17,Extranet!A:A,"Debêntures")</f>
        <v>174</v>
      </c>
      <c r="P17" t="s">
        <v>179</v>
      </c>
      <c r="Q17" s="174" t="str">
        <f ca="1">$M17</f>
        <v>JSMLB5</v>
      </c>
      <c r="R17" s="171">
        <f ca="1">IFERROR(N17*_xll.BDP(Q17&amp;" Corp","RISK_MTY_MID")/100,(N17*0.536771))</f>
        <v>93.398154000000005</v>
      </c>
      <c r="T17" s="52" t="s">
        <v>264</v>
      </c>
      <c r="U17" s="32" t="str">
        <f t="shared" ca="1" si="1"/>
        <v>Não</v>
      </c>
      <c r="V17" s="179">
        <f ca="1">IF(U17="Sim",SUMIFS(Extranet!J:J,Extranet!C:C,'AF INFRA'!$N$1,Extranet!D:D,'AF INFRA'!T17),0)</f>
        <v>0</v>
      </c>
      <c r="W17" s="241">
        <f ca="1">V17/(VLOOKUP($N$1,'Base CDI'!$A$9:$D$23,3,0))</f>
        <v>0</v>
      </c>
      <c r="AB17" s="144"/>
      <c r="AD17" t="s">
        <v>280</v>
      </c>
      <c r="AE17" s="238" t="s">
        <v>921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44" t="s">
        <v>228</v>
      </c>
      <c r="N18" s="248">
        <f ca="1">SUMIFS(Extranet!$H:$H,Extranet!$C:$C,N$1,Extranet!$D:$D,$M18,Extranet!A:A,"Debêntures")</f>
        <v>237</v>
      </c>
      <c r="P18" t="s">
        <v>179</v>
      </c>
      <c r="Q18" s="174" t="str">
        <f ca="1">$M18</f>
        <v>MOVI37</v>
      </c>
      <c r="R18" s="171">
        <f ca="1">N18*_xll.BDP(Q18&amp;" Corp","RISK_MTY_MID")/100</f>
        <v>105.69157200000564</v>
      </c>
      <c r="S18" s="1"/>
      <c r="T18" s="52" t="s">
        <v>228</v>
      </c>
      <c r="U18" s="32" t="str">
        <f t="shared" ca="1" si="1"/>
        <v>Não</v>
      </c>
      <c r="V18" s="179">
        <f ca="1">IF(U18="Sim",SUMIFS(Extranet!J:J,Extranet!C:C,'AF INFRA'!$N$1,Extranet!D:D,'AF INFRA'!T18),0)</f>
        <v>0</v>
      </c>
      <c r="W18" s="241">
        <f ca="1">V18/(VLOOKUP($N$1,'Base CDI'!$A$9:$D$23,3,0))</f>
        <v>0</v>
      </c>
      <c r="AB18" s="144"/>
      <c r="AD18" t="s">
        <v>799</v>
      </c>
      <c r="AE18" s="238" t="s">
        <v>921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408</v>
      </c>
      <c r="J19"/>
      <c r="K19" s="12"/>
      <c r="L19" s="88"/>
      <c r="M19" s="174" t="s">
        <v>263</v>
      </c>
      <c r="N19" s="171">
        <f ca="1">SUMIFS(Extranet!$H:$H,Extranet!$C:$C,N$1,Extranet!$D:$D,$M19)</f>
        <v>6</v>
      </c>
      <c r="P19" t="s">
        <v>179</v>
      </c>
      <c r="Q19" s="174" t="str">
        <f ca="1">$M19</f>
        <v>MSGT13</v>
      </c>
      <c r="R19" s="171">
        <f ca="1">N19*_xll.BDP(Q19&amp;" Corp","RISK_MTY_MID")/100</f>
        <v>2.8806089999999358</v>
      </c>
      <c r="S19" s="261"/>
      <c r="T19" s="52" t="s">
        <v>263</v>
      </c>
      <c r="U19" s="32" t="str">
        <f t="shared" ca="1" si="1"/>
        <v>Não</v>
      </c>
      <c r="V19" s="179">
        <f ca="1">IF(U19="Sim",SUMIFS(Extranet!J:J,Extranet!C:C,'AF INFRA'!$N$1,Extranet!D:D,'AF INFRA'!T19),0)</f>
        <v>0</v>
      </c>
      <c r="W19" s="241">
        <f ca="1">V19/(VLOOKUP($N$1,'Base CDI'!$A$9:$D$23,3,0))</f>
        <v>0</v>
      </c>
      <c r="AB19" s="144"/>
      <c r="AD19" t="s">
        <v>493</v>
      </c>
      <c r="AE19" s="238" t="s">
        <v>921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3.25</v>
      </c>
      <c r="E20" s="46">
        <f ca="1">_xll.BDP(A20,"PX_CLOSE_1D")</f>
        <v>2.95</v>
      </c>
      <c r="F20" s="4">
        <f t="shared" ref="F20:F27" ca="1" si="4">+D20-E20</f>
        <v>0.29999999999999982</v>
      </c>
      <c r="G20" s="12">
        <f ca="1">VLOOKUP(B20,'Base IPCA'!$B$18:$M$26,12,0)</f>
        <v>3.419210964202648</v>
      </c>
      <c r="H20" s="12">
        <f ca="1">_xll.BDP(A20,"FUT_BUS_DAYS_VAL")/252</f>
        <v>0.1984126984126984</v>
      </c>
      <c r="I20" s="4">
        <f ca="1">_xll.BDP(A20,"CONTRACT_VALUE")</f>
        <v>177681.1283923114</v>
      </c>
      <c r="J20" s="12"/>
      <c r="K20" s="12"/>
      <c r="M20" s="174" t="s">
        <v>262</v>
      </c>
      <c r="N20" s="171">
        <f ca="1">SUMIFS(Extranet!$H:$H,Extranet!$C:$C,N$1,Extranet!$D:$D,$M20)</f>
        <v>100</v>
      </c>
      <c r="P20" t="s">
        <v>183</v>
      </c>
      <c r="Q20" s="174" t="str">
        <f t="shared" ca="1" si="2"/>
        <v>MSGT33</v>
      </c>
      <c r="R20" s="171">
        <f ca="1">N20*_xll.BDP(Q20&amp;" Corp","RISK_MTY_MID")/100</f>
        <v>92.401699999999224</v>
      </c>
      <c r="T20" s="52" t="s">
        <v>262</v>
      </c>
      <c r="U20" s="32" t="str">
        <f t="shared" ca="1" si="1"/>
        <v>Sim</v>
      </c>
      <c r="V20" s="179">
        <f ca="1">IF(U20="Sim",SUMIFS(Extranet!J:J,Extranet!C:C,'AF INFRA'!$N$1,Extranet!D:D,'AF INFRA'!T20),0)</f>
        <v>99718.99</v>
      </c>
      <c r="W20" s="241">
        <f ca="1">V20/(VLOOKUP($N$1,'Base CDI'!$A$9:$D$23,3,0))</f>
        <v>8.4642168560977084E-3</v>
      </c>
      <c r="AB20" s="144"/>
      <c r="AD20" t="s">
        <v>161</v>
      </c>
      <c r="AE20" s="238" t="s">
        <v>921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7.85</v>
      </c>
      <c r="E21" s="46">
        <f ca="1">_xll.BDP(A21,"PX_CLOSE_1D")</f>
        <v>7.8150000000000004</v>
      </c>
      <c r="F21" s="4">
        <f t="shared" ca="1" si="4"/>
        <v>3.4999999999999254E-2</v>
      </c>
      <c r="G21" s="12">
        <f ca="1">VLOOKUP(B21,'Base IPCA'!$B$18:$M$26,12,0)</f>
        <v>21.677699195308378</v>
      </c>
      <c r="H21" s="12">
        <f ca="1">_xll.BDP(A21,"FUT_BUS_DAYS_VAL")/252</f>
        <v>1.4563492063492063</v>
      </c>
      <c r="I21" s="4">
        <f ca="1">_xll.BDP(A21,"CONTRACT_VALUE")</f>
        <v>160176.82074906392</v>
      </c>
      <c r="J21" s="12"/>
      <c r="K21" s="12"/>
      <c r="M21" s="174" t="s">
        <v>44</v>
      </c>
      <c r="N21" s="171">
        <f ca="1">SUMIFS(Extranet!$H:$H,Extranet!$C:$C,N$1,Extranet!$D:$D,$M21)</f>
        <v>210</v>
      </c>
      <c r="P21" t="s">
        <v>319</v>
      </c>
      <c r="Q21" s="174" t="str">
        <f t="shared" ca="1" si="2"/>
        <v>NEOE26</v>
      </c>
      <c r="R21" s="171">
        <f ca="1">N21*_xll.BDP(Q21&amp;" Corp","RISK_MTY_MID")/100</f>
        <v>140.01918000001524</v>
      </c>
      <c r="T21" s="52" t="s">
        <v>44</v>
      </c>
      <c r="U21" s="32" t="str">
        <f t="shared" ca="1" si="1"/>
        <v>Sim</v>
      </c>
      <c r="V21" s="179">
        <f ca="1">IF(U21="Sim",SUMIFS(Extranet!J:J,Extranet!C:C,'AF INFRA'!$N$1,Extranet!D:D,'AF INFRA'!T21),0)</f>
        <v>216559.87</v>
      </c>
      <c r="W21" s="241">
        <f ca="1">V21/(VLOOKUP($N$1,'Base CDI'!$A$9:$D$23,3,0))</f>
        <v>1.83817515801988E-2</v>
      </c>
      <c r="AB21" s="144"/>
      <c r="AD21" t="s">
        <v>929</v>
      </c>
      <c r="AE21" s="238" t="s">
        <v>921</v>
      </c>
    </row>
    <row r="22" spans="1:31" x14ac:dyDescent="0.25">
      <c r="A22" t="s">
        <v>318</v>
      </c>
      <c r="B22" t="s">
        <v>319</v>
      </c>
      <c r="C22" s="10">
        <v>46249</v>
      </c>
      <c r="D22" s="43">
        <f ca="1">_xll.BDP(A22,"LAST_PRICE")</f>
        <v>7.55</v>
      </c>
      <c r="E22" s="46">
        <f ca="1">_xll.BDP(A22,"PX_CLOSE_1D")</f>
        <v>7.48</v>
      </c>
      <c r="F22" s="4">
        <f t="shared" ca="1" si="4"/>
        <v>6.9999999999999396E-2</v>
      </c>
      <c r="G22" s="12">
        <f ca="1">VLOOKUP(B22,'Base IPCA'!$B$18:$M$26,12,0)</f>
        <v>31.183309670013841</v>
      </c>
      <c r="H22" s="12">
        <f ca="1">_xll.BDP(A22,"FUT_BUS_DAYS_VAL")/252</f>
        <v>2.1904761904761907</v>
      </c>
      <c r="I22" s="4">
        <f ca="1">_xll.BDP(A22,"CONTRACT_VALUE")</f>
        <v>152459.82156012478</v>
      </c>
      <c r="J22" s="12"/>
      <c r="K22" s="12"/>
      <c r="M22" s="174" t="s">
        <v>294</v>
      </c>
      <c r="N22" s="171">
        <f ca="1">SUMIFS(Extranet!$H:$H,Extranet!$C:$C,N$1,Extranet!$D:$D,$M22)</f>
        <v>235</v>
      </c>
      <c r="P22" t="s">
        <v>184</v>
      </c>
      <c r="Q22" s="174" t="str">
        <f t="shared" ca="1" si="2"/>
        <v>NTN-B50</v>
      </c>
      <c r="R22" s="171">
        <f ca="1">N22*_xll.BDP(A13,"RISK_MID",,)/100</f>
        <v>1006.3316810413357</v>
      </c>
      <c r="T22" s="52" t="s">
        <v>294</v>
      </c>
      <c r="U22" s="32" t="str">
        <f t="shared" ca="1" si="1"/>
        <v>Não</v>
      </c>
      <c r="V22" s="179">
        <f ca="1">IF(U22="Sim",SUMIFS(Extranet!J:J,Extranet!C:C,'AF INFRA'!$N$1,Extranet!D:D,'AF INFRA'!T22),0)</f>
        <v>0</v>
      </c>
      <c r="W22" s="241">
        <f ca="1">V22/(VLOOKUP($N$1,'Base CDI'!$A$9:$D$23,3,0))</f>
        <v>0</v>
      </c>
      <c r="AB22" s="144"/>
      <c r="AD22" t="s">
        <v>129</v>
      </c>
      <c r="AE22" s="238" t="s">
        <v>921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7.58</v>
      </c>
      <c r="E23" s="46">
        <f ca="1">_xll.BDP(A23,"PX_CLOSE_1D")</f>
        <v>7.56</v>
      </c>
      <c r="F23" s="4">
        <f t="shared" ca="1" si="4"/>
        <v>2.0000000000000462E-2</v>
      </c>
      <c r="G23" s="12">
        <f ca="1">VLOOKUP(B23,'Base IPCA'!$B$18:$M$26,12,0)</f>
        <v>44.549694874964189</v>
      </c>
      <c r="H23" s="12">
        <f ca="1">_xll.BDP(A23,"FUT_BUS_DAYS_VAL")/252</f>
        <v>3.4404761904761907</v>
      </c>
      <c r="I23" s="4">
        <f ca="1">_xll.BDP(A23,"CONTRACT_VALUE")</f>
        <v>139067.50410604378</v>
      </c>
      <c r="J23" s="12"/>
      <c r="K23" s="12"/>
      <c r="M23" s="174" t="s">
        <v>411</v>
      </c>
      <c r="N23" s="171">
        <f ca="1">SUMIFS(Extranet!$H:$H,Extranet!$C:$C,N$1,Extranet!$D:$D,$M23)</f>
        <v>510</v>
      </c>
      <c r="P23" t="s">
        <v>179</v>
      </c>
      <c r="Q23" s="174" t="str">
        <f t="shared" ca="1" si="2"/>
        <v>PEJA11</v>
      </c>
      <c r="R23" s="171">
        <f ca="1">N23*_xll.BDP(Q23&amp;" Corp","RISK_MTY_MID")/100</f>
        <v>305.64402000004065</v>
      </c>
      <c r="T23" s="52" t="s">
        <v>411</v>
      </c>
      <c r="U23" s="32" t="str">
        <f t="shared" ca="1" si="1"/>
        <v>Sim</v>
      </c>
      <c r="V23" s="179">
        <f ca="1">IF(U23="Sim",SUMIFS(Extranet!J:J,Extranet!C:C,'AF INFRA'!$N$1,Extranet!D:D,'AF INFRA'!T23),0)</f>
        <v>562893.81000000006</v>
      </c>
      <c r="W23" s="241">
        <f ca="1">V23/(VLOOKUP($N$1,'Base CDI'!$A$9:$D$23,3,0))</f>
        <v>4.7778815998788804E-2</v>
      </c>
      <c r="AD23" t="s">
        <v>279</v>
      </c>
      <c r="AE23" s="238" t="s">
        <v>921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7.71</v>
      </c>
      <c r="E24" s="46">
        <f ca="1">_xll.BDP(A24,"PX_CLOSE_1D")</f>
        <v>7.68</v>
      </c>
      <c r="F24" s="4">
        <f t="shared" ca="1" si="4"/>
        <v>3.0000000000000249E-2</v>
      </c>
      <c r="G24" s="12">
        <f ca="1">VLOOKUP(B24,'Base IPCA'!$B$18:$M$26,12,0)</f>
        <v>60.454603402395151</v>
      </c>
      <c r="H24" s="12">
        <f ca="1">_xll.BDP(A24,"FUT_BUS_DAYS_VAL")/252</f>
        <v>5.416666666666667</v>
      </c>
      <c r="I24" s="4">
        <f ca="1">_xll.BDP(A24,"CONTRACT_VALUE")</f>
        <v>119615.18937993032</v>
      </c>
      <c r="J24" s="12"/>
      <c r="K24" s="12"/>
      <c r="M24" s="174" t="s">
        <v>493</v>
      </c>
      <c r="N24" s="171">
        <f ca="1">SUMIFS(Extranet!$H:$H,Extranet!$C:$C,N$1,Extranet!$D:$D,$M24)</f>
        <v>550</v>
      </c>
      <c r="P24" t="s">
        <v>183</v>
      </c>
      <c r="Q24" s="174" t="str">
        <f ca="1">$M24</f>
        <v>RMSA12</v>
      </c>
      <c r="R24" s="171">
        <f ca="1">IFERROR(N24*_xll.BDP(Q24&amp;" Corp","RISK_MTY_MID")/100,(N24*0.894042))</f>
        <v>491.72309999999999</v>
      </c>
      <c r="T24" s="52" t="s">
        <v>493</v>
      </c>
      <c r="U24" s="32" t="str">
        <f t="shared" ca="1" si="1"/>
        <v>Sim</v>
      </c>
      <c r="V24" s="179">
        <f ca="1">IF(U24="Sim",SUMIFS(Extranet!J:J,Extranet!C:C,'AF INFRA'!$N$1,Extranet!D:D,'AF INFRA'!T24),0)</f>
        <v>647853.6</v>
      </c>
      <c r="W24" s="241">
        <f ca="1">V24/(VLOOKUP($N$1,'Base CDI'!$A$9:$D$23,3,0))</f>
        <v>5.4990261748575492E-2</v>
      </c>
      <c r="AD24" t="s">
        <v>495</v>
      </c>
      <c r="AE24" s="238" t="s">
        <v>921</v>
      </c>
    </row>
    <row r="25" spans="1:31" x14ac:dyDescent="0.25">
      <c r="A25" t="s">
        <v>458</v>
      </c>
      <c r="B25" t="s">
        <v>451</v>
      </c>
      <c r="C25" s="10">
        <v>48441</v>
      </c>
      <c r="D25" s="43">
        <f ca="1">_xll.BDP(A25,"LAST_PRICE")</f>
        <v>7.73</v>
      </c>
      <c r="E25" s="46">
        <f ca="1">_xll.BDP(A25,"PX_CLOSE_1D")</f>
        <v>7.7149999999999999</v>
      </c>
      <c r="F25" s="12">
        <f ca="1">+D25-E25</f>
        <v>1.5000000000000568E-2</v>
      </c>
      <c r="G25" s="12">
        <f ca="1">VLOOKUP(B25,'Base IPCA'!$B$18:$M$26,12,0)</f>
        <v>71.349986243556486</v>
      </c>
      <c r="H25" s="12">
        <f ca="1">_xll.BDP(A25,"FUT_BUS_DAYS_VAL")/252</f>
        <v>7.416666666666667</v>
      </c>
      <c r="I25" s="4">
        <f ca="1">_xll.BDP(A25,"CONTRACT_VALUE")</f>
        <v>102935.9414128472</v>
      </c>
      <c r="J25" s="12"/>
      <c r="K25" s="12"/>
      <c r="M25" s="174" t="s">
        <v>393</v>
      </c>
      <c r="N25" s="171">
        <f ca="1">SUMIFS(Extranet!$H:$H,Extranet!$C:$C,N$1,Extranet!$D:$D,$M25)</f>
        <v>370</v>
      </c>
      <c r="P25" t="s">
        <v>179</v>
      </c>
      <c r="Q25" s="174" t="str">
        <f ca="1">$M25</f>
        <v>TBCR18</v>
      </c>
      <c r="R25" s="171">
        <f ca="1">IFERROR(N25*_xll.BDP(Q25&amp;" Corp","RISK_MTY_MID")/100,(N25*0.498514))</f>
        <v>184.45018000000002</v>
      </c>
      <c r="T25" s="52" t="s">
        <v>393</v>
      </c>
      <c r="U25" s="32" t="str">
        <f t="shared" ca="1" si="1"/>
        <v>Sim</v>
      </c>
      <c r="V25" s="179">
        <f ca="1">IF(U25="Sim",SUMIFS(Extranet!J:J,Extranet!C:C,'AF INFRA'!$N$1,Extranet!D:D,'AF INFRA'!T25),0)</f>
        <v>449067.34</v>
      </c>
      <c r="W25" s="241">
        <f ca="1">V25/(VLOOKUP($N$1,'Base CDI'!$A$9:$D$23,3,0))</f>
        <v>3.8117146480835404E-2</v>
      </c>
      <c r="AD25" t="s">
        <v>47</v>
      </c>
      <c r="AE25" s="238" t="s">
        <v>921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7.6749999999999998</v>
      </c>
      <c r="E26" s="46">
        <f ca="1">_xll.BDP(A26,"PX_CLOSE_1D")</f>
        <v>7.62</v>
      </c>
      <c r="F26" s="4">
        <f t="shared" ca="1" si="4"/>
        <v>5.4999999999999716E-2</v>
      </c>
      <c r="G26" s="12">
        <f ca="1">VLOOKUP(B26,'Base IPCA'!$B$18:$M$26,12,0)</f>
        <v>80.365486700218753</v>
      </c>
      <c r="H26" s="12">
        <f ca="1">_xll.BDP(A26,"FUT_BUS_DAYS_VAL")/252</f>
        <v>10.138888888888889</v>
      </c>
      <c r="I26" s="4">
        <f ca="1">_xll.BDP(A26,"CONTRACT_VALUE")</f>
        <v>84486.644827066877</v>
      </c>
      <c r="J26" s="12"/>
      <c r="K26" s="12"/>
      <c r="M26" s="174" t="s">
        <v>47</v>
      </c>
      <c r="N26" s="171">
        <f ca="1">SUMIFS(Extranet!$H:$H,Extranet!$C:$C,N$1,Extranet!$D:$D,$M26)</f>
        <v>425</v>
      </c>
      <c r="P26" t="s">
        <v>319</v>
      </c>
      <c r="Q26" s="174" t="str">
        <f t="shared" ca="1" si="2"/>
        <v>TIET29</v>
      </c>
      <c r="R26" s="171">
        <f ca="1">N26*_xll.BDP(Q26&amp;" Corp","RISK_MTY_MID")/100</f>
        <v>185.45810000000245</v>
      </c>
      <c r="T26" s="52" t="s">
        <v>47</v>
      </c>
      <c r="U26" s="32" t="str">
        <f t="shared" ca="1" si="1"/>
        <v>Sim</v>
      </c>
      <c r="V26" s="179">
        <f ca="1">IF(U26="Sim",SUMIFS(Extranet!J:J,Extranet!C:C,'AF INFRA'!$N$1,Extranet!D:D,'AF INFRA'!T26),0)</f>
        <v>557017.81999999995</v>
      </c>
      <c r="W26" s="241">
        <f ca="1">V26/(VLOOKUP($N$1,'Base CDI'!$A$9:$D$23,3,0))</f>
        <v>4.7280057902620139E-2</v>
      </c>
      <c r="AD26" t="s">
        <v>919</v>
      </c>
      <c r="AE26" s="238" t="s">
        <v>921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7.48</v>
      </c>
      <c r="E27" s="46">
        <f ca="1">_xll.BDP(A27,"PX_CLOSE_1D")</f>
        <v>7.48</v>
      </c>
      <c r="F27" s="4">
        <f t="shared" ca="1" si="4"/>
        <v>0</v>
      </c>
      <c r="G27" s="12">
        <f ca="1">VLOOKUP(B27,'Base IPCA'!$B$18:$M$26,12,0)</f>
        <v>83.972866358890315</v>
      </c>
      <c r="H27" s="12">
        <f ca="1">_xll.BDP(A27,"FUT_BUS_DAYS_VAL")/252</f>
        <v>15.373015873015873</v>
      </c>
      <c r="I27" s="4">
        <f ca="1">_xll.BDP(A27,"CONTRACT_VALUE")</f>
        <v>58992.484612966327</v>
      </c>
      <c r="J27" s="12"/>
      <c r="K27" s="12"/>
      <c r="M27" s="244" t="s">
        <v>205</v>
      </c>
      <c r="N27" s="248">
        <f ca="1">SUMIFS(Extranet!$H:$H,Extranet!$C:$C,N$1,Extranet!$D:$D,$M27,Extranet!A:A,"Debêntures")</f>
        <v>215</v>
      </c>
      <c r="P27" t="s">
        <v>179</v>
      </c>
      <c r="Q27" s="174" t="str">
        <f ca="1">$M27</f>
        <v>VAMO33</v>
      </c>
      <c r="R27" s="171">
        <f ca="1">IFERROR(N27*_xll.BDP(Q27&amp;" Corp","RISK_MTY_MID")/100,(N27*0.498514))</f>
        <v>103.04939250000531</v>
      </c>
      <c r="T27" s="52" t="s">
        <v>205</v>
      </c>
      <c r="U27" s="32" t="str">
        <f t="shared" ca="1" si="1"/>
        <v>Não</v>
      </c>
      <c r="V27" s="179">
        <f ca="1">IF(U27="Sim",SUMIFS(Extranet!J:J,Extranet!C:C,'AF INFRA'!$N$1,Extranet!D:D,'AF INFRA'!T27),0)</f>
        <v>0</v>
      </c>
      <c r="W27" s="241">
        <f ca="1">V27/(VLOOKUP($N$1,'Base CDI'!$A$9:$D$23,3,0))</f>
        <v>0</v>
      </c>
      <c r="AD27" t="s">
        <v>1021</v>
      </c>
      <c r="AE27" s="238" t="s">
        <v>921</v>
      </c>
    </row>
    <row r="28" spans="1:31" x14ac:dyDescent="0.25">
      <c r="I28" s="12"/>
      <c r="J28" s="12"/>
      <c r="K28" s="12"/>
      <c r="M28" s="174" t="s">
        <v>919</v>
      </c>
      <c r="N28" s="171">
        <f ca="1">SUMIFS(Extranet!$H:$H,Extranet!$C:$C,N$1,Extranet!$D:$D,$M28)</f>
        <v>230</v>
      </c>
      <c r="P28" t="s">
        <v>180</v>
      </c>
      <c r="Q28" s="174" t="str">
        <f t="shared" ref="Q28:Q37" ca="1" si="5">$M28</f>
        <v>VERO13</v>
      </c>
      <c r="R28" s="171">
        <f ca="1">IFERROR(N28*_xll.BDP(Q28&amp;" Corp","RISK_MTY_MID")/100,(N28*0.449935162097789))</f>
        <v>103.48508728249146</v>
      </c>
      <c r="T28" s="52" t="s">
        <v>919</v>
      </c>
      <c r="U28" s="32" t="str">
        <f t="shared" ca="1" si="1"/>
        <v>Sim</v>
      </c>
      <c r="V28" s="179">
        <f ca="1">IF(U28="Sim",SUMIFS(Extranet!J:J,Extranet!C:C,'AF INFRA'!$N$1,Extranet!D:D,'AF INFRA'!T28),0)</f>
        <v>238748.11</v>
      </c>
      <c r="W28" s="241">
        <f ca="1">V28/(VLOOKUP($N$1,'Base CDI'!$A$9:$D$23,3,0))</f>
        <v>2.0265104741067571E-2</v>
      </c>
      <c r="AD28" t="s">
        <v>333</v>
      </c>
      <c r="AE28" t="s">
        <v>921</v>
      </c>
    </row>
    <row r="29" spans="1:31" x14ac:dyDescent="0.25">
      <c r="C29" s="45" t="s">
        <v>413</v>
      </c>
      <c r="D29" s="44" t="s">
        <v>455</v>
      </c>
      <c r="E29" s="44" t="s">
        <v>452</v>
      </c>
      <c r="F29" s="44" t="s">
        <v>456</v>
      </c>
      <c r="K29" s="12"/>
      <c r="M29" s="174" t="s">
        <v>1021</v>
      </c>
      <c r="N29" s="171">
        <f ca="1">SUMIFS(Extranet!$H:$H,Extranet!$C:$C,N$1,Extranet!$D:$D,$M29)</f>
        <v>105</v>
      </c>
      <c r="P29" t="s">
        <v>183</v>
      </c>
      <c r="Q29" s="174" t="str">
        <f ca="1">$M29</f>
        <v>CAEC12</v>
      </c>
      <c r="R29" s="171">
        <f ca="1">IFERROR(N29*_xll.BDP(Q29&amp;" Corp","RISK_MTY_MID")/100,(N29*0.68605))</f>
        <v>73.466242500000476</v>
      </c>
      <c r="T29" s="52" t="s">
        <v>1021</v>
      </c>
      <c r="U29" s="32" t="str">
        <f t="shared" ca="1" si="1"/>
        <v>Sim</v>
      </c>
      <c r="V29" s="179">
        <f ca="1">IF(U29="Sim",SUMIFS(Extranet!J:J,Extranet!C:C,'AF INFRA'!$N$1,Extranet!D:D,'AF INFRA'!T29),0)</f>
        <v>106968.07</v>
      </c>
      <c r="W29" s="241">
        <f ca="1">V29/(VLOOKUP($N$1,'Base CDI'!$A$9:$D$23,3,0))</f>
        <v>9.0795237813603973E-3</v>
      </c>
      <c r="AD29" t="s">
        <v>394</v>
      </c>
      <c r="AE29" t="s">
        <v>922</v>
      </c>
    </row>
    <row r="30" spans="1:31" ht="15.75" thickBot="1" x14ac:dyDescent="0.3">
      <c r="C30" s="52" t="s">
        <v>177</v>
      </c>
      <c r="D30" s="179">
        <f t="shared" ref="D30:D37" ca="1" si="6">SUMIF($B$41:$F$54,C30,$F$41:$F$54)</f>
        <v>1.7663361210750528</v>
      </c>
      <c r="E30" s="180">
        <f t="shared" ref="E30:E37" ca="1" si="7">D30/$D$38</f>
        <v>3.247461104294243E-3</v>
      </c>
      <c r="F30" s="181">
        <f t="shared" ref="F30:F36" ca="1" si="8">V42-E30</f>
        <v>-2.1198433825123097E-4</v>
      </c>
      <c r="M30" s="174" t="s">
        <v>929</v>
      </c>
      <c r="N30" s="171">
        <f ca="1">SUMIFS(Extranet!$H:$H,Extranet!$C:$C,N$1,Extranet!$D:$D,$M30)</f>
        <v>230</v>
      </c>
      <c r="P30" t="s">
        <v>451</v>
      </c>
      <c r="Q30" s="174" t="str">
        <f ca="1">$M30</f>
        <v>BHSA11</v>
      </c>
      <c r="R30" s="171">
        <f ca="1">IFERROR(N30*_xll.BDP($M30&amp;" Corp","RISK_MTY_MID")/100,(N30*0.77053))</f>
        <v>177.22190000000001</v>
      </c>
      <c r="T30" s="53" t="s">
        <v>929</v>
      </c>
      <c r="U30" s="242" t="str">
        <f t="shared" ca="1" si="1"/>
        <v>Sim</v>
      </c>
      <c r="V30" s="232">
        <f ca="1">N30*1000</f>
        <v>230000</v>
      </c>
      <c r="W30" s="247">
        <f ca="1">V30/(VLOOKUP($N$1,'Base CDI'!$A$9:$D$23,3,0))</f>
        <v>1.9522559112386446E-2</v>
      </c>
      <c r="AD30" t="s">
        <v>487</v>
      </c>
      <c r="AE30" t="s">
        <v>922</v>
      </c>
    </row>
    <row r="31" spans="1:31" x14ac:dyDescent="0.25">
      <c r="C31" s="52" t="s">
        <v>116</v>
      </c>
      <c r="D31" s="179">
        <f t="shared" ca="1" si="6"/>
        <v>17.762413266411475</v>
      </c>
      <c r="E31" s="180">
        <f t="shared" ca="1" si="7"/>
        <v>3.2656721171485541E-2</v>
      </c>
      <c r="F31" s="181">
        <f t="shared" ca="1" si="8"/>
        <v>2.7136666453026828E-3</v>
      </c>
      <c r="M31" s="174" t="s">
        <v>177</v>
      </c>
      <c r="N31" s="177">
        <f ca="1">SUMIFS(Estratégia!$F:$F,Estratégia!$C:$C,N$1,Estratégia!$D:$D,$M31,Estratégia!$E:$E,"Juros Reais")</f>
        <v>6</v>
      </c>
      <c r="P31" t="s">
        <v>177</v>
      </c>
      <c r="Q31" s="174" t="str">
        <f t="shared" ca="1" si="5"/>
        <v>DAPMAI25</v>
      </c>
      <c r="R31" s="177">
        <f t="shared" ref="R31:R37" ca="1" si="9">N31*VLOOKUP($Q31,$B:$G,6,0)</f>
        <v>20.515265785215888</v>
      </c>
      <c r="V31" s="45" t="s">
        <v>159</v>
      </c>
      <c r="W31" s="5">
        <f ca="1">SUM(W2:W30)</f>
        <v>0.8705247565597567</v>
      </c>
      <c r="AD31" t="s">
        <v>889</v>
      </c>
      <c r="AE31" t="s">
        <v>922</v>
      </c>
    </row>
    <row r="32" spans="1:31" x14ac:dyDescent="0.25">
      <c r="C32" s="52" t="s">
        <v>319</v>
      </c>
      <c r="D32" s="179">
        <f t="shared" ca="1" si="6"/>
        <v>12.042657155262452</v>
      </c>
      <c r="E32" s="180">
        <f t="shared" ca="1" si="7"/>
        <v>2.2140780702748164E-2</v>
      </c>
      <c r="F32" s="181">
        <f t="shared" ca="1" si="8"/>
        <v>8.5252075600647445E-2</v>
      </c>
      <c r="M32" s="174" t="s">
        <v>116</v>
      </c>
      <c r="N32" s="177">
        <f ca="1">SUMIFS(Estratégia!$F:$F,Estratégia!$C:$C,N$1,Estratégia!$D:$D,$M32,Estratégia!$E:$E,"Juros Reais")</f>
        <v>6</v>
      </c>
      <c r="P32" t="s">
        <v>116</v>
      </c>
      <c r="Q32" s="174" t="str">
        <f t="shared" ca="1" si="5"/>
        <v>DAPAGO26</v>
      </c>
      <c r="R32" s="177">
        <f t="shared" ca="1" si="9"/>
        <v>130.06619517185027</v>
      </c>
      <c r="W32" s="249"/>
      <c r="AD32" t="s">
        <v>238</v>
      </c>
      <c r="AE32" t="s">
        <v>922</v>
      </c>
    </row>
    <row r="33" spans="2:31" x14ac:dyDescent="0.25">
      <c r="C33" s="52" t="s">
        <v>179</v>
      </c>
      <c r="D33" s="179">
        <f t="shared" ca="1" si="6"/>
        <v>37.386887294192718</v>
      </c>
      <c r="E33" s="180">
        <f t="shared" ca="1" si="7"/>
        <v>6.87368960244258E-2</v>
      </c>
      <c r="F33" s="181">
        <f t="shared" ca="1" si="8"/>
        <v>0.12837645856257601</v>
      </c>
      <c r="M33" s="174" t="s">
        <v>319</v>
      </c>
      <c r="N33" s="177">
        <f ca="1">SUMIFS(Estratégia!$F:$F,Estratégia!$C:$C,N$1,Estratégia!$D:$D,$M33,Estratégia!$E:$E,"Juros Reais")</f>
        <v>0</v>
      </c>
      <c r="P33" t="s">
        <v>319</v>
      </c>
      <c r="Q33" s="174" t="str">
        <f ca="1">$M33</f>
        <v>DAPMAI27</v>
      </c>
      <c r="R33" s="177">
        <f t="shared" ca="1" si="9"/>
        <v>0</v>
      </c>
      <c r="W33" s="5"/>
      <c r="AD33" t="s">
        <v>259</v>
      </c>
      <c r="AE33" t="s">
        <v>922</v>
      </c>
    </row>
    <row r="34" spans="2:31" x14ac:dyDescent="0.25">
      <c r="C34" s="52" t="s">
        <v>180</v>
      </c>
      <c r="D34" s="179">
        <f t="shared" ca="1" si="6"/>
        <v>31.04498818325742</v>
      </c>
      <c r="E34" s="180">
        <f t="shared" ca="1" si="7"/>
        <v>5.7077127283702914E-2</v>
      </c>
      <c r="F34" s="181">
        <f t="shared" ca="1" si="8"/>
        <v>0.10576911881155569</v>
      </c>
      <c r="M34" s="174" t="s">
        <v>179</v>
      </c>
      <c r="N34" s="177">
        <f ca="1">SUMIFS(Estratégia!$F:$F,Estratégia!$C:$C,N$1,Estratégia!$D:$D,$M34,Estratégia!$E:$E,"Juros Reais")</f>
        <v>0</v>
      </c>
      <c r="P34" t="s">
        <v>179</v>
      </c>
      <c r="Q34" s="174" t="str">
        <f t="shared" ca="1" si="5"/>
        <v>DAPAGO28</v>
      </c>
      <c r="R34" s="177">
        <f t="shared" ca="1" si="9"/>
        <v>0</v>
      </c>
      <c r="AD34" t="s">
        <v>398</v>
      </c>
      <c r="AE34" t="s">
        <v>922</v>
      </c>
    </row>
    <row r="35" spans="2:31" x14ac:dyDescent="0.25">
      <c r="C35" s="52" t="s">
        <v>451</v>
      </c>
      <c r="D35" s="179">
        <f t="shared" ca="1" si="6"/>
        <v>33.265508771115435</v>
      </c>
      <c r="E35" s="180">
        <f t="shared" ca="1" si="7"/>
        <v>6.1159619938591613E-2</v>
      </c>
      <c r="F35" s="181">
        <f t="shared" ca="1" si="8"/>
        <v>0.11553880840659533</v>
      </c>
      <c r="M35" s="174" t="s">
        <v>180</v>
      </c>
      <c r="N35" s="177">
        <f ca="1">SUMIFS(Estratégia!$F:$F,Estratégia!$C:$C,N$1,Estratégia!$D:$D,$M35,Estratégia!$E:$E,"Juros Reais")</f>
        <v>0</v>
      </c>
      <c r="P35" t="s">
        <v>180</v>
      </c>
      <c r="Q35" s="174" t="str">
        <f t="shared" ca="1" si="5"/>
        <v>DAPAGO30</v>
      </c>
      <c r="R35" s="177">
        <f t="shared" ca="1" si="9"/>
        <v>0</v>
      </c>
      <c r="W35" s="144"/>
      <c r="AD35" t="s">
        <v>205</v>
      </c>
      <c r="AE35" t="s">
        <v>922</v>
      </c>
    </row>
    <row r="36" spans="2:31" x14ac:dyDescent="0.25">
      <c r="C36" s="52" t="s">
        <v>183</v>
      </c>
      <c r="D36" s="179">
        <f t="shared" ca="1" si="6"/>
        <v>63.075500613982747</v>
      </c>
      <c r="E36" s="180">
        <f t="shared" ca="1" si="7"/>
        <v>0.11596616999097933</v>
      </c>
      <c r="F36" s="181">
        <f t="shared" ca="1" si="8"/>
        <v>5.2678378576435675E-2</v>
      </c>
      <c r="M36" s="174" t="s">
        <v>451</v>
      </c>
      <c r="N36" s="177">
        <f ca="1">SUMIFS(Estratégia!$F:$F,Estratégia!$C:$C,N$1,Estratégia!$D:$D,$M36,Estratégia!$E:$E,"Juros Reais")</f>
        <v>3</v>
      </c>
      <c r="P36" t="s">
        <v>451</v>
      </c>
      <c r="Q36" s="174" t="str">
        <f ca="1">$M36</f>
        <v>DAPAGO32</v>
      </c>
      <c r="R36" s="177">
        <f t="shared" ca="1" si="9"/>
        <v>214.04995873066946</v>
      </c>
      <c r="AD36" t="s">
        <v>206</v>
      </c>
      <c r="AE36" t="s">
        <v>922</v>
      </c>
    </row>
    <row r="37" spans="2:31" ht="15.75" thickBot="1" x14ac:dyDescent="0.3">
      <c r="C37" s="52" t="s">
        <v>184</v>
      </c>
      <c r="D37" s="179">
        <f t="shared" ca="1" si="6"/>
        <v>347.56864991965301</v>
      </c>
      <c r="E37" s="180">
        <f t="shared" ca="1" si="7"/>
        <v>0.63901522378377251</v>
      </c>
      <c r="F37" s="181">
        <f ca="1">-E37</f>
        <v>-0.63901522378377251</v>
      </c>
      <c r="M37" s="175" t="s">
        <v>183</v>
      </c>
      <c r="N37" s="234">
        <f ca="1">SUMIFS(Estratégia!$F:$F,Estratégia!$C:$C,N$1,Estratégia!$D:$D,$M37,Estratégia!$E:$E,"Juros Reais")</f>
        <v>6</v>
      </c>
      <c r="P37" t="s">
        <v>183</v>
      </c>
      <c r="Q37" s="175" t="str">
        <f t="shared" ca="1" si="5"/>
        <v>DAPMAI35</v>
      </c>
      <c r="R37" s="177">
        <f t="shared" ca="1" si="9"/>
        <v>482.19292020131252</v>
      </c>
      <c r="AD37" t="s">
        <v>207</v>
      </c>
      <c r="AE37" t="s">
        <v>922</v>
      </c>
    </row>
    <row r="38" spans="2:31" ht="15.75" thickBot="1" x14ac:dyDescent="0.3">
      <c r="C38" s="74" t="s">
        <v>159</v>
      </c>
      <c r="D38" s="182">
        <f ca="1">SUM(D30:D37)</f>
        <v>543.91294132495022</v>
      </c>
      <c r="E38" s="183">
        <f ca="1">SUM(E30:E37)</f>
        <v>1</v>
      </c>
      <c r="F38" s="183">
        <f ca="1">SUM(F30:F37)</f>
        <v>-0.14889870151891094</v>
      </c>
      <c r="R38" s="178">
        <f ca="1">SUM(R2:R37)</f>
        <v>7805.3766547129635</v>
      </c>
      <c r="AD38" t="s">
        <v>410</v>
      </c>
      <c r="AE38" t="s">
        <v>922</v>
      </c>
    </row>
    <row r="39" spans="2:31" ht="15.75" thickBot="1" x14ac:dyDescent="0.3">
      <c r="M39" s="344" t="s">
        <v>414</v>
      </c>
      <c r="N39" s="344"/>
      <c r="P39" s="344" t="s">
        <v>412</v>
      </c>
      <c r="Q39" s="344"/>
      <c r="S39" s="188"/>
      <c r="AD39" t="s">
        <v>352</v>
      </c>
      <c r="AE39" t="s">
        <v>922</v>
      </c>
    </row>
    <row r="40" spans="2:31" ht="15.75" thickBot="1" x14ac:dyDescent="0.3">
      <c r="C40" s="45" t="s">
        <v>146</v>
      </c>
      <c r="D40" s="45" t="s">
        <v>818</v>
      </c>
      <c r="E40" s="45" t="s">
        <v>452</v>
      </c>
      <c r="F40" s="45" t="s">
        <v>454</v>
      </c>
      <c r="G40" s="45" t="s">
        <v>453</v>
      </c>
      <c r="M40" s="45" t="s">
        <v>369</v>
      </c>
      <c r="N40" s="192" t="str">
        <f ca="1">N1</f>
        <v>AF DEB INCENTIVADAS</v>
      </c>
      <c r="O40" s="192" t="s">
        <v>782</v>
      </c>
      <c r="P40" s="45" t="s">
        <v>413</v>
      </c>
      <c r="Q40" s="192" t="s">
        <v>246</v>
      </c>
      <c r="R40" s="192" t="s">
        <v>781</v>
      </c>
      <c r="T40" s="344" t="s">
        <v>784</v>
      </c>
      <c r="U40" s="344"/>
      <c r="V40" s="344" t="s">
        <v>457</v>
      </c>
      <c r="W40" s="344" t="s">
        <v>785</v>
      </c>
      <c r="AD40" t="s">
        <v>308</v>
      </c>
      <c r="AE40" t="s">
        <v>922</v>
      </c>
    </row>
    <row r="41" spans="2:31" ht="15.75" thickBot="1" x14ac:dyDescent="0.3">
      <c r="B41" s="186" t="s">
        <v>177</v>
      </c>
      <c r="C41" s="52" t="s">
        <v>168</v>
      </c>
      <c r="D41" s="179">
        <v>0.20971215000000001</v>
      </c>
      <c r="E41" s="180">
        <f t="shared" ref="E41:E54" ca="1" si="10">D41/$D$55</f>
        <v>8.9396886810378481E-2</v>
      </c>
      <c r="F41" s="168">
        <f t="shared" ref="F41:F54" ca="1" si="11">D41*VLOOKUP(C41,A:H,7,0)*100</f>
        <v>1.7663361210750528</v>
      </c>
      <c r="G41" s="180">
        <f t="shared" ref="G41:G54" ca="1" si="12">F41/$F$55</f>
        <v>3.247461104294243E-3</v>
      </c>
      <c r="J41"/>
      <c r="M41" s="174" t="s">
        <v>177</v>
      </c>
      <c r="N41" s="171">
        <f ca="1">SUMIFS(Estratégia!$F:$F,Estratégia!$C:$C,N$40,Estratégia!$D:$D,$M41,Estratégia!$E:$E,"Hedge IPCA")*VLOOKUP($M41,$B$19:$H$27,6,0)</f>
        <v>0</v>
      </c>
      <c r="O41" s="227">
        <f t="shared" ref="O41:O48" ca="1" si="13">N41/$N$49</f>
        <v>0</v>
      </c>
      <c r="P41" s="174" t="str">
        <f t="shared" ref="P41:P48" ca="1" si="14">M41</f>
        <v>DAPMAI25</v>
      </c>
      <c r="Q41" s="171">
        <f t="shared" ref="Q41:Q48" ca="1" si="15">SUMIF($P$2:$R$37,$P41,R$2:R$37)</f>
        <v>20.515265785215888</v>
      </c>
      <c r="R41" s="227">
        <f t="shared" ref="R41:R48" ca="1" si="16">Q41/$Q$49</f>
        <v>2.6283505194882009E-3</v>
      </c>
      <c r="T41" s="45" t="s">
        <v>413</v>
      </c>
      <c r="U41" s="192" t="s">
        <v>246</v>
      </c>
      <c r="V41" s="346"/>
      <c r="W41" s="346"/>
      <c r="AD41" t="s">
        <v>760</v>
      </c>
      <c r="AE41" t="s">
        <v>922</v>
      </c>
    </row>
    <row r="42" spans="2:31" x14ac:dyDescent="0.25">
      <c r="B42" s="186" t="s">
        <v>116</v>
      </c>
      <c r="C42" s="52" t="s">
        <v>169</v>
      </c>
      <c r="D42" s="179">
        <v>0.31426472</v>
      </c>
      <c r="E42" s="180">
        <f t="shared" ca="1" si="10"/>
        <v>0.13396595095866065</v>
      </c>
      <c r="F42" s="168">
        <f t="shared" ca="1" si="11"/>
        <v>17.762413266411475</v>
      </c>
      <c r="G42" s="180">
        <f t="shared" ca="1" si="12"/>
        <v>3.2656721171485541E-2</v>
      </c>
      <c r="J42"/>
      <c r="M42" s="174" t="s">
        <v>116</v>
      </c>
      <c r="N42" s="171">
        <f ca="1">SUMIFS(Estratégia!$F:$F,Estratégia!$C:$C,N$40,Estratégia!$D:$D,$M42,Estratégia!$E:$E,"Hedge IPCA")*VLOOKUP($M42,$B$19:$H$27,6,0)</f>
        <v>0</v>
      </c>
      <c r="O42" s="227">
        <f t="shared" ca="1" si="13"/>
        <v>0</v>
      </c>
      <c r="P42" s="174" t="str">
        <f t="shared" ca="1" si="14"/>
        <v>DAPAGO26</v>
      </c>
      <c r="Q42" s="171">
        <f t="shared" ca="1" si="15"/>
        <v>239.05072017187376</v>
      </c>
      <c r="R42" s="227">
        <f t="shared" ca="1" si="16"/>
        <v>3.0626416987517526E-2</v>
      </c>
      <c r="T42" s="52" t="str">
        <f t="shared" ref="T42:T49" ca="1" si="17">P41</f>
        <v>DAPMAI25</v>
      </c>
      <c r="U42" s="171">
        <f t="shared" ref="U42:U49" ca="1" si="18">N41+Q41</f>
        <v>20.515265785215888</v>
      </c>
      <c r="V42" s="227">
        <f t="shared" ref="V42:V49" ca="1" si="19">U42/$U$50</f>
        <v>3.0354767660430121E-3</v>
      </c>
      <c r="W42" s="227">
        <f t="shared" ref="W42:W49" ca="1" si="20">V42-E30</f>
        <v>-2.1198433825123097E-4</v>
      </c>
      <c r="AD42" t="s">
        <v>260</v>
      </c>
      <c r="AE42" t="s">
        <v>922</v>
      </c>
    </row>
    <row r="43" spans="2:31" x14ac:dyDescent="0.25">
      <c r="B43" s="186" t="s">
        <v>319</v>
      </c>
      <c r="C43" s="52" t="s">
        <v>314</v>
      </c>
      <c r="D43" s="179">
        <v>0.14488549000000001</v>
      </c>
      <c r="E43" s="180">
        <f t="shared" ca="1" si="10"/>
        <v>6.1762333512847128E-2</v>
      </c>
      <c r="F43" s="168">
        <f t="shared" ca="1" si="11"/>
        <v>12.042657155262452</v>
      </c>
      <c r="G43" s="180">
        <f t="shared" ca="1" si="12"/>
        <v>2.2140780702748164E-2</v>
      </c>
      <c r="J43"/>
      <c r="M43" s="174" t="s">
        <v>319</v>
      </c>
      <c r="N43" s="171">
        <f ca="1">SUMIFS(Estratégia!$F:$F,Estratégia!$C:$C,N$40,Estratégia!$D:$D,$M43,Estratégia!$E:$E,"Hedge IPCA")*VLOOKUP($M43,$B$19:$H$27,6,0)</f>
        <v>0</v>
      </c>
      <c r="O43" s="227">
        <f t="shared" ca="1" si="13"/>
        <v>0</v>
      </c>
      <c r="P43" s="174" t="str">
        <f t="shared" ca="1" si="14"/>
        <v>DAPMAI27</v>
      </c>
      <c r="Q43" s="171">
        <f t="shared" ca="1" si="15"/>
        <v>725.8144800000224</v>
      </c>
      <c r="R43" s="227">
        <f t="shared" ca="1" si="16"/>
        <v>9.2989039748872154E-2</v>
      </c>
      <c r="T43" s="52" t="str">
        <f t="shared" ca="1" si="17"/>
        <v>DAPAGO26</v>
      </c>
      <c r="U43" s="171">
        <f t="shared" ca="1" si="18"/>
        <v>239.05072017187376</v>
      </c>
      <c r="V43" s="227">
        <f t="shared" ca="1" si="19"/>
        <v>3.5370387816788224E-2</v>
      </c>
      <c r="W43" s="227">
        <f t="shared" ca="1" si="20"/>
        <v>2.7136666453026828E-3</v>
      </c>
      <c r="AD43" t="s">
        <v>475</v>
      </c>
      <c r="AE43" t="s">
        <v>922</v>
      </c>
    </row>
    <row r="44" spans="2:31" x14ac:dyDescent="0.25">
      <c r="B44" s="186" t="s">
        <v>179</v>
      </c>
      <c r="C44" s="52" t="s">
        <v>170</v>
      </c>
      <c r="D44" s="179">
        <v>0.26114744000000001</v>
      </c>
      <c r="E44" s="180">
        <f t="shared" ca="1" si="10"/>
        <v>0.11132291636178498</v>
      </c>
      <c r="F44" s="168">
        <f t="shared" ca="1" si="11"/>
        <v>32.298781067029871</v>
      </c>
      <c r="G44" s="180">
        <f t="shared" ca="1" si="12"/>
        <v>5.9382262514937278E-2</v>
      </c>
      <c r="J44"/>
      <c r="M44" s="174" t="s">
        <v>179</v>
      </c>
      <c r="N44" s="171">
        <f ca="1">SUMIFS(Estratégia!$F:$F,Estratégia!$C:$C,N$40,Estratégia!$D:$D,$M44,Estratégia!$E:$E,"Hedge IPCA")*VLOOKUP($M44,$B$19:$H$27,6,0)</f>
        <v>-623.69572824949864</v>
      </c>
      <c r="O44" s="227">
        <f t="shared" ca="1" si="13"/>
        <v>0.59576737385526701</v>
      </c>
      <c r="P44" s="174" t="str">
        <f t="shared" ca="1" si="14"/>
        <v>DAPAGO28</v>
      </c>
      <c r="Q44" s="171">
        <f t="shared" ca="1" si="15"/>
        <v>1955.8860795000887</v>
      </c>
      <c r="R44" s="227">
        <f t="shared" ca="1" si="16"/>
        <v>0.25058189579091045</v>
      </c>
      <c r="T44" s="52" t="str">
        <f t="shared" ca="1" si="17"/>
        <v>DAPMAI27</v>
      </c>
      <c r="U44" s="171">
        <f t="shared" ca="1" si="18"/>
        <v>725.8144800000224</v>
      </c>
      <c r="V44" s="227">
        <f t="shared" ca="1" si="19"/>
        <v>0.10739285630339561</v>
      </c>
      <c r="W44" s="227">
        <f t="shared" ca="1" si="20"/>
        <v>8.5252075600647445E-2</v>
      </c>
      <c r="AD44" t="s">
        <v>264</v>
      </c>
      <c r="AE44" t="s">
        <v>922</v>
      </c>
    </row>
    <row r="45" spans="2:31" x14ac:dyDescent="0.25">
      <c r="B45" s="186" t="s">
        <v>179</v>
      </c>
      <c r="C45" s="52" t="s">
        <v>1070</v>
      </c>
      <c r="D45" s="179">
        <v>3.48341E-2</v>
      </c>
      <c r="E45" s="180">
        <f t="shared" ca="1" si="10"/>
        <v>1.4849211620983358E-2</v>
      </c>
      <c r="F45" s="168">
        <f t="shared" ca="1" si="11"/>
        <v>5.0881062271628457</v>
      </c>
      <c r="G45" s="180">
        <f t="shared" ca="1" si="12"/>
        <v>9.3546335094885254E-3</v>
      </c>
      <c r="J45"/>
      <c r="M45" s="174" t="s">
        <v>180</v>
      </c>
      <c r="N45" s="171">
        <f ca="1">SUMIFS(Estratégia!$F:$F,Estratégia!$C:$C,N$40,Estratégia!$D:$D,$M45,Estratégia!$E:$E,"Hedge IPCA")*VLOOKUP($M45,$B$19:$H$27,6,0)</f>
        <v>-423.18222381676605</v>
      </c>
      <c r="O45" s="227">
        <f t="shared" ca="1" si="13"/>
        <v>0.40423262614473299</v>
      </c>
      <c r="P45" s="174" t="str">
        <f t="shared" ca="1" si="14"/>
        <v>DAPAGO30</v>
      </c>
      <c r="Q45" s="171">
        <f t="shared" ca="1" si="15"/>
        <v>1523.778366782456</v>
      </c>
      <c r="R45" s="227">
        <f t="shared" ca="1" si="16"/>
        <v>0.1952216317277122</v>
      </c>
      <c r="T45" s="52" t="str">
        <f t="shared" ca="1" si="17"/>
        <v>DAPAGO28</v>
      </c>
      <c r="U45" s="171">
        <f t="shared" ca="1" si="18"/>
        <v>1332.1903512505901</v>
      </c>
      <c r="V45" s="227">
        <f t="shared" ca="1" si="19"/>
        <v>0.1971133545870018</v>
      </c>
      <c r="W45" s="227">
        <f t="shared" ca="1" si="20"/>
        <v>0.12837645856257601</v>
      </c>
      <c r="AD45" t="s">
        <v>300</v>
      </c>
      <c r="AE45" t="s">
        <v>922</v>
      </c>
    </row>
    <row r="46" spans="2:31" x14ac:dyDescent="0.25">
      <c r="B46" s="186" t="s">
        <v>180</v>
      </c>
      <c r="C46" s="52" t="s">
        <v>171</v>
      </c>
      <c r="D46" s="179">
        <v>0.17377619999999999</v>
      </c>
      <c r="E46" s="180">
        <f t="shared" ca="1" si="10"/>
        <v>7.4077974412725692E-2</v>
      </c>
      <c r="F46" s="168">
        <f t="shared" ca="1" si="11"/>
        <v>31.04498818325742</v>
      </c>
      <c r="G46" s="180">
        <f t="shared" ca="1" si="12"/>
        <v>5.7077127283702914E-2</v>
      </c>
      <c r="J46"/>
      <c r="M46" s="174" t="s">
        <v>451</v>
      </c>
      <c r="N46" s="171">
        <f ca="1">SUMIFS(Estratégia!$F:$F,Estratégia!$C:$C,N$40,Estratégia!$D:$D,$M46,Estratégia!$E:$E,"Hedge IPCA")*VLOOKUP($M46,$B$19:$H$27,6,0)</f>
        <v>0</v>
      </c>
      <c r="O46" s="227">
        <f t="shared" ca="1" si="13"/>
        <v>0</v>
      </c>
      <c r="P46" s="174" t="str">
        <f t="shared" ca="1" si="14"/>
        <v>DAPAGO32</v>
      </c>
      <c r="Q46" s="171">
        <f t="shared" ca="1" si="15"/>
        <v>1194.2160987306563</v>
      </c>
      <c r="R46" s="227">
        <f t="shared" ca="1" si="16"/>
        <v>0.15299916346888617</v>
      </c>
      <c r="T46" s="52" t="str">
        <f t="shared" ca="1" si="17"/>
        <v>DAPAGO30</v>
      </c>
      <c r="U46" s="171">
        <f t="shared" ca="1" si="18"/>
        <v>1100.59614296569</v>
      </c>
      <c r="V46" s="227">
        <f t="shared" ca="1" si="19"/>
        <v>0.16284624609525861</v>
      </c>
      <c r="W46" s="227">
        <f t="shared" ca="1" si="20"/>
        <v>0.10576911881155569</v>
      </c>
      <c r="AD46" t="s">
        <v>508</v>
      </c>
      <c r="AE46" t="s">
        <v>922</v>
      </c>
    </row>
    <row r="47" spans="2:31" x14ac:dyDescent="0.25">
      <c r="B47" s="186" t="s">
        <v>451</v>
      </c>
      <c r="C47" s="52" t="s">
        <v>316</v>
      </c>
      <c r="D47" s="179">
        <v>7.7690350000000005E-2</v>
      </c>
      <c r="E47" s="180">
        <f t="shared" ca="1" si="10"/>
        <v>3.31181356216542E-2</v>
      </c>
      <c r="F47" s="168">
        <f t="shared" ca="1" si="11"/>
        <v>17.426643681418273</v>
      </c>
      <c r="G47" s="180">
        <f t="shared" ca="1" si="12"/>
        <v>3.2039398876900528E-2</v>
      </c>
      <c r="J47"/>
      <c r="M47" s="174" t="s">
        <v>183</v>
      </c>
      <c r="N47" s="171">
        <f ca="1">SUMIFS(Estratégia!$F:$F,Estratégia!$C:$C,N$40,Estratégia!$D:$D,$M47,Estratégia!$E:$E,"Hedge IPCA")*VLOOKUP($M47,$B$19:$H$27,6,0)</f>
        <v>0</v>
      </c>
      <c r="O47" s="227">
        <f t="shared" ca="1" si="13"/>
        <v>0</v>
      </c>
      <c r="P47" s="174" t="str">
        <f t="shared" ca="1" si="14"/>
        <v>DAPMAI35</v>
      </c>
      <c r="Q47" s="171">
        <f t="shared" ca="1" si="15"/>
        <v>1139.7839627013122</v>
      </c>
      <c r="R47" s="227">
        <f t="shared" ca="1" si="16"/>
        <v>0.14602549154538233</v>
      </c>
      <c r="T47" s="52" t="str">
        <f t="shared" ca="1" si="17"/>
        <v>DAPAGO32</v>
      </c>
      <c r="U47" s="171">
        <f t="shared" ca="1" si="18"/>
        <v>1194.2160987306563</v>
      </c>
      <c r="V47" s="227">
        <f t="shared" ca="1" si="19"/>
        <v>0.17669842834518695</v>
      </c>
      <c r="W47" s="227">
        <f t="shared" ca="1" si="20"/>
        <v>0.11553880840659533</v>
      </c>
      <c r="AD47" t="s">
        <v>185</v>
      </c>
      <c r="AE47" t="s">
        <v>922</v>
      </c>
    </row>
    <row r="48" spans="2:31" ht="15.75" thickBot="1" x14ac:dyDescent="0.3">
      <c r="B48" s="186" t="s">
        <v>451</v>
      </c>
      <c r="C48" s="52" t="s">
        <v>780</v>
      </c>
      <c r="D48" s="179">
        <v>6.5438789999999997E-2</v>
      </c>
      <c r="E48" s="180">
        <f t="shared" ca="1" si="10"/>
        <v>2.789549438426971E-2</v>
      </c>
      <c r="F48" s="168">
        <f t="shared" ca="1" si="11"/>
        <v>15.838865089697165</v>
      </c>
      <c r="G48" s="180">
        <f t="shared" ca="1" si="12"/>
        <v>2.9120221061691091E-2</v>
      </c>
      <c r="J48"/>
      <c r="M48" s="175" t="s">
        <v>184</v>
      </c>
      <c r="N48" s="176">
        <f ca="1">SUMIFS(Estratégia!$F:$F,Estratégia!$C:$C,N$40,Estratégia!$D:$D,$M48,Estratégia!$E:$E,"Hedge IPCA")*VLOOKUP($M48,$B$19:$H$27,6,0)</f>
        <v>0</v>
      </c>
      <c r="O48" s="228">
        <f t="shared" ca="1" si="13"/>
        <v>0</v>
      </c>
      <c r="P48" s="174" t="str">
        <f t="shared" ca="1" si="14"/>
        <v>DAPAGO40</v>
      </c>
      <c r="Q48" s="171">
        <f t="shared" ca="1" si="15"/>
        <v>1006.3316810413357</v>
      </c>
      <c r="R48" s="228">
        <f t="shared" ca="1" si="16"/>
        <v>0.12892801021123088</v>
      </c>
      <c r="T48" s="52" t="str">
        <f t="shared" ca="1" si="17"/>
        <v>DAPMAI35</v>
      </c>
      <c r="U48" s="171">
        <f t="shared" ca="1" si="18"/>
        <v>1139.7839627013122</v>
      </c>
      <c r="V48" s="227">
        <f t="shared" ca="1" si="19"/>
        <v>0.16864454856741501</v>
      </c>
      <c r="W48" s="227">
        <f t="shared" ca="1" si="20"/>
        <v>5.2678378576435675E-2</v>
      </c>
      <c r="AD48" t="s">
        <v>327</v>
      </c>
      <c r="AE48" t="s">
        <v>922</v>
      </c>
    </row>
    <row r="49" spans="2:31" ht="15.75" thickBot="1" x14ac:dyDescent="0.3">
      <c r="B49" s="186" t="s">
        <v>183</v>
      </c>
      <c r="C49" s="52" t="s">
        <v>172</v>
      </c>
      <c r="D49" s="179">
        <v>0.22784112000000001</v>
      </c>
      <c r="E49" s="180">
        <f t="shared" ca="1" si="10"/>
        <v>9.7124972565442017E-2</v>
      </c>
      <c r="F49" s="168">
        <f t="shared" ca="1" si="11"/>
        <v>63.075500613982747</v>
      </c>
      <c r="G49" s="180">
        <f t="shared" ca="1" si="12"/>
        <v>0.11596616999097933</v>
      </c>
      <c r="J49"/>
      <c r="M49" s="193" t="s">
        <v>159</v>
      </c>
      <c r="N49" s="229">
        <f ca="1">SUM(N41:N48)</f>
        <v>-1046.8779520662647</v>
      </c>
      <c r="P49" s="193" t="s">
        <v>159</v>
      </c>
      <c r="Q49" s="229">
        <f ca="1">SUM(Q41:Q48)</f>
        <v>7805.3766547129617</v>
      </c>
      <c r="T49" s="52" t="str">
        <f t="shared" ca="1" si="17"/>
        <v>DAPAGO40</v>
      </c>
      <c r="U49" s="171">
        <f t="shared" ca="1" si="18"/>
        <v>1006.3316810413357</v>
      </c>
      <c r="V49" s="228">
        <f t="shared" ca="1" si="19"/>
        <v>0.14889870151891071</v>
      </c>
      <c r="W49" s="228">
        <f t="shared" ca="1" si="20"/>
        <v>-0.4901165222648618</v>
      </c>
      <c r="AD49" t="s">
        <v>211</v>
      </c>
      <c r="AE49" t="s">
        <v>922</v>
      </c>
    </row>
    <row r="50" spans="2:31" ht="15.75" thickBot="1" x14ac:dyDescent="0.3">
      <c r="B50" s="186" t="s">
        <v>184</v>
      </c>
      <c r="C50" s="52" t="s">
        <v>173</v>
      </c>
      <c r="D50" s="179">
        <v>0.14433093</v>
      </c>
      <c r="E50" s="180">
        <f t="shared" ca="1" si="10"/>
        <v>6.1525933582992971E-2</v>
      </c>
      <c r="F50" s="168">
        <f t="shared" ca="1" si="11"/>
        <v>51.121353747895725</v>
      </c>
      <c r="G50" s="180">
        <f t="shared" ca="1" si="12"/>
        <v>9.3988118067877088E-2</v>
      </c>
      <c r="J50"/>
      <c r="T50" s="74" t="s">
        <v>159</v>
      </c>
      <c r="U50" s="172">
        <f ca="1">SUM(U42:U49)</f>
        <v>6758.498702646697</v>
      </c>
      <c r="V50" s="231">
        <f ca="1">SUM(V42:V49)</f>
        <v>1</v>
      </c>
      <c r="W50" s="231">
        <f ca="1">SUM(W42:W49)</f>
        <v>0</v>
      </c>
      <c r="AD50" t="s">
        <v>384</v>
      </c>
      <c r="AE50" t="s">
        <v>922</v>
      </c>
    </row>
    <row r="51" spans="2:31" x14ac:dyDescent="0.25">
      <c r="B51" s="186" t="s">
        <v>184</v>
      </c>
      <c r="C51" s="52" t="s">
        <v>174</v>
      </c>
      <c r="D51" s="179">
        <v>0.17439845000000001</v>
      </c>
      <c r="E51" s="180">
        <f t="shared" ca="1" si="10"/>
        <v>7.4343229491259571E-2</v>
      </c>
      <c r="F51" s="168">
        <f t="shared" ca="1" si="11"/>
        <v>68.69042594683583</v>
      </c>
      <c r="G51" s="180">
        <f t="shared" ca="1" si="12"/>
        <v>0.12628937597900997</v>
      </c>
      <c r="J51"/>
      <c r="T51" s="2" t="s">
        <v>78</v>
      </c>
      <c r="U51" s="3">
        <f ca="1">U50/VLOOKUP(U41,'Base CDI'!$A:$D,4,0)</f>
        <v>1.1698519723750374</v>
      </c>
      <c r="V51" s="45" t="s">
        <v>222</v>
      </c>
      <c r="W51" s="230">
        <f ca="1">ABS(+N49/R38)</f>
        <v>0.13412266933129352</v>
      </c>
      <c r="AD51" t="s">
        <v>137</v>
      </c>
      <c r="AE51" t="s">
        <v>922</v>
      </c>
    </row>
    <row r="52" spans="2:31" x14ac:dyDescent="0.25">
      <c r="B52" s="186" t="s">
        <v>184</v>
      </c>
      <c r="C52" s="52" t="s">
        <v>175</v>
      </c>
      <c r="D52" s="179">
        <v>0.27439910000000001</v>
      </c>
      <c r="E52" s="180">
        <f t="shared" ca="1" si="10"/>
        <v>0.11697188400180784</v>
      </c>
      <c r="F52" s="168">
        <f t="shared" ca="1" si="11"/>
        <v>117.50489684222536</v>
      </c>
      <c r="G52" s="180">
        <f t="shared" ca="1" si="12"/>
        <v>0.2160362218188597</v>
      </c>
      <c r="J52"/>
      <c r="T52" s="34" t="s">
        <v>218</v>
      </c>
      <c r="U52" s="70">
        <f ca="1">+(U50/VLOOKUP(U41,'Base CDI'!$A:$D,3,0))</f>
        <v>5.736660453626402E-4</v>
      </c>
      <c r="AD52" t="s">
        <v>221</v>
      </c>
      <c r="AE52" t="s">
        <v>922</v>
      </c>
    </row>
    <row r="53" spans="2:31" ht="15.75" thickBot="1" x14ac:dyDescent="0.3">
      <c r="B53" s="186" t="s">
        <v>184</v>
      </c>
      <c r="C53" s="52" t="s">
        <v>176</v>
      </c>
      <c r="D53" s="179">
        <v>0.16910256000000001</v>
      </c>
      <c r="E53" s="180">
        <f t="shared" ca="1" si="10"/>
        <v>7.2085677513988755E-2</v>
      </c>
      <c r="F53" s="168">
        <f t="shared" ca="1" si="11"/>
        <v>76.087336428036011</v>
      </c>
      <c r="G53" s="180">
        <f t="shared" ca="1" si="12"/>
        <v>0.13988881426996441</v>
      </c>
      <c r="J53"/>
      <c r="M53" s="344" t="s">
        <v>464</v>
      </c>
      <c r="N53" s="344"/>
      <c r="P53" s="344" t="s">
        <v>412</v>
      </c>
      <c r="Q53" s="344"/>
      <c r="T53" s="344" t="s">
        <v>786</v>
      </c>
      <c r="U53" s="344"/>
      <c r="V53" s="344" t="s">
        <v>457</v>
      </c>
      <c r="W53" s="344" t="s">
        <v>785</v>
      </c>
      <c r="AC53" s="188"/>
      <c r="AD53" t="s">
        <v>261</v>
      </c>
      <c r="AE53" t="s">
        <v>922</v>
      </c>
    </row>
    <row r="54" spans="2:31" ht="15.75" thickBot="1" x14ac:dyDescent="0.3">
      <c r="B54" s="186" t="s">
        <v>184</v>
      </c>
      <c r="C54" s="52" t="s">
        <v>313</v>
      </c>
      <c r="D54" s="232">
        <v>7.4033779999999993E-2</v>
      </c>
      <c r="E54" s="184">
        <f t="shared" ca="1" si="10"/>
        <v>3.1559399161204829E-2</v>
      </c>
      <c r="F54" s="168">
        <f t="shared" ca="1" si="11"/>
        <v>34.16463695466004</v>
      </c>
      <c r="G54" s="184">
        <f t="shared" ca="1" si="12"/>
        <v>6.2812693648061302E-2</v>
      </c>
      <c r="J54"/>
      <c r="L54" s="192" t="s">
        <v>783</v>
      </c>
      <c r="M54" s="45" t="s">
        <v>369</v>
      </c>
      <c r="N54" s="192" t="s">
        <v>246</v>
      </c>
      <c r="O54" s="192" t="s">
        <v>779</v>
      </c>
      <c r="P54" s="45" t="s">
        <v>413</v>
      </c>
      <c r="Q54" s="192" t="s">
        <v>246</v>
      </c>
      <c r="R54" s="192" t="s">
        <v>781</v>
      </c>
      <c r="T54" s="45" t="s">
        <v>413</v>
      </c>
      <c r="U54" s="192" t="s">
        <v>246</v>
      </c>
      <c r="V54" s="346"/>
      <c r="W54" s="346"/>
      <c r="AC54" s="167"/>
      <c r="AD54" t="s">
        <v>349</v>
      </c>
      <c r="AE54" t="s">
        <v>922</v>
      </c>
    </row>
    <row r="55" spans="2:31" ht="15.75" thickBot="1" x14ac:dyDescent="0.3">
      <c r="C55" s="74" t="s">
        <v>159</v>
      </c>
      <c r="D55" s="233">
        <f ca="1">SUM(D41:D54)</f>
        <v>2.3458551799999996</v>
      </c>
      <c r="E55" s="169"/>
      <c r="F55" s="185">
        <f ca="1">SUM(F41:F54)</f>
        <v>543.91294132495022</v>
      </c>
      <c r="G55" s="169">
        <f ca="1">SUM(G41:G54)</f>
        <v>1.0000000000000002</v>
      </c>
      <c r="J55"/>
      <c r="L55" s="171">
        <f ca="1">SUMIFS(Estratégia!$F:$F,Estratégia!$C:$C,N$54,Estratégia!$D:$D,#REF!,Estratégia!$E:$E,"Hedge IPCA")</f>
        <v>0</v>
      </c>
      <c r="M55" s="174" t="s">
        <v>177</v>
      </c>
      <c r="N55" s="171">
        <f t="shared" ref="N55:N62" ca="1" si="21">L55*VLOOKUP($M41,$B$19:$H$27,6,0)+N41</f>
        <v>0</v>
      </c>
      <c r="O55" s="227">
        <f t="shared" ref="O55:O62" ca="1" si="22">N55/$N$63</f>
        <v>0</v>
      </c>
      <c r="P55" s="174" t="str">
        <f t="shared" ref="P55:P62" ca="1" si="23">M55</f>
        <v>DAPMAI25</v>
      </c>
      <c r="Q55" s="171">
        <f t="shared" ref="Q55:Q62" ca="1" si="24">SUMIF($P$2:$R$37,$P55,R$2:R$37)</f>
        <v>20.515265785215888</v>
      </c>
      <c r="R55" s="227">
        <f t="shared" ref="R55:R62" ca="1" si="25">Q55/$Q$63</f>
        <v>2.6283505194882009E-3</v>
      </c>
      <c r="T55" s="52" t="str">
        <f t="shared" ref="T55:T62" ca="1" si="26">P55</f>
        <v>DAPMAI25</v>
      </c>
      <c r="U55" s="171">
        <f t="shared" ref="U55:U62" ca="1" si="27">N55+Q55</f>
        <v>20.515265785215888</v>
      </c>
      <c r="V55" s="227">
        <f t="shared" ref="V55:V61" ca="1" si="28">U55/$U$63</f>
        <v>3.0354767660430121E-3</v>
      </c>
      <c r="W55" s="227">
        <f t="shared" ref="W55:W62" ca="1" si="29">V55-E30</f>
        <v>-2.1198433825123097E-4</v>
      </c>
      <c r="AC55" s="187"/>
      <c r="AD55" t="s">
        <v>275</v>
      </c>
      <c r="AE55" t="s">
        <v>922</v>
      </c>
    </row>
    <row r="56" spans="2:31" x14ac:dyDescent="0.25">
      <c r="L56" s="171">
        <v>0</v>
      </c>
      <c r="M56" s="174" t="s">
        <v>116</v>
      </c>
      <c r="N56" s="171">
        <f t="shared" ca="1" si="21"/>
        <v>0</v>
      </c>
      <c r="O56" s="227">
        <f t="shared" ca="1" si="22"/>
        <v>0</v>
      </c>
      <c r="P56" s="174" t="str">
        <f t="shared" ca="1" si="23"/>
        <v>DAPAGO26</v>
      </c>
      <c r="Q56" s="171">
        <f t="shared" ca="1" si="24"/>
        <v>239.05072017187376</v>
      </c>
      <c r="R56" s="227">
        <f t="shared" ca="1" si="25"/>
        <v>3.0626416987517526E-2</v>
      </c>
      <c r="S56" s="5"/>
      <c r="T56" s="52" t="str">
        <f t="shared" ca="1" si="26"/>
        <v>DAPAGO26</v>
      </c>
      <c r="U56" s="171">
        <f t="shared" ca="1" si="27"/>
        <v>239.05072017187376</v>
      </c>
      <c r="V56" s="227">
        <f t="shared" ca="1" si="28"/>
        <v>3.5370387816788224E-2</v>
      </c>
      <c r="W56" s="227">
        <f t="shared" ca="1" si="29"/>
        <v>2.7136666453026828E-3</v>
      </c>
      <c r="AD56" t="s">
        <v>764</v>
      </c>
      <c r="AE56" t="s">
        <v>922</v>
      </c>
    </row>
    <row r="57" spans="2:31" x14ac:dyDescent="0.25">
      <c r="D57" s="2"/>
      <c r="E57" s="2"/>
      <c r="L57" s="171">
        <v>0</v>
      </c>
      <c r="M57" s="174" t="s">
        <v>319</v>
      </c>
      <c r="N57" s="171">
        <f t="shared" ca="1" si="21"/>
        <v>0</v>
      </c>
      <c r="O57" s="227">
        <f t="shared" ca="1" si="22"/>
        <v>0</v>
      </c>
      <c r="P57" s="174" t="str">
        <f t="shared" ca="1" si="23"/>
        <v>DAPMAI27</v>
      </c>
      <c r="Q57" s="171">
        <f t="shared" ca="1" si="24"/>
        <v>725.8144800000224</v>
      </c>
      <c r="R57" s="227">
        <f t="shared" ca="1" si="25"/>
        <v>9.2989039748872154E-2</v>
      </c>
      <c r="S57" s="5"/>
      <c r="T57" s="52" t="str">
        <f t="shared" ca="1" si="26"/>
        <v>DAPMAI27</v>
      </c>
      <c r="U57" s="171">
        <f t="shared" ca="1" si="27"/>
        <v>725.8144800000224</v>
      </c>
      <c r="V57" s="227">
        <f t="shared" ca="1" si="28"/>
        <v>0.10739285630339561</v>
      </c>
      <c r="W57" s="227">
        <f t="shared" ca="1" si="29"/>
        <v>8.5252075600647445E-2</v>
      </c>
      <c r="AD57" t="s">
        <v>498</v>
      </c>
      <c r="AE57" t="s">
        <v>922</v>
      </c>
    </row>
    <row r="58" spans="2:31" x14ac:dyDescent="0.25">
      <c r="D58" s="2"/>
      <c r="E58" s="2"/>
      <c r="L58" s="171">
        <v>0</v>
      </c>
      <c r="M58" s="174" t="s">
        <v>179</v>
      </c>
      <c r="N58" s="171">
        <f t="shared" ca="1" si="21"/>
        <v>-623.69572824949864</v>
      </c>
      <c r="O58" s="227">
        <f t="shared" ca="1" si="22"/>
        <v>0.59576737385526701</v>
      </c>
      <c r="P58" s="174" t="str">
        <f t="shared" ca="1" si="23"/>
        <v>DAPAGO28</v>
      </c>
      <c r="Q58" s="171">
        <f t="shared" ca="1" si="24"/>
        <v>1955.8860795000887</v>
      </c>
      <c r="R58" s="227">
        <f t="shared" ca="1" si="25"/>
        <v>0.25058189579091045</v>
      </c>
      <c r="S58" s="5"/>
      <c r="T58" s="52" t="str">
        <f t="shared" ca="1" si="26"/>
        <v>DAPAGO28</v>
      </c>
      <c r="U58" s="171">
        <f t="shared" ca="1" si="27"/>
        <v>1332.1903512505901</v>
      </c>
      <c r="V58" s="227">
        <f t="shared" ca="1" si="28"/>
        <v>0.1971133545870018</v>
      </c>
      <c r="W58" s="227">
        <f t="shared" ca="1" si="29"/>
        <v>0.12837645856257601</v>
      </c>
      <c r="AD58" t="s">
        <v>437</v>
      </c>
      <c r="AE58" t="s">
        <v>922</v>
      </c>
    </row>
    <row r="59" spans="2:31" x14ac:dyDescent="0.25">
      <c r="D59" s="2"/>
      <c r="E59" s="2"/>
      <c r="L59" s="171">
        <v>0</v>
      </c>
      <c r="M59" s="174" t="s">
        <v>180</v>
      </c>
      <c r="N59" s="171">
        <f t="shared" ca="1" si="21"/>
        <v>-423.18222381676605</v>
      </c>
      <c r="O59" s="227">
        <f t="shared" ca="1" si="22"/>
        <v>0.40423262614473299</v>
      </c>
      <c r="P59" s="174" t="str">
        <f t="shared" ca="1" si="23"/>
        <v>DAPAGO30</v>
      </c>
      <c r="Q59" s="171">
        <f t="shared" ca="1" si="24"/>
        <v>1523.778366782456</v>
      </c>
      <c r="R59" s="227">
        <f t="shared" ca="1" si="25"/>
        <v>0.1952216317277122</v>
      </c>
      <c r="S59" s="5"/>
      <c r="T59" s="52" t="str">
        <f t="shared" ca="1" si="26"/>
        <v>DAPAGO30</v>
      </c>
      <c r="U59" s="171">
        <f t="shared" ca="1" si="27"/>
        <v>1100.59614296569</v>
      </c>
      <c r="V59" s="227">
        <f t="shared" ca="1" si="28"/>
        <v>0.16284624609525861</v>
      </c>
      <c r="W59" s="227">
        <f t="shared" ca="1" si="29"/>
        <v>0.10576911881155569</v>
      </c>
      <c r="AD59" t="s">
        <v>5</v>
      </c>
      <c r="AE59" t="s">
        <v>922</v>
      </c>
    </row>
    <row r="60" spans="2:31" x14ac:dyDescent="0.25">
      <c r="D60" s="2"/>
      <c r="E60" s="2"/>
      <c r="L60" s="171">
        <v>0</v>
      </c>
      <c r="M60" s="174" t="s">
        <v>451</v>
      </c>
      <c r="N60" s="171">
        <f t="shared" ca="1" si="21"/>
        <v>0</v>
      </c>
      <c r="O60" s="227">
        <f t="shared" ca="1" si="22"/>
        <v>0</v>
      </c>
      <c r="P60" s="174" t="str">
        <f t="shared" ca="1" si="23"/>
        <v>DAPAGO32</v>
      </c>
      <c r="Q60" s="171">
        <f t="shared" ca="1" si="24"/>
        <v>1194.2160987306563</v>
      </c>
      <c r="R60" s="227">
        <f t="shared" ca="1" si="25"/>
        <v>0.15299916346888617</v>
      </c>
      <c r="S60" s="5"/>
      <c r="T60" s="52" t="str">
        <f t="shared" ca="1" si="26"/>
        <v>DAPAGO32</v>
      </c>
      <c r="U60" s="171">
        <f t="shared" ca="1" si="27"/>
        <v>1194.2160987306563</v>
      </c>
      <c r="V60" s="227">
        <f t="shared" ca="1" si="28"/>
        <v>0.17669842834518695</v>
      </c>
      <c r="W60" s="227">
        <f t="shared" ca="1" si="29"/>
        <v>0.11553880840659533</v>
      </c>
      <c r="AD60" t="s">
        <v>373</v>
      </c>
      <c r="AE60" t="s">
        <v>922</v>
      </c>
    </row>
    <row r="61" spans="2:31" x14ac:dyDescent="0.25">
      <c r="D61" s="2"/>
      <c r="E61" s="2"/>
      <c r="L61" s="171">
        <v>0</v>
      </c>
      <c r="M61" s="174" t="s">
        <v>183</v>
      </c>
      <c r="N61" s="171">
        <f t="shared" ca="1" si="21"/>
        <v>0</v>
      </c>
      <c r="O61" s="227">
        <f t="shared" ca="1" si="22"/>
        <v>0</v>
      </c>
      <c r="P61" s="174" t="str">
        <f t="shared" ca="1" si="23"/>
        <v>DAPMAI35</v>
      </c>
      <c r="Q61" s="171">
        <f t="shared" ca="1" si="24"/>
        <v>1139.7839627013122</v>
      </c>
      <c r="R61" s="227">
        <f t="shared" ca="1" si="25"/>
        <v>0.14602549154538233</v>
      </c>
      <c r="S61" s="5"/>
      <c r="T61" s="52" t="str">
        <f t="shared" ca="1" si="26"/>
        <v>DAPMAI35</v>
      </c>
      <c r="U61" s="171">
        <f t="shared" ca="1" si="27"/>
        <v>1139.7839627013122</v>
      </c>
      <c r="V61" s="227">
        <f t="shared" ca="1" si="28"/>
        <v>0.16864454856741501</v>
      </c>
      <c r="W61" s="227">
        <f t="shared" ca="1" si="29"/>
        <v>5.2678378576435675E-2</v>
      </c>
      <c r="AD61" t="s">
        <v>440</v>
      </c>
      <c r="AE61" t="s">
        <v>922</v>
      </c>
    </row>
    <row r="62" spans="2:31" ht="15.75" thickBot="1" x14ac:dyDescent="0.3">
      <c r="D62" s="2"/>
      <c r="E62" s="2"/>
      <c r="L62" s="176">
        <v>0</v>
      </c>
      <c r="M62" s="175" t="s">
        <v>184</v>
      </c>
      <c r="N62" s="171">
        <f t="shared" ca="1" si="21"/>
        <v>0</v>
      </c>
      <c r="O62" s="228">
        <f t="shared" ca="1" si="22"/>
        <v>0</v>
      </c>
      <c r="P62" s="174" t="str">
        <f t="shared" ca="1" si="23"/>
        <v>DAPAGO40</v>
      </c>
      <c r="Q62" s="171">
        <f t="shared" ca="1" si="24"/>
        <v>1006.3316810413357</v>
      </c>
      <c r="R62" s="228">
        <f t="shared" ca="1" si="25"/>
        <v>0.12892801021123088</v>
      </c>
      <c r="S62" s="5"/>
      <c r="T62" s="52" t="str">
        <f t="shared" ca="1" si="26"/>
        <v>DAPAGO40</v>
      </c>
      <c r="U62" s="171">
        <f t="shared" ca="1" si="27"/>
        <v>1006.3316810413357</v>
      </c>
      <c r="V62" s="227">
        <f ca="1">U62/$U$63</f>
        <v>0.14889870151891071</v>
      </c>
      <c r="W62" s="227">
        <f t="shared" ca="1" si="29"/>
        <v>-0.4901165222648618</v>
      </c>
      <c r="AD62" t="s">
        <v>228</v>
      </c>
      <c r="AE62" t="s">
        <v>922</v>
      </c>
    </row>
    <row r="63" spans="2:31" ht="15.75" thickBot="1" x14ac:dyDescent="0.3">
      <c r="D63" s="2"/>
      <c r="E63" s="2"/>
      <c r="M63" s="193" t="s">
        <v>159</v>
      </c>
      <c r="N63" s="229">
        <f ca="1">SUM(N55:N62)</f>
        <v>-1046.8779520662647</v>
      </c>
      <c r="P63" s="193" t="s">
        <v>159</v>
      </c>
      <c r="Q63" s="229">
        <f ca="1">SUM(Q55:Q62)</f>
        <v>7805.3766547129617</v>
      </c>
      <c r="R63" s="5"/>
      <c r="S63" s="5"/>
      <c r="T63" s="74" t="s">
        <v>159</v>
      </c>
      <c r="U63" s="172">
        <f ca="1">SUM(U55:U62)</f>
        <v>6758.498702646697</v>
      </c>
      <c r="V63" s="231">
        <f ca="1">SUM(V55:V62)</f>
        <v>1</v>
      </c>
      <c r="W63" s="231">
        <f ca="1">SUM(W55:W62)</f>
        <v>0</v>
      </c>
      <c r="AD63" t="s">
        <v>209</v>
      </c>
      <c r="AE63" t="s">
        <v>922</v>
      </c>
    </row>
    <row r="64" spans="2:31" x14ac:dyDescent="0.25">
      <c r="D64" s="2"/>
      <c r="E64" s="2"/>
      <c r="M64" s="188">
        <v>-1653.5116477424999</v>
      </c>
      <c r="N64" s="188">
        <f ca="1">N63-M64</f>
        <v>606.63369567623522</v>
      </c>
      <c r="S64" s="5"/>
      <c r="T64" s="2" t="s">
        <v>78</v>
      </c>
      <c r="U64" s="3">
        <f ca="1">U63/VLOOKUP(U54,'Base CDI'!$A:$D,4,0)</f>
        <v>1.1698519723750374</v>
      </c>
      <c r="V64" s="45" t="s">
        <v>222</v>
      </c>
      <c r="W64" s="230">
        <f ca="1">ABS(+N63/R38)</f>
        <v>0.13412266933129352</v>
      </c>
      <c r="AD64" t="s">
        <v>7</v>
      </c>
      <c r="AE64" t="s">
        <v>922</v>
      </c>
    </row>
    <row r="65" spans="4:31" x14ac:dyDescent="0.25">
      <c r="D65" s="2"/>
      <c r="E65" s="2"/>
      <c r="M65" s="69"/>
      <c r="N65" s="236"/>
      <c r="T65" s="34" t="s">
        <v>218</v>
      </c>
      <c r="U65" s="70">
        <f ca="1">+(U63/VLOOKUP(U54,'Base CDI'!$A:$D,3,0))</f>
        <v>5.736660453626402E-4</v>
      </c>
      <c r="AD65" t="s">
        <v>514</v>
      </c>
      <c r="AE65" t="s">
        <v>922</v>
      </c>
    </row>
    <row r="66" spans="4:31" x14ac:dyDescent="0.25">
      <c r="D66" s="2"/>
      <c r="E66" s="2"/>
      <c r="AD66" t="s">
        <v>263</v>
      </c>
      <c r="AE66" t="s">
        <v>922</v>
      </c>
    </row>
    <row r="67" spans="4:31" x14ac:dyDescent="0.25">
      <c r="D67" s="2"/>
      <c r="E67" s="2"/>
      <c r="T67" s="45" t="s">
        <v>299</v>
      </c>
      <c r="U67" s="45" t="s">
        <v>336</v>
      </c>
      <c r="V67" s="45" t="s">
        <v>983</v>
      </c>
      <c r="W67" s="45" t="s">
        <v>984</v>
      </c>
      <c r="X67" s="45" t="s">
        <v>987</v>
      </c>
      <c r="AD67" t="s">
        <v>138</v>
      </c>
      <c r="AE67" t="s">
        <v>922</v>
      </c>
    </row>
    <row r="68" spans="4:31" x14ac:dyDescent="0.25">
      <c r="D68" s="2"/>
      <c r="E68" s="2"/>
      <c r="T68" s="88" t="s">
        <v>244</v>
      </c>
      <c r="U68" s="251">
        <f ca="1">SUMIFS(Extranet!L:L,Extranet!D:D,'AF INFRA'!T68,Extranet!C:C,'AF INFRA'!$T$67)</f>
        <v>0.93500000000000005</v>
      </c>
      <c r="V68" s="252">
        <f ca="1">'Base IPCA'!S142</f>
        <v>1277.2857677296915</v>
      </c>
      <c r="W68" s="253">
        <f ca="1">V68*U68</f>
        <v>1194.2621928272617</v>
      </c>
      <c r="X68" s="226">
        <f ca="1">W68+585*U68</f>
        <v>1741.2371928272619</v>
      </c>
      <c r="AD68" t="s">
        <v>326</v>
      </c>
      <c r="AE68" t="s">
        <v>922</v>
      </c>
    </row>
    <row r="69" spans="4:31" x14ac:dyDescent="0.25">
      <c r="D69" s="2"/>
      <c r="E69" s="2"/>
      <c r="T69" s="88" t="s">
        <v>940</v>
      </c>
      <c r="U69" s="251">
        <f ca="1">SUMIFS(Extranet!L:L,Extranet!D:D,'AF INFRA'!T69,Extranet!C:C,'AF INFRA'!$T$67)</f>
        <v>5.3400000000000003E-2</v>
      </c>
      <c r="V69" s="252">
        <f ca="1">U50</f>
        <v>6758.498702646697</v>
      </c>
      <c r="W69" s="253">
        <f ca="1">V69*U69</f>
        <v>360.90383072133363</v>
      </c>
      <c r="X69" s="226">
        <f ca="1">U69*U63</f>
        <v>360.90383072133363</v>
      </c>
      <c r="AD69" t="s">
        <v>331</v>
      </c>
      <c r="AE69" t="s">
        <v>922</v>
      </c>
    </row>
    <row r="70" spans="4:31" x14ac:dyDescent="0.25">
      <c r="D70" s="2"/>
      <c r="E70" s="2"/>
      <c r="T70" s="250" t="s">
        <v>159</v>
      </c>
      <c r="U70" s="254">
        <f ca="1">SUM(U68:U69)</f>
        <v>0.98840000000000006</v>
      </c>
      <c r="V70" s="250">
        <f ca="1">SUM(V68:V69)</f>
        <v>8035.7844703763885</v>
      </c>
      <c r="W70" s="255">
        <f ca="1">SUM(W68:W69)</f>
        <v>1555.1660235485954</v>
      </c>
      <c r="X70" s="255">
        <f ca="1">SUM(X68:X69)</f>
        <v>2102.1410235485955</v>
      </c>
      <c r="AD70" t="s">
        <v>155</v>
      </c>
      <c r="AE70" t="s">
        <v>922</v>
      </c>
    </row>
    <row r="71" spans="4:31" x14ac:dyDescent="0.25">
      <c r="D71" s="2"/>
      <c r="E71" s="2"/>
      <c r="V71" s="88" t="s">
        <v>985</v>
      </c>
      <c r="W71" s="256">
        <f ca="1">W70/VLOOKUP($T$67,'Base CDI'!$A:$D,4,0)</f>
        <v>1.4621019907723262E-2</v>
      </c>
      <c r="X71" s="256">
        <f ca="1">X70/VLOOKUP($T$67,'Base CDI'!$A:$D,4,0)</f>
        <v>1.9763449875282949E-2</v>
      </c>
      <c r="AD71" t="s">
        <v>288</v>
      </c>
      <c r="AE71" t="s">
        <v>922</v>
      </c>
    </row>
    <row r="72" spans="4:31" x14ac:dyDescent="0.25">
      <c r="D72" s="2"/>
      <c r="E72" s="2"/>
      <c r="V72" s="250" t="s">
        <v>986</v>
      </c>
      <c r="W72" s="256">
        <f ca="1">-W71*20</f>
        <v>-0.29242039815446524</v>
      </c>
      <c r="X72" s="256">
        <f ca="1">-X71*20</f>
        <v>-0.39526899750565897</v>
      </c>
      <c r="AD72" t="s">
        <v>210</v>
      </c>
      <c r="AE72" t="s">
        <v>922</v>
      </c>
    </row>
    <row r="73" spans="4:31" x14ac:dyDescent="0.25">
      <c r="D73" s="2"/>
      <c r="E73" s="2"/>
      <c r="AD73" t="s">
        <v>12</v>
      </c>
      <c r="AE73" t="s">
        <v>922</v>
      </c>
    </row>
    <row r="74" spans="4:31" x14ac:dyDescent="0.25">
      <c r="D74" s="2"/>
      <c r="E74" s="2"/>
      <c r="AD74" t="s">
        <v>3</v>
      </c>
      <c r="AE74" t="s">
        <v>922</v>
      </c>
    </row>
    <row r="75" spans="4:31" x14ac:dyDescent="0.25">
      <c r="D75" s="2"/>
      <c r="E75" s="2"/>
      <c r="AD75" t="s">
        <v>265</v>
      </c>
      <c r="AE75" t="s">
        <v>922</v>
      </c>
    </row>
    <row r="76" spans="4:31" x14ac:dyDescent="0.25">
      <c r="D76" s="2"/>
      <c r="E76" s="2"/>
      <c r="AD76" t="s">
        <v>310</v>
      </c>
      <c r="AE76" t="s">
        <v>922</v>
      </c>
    </row>
    <row r="77" spans="4:31" x14ac:dyDescent="0.25">
      <c r="D77" s="2"/>
      <c r="E77" s="2"/>
      <c r="AD77" t="s">
        <v>266</v>
      </c>
      <c r="AE77" t="s">
        <v>922</v>
      </c>
    </row>
    <row r="78" spans="4:31" x14ac:dyDescent="0.25">
      <c r="D78" s="2"/>
      <c r="E78" s="2"/>
      <c r="AD78" t="s">
        <v>469</v>
      </c>
      <c r="AE78" t="s">
        <v>922</v>
      </c>
    </row>
    <row r="79" spans="4:31" x14ac:dyDescent="0.25">
      <c r="D79" s="2"/>
      <c r="E79" s="2"/>
      <c r="AD79" t="s">
        <v>268</v>
      </c>
      <c r="AE79" t="s">
        <v>922</v>
      </c>
    </row>
    <row r="80" spans="4:31" x14ac:dyDescent="0.25">
      <c r="D80" s="2"/>
      <c r="E80" s="2"/>
      <c r="AD80" t="s">
        <v>746</v>
      </c>
      <c r="AE80" t="s">
        <v>922</v>
      </c>
    </row>
    <row r="81" spans="4:31" x14ac:dyDescent="0.25">
      <c r="D81" s="2"/>
      <c r="E81" s="2"/>
      <c r="AD81" t="s">
        <v>426</v>
      </c>
      <c r="AE81" t="s">
        <v>922</v>
      </c>
    </row>
    <row r="82" spans="4:31" x14ac:dyDescent="0.25">
      <c r="AD82" t="s">
        <v>837</v>
      </c>
      <c r="AE82" t="s">
        <v>922</v>
      </c>
    </row>
    <row r="83" spans="4:31" x14ac:dyDescent="0.25">
      <c r="N83" s="5"/>
      <c r="AD83" t="s">
        <v>748</v>
      </c>
      <c r="AE83" t="s">
        <v>922</v>
      </c>
    </row>
    <row r="84" spans="4:31" x14ac:dyDescent="0.25">
      <c r="N84" s="5"/>
      <c r="AD84" t="s">
        <v>15</v>
      </c>
      <c r="AE84" t="s">
        <v>922</v>
      </c>
    </row>
    <row r="85" spans="4:31" x14ac:dyDescent="0.25">
      <c r="N85" s="5"/>
      <c r="AD85" t="s">
        <v>242</v>
      </c>
      <c r="AE85" t="s">
        <v>922</v>
      </c>
    </row>
    <row r="86" spans="4:31" x14ac:dyDescent="0.25">
      <c r="N86" s="5"/>
      <c r="AD86" t="s">
        <v>97</v>
      </c>
      <c r="AE86" t="s">
        <v>922</v>
      </c>
    </row>
    <row r="87" spans="4:31" x14ac:dyDescent="0.25">
      <c r="K87"/>
      <c r="AD87" t="s">
        <v>822</v>
      </c>
      <c r="AE87" t="s">
        <v>922</v>
      </c>
    </row>
    <row r="88" spans="4:31" x14ac:dyDescent="0.25">
      <c r="K88"/>
      <c r="AD88" t="s">
        <v>751</v>
      </c>
      <c r="AE88" t="s">
        <v>922</v>
      </c>
    </row>
    <row r="89" spans="4:31" x14ac:dyDescent="0.25">
      <c r="K89"/>
      <c r="AD89" t="s">
        <v>96</v>
      </c>
      <c r="AE89" t="s">
        <v>922</v>
      </c>
    </row>
    <row r="90" spans="4:31" x14ac:dyDescent="0.25">
      <c r="K90"/>
      <c r="AD90" t="s">
        <v>212</v>
      </c>
      <c r="AE90" t="s">
        <v>922</v>
      </c>
    </row>
    <row r="91" spans="4:31" x14ac:dyDescent="0.25">
      <c r="K91"/>
      <c r="AD91" t="s">
        <v>328</v>
      </c>
      <c r="AE91" t="s">
        <v>922</v>
      </c>
    </row>
    <row r="92" spans="4:31" x14ac:dyDescent="0.25">
      <c r="AD92" t="s">
        <v>16</v>
      </c>
      <c r="AE92" t="s">
        <v>922</v>
      </c>
    </row>
    <row r="93" spans="4:31" x14ac:dyDescent="0.25">
      <c r="AD93" t="s">
        <v>240</v>
      </c>
      <c r="AE93" t="s">
        <v>922</v>
      </c>
    </row>
    <row r="94" spans="4:31" x14ac:dyDescent="0.25">
      <c r="AD94" t="s">
        <v>864</v>
      </c>
      <c r="AE94" t="s">
        <v>922</v>
      </c>
    </row>
    <row r="95" spans="4:31" x14ac:dyDescent="0.25">
      <c r="AD95" t="s">
        <v>826</v>
      </c>
      <c r="AE95" t="s">
        <v>922</v>
      </c>
    </row>
    <row r="96" spans="4:31" x14ac:dyDescent="0.25">
      <c r="AD96" t="s">
        <v>470</v>
      </c>
      <c r="AE96" t="s">
        <v>922</v>
      </c>
    </row>
    <row r="97" spans="13:31" x14ac:dyDescent="0.25">
      <c r="AD97" t="s">
        <v>477</v>
      </c>
      <c r="AE97" t="s">
        <v>922</v>
      </c>
    </row>
    <row r="98" spans="13:31" x14ac:dyDescent="0.25">
      <c r="AD98" t="s">
        <v>330</v>
      </c>
      <c r="AE98" t="s">
        <v>922</v>
      </c>
    </row>
    <row r="99" spans="13:31" x14ac:dyDescent="0.25">
      <c r="AD99" t="s">
        <v>509</v>
      </c>
      <c r="AE99" t="s">
        <v>922</v>
      </c>
    </row>
    <row r="100" spans="13:31" x14ac:dyDescent="0.25">
      <c r="AD100" t="s">
        <v>471</v>
      </c>
      <c r="AE100" t="s">
        <v>922</v>
      </c>
    </row>
    <row r="101" spans="13:31" x14ac:dyDescent="0.25">
      <c r="M101" s="2"/>
      <c r="N101" s="2"/>
      <c r="AD101" t="s">
        <v>478</v>
      </c>
      <c r="AE101" t="s">
        <v>922</v>
      </c>
    </row>
    <row r="102" spans="13:31" x14ac:dyDescent="0.25">
      <c r="AD102" t="s">
        <v>395</v>
      </c>
      <c r="AE102" t="s">
        <v>922</v>
      </c>
    </row>
    <row r="103" spans="13:31" x14ac:dyDescent="0.25">
      <c r="AD103" t="s">
        <v>472</v>
      </c>
      <c r="AE103" t="s">
        <v>922</v>
      </c>
    </row>
    <row r="104" spans="13:31" x14ac:dyDescent="0.25">
      <c r="AD104" t="s">
        <v>39</v>
      </c>
      <c r="AE104" t="s">
        <v>922</v>
      </c>
    </row>
    <row r="105" spans="13:31" x14ac:dyDescent="0.25">
      <c r="P105" s="167"/>
      <c r="AD105" t="s">
        <v>332</v>
      </c>
      <c r="AE105" t="s">
        <v>922</v>
      </c>
    </row>
    <row r="106" spans="13:31" x14ac:dyDescent="0.25">
      <c r="P106" s="167"/>
      <c r="AD106" t="s">
        <v>750</v>
      </c>
      <c r="AE106" t="s">
        <v>922</v>
      </c>
    </row>
    <row r="107" spans="13:31" x14ac:dyDescent="0.25">
      <c r="P107" s="167"/>
      <c r="AD107" t="s">
        <v>749</v>
      </c>
      <c r="AE107" t="s">
        <v>922</v>
      </c>
    </row>
    <row r="108" spans="13:31" x14ac:dyDescent="0.25">
      <c r="P108" s="167"/>
      <c r="AD108" t="s">
        <v>347</v>
      </c>
      <c r="AE108" t="s">
        <v>922</v>
      </c>
    </row>
    <row r="109" spans="13:31" x14ac:dyDescent="0.25">
      <c r="P109" s="167"/>
      <c r="AD109" t="s">
        <v>892</v>
      </c>
      <c r="AE109" t="s">
        <v>922</v>
      </c>
    </row>
    <row r="110" spans="13:31" x14ac:dyDescent="0.25">
      <c r="P110" s="167"/>
      <c r="AD110" t="s">
        <v>98</v>
      </c>
      <c r="AE110" t="s">
        <v>922</v>
      </c>
    </row>
    <row r="111" spans="13:31" x14ac:dyDescent="0.25">
      <c r="P111" s="167"/>
      <c r="AD111" t="s">
        <v>269</v>
      </c>
      <c r="AE111" t="s">
        <v>922</v>
      </c>
    </row>
    <row r="112" spans="13:31" x14ac:dyDescent="0.25">
      <c r="P112" s="167"/>
      <c r="AD112" t="s">
        <v>387</v>
      </c>
      <c r="AE112" t="s">
        <v>922</v>
      </c>
    </row>
    <row r="113" spans="16:31" x14ac:dyDescent="0.25">
      <c r="P113" s="167"/>
      <c r="AD113" t="s">
        <v>9</v>
      </c>
      <c r="AE113" t="s">
        <v>922</v>
      </c>
    </row>
    <row r="114" spans="16:31" x14ac:dyDescent="0.25">
      <c r="P114" s="167"/>
      <c r="AD114" t="s">
        <v>4</v>
      </c>
      <c r="AE114" t="s">
        <v>922</v>
      </c>
    </row>
    <row r="115" spans="16:31" x14ac:dyDescent="0.25">
      <c r="AD115" t="s">
        <v>216</v>
      </c>
      <c r="AE115" t="s">
        <v>922</v>
      </c>
    </row>
    <row r="116" spans="16:31" x14ac:dyDescent="0.25">
      <c r="AD116" s="239" t="s">
        <v>239</v>
      </c>
      <c r="AE116" s="239" t="s">
        <v>922</v>
      </c>
    </row>
    <row r="117" spans="16:31" x14ac:dyDescent="0.25">
      <c r="AD117" s="239" t="s">
        <v>911</v>
      </c>
      <c r="AE117" s="239" t="s">
        <v>922</v>
      </c>
    </row>
    <row r="118" spans="16:31" x14ac:dyDescent="0.25">
      <c r="AD118" s="239" t="s">
        <v>923</v>
      </c>
      <c r="AE118" s="239" t="s">
        <v>922</v>
      </c>
    </row>
    <row r="119" spans="16:31" x14ac:dyDescent="0.25">
      <c r="AD119" s="239" t="s">
        <v>307</v>
      </c>
      <c r="AE119" s="239" t="s">
        <v>922</v>
      </c>
    </row>
    <row r="120" spans="16:31" x14ac:dyDescent="0.25">
      <c r="AD120" s="239" t="s">
        <v>296</v>
      </c>
      <c r="AE120" s="239" t="s">
        <v>922</v>
      </c>
    </row>
    <row r="121" spans="16:31" x14ac:dyDescent="0.25">
      <c r="AD121" s="239" t="s">
        <v>406</v>
      </c>
      <c r="AE121" s="239" t="s">
        <v>922</v>
      </c>
    </row>
    <row r="122" spans="16:31" x14ac:dyDescent="0.25">
      <c r="AD122" s="239" t="s">
        <v>419</v>
      </c>
      <c r="AE122" s="239" t="s">
        <v>922</v>
      </c>
    </row>
    <row r="123" spans="16:31" x14ac:dyDescent="0.25">
      <c r="AD123" t="s">
        <v>879</v>
      </c>
      <c r="AE123" t="s">
        <v>922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V1393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x14ac:dyDescent="0.25">
      <c r="A1" s="305" t="s">
        <v>499</v>
      </c>
      <c r="B1" s="306" t="s">
        <v>32</v>
      </c>
      <c r="C1" s="306" t="s">
        <v>407</v>
      </c>
      <c r="D1" s="306" t="s">
        <v>334</v>
      </c>
      <c r="E1" s="306" t="s">
        <v>388</v>
      </c>
      <c r="F1" s="307" t="s">
        <v>525</v>
      </c>
      <c r="G1" s="307" t="s">
        <v>21</v>
      </c>
      <c r="H1" s="307" t="s">
        <v>389</v>
      </c>
      <c r="I1" s="307" t="s">
        <v>390</v>
      </c>
      <c r="J1" s="307" t="s">
        <v>335</v>
      </c>
      <c r="K1" s="307" t="s">
        <v>391</v>
      </c>
      <c r="L1" s="306" t="s">
        <v>336</v>
      </c>
    </row>
    <row r="2" spans="1:12" ht="15.75" thickBot="1" x14ac:dyDescent="0.3">
      <c r="A2" s="316" t="s">
        <v>103</v>
      </c>
      <c r="B2" s="309" t="s">
        <v>103</v>
      </c>
      <c r="C2" s="309" t="s">
        <v>103</v>
      </c>
      <c r="D2" s="309" t="s">
        <v>103</v>
      </c>
      <c r="E2" s="309" t="s">
        <v>103</v>
      </c>
      <c r="F2" s="310" t="s">
        <v>103</v>
      </c>
      <c r="G2" s="310" t="s">
        <v>103</v>
      </c>
      <c r="H2" s="324">
        <v>42701354</v>
      </c>
      <c r="I2" s="310" t="s">
        <v>103</v>
      </c>
      <c r="J2" s="325">
        <v>232762485.41</v>
      </c>
      <c r="K2" s="325">
        <v>-1777140.06</v>
      </c>
      <c r="L2" s="327">
        <v>1</v>
      </c>
    </row>
    <row r="3" spans="1:12" ht="15.75" thickBot="1" x14ac:dyDescent="0.3">
      <c r="A3" s="330" t="s">
        <v>103</v>
      </c>
      <c r="B3" s="331" t="s">
        <v>103</v>
      </c>
      <c r="C3" s="331" t="s">
        <v>103</v>
      </c>
      <c r="D3" s="331" t="s">
        <v>103</v>
      </c>
      <c r="E3" s="331" t="s">
        <v>103</v>
      </c>
      <c r="F3" s="332" t="s">
        <v>103</v>
      </c>
      <c r="G3" s="332" t="s">
        <v>103</v>
      </c>
      <c r="H3" s="334">
        <v>730737</v>
      </c>
      <c r="I3" s="332" t="s">
        <v>103</v>
      </c>
      <c r="J3" s="337">
        <v>71338095.739999995</v>
      </c>
      <c r="K3" s="337">
        <v>0</v>
      </c>
      <c r="L3" s="338">
        <v>1</v>
      </c>
    </row>
    <row r="4" spans="1:12" ht="15.75" thickBot="1" x14ac:dyDescent="0.3">
      <c r="A4" s="291" t="s">
        <v>99</v>
      </c>
      <c r="B4" s="286" t="s">
        <v>140</v>
      </c>
      <c r="C4" s="286" t="s">
        <v>246</v>
      </c>
      <c r="D4" s="138" t="s">
        <v>294</v>
      </c>
      <c r="E4" s="286" t="s">
        <v>1351</v>
      </c>
      <c r="F4" s="287">
        <v>55015</v>
      </c>
      <c r="G4" s="288" t="s">
        <v>103</v>
      </c>
      <c r="H4" s="288">
        <v>235</v>
      </c>
      <c r="I4" s="289">
        <v>3757.29</v>
      </c>
      <c r="J4" s="289">
        <v>882962.45</v>
      </c>
      <c r="K4" s="288" t="s">
        <v>103</v>
      </c>
      <c r="L4" s="292">
        <v>7.3499999999999996E-2</v>
      </c>
    </row>
    <row r="5" spans="1:12" ht="15.75" thickBot="1" x14ac:dyDescent="0.3">
      <c r="A5" s="291" t="s">
        <v>99</v>
      </c>
      <c r="B5" s="286" t="s">
        <v>140</v>
      </c>
      <c r="C5" s="286" t="s">
        <v>246</v>
      </c>
      <c r="D5" s="138" t="s">
        <v>247</v>
      </c>
      <c r="E5" s="286" t="s">
        <v>526</v>
      </c>
      <c r="F5" s="287">
        <v>46813</v>
      </c>
      <c r="G5" s="288" t="s">
        <v>103</v>
      </c>
      <c r="H5" s="288">
        <v>8</v>
      </c>
      <c r="I5" s="289">
        <v>16088.7</v>
      </c>
      <c r="J5" s="289">
        <v>128709.58</v>
      </c>
      <c r="K5" s="288" t="s">
        <v>103</v>
      </c>
      <c r="L5" s="292">
        <v>1.0699999999999999E-2</v>
      </c>
    </row>
    <row r="6" spans="1:12" ht="15.75" thickBot="1" x14ac:dyDescent="0.3">
      <c r="A6" s="291" t="s">
        <v>99</v>
      </c>
      <c r="B6" s="286" t="s">
        <v>140</v>
      </c>
      <c r="C6" s="286" t="s">
        <v>246</v>
      </c>
      <c r="D6" s="138" t="s">
        <v>274</v>
      </c>
      <c r="E6" s="286" t="s">
        <v>527</v>
      </c>
      <c r="F6" s="287">
        <v>45901</v>
      </c>
      <c r="G6" s="288" t="s">
        <v>103</v>
      </c>
      <c r="H6" s="288">
        <v>2</v>
      </c>
      <c r="I6" s="289">
        <v>16115.26</v>
      </c>
      <c r="J6" s="289">
        <v>32230.51</v>
      </c>
      <c r="K6" s="288" t="s">
        <v>103</v>
      </c>
      <c r="L6" s="292">
        <v>2.7000000000000001E-3</v>
      </c>
    </row>
    <row r="7" spans="1:12" ht="15.75" thickBot="1" x14ac:dyDescent="0.3">
      <c r="A7" s="291" t="s">
        <v>99</v>
      </c>
      <c r="B7" s="286" t="s">
        <v>140</v>
      </c>
      <c r="C7" s="286" t="s">
        <v>246</v>
      </c>
      <c r="D7" s="138" t="s">
        <v>283</v>
      </c>
      <c r="E7" s="286" t="s">
        <v>527</v>
      </c>
      <c r="F7" s="287">
        <v>46447</v>
      </c>
      <c r="G7" s="288" t="s">
        <v>103</v>
      </c>
      <c r="H7" s="288">
        <v>2</v>
      </c>
      <c r="I7" s="289">
        <v>16101.54</v>
      </c>
      <c r="J7" s="289">
        <v>32203.08</v>
      </c>
      <c r="K7" s="288" t="s">
        <v>103</v>
      </c>
      <c r="L7" s="292">
        <v>2.7000000000000001E-3</v>
      </c>
    </row>
    <row r="8" spans="1:12" ht="15.75" thickBot="1" x14ac:dyDescent="0.3">
      <c r="A8" s="291" t="s">
        <v>105</v>
      </c>
      <c r="B8" s="286" t="s">
        <v>103</v>
      </c>
      <c r="C8" s="286" t="s">
        <v>246</v>
      </c>
      <c r="D8" s="138" t="s">
        <v>105</v>
      </c>
      <c r="E8" s="286" t="s">
        <v>165</v>
      </c>
      <c r="F8" s="288" t="s">
        <v>103</v>
      </c>
      <c r="G8" s="288" t="s">
        <v>103</v>
      </c>
      <c r="H8" s="288" t="s">
        <v>103</v>
      </c>
      <c r="I8" s="288" t="s">
        <v>103</v>
      </c>
      <c r="J8" s="289">
        <v>-622114.14</v>
      </c>
      <c r="K8" s="288" t="s">
        <v>103</v>
      </c>
      <c r="L8" s="292">
        <v>-5.1799999999999999E-2</v>
      </c>
    </row>
    <row r="9" spans="1:12" ht="15.75" thickBot="1" x14ac:dyDescent="0.3">
      <c r="A9" s="291" t="s">
        <v>113</v>
      </c>
      <c r="B9" s="286" t="s">
        <v>114</v>
      </c>
      <c r="C9" s="286" t="s">
        <v>246</v>
      </c>
      <c r="D9" s="138" t="s">
        <v>183</v>
      </c>
      <c r="E9" s="286" t="s">
        <v>565</v>
      </c>
      <c r="F9" s="287">
        <v>49444</v>
      </c>
      <c r="G9" s="288" t="s">
        <v>103</v>
      </c>
      <c r="H9" s="288">
        <v>6</v>
      </c>
      <c r="I9" s="289">
        <v>85075.46</v>
      </c>
      <c r="J9" s="289">
        <v>1237.8</v>
      </c>
      <c r="K9" s="289">
        <v>510452.79</v>
      </c>
      <c r="L9" s="292">
        <v>4.2500000000000003E-2</v>
      </c>
    </row>
    <row r="10" spans="1:12" ht="15.75" thickBot="1" x14ac:dyDescent="0.3">
      <c r="A10" s="291" t="s">
        <v>113</v>
      </c>
      <c r="B10" s="286" t="s">
        <v>114</v>
      </c>
      <c r="C10" s="286" t="s">
        <v>246</v>
      </c>
      <c r="D10" s="138" t="s">
        <v>451</v>
      </c>
      <c r="E10" s="286" t="s">
        <v>816</v>
      </c>
      <c r="F10" s="287">
        <v>48442</v>
      </c>
      <c r="G10" s="288" t="s">
        <v>103</v>
      </c>
      <c r="H10" s="288">
        <v>3</v>
      </c>
      <c r="I10" s="289">
        <v>103332.51</v>
      </c>
      <c r="J10" s="289">
        <v>1022.37</v>
      </c>
      <c r="K10" s="289">
        <v>309997.53999999998</v>
      </c>
      <c r="L10" s="292">
        <v>2.58E-2</v>
      </c>
    </row>
    <row r="11" spans="1:12" ht="15.75" thickBot="1" x14ac:dyDescent="0.3">
      <c r="A11" s="291" t="s">
        <v>113</v>
      </c>
      <c r="B11" s="286" t="s">
        <v>114</v>
      </c>
      <c r="C11" s="286" t="s">
        <v>246</v>
      </c>
      <c r="D11" s="138" t="s">
        <v>319</v>
      </c>
      <c r="E11" s="286" t="s">
        <v>165</v>
      </c>
      <c r="F11" s="287">
        <v>46524</v>
      </c>
      <c r="G11" s="288" t="s">
        <v>103</v>
      </c>
      <c r="H11" s="288">
        <v>0</v>
      </c>
      <c r="I11" s="289">
        <v>152622.47</v>
      </c>
      <c r="J11" s="289">
        <v>0</v>
      </c>
      <c r="K11" s="289">
        <v>0</v>
      </c>
      <c r="L11" s="292">
        <v>0</v>
      </c>
    </row>
    <row r="12" spans="1:12" ht="15.75" thickBot="1" x14ac:dyDescent="0.3">
      <c r="A12" s="291" t="s">
        <v>113</v>
      </c>
      <c r="B12" s="286" t="s">
        <v>114</v>
      </c>
      <c r="C12" s="286" t="s">
        <v>246</v>
      </c>
      <c r="D12" s="138" t="s">
        <v>116</v>
      </c>
      <c r="E12" s="286" t="s">
        <v>565</v>
      </c>
      <c r="F12" s="287">
        <v>46251</v>
      </c>
      <c r="G12" s="288" t="s">
        <v>103</v>
      </c>
      <c r="H12" s="288">
        <v>6</v>
      </c>
      <c r="I12" s="289">
        <v>160200.82999999999</v>
      </c>
      <c r="J12" s="289">
        <v>-722.28</v>
      </c>
      <c r="K12" s="289">
        <v>961205.01</v>
      </c>
      <c r="L12" s="292">
        <v>8.0100000000000005E-2</v>
      </c>
    </row>
    <row r="13" spans="1:12" ht="15.75" thickBot="1" x14ac:dyDescent="0.3">
      <c r="A13" s="291" t="s">
        <v>113</v>
      </c>
      <c r="B13" s="286" t="s">
        <v>114</v>
      </c>
      <c r="C13" s="286" t="s">
        <v>246</v>
      </c>
      <c r="D13" s="138" t="s">
        <v>179</v>
      </c>
      <c r="E13" s="286" t="s">
        <v>867</v>
      </c>
      <c r="F13" s="287">
        <v>46980</v>
      </c>
      <c r="G13" s="288" t="s">
        <v>103</v>
      </c>
      <c r="H13" s="288">
        <v>-14</v>
      </c>
      <c r="I13" s="289">
        <v>139301.9</v>
      </c>
      <c r="J13" s="289">
        <v>-732.76</v>
      </c>
      <c r="K13" s="289">
        <v>-1950226.6</v>
      </c>
      <c r="L13" s="292">
        <v>-0.16250000000000001</v>
      </c>
    </row>
    <row r="14" spans="1:12" ht="15.75" thickBot="1" x14ac:dyDescent="0.3">
      <c r="A14" s="291" t="s">
        <v>113</v>
      </c>
      <c r="B14" s="286" t="s">
        <v>114</v>
      </c>
      <c r="C14" s="286" t="s">
        <v>246</v>
      </c>
      <c r="D14" s="138" t="s">
        <v>177</v>
      </c>
      <c r="E14" s="286" t="s">
        <v>565</v>
      </c>
      <c r="F14" s="287">
        <v>45792</v>
      </c>
      <c r="G14" s="288" t="s">
        <v>103</v>
      </c>
      <c r="H14" s="288">
        <v>6</v>
      </c>
      <c r="I14" s="289">
        <v>177502.21</v>
      </c>
      <c r="J14" s="289">
        <v>-1152.06</v>
      </c>
      <c r="K14" s="289">
        <v>1065013.24</v>
      </c>
      <c r="L14" s="292">
        <v>8.8700000000000001E-2</v>
      </c>
    </row>
    <row r="15" spans="1:12" ht="15.75" thickBot="1" x14ac:dyDescent="0.3">
      <c r="A15" s="291" t="s">
        <v>113</v>
      </c>
      <c r="B15" s="286" t="s">
        <v>114</v>
      </c>
      <c r="C15" s="286" t="s">
        <v>246</v>
      </c>
      <c r="D15" s="138" t="s">
        <v>180</v>
      </c>
      <c r="E15" s="286" t="s">
        <v>564</v>
      </c>
      <c r="F15" s="287">
        <v>47710</v>
      </c>
      <c r="G15" s="288" t="s">
        <v>103</v>
      </c>
      <c r="H15" s="288">
        <v>-7</v>
      </c>
      <c r="I15" s="289">
        <v>120219.86</v>
      </c>
      <c r="J15" s="289">
        <v>-1514.94</v>
      </c>
      <c r="K15" s="289">
        <v>-841539.03</v>
      </c>
      <c r="L15" s="292">
        <v>-7.0099999999999996E-2</v>
      </c>
    </row>
    <row r="16" spans="1:12" ht="15.75" thickBot="1" x14ac:dyDescent="0.3">
      <c r="A16" s="291" t="s">
        <v>127</v>
      </c>
      <c r="B16" s="286" t="s">
        <v>927</v>
      </c>
      <c r="C16" s="286" t="s">
        <v>246</v>
      </c>
      <c r="D16" s="138" t="s">
        <v>919</v>
      </c>
      <c r="E16" s="286" t="s">
        <v>928</v>
      </c>
      <c r="F16" s="287">
        <v>47922</v>
      </c>
      <c r="G16" s="288" t="s">
        <v>1489</v>
      </c>
      <c r="H16" s="288">
        <v>230</v>
      </c>
      <c r="I16" s="289">
        <v>1038.04</v>
      </c>
      <c r="J16" s="289">
        <v>238748.11</v>
      </c>
      <c r="K16" s="288" t="s">
        <v>103</v>
      </c>
      <c r="L16" s="292">
        <v>1.9900000000000001E-2</v>
      </c>
    </row>
    <row r="17" spans="1:12" ht="15.75" thickBot="1" x14ac:dyDescent="0.3">
      <c r="A17" s="291" t="s">
        <v>127</v>
      </c>
      <c r="B17" s="286" t="s">
        <v>204</v>
      </c>
      <c r="C17" s="286" t="s">
        <v>246</v>
      </c>
      <c r="D17" s="138" t="s">
        <v>205</v>
      </c>
      <c r="E17" s="286" t="s">
        <v>609</v>
      </c>
      <c r="F17" s="287">
        <v>48014</v>
      </c>
      <c r="G17" s="288" t="s">
        <v>1492</v>
      </c>
      <c r="H17" s="288">
        <v>215</v>
      </c>
      <c r="I17" s="289">
        <v>1025.76</v>
      </c>
      <c r="J17" s="289">
        <v>220538.8</v>
      </c>
      <c r="K17" s="288" t="s">
        <v>103</v>
      </c>
      <c r="L17" s="292">
        <v>1.84E-2</v>
      </c>
    </row>
    <row r="18" spans="1:12" ht="15.75" thickBot="1" x14ac:dyDescent="0.3">
      <c r="A18" s="291" t="s">
        <v>127</v>
      </c>
      <c r="B18" s="286" t="s">
        <v>392</v>
      </c>
      <c r="C18" s="286" t="s">
        <v>246</v>
      </c>
      <c r="D18" s="138" t="s">
        <v>393</v>
      </c>
      <c r="E18" s="286" t="s">
        <v>854</v>
      </c>
      <c r="F18" s="287">
        <v>48482</v>
      </c>
      <c r="G18" s="288" t="s">
        <v>103</v>
      </c>
      <c r="H18" s="288">
        <v>370</v>
      </c>
      <c r="I18" s="289">
        <v>1213.7</v>
      </c>
      <c r="J18" s="289">
        <v>449067.34</v>
      </c>
      <c r="K18" s="288" t="s">
        <v>103</v>
      </c>
      <c r="L18" s="292">
        <v>3.7400000000000003E-2</v>
      </c>
    </row>
    <row r="19" spans="1:12" ht="15.75" thickBot="1" x14ac:dyDescent="0.3">
      <c r="A19" s="291" t="s">
        <v>127</v>
      </c>
      <c r="B19" s="286" t="s">
        <v>295</v>
      </c>
      <c r="C19" s="286" t="s">
        <v>246</v>
      </c>
      <c r="D19" s="138" t="s">
        <v>264</v>
      </c>
      <c r="E19" s="286" t="s">
        <v>628</v>
      </c>
      <c r="F19" s="287">
        <v>48106</v>
      </c>
      <c r="G19" s="288" t="s">
        <v>1500</v>
      </c>
      <c r="H19" s="288">
        <v>174</v>
      </c>
      <c r="I19" s="289">
        <v>1146.1400000000001</v>
      </c>
      <c r="J19" s="289">
        <v>199428.12</v>
      </c>
      <c r="K19" s="288" t="s">
        <v>103</v>
      </c>
      <c r="L19" s="292">
        <v>1.66E-2</v>
      </c>
    </row>
    <row r="20" spans="1:12" ht="15.75" thickBot="1" x14ac:dyDescent="0.3">
      <c r="A20" s="291" t="s">
        <v>127</v>
      </c>
      <c r="B20" s="286" t="s">
        <v>343</v>
      </c>
      <c r="C20" s="286" t="s">
        <v>246</v>
      </c>
      <c r="D20" s="138" t="s">
        <v>282</v>
      </c>
      <c r="E20" s="286" t="s">
        <v>641</v>
      </c>
      <c r="F20" s="287">
        <v>48867</v>
      </c>
      <c r="G20" s="288" t="s">
        <v>1505</v>
      </c>
      <c r="H20" s="288">
        <v>720</v>
      </c>
      <c r="I20" s="289">
        <v>1076.6500000000001</v>
      </c>
      <c r="J20" s="289">
        <v>775186.69</v>
      </c>
      <c r="K20" s="288" t="s">
        <v>103</v>
      </c>
      <c r="L20" s="292">
        <v>6.4600000000000005E-2</v>
      </c>
    </row>
    <row r="21" spans="1:12" ht="15.75" thickBot="1" x14ac:dyDescent="0.3">
      <c r="A21" s="291" t="s">
        <v>127</v>
      </c>
      <c r="B21" s="286" t="s">
        <v>505</v>
      </c>
      <c r="C21" s="286" t="s">
        <v>246</v>
      </c>
      <c r="D21" s="138" t="s">
        <v>411</v>
      </c>
      <c r="E21" s="286" t="s">
        <v>650</v>
      </c>
      <c r="F21" s="287">
        <v>48441</v>
      </c>
      <c r="G21" s="288" t="s">
        <v>1509</v>
      </c>
      <c r="H21" s="288">
        <v>510</v>
      </c>
      <c r="I21" s="289">
        <v>1103.71</v>
      </c>
      <c r="J21" s="289">
        <v>562893.81000000006</v>
      </c>
      <c r="K21" s="288" t="s">
        <v>103</v>
      </c>
      <c r="L21" s="292">
        <v>4.6899999999999997E-2</v>
      </c>
    </row>
    <row r="22" spans="1:12" ht="15.75" thickBot="1" x14ac:dyDescent="0.3">
      <c r="A22" s="291" t="s">
        <v>127</v>
      </c>
      <c r="B22" s="286" t="s">
        <v>43</v>
      </c>
      <c r="C22" s="286" t="s">
        <v>246</v>
      </c>
      <c r="D22" s="138" t="s">
        <v>44</v>
      </c>
      <c r="E22" s="286" t="s">
        <v>659</v>
      </c>
      <c r="F22" s="287">
        <v>48745</v>
      </c>
      <c r="G22" s="288" t="s">
        <v>1514</v>
      </c>
      <c r="H22" s="288">
        <v>210</v>
      </c>
      <c r="I22" s="289">
        <v>1031.24</v>
      </c>
      <c r="J22" s="289">
        <v>216559.87</v>
      </c>
      <c r="K22" s="288" t="s">
        <v>103</v>
      </c>
      <c r="L22" s="292">
        <v>1.7999999999999999E-2</v>
      </c>
    </row>
    <row r="23" spans="1:12" ht="15.75" thickBot="1" x14ac:dyDescent="0.3">
      <c r="A23" s="291" t="s">
        <v>127</v>
      </c>
      <c r="B23" s="286" t="s">
        <v>1410</v>
      </c>
      <c r="C23" s="286" t="s">
        <v>246</v>
      </c>
      <c r="D23" s="138" t="s">
        <v>228</v>
      </c>
      <c r="E23" s="286" t="s">
        <v>660</v>
      </c>
      <c r="F23" s="287">
        <v>48106</v>
      </c>
      <c r="G23" s="288" t="s">
        <v>1515</v>
      </c>
      <c r="H23" s="288">
        <v>237</v>
      </c>
      <c r="I23" s="289">
        <v>1032.03</v>
      </c>
      <c r="J23" s="289">
        <v>244592.09</v>
      </c>
      <c r="K23" s="288" t="s">
        <v>103</v>
      </c>
      <c r="L23" s="292">
        <v>2.0400000000000001E-2</v>
      </c>
    </row>
    <row r="24" spans="1:12" ht="15.75" thickBot="1" x14ac:dyDescent="0.3">
      <c r="A24" s="291" t="s">
        <v>127</v>
      </c>
      <c r="B24" s="286" t="s">
        <v>167</v>
      </c>
      <c r="C24" s="286" t="s">
        <v>246</v>
      </c>
      <c r="D24" s="138" t="s">
        <v>262</v>
      </c>
      <c r="E24" s="286" t="s">
        <v>664</v>
      </c>
      <c r="F24" s="287">
        <v>51820</v>
      </c>
      <c r="G24" s="288" t="s">
        <v>1518</v>
      </c>
      <c r="H24" s="288">
        <v>100</v>
      </c>
      <c r="I24" s="289">
        <v>997.19</v>
      </c>
      <c r="J24" s="289">
        <v>99718.99</v>
      </c>
      <c r="K24" s="288" t="s">
        <v>103</v>
      </c>
      <c r="L24" s="292">
        <v>8.3000000000000001E-3</v>
      </c>
    </row>
    <row r="25" spans="1:12" ht="15.75" thickBot="1" x14ac:dyDescent="0.3">
      <c r="A25" s="291" t="s">
        <v>127</v>
      </c>
      <c r="B25" s="286" t="s">
        <v>167</v>
      </c>
      <c r="C25" s="286" t="s">
        <v>246</v>
      </c>
      <c r="D25" s="138" t="s">
        <v>263</v>
      </c>
      <c r="E25" s="286" t="s">
        <v>665</v>
      </c>
      <c r="F25" s="287">
        <v>48167</v>
      </c>
      <c r="G25" s="288" t="s">
        <v>1402</v>
      </c>
      <c r="H25" s="288">
        <v>6</v>
      </c>
      <c r="I25" s="289">
        <v>979.88</v>
      </c>
      <c r="J25" s="289">
        <v>5879.29</v>
      </c>
      <c r="K25" s="288" t="s">
        <v>103</v>
      </c>
      <c r="L25" s="292">
        <v>5.0000000000000001E-4</v>
      </c>
    </row>
    <row r="26" spans="1:12" ht="15.75" thickBot="1" x14ac:dyDescent="0.3">
      <c r="A26" s="291" t="s">
        <v>127</v>
      </c>
      <c r="B26" s="286" t="s">
        <v>166</v>
      </c>
      <c r="C26" s="286" t="s">
        <v>246</v>
      </c>
      <c r="D26" s="138" t="s">
        <v>128</v>
      </c>
      <c r="E26" s="286" t="s">
        <v>856</v>
      </c>
      <c r="F26" s="287">
        <v>49140</v>
      </c>
      <c r="G26" s="288" t="s">
        <v>1357</v>
      </c>
      <c r="H26" s="288">
        <v>536</v>
      </c>
      <c r="I26" s="289">
        <v>1077.7</v>
      </c>
      <c r="J26" s="289">
        <v>577647.42000000004</v>
      </c>
      <c r="K26" s="288" t="s">
        <v>103</v>
      </c>
      <c r="L26" s="292">
        <v>4.8099999999999997E-2</v>
      </c>
    </row>
    <row r="27" spans="1:12" ht="15.75" thickBot="1" x14ac:dyDescent="0.3">
      <c r="A27" s="291" t="s">
        <v>127</v>
      </c>
      <c r="B27" s="286" t="s">
        <v>42</v>
      </c>
      <c r="C27" s="286" t="s">
        <v>246</v>
      </c>
      <c r="D27" s="138" t="s">
        <v>41</v>
      </c>
      <c r="E27" s="286" t="s">
        <v>677</v>
      </c>
      <c r="F27" s="287">
        <v>50875</v>
      </c>
      <c r="G27" s="288" t="s">
        <v>1417</v>
      </c>
      <c r="H27" s="288">
        <v>300</v>
      </c>
      <c r="I27" s="289">
        <v>1118.3399999999999</v>
      </c>
      <c r="J27" s="289">
        <v>335500.83</v>
      </c>
      <c r="K27" s="288" t="s">
        <v>103</v>
      </c>
      <c r="L27" s="292">
        <v>2.7900000000000001E-2</v>
      </c>
    </row>
    <row r="28" spans="1:12" ht="15.75" thickBot="1" x14ac:dyDescent="0.3">
      <c r="A28" s="291" t="s">
        <v>127</v>
      </c>
      <c r="B28" s="286" t="s">
        <v>14</v>
      </c>
      <c r="C28" s="286" t="s">
        <v>246</v>
      </c>
      <c r="D28" s="138" t="s">
        <v>40</v>
      </c>
      <c r="E28" s="286" t="s">
        <v>678</v>
      </c>
      <c r="F28" s="287">
        <v>47253</v>
      </c>
      <c r="G28" s="288" t="s">
        <v>1411</v>
      </c>
      <c r="H28" s="288">
        <v>430</v>
      </c>
      <c r="I28" s="289">
        <v>1298.19</v>
      </c>
      <c r="J28" s="289">
        <v>558222.01</v>
      </c>
      <c r="K28" s="288" t="s">
        <v>103</v>
      </c>
      <c r="L28" s="292">
        <v>4.65E-2</v>
      </c>
    </row>
    <row r="29" spans="1:12" ht="15.75" thickBot="1" x14ac:dyDescent="0.3">
      <c r="A29" s="291" t="s">
        <v>127</v>
      </c>
      <c r="B29" s="286" t="s">
        <v>34</v>
      </c>
      <c r="C29" s="286" t="s">
        <v>246</v>
      </c>
      <c r="D29" s="138" t="s">
        <v>281</v>
      </c>
      <c r="E29" s="286" t="s">
        <v>684</v>
      </c>
      <c r="F29" s="287">
        <v>48136</v>
      </c>
      <c r="G29" s="288" t="s">
        <v>1532</v>
      </c>
      <c r="H29" s="288">
        <v>250</v>
      </c>
      <c r="I29" s="289">
        <v>1137.57</v>
      </c>
      <c r="J29" s="289">
        <v>284393.71000000002</v>
      </c>
      <c r="K29" s="288" t="s">
        <v>103</v>
      </c>
      <c r="L29" s="292">
        <v>2.3699999999999999E-2</v>
      </c>
    </row>
    <row r="30" spans="1:12" ht="15.75" thickBot="1" x14ac:dyDescent="0.3">
      <c r="A30" s="291" t="s">
        <v>127</v>
      </c>
      <c r="B30" s="286" t="s">
        <v>1043</v>
      </c>
      <c r="C30" s="286" t="s">
        <v>246</v>
      </c>
      <c r="D30" s="138" t="s">
        <v>1020</v>
      </c>
      <c r="E30" s="286" t="s">
        <v>1044</v>
      </c>
      <c r="F30" s="287">
        <v>47649</v>
      </c>
      <c r="G30" s="288" t="s">
        <v>1534</v>
      </c>
      <c r="H30" s="288">
        <v>233</v>
      </c>
      <c r="I30" s="289">
        <v>1017.27</v>
      </c>
      <c r="J30" s="289">
        <v>237023.74</v>
      </c>
      <c r="K30" s="288" t="s">
        <v>103</v>
      </c>
      <c r="L30" s="292">
        <v>1.9699999999999999E-2</v>
      </c>
    </row>
    <row r="31" spans="1:12" ht="15.75" thickBot="1" x14ac:dyDescent="0.3">
      <c r="A31" s="291" t="s">
        <v>127</v>
      </c>
      <c r="B31" s="286" t="s">
        <v>33</v>
      </c>
      <c r="C31" s="286" t="s">
        <v>246</v>
      </c>
      <c r="D31" s="138" t="s">
        <v>849</v>
      </c>
      <c r="E31" s="286" t="s">
        <v>857</v>
      </c>
      <c r="F31" s="287">
        <v>48867</v>
      </c>
      <c r="G31" s="288" t="s">
        <v>1535</v>
      </c>
      <c r="H31" s="288">
        <v>560</v>
      </c>
      <c r="I31" s="289">
        <v>1015.45</v>
      </c>
      <c r="J31" s="289">
        <v>568652.46</v>
      </c>
      <c r="K31" s="288" t="s">
        <v>103</v>
      </c>
      <c r="L31" s="292">
        <v>4.7399999999999998E-2</v>
      </c>
    </row>
    <row r="32" spans="1:12" ht="15.75" thickBot="1" x14ac:dyDescent="0.3">
      <c r="A32" s="291" t="s">
        <v>127</v>
      </c>
      <c r="B32" s="286" t="s">
        <v>344</v>
      </c>
      <c r="C32" s="286" t="s">
        <v>246</v>
      </c>
      <c r="D32" s="138" t="s">
        <v>164</v>
      </c>
      <c r="E32" s="286" t="s">
        <v>685</v>
      </c>
      <c r="F32" s="287">
        <v>47649</v>
      </c>
      <c r="G32" s="288" t="s">
        <v>1538</v>
      </c>
      <c r="H32" s="288">
        <v>390</v>
      </c>
      <c r="I32" s="289">
        <v>1264.33</v>
      </c>
      <c r="J32" s="289">
        <v>493086.96</v>
      </c>
      <c r="K32" s="288" t="s">
        <v>103</v>
      </c>
      <c r="L32" s="292">
        <v>4.1099999999999998E-2</v>
      </c>
    </row>
    <row r="33" spans="1:12" ht="15.75" thickBot="1" x14ac:dyDescent="0.3">
      <c r="A33" s="291" t="s">
        <v>127</v>
      </c>
      <c r="B33" s="286" t="s">
        <v>345</v>
      </c>
      <c r="C33" s="286" t="s">
        <v>246</v>
      </c>
      <c r="D33" s="138" t="s">
        <v>346</v>
      </c>
      <c r="E33" s="286" t="s">
        <v>739</v>
      </c>
      <c r="F33" s="287">
        <v>48349</v>
      </c>
      <c r="G33" s="288" t="s">
        <v>1428</v>
      </c>
      <c r="H33" s="288">
        <v>357</v>
      </c>
      <c r="I33" s="289">
        <v>1059.8900000000001</v>
      </c>
      <c r="J33" s="289">
        <v>378382.09</v>
      </c>
      <c r="K33" s="288" t="s">
        <v>103</v>
      </c>
      <c r="L33" s="292">
        <v>3.15E-2</v>
      </c>
    </row>
    <row r="34" spans="1:12" ht="15.75" thickBot="1" x14ac:dyDescent="0.3">
      <c r="A34" s="291" t="s">
        <v>127</v>
      </c>
      <c r="B34" s="286" t="s">
        <v>858</v>
      </c>
      <c r="C34" s="286" t="s">
        <v>246</v>
      </c>
      <c r="D34" s="138" t="s">
        <v>848</v>
      </c>
      <c r="E34" s="286" t="s">
        <v>859</v>
      </c>
      <c r="F34" s="287">
        <v>48349</v>
      </c>
      <c r="G34" s="288" t="s">
        <v>1547</v>
      </c>
      <c r="H34" s="288">
        <v>538</v>
      </c>
      <c r="I34" s="289">
        <v>1049.8900000000001</v>
      </c>
      <c r="J34" s="289">
        <v>564839.67000000004</v>
      </c>
      <c r="K34" s="288" t="s">
        <v>103</v>
      </c>
      <c r="L34" s="292">
        <v>4.7100000000000003E-2</v>
      </c>
    </row>
    <row r="35" spans="1:12" ht="15.75" thickBot="1" x14ac:dyDescent="0.3">
      <c r="A35" s="291" t="s">
        <v>127</v>
      </c>
      <c r="B35" s="286" t="s">
        <v>1171</v>
      </c>
      <c r="C35" s="286" t="s">
        <v>246</v>
      </c>
      <c r="D35" s="138" t="s">
        <v>163</v>
      </c>
      <c r="E35" s="286" t="s">
        <v>165</v>
      </c>
      <c r="F35" s="287">
        <v>52733</v>
      </c>
      <c r="G35" s="288" t="s">
        <v>103</v>
      </c>
      <c r="H35" s="288">
        <v>300</v>
      </c>
      <c r="I35" s="289">
        <v>974.04</v>
      </c>
      <c r="J35" s="289">
        <v>292211.71999999997</v>
      </c>
      <c r="K35" s="288" t="s">
        <v>103</v>
      </c>
      <c r="L35" s="292">
        <v>2.4299999999999999E-2</v>
      </c>
    </row>
    <row r="36" spans="1:12" ht="15.75" thickBot="1" x14ac:dyDescent="0.3">
      <c r="A36" s="291" t="s">
        <v>127</v>
      </c>
      <c r="B36" s="286" t="s">
        <v>1034</v>
      </c>
      <c r="C36" s="286" t="s">
        <v>246</v>
      </c>
      <c r="D36" s="138" t="s">
        <v>1021</v>
      </c>
      <c r="E36" s="286" t="s">
        <v>1038</v>
      </c>
      <c r="F36" s="287">
        <v>49841</v>
      </c>
      <c r="G36" s="288" t="s">
        <v>1549</v>
      </c>
      <c r="H36" s="288">
        <v>105</v>
      </c>
      <c r="I36" s="289">
        <v>1018.74</v>
      </c>
      <c r="J36" s="289">
        <v>106968.07</v>
      </c>
      <c r="K36" s="288" t="s">
        <v>103</v>
      </c>
      <c r="L36" s="292">
        <v>8.8999999999999999E-3</v>
      </c>
    </row>
    <row r="37" spans="1:12" ht="15.75" thickBot="1" x14ac:dyDescent="0.3">
      <c r="A37" s="291" t="s">
        <v>127</v>
      </c>
      <c r="B37" s="286" t="s">
        <v>162</v>
      </c>
      <c r="C37" s="286" t="s">
        <v>246</v>
      </c>
      <c r="D37" s="138" t="s">
        <v>280</v>
      </c>
      <c r="E37" s="286" t="s">
        <v>704</v>
      </c>
      <c r="F37" s="287">
        <v>48136</v>
      </c>
      <c r="G37" s="288" t="s">
        <v>1551</v>
      </c>
      <c r="H37" s="288">
        <v>500</v>
      </c>
      <c r="I37" s="289">
        <v>1125.33</v>
      </c>
      <c r="J37" s="289">
        <v>562667.1</v>
      </c>
      <c r="K37" s="288" t="s">
        <v>103</v>
      </c>
      <c r="L37" s="292">
        <v>4.6899999999999997E-2</v>
      </c>
    </row>
    <row r="38" spans="1:12" ht="15.75" thickBot="1" x14ac:dyDescent="0.3">
      <c r="A38" s="291" t="s">
        <v>127</v>
      </c>
      <c r="B38" s="286" t="s">
        <v>795</v>
      </c>
      <c r="C38" s="286" t="s">
        <v>246</v>
      </c>
      <c r="D38" s="138" t="s">
        <v>799</v>
      </c>
      <c r="E38" s="286" t="s">
        <v>800</v>
      </c>
      <c r="F38" s="287">
        <v>48106</v>
      </c>
      <c r="G38" s="288" t="s">
        <v>1554</v>
      </c>
      <c r="H38" s="288">
        <v>191</v>
      </c>
      <c r="I38" s="289">
        <v>1043.0899999999999</v>
      </c>
      <c r="J38" s="289">
        <v>199230.75</v>
      </c>
      <c r="K38" s="288" t="s">
        <v>103</v>
      </c>
      <c r="L38" s="292">
        <v>1.66E-2</v>
      </c>
    </row>
    <row r="39" spans="1:12" ht="15.75" thickBot="1" x14ac:dyDescent="0.3">
      <c r="A39" s="291" t="s">
        <v>127</v>
      </c>
      <c r="B39" s="286" t="s">
        <v>492</v>
      </c>
      <c r="C39" s="286" t="s">
        <v>246</v>
      </c>
      <c r="D39" s="138" t="s">
        <v>493</v>
      </c>
      <c r="E39" s="286" t="s">
        <v>690</v>
      </c>
      <c r="F39" s="287">
        <v>52032</v>
      </c>
      <c r="G39" s="288" t="s">
        <v>1556</v>
      </c>
      <c r="H39" s="288">
        <v>550</v>
      </c>
      <c r="I39" s="289">
        <v>1177.92</v>
      </c>
      <c r="J39" s="289">
        <v>647853.6</v>
      </c>
      <c r="K39" s="288" t="s">
        <v>103</v>
      </c>
      <c r="L39" s="292">
        <v>5.3999999999999999E-2</v>
      </c>
    </row>
    <row r="40" spans="1:12" ht="15.75" thickBot="1" x14ac:dyDescent="0.3">
      <c r="A40" s="291" t="s">
        <v>127</v>
      </c>
      <c r="B40" s="286" t="s">
        <v>947</v>
      </c>
      <c r="C40" s="286" t="s">
        <v>246</v>
      </c>
      <c r="D40" s="138" t="s">
        <v>929</v>
      </c>
      <c r="E40" s="286" t="s">
        <v>928</v>
      </c>
      <c r="F40" s="287">
        <v>52671</v>
      </c>
      <c r="G40" s="288" t="s">
        <v>1559</v>
      </c>
      <c r="H40" s="288">
        <v>230</v>
      </c>
      <c r="I40" s="289">
        <v>1000.89</v>
      </c>
      <c r="J40" s="289">
        <v>230204.78</v>
      </c>
      <c r="K40" s="288" t="s">
        <v>103</v>
      </c>
      <c r="L40" s="292">
        <v>1.9199999999999998E-2</v>
      </c>
    </row>
    <row r="41" spans="1:12" ht="15.75" thickBot="1" x14ac:dyDescent="0.3">
      <c r="A41" s="291" t="s">
        <v>127</v>
      </c>
      <c r="B41" s="286" t="s">
        <v>214</v>
      </c>
      <c r="C41" s="286" t="s">
        <v>246</v>
      </c>
      <c r="D41" s="138" t="s">
        <v>161</v>
      </c>
      <c r="E41" s="286" t="s">
        <v>685</v>
      </c>
      <c r="F41" s="287">
        <v>46645</v>
      </c>
      <c r="G41" s="288" t="s">
        <v>1560</v>
      </c>
      <c r="H41" s="288">
        <v>390</v>
      </c>
      <c r="I41" s="289">
        <v>1271.8399999999999</v>
      </c>
      <c r="J41" s="289">
        <v>496018.26</v>
      </c>
      <c r="K41" s="288" t="s">
        <v>103</v>
      </c>
      <c r="L41" s="292">
        <v>4.1300000000000003E-2</v>
      </c>
    </row>
    <row r="42" spans="1:12" ht="15.75" thickBot="1" x14ac:dyDescent="0.3">
      <c r="A42" s="291" t="s">
        <v>127</v>
      </c>
      <c r="B42" s="286" t="s">
        <v>10</v>
      </c>
      <c r="C42" s="286" t="s">
        <v>246</v>
      </c>
      <c r="D42" s="138" t="s">
        <v>279</v>
      </c>
      <c r="E42" s="286" t="s">
        <v>704</v>
      </c>
      <c r="F42" s="287">
        <v>48044</v>
      </c>
      <c r="G42" s="288" t="s">
        <v>1561</v>
      </c>
      <c r="H42" s="288">
        <v>500</v>
      </c>
      <c r="I42" s="289">
        <v>1067.6300000000001</v>
      </c>
      <c r="J42" s="289">
        <v>533813.16</v>
      </c>
      <c r="K42" s="288" t="s">
        <v>103</v>
      </c>
      <c r="L42" s="292">
        <v>4.4499999999999998E-2</v>
      </c>
    </row>
    <row r="43" spans="1:12" ht="15.75" thickBot="1" x14ac:dyDescent="0.3">
      <c r="A43" s="291" t="s">
        <v>127</v>
      </c>
      <c r="B43" s="286" t="s">
        <v>494</v>
      </c>
      <c r="C43" s="286" t="s">
        <v>246</v>
      </c>
      <c r="D43" s="138" t="s">
        <v>495</v>
      </c>
      <c r="E43" s="286" t="s">
        <v>704</v>
      </c>
      <c r="F43" s="287">
        <v>48349</v>
      </c>
      <c r="G43" s="288" t="s">
        <v>1563</v>
      </c>
      <c r="H43" s="288">
        <v>500</v>
      </c>
      <c r="I43" s="289">
        <v>1054.3699999999999</v>
      </c>
      <c r="J43" s="289">
        <v>527182.68000000005</v>
      </c>
      <c r="K43" s="288" t="s">
        <v>103</v>
      </c>
      <c r="L43" s="292">
        <v>4.3900000000000002E-2</v>
      </c>
    </row>
    <row r="44" spans="1:12" ht="15.75" thickBot="1" x14ac:dyDescent="0.3">
      <c r="A44" s="291" t="s">
        <v>127</v>
      </c>
      <c r="B44" s="286" t="s">
        <v>46</v>
      </c>
      <c r="C44" s="286" t="s">
        <v>246</v>
      </c>
      <c r="D44" s="138" t="s">
        <v>47</v>
      </c>
      <c r="E44" s="286" t="s">
        <v>713</v>
      </c>
      <c r="F44" s="287">
        <v>47192</v>
      </c>
      <c r="G44" s="288" t="s">
        <v>1418</v>
      </c>
      <c r="H44" s="288">
        <v>425</v>
      </c>
      <c r="I44" s="289">
        <v>1310.6300000000001</v>
      </c>
      <c r="J44" s="289">
        <v>557017.81999999995</v>
      </c>
      <c r="K44" s="288" t="s">
        <v>103</v>
      </c>
      <c r="L44" s="292">
        <v>4.6399999999999997E-2</v>
      </c>
    </row>
    <row r="45" spans="1:12" ht="15.75" thickBot="1" x14ac:dyDescent="0.3">
      <c r="A45" s="291" t="s">
        <v>131</v>
      </c>
      <c r="B45" s="286" t="s">
        <v>140</v>
      </c>
      <c r="C45" s="286" t="s">
        <v>246</v>
      </c>
      <c r="D45" s="138">
        <v>760199</v>
      </c>
      <c r="E45" s="286" t="s">
        <v>165</v>
      </c>
      <c r="F45" s="287">
        <v>48441</v>
      </c>
      <c r="G45" s="288" t="s">
        <v>103</v>
      </c>
      <c r="H45" s="288">
        <v>100</v>
      </c>
      <c r="I45" s="289">
        <v>3893.94</v>
      </c>
      <c r="J45" s="289">
        <v>389393.53</v>
      </c>
      <c r="K45" s="288" t="s">
        <v>103</v>
      </c>
      <c r="L45" s="292">
        <v>3.2399999999999998E-2</v>
      </c>
    </row>
    <row r="46" spans="1:12" ht="15.75" thickBot="1" x14ac:dyDescent="0.3">
      <c r="A46" s="291" t="s">
        <v>131</v>
      </c>
      <c r="B46" s="286" t="s">
        <v>140</v>
      </c>
      <c r="C46" s="286" t="s">
        <v>246</v>
      </c>
      <c r="D46" s="138">
        <v>760199</v>
      </c>
      <c r="E46" s="286" t="s">
        <v>165</v>
      </c>
      <c r="F46" s="287">
        <v>55015</v>
      </c>
      <c r="G46" s="288" t="s">
        <v>103</v>
      </c>
      <c r="H46" s="288">
        <v>-190</v>
      </c>
      <c r="I46" s="289">
        <v>3245.77</v>
      </c>
      <c r="J46" s="289">
        <v>-616695.86</v>
      </c>
      <c r="K46" s="288" t="s">
        <v>103</v>
      </c>
      <c r="L46" s="292">
        <v>-5.1400000000000001E-2</v>
      </c>
    </row>
    <row r="47" spans="1:12" ht="15.75" thickBot="1" x14ac:dyDescent="0.3">
      <c r="A47" s="291" t="s">
        <v>144</v>
      </c>
      <c r="B47" s="286" t="s">
        <v>103</v>
      </c>
      <c r="C47" s="286" t="s">
        <v>246</v>
      </c>
      <c r="D47" s="138" t="s">
        <v>144</v>
      </c>
      <c r="E47" s="286" t="s">
        <v>165</v>
      </c>
      <c r="F47" s="288" t="s">
        <v>103</v>
      </c>
      <c r="G47" s="288" t="s">
        <v>103</v>
      </c>
      <c r="H47" s="288" t="s">
        <v>103</v>
      </c>
      <c r="I47" s="288" t="s">
        <v>103</v>
      </c>
      <c r="J47" s="289">
        <v>0</v>
      </c>
      <c r="K47" s="288" t="s">
        <v>103</v>
      </c>
      <c r="L47" s="292">
        <v>0</v>
      </c>
    </row>
    <row r="48" spans="1:12" ht="15.75" thickBot="1" x14ac:dyDescent="0.3">
      <c r="A48" s="291" t="s">
        <v>99</v>
      </c>
      <c r="B48" s="286" t="s">
        <v>140</v>
      </c>
      <c r="C48" s="286" t="s">
        <v>466</v>
      </c>
      <c r="D48" s="138" t="s">
        <v>188</v>
      </c>
      <c r="E48" s="286" t="s">
        <v>1282</v>
      </c>
      <c r="F48" s="287">
        <v>46266</v>
      </c>
      <c r="G48" s="288" t="s">
        <v>103</v>
      </c>
      <c r="H48" s="288">
        <v>3</v>
      </c>
      <c r="I48" s="289">
        <v>16113.97</v>
      </c>
      <c r="J48" s="289">
        <v>48341.9</v>
      </c>
      <c r="K48" s="288" t="s">
        <v>103</v>
      </c>
      <c r="L48" s="292">
        <v>1.1599999999999999E-2</v>
      </c>
    </row>
    <row r="49" spans="1:12" ht="15.75" thickBot="1" x14ac:dyDescent="0.3">
      <c r="A49" s="291" t="s">
        <v>105</v>
      </c>
      <c r="B49" s="286" t="s">
        <v>103</v>
      </c>
      <c r="C49" s="286" t="s">
        <v>466</v>
      </c>
      <c r="D49" s="138" t="s">
        <v>105</v>
      </c>
      <c r="E49" s="286" t="s">
        <v>165</v>
      </c>
      <c r="F49" s="288" t="s">
        <v>103</v>
      </c>
      <c r="G49" s="288" t="s">
        <v>103</v>
      </c>
      <c r="H49" s="288" t="s">
        <v>103</v>
      </c>
      <c r="I49" s="288" t="s">
        <v>103</v>
      </c>
      <c r="J49" s="289">
        <v>-6595.09</v>
      </c>
      <c r="K49" s="288" t="s">
        <v>103</v>
      </c>
      <c r="L49" s="292">
        <v>-1.6000000000000001E-3</v>
      </c>
    </row>
    <row r="50" spans="1:12" ht="15.75" thickBot="1" x14ac:dyDescent="0.3">
      <c r="A50" s="291" t="s">
        <v>135</v>
      </c>
      <c r="B50" s="286" t="s">
        <v>196</v>
      </c>
      <c r="C50" s="286" t="s">
        <v>466</v>
      </c>
      <c r="D50" s="138" t="s">
        <v>1290</v>
      </c>
      <c r="E50" s="286" t="s">
        <v>537</v>
      </c>
      <c r="F50" s="287">
        <v>47255</v>
      </c>
      <c r="G50" s="288" t="s">
        <v>103</v>
      </c>
      <c r="H50" s="288">
        <v>1</v>
      </c>
      <c r="I50" s="289">
        <v>307455.51</v>
      </c>
      <c r="J50" s="289">
        <v>307455.51</v>
      </c>
      <c r="K50" s="288" t="s">
        <v>103</v>
      </c>
      <c r="L50" s="292">
        <v>7.3999999999999996E-2</v>
      </c>
    </row>
    <row r="51" spans="1:12" ht="15.75" thickBot="1" x14ac:dyDescent="0.3">
      <c r="A51" s="291" t="s">
        <v>135</v>
      </c>
      <c r="B51" s="286" t="s">
        <v>190</v>
      </c>
      <c r="C51" s="286" t="s">
        <v>466</v>
      </c>
      <c r="D51" s="138" t="s">
        <v>1291</v>
      </c>
      <c r="E51" s="286" t="s">
        <v>165</v>
      </c>
      <c r="F51" s="287">
        <v>54896</v>
      </c>
      <c r="G51" s="288" t="s">
        <v>103</v>
      </c>
      <c r="H51" s="288">
        <v>1</v>
      </c>
      <c r="I51" s="289">
        <v>350247.5</v>
      </c>
      <c r="J51" s="289">
        <v>350247.5</v>
      </c>
      <c r="K51" s="288" t="s">
        <v>103</v>
      </c>
      <c r="L51" s="292">
        <v>8.43E-2</v>
      </c>
    </row>
    <row r="52" spans="1:12" ht="15.75" thickBot="1" x14ac:dyDescent="0.3">
      <c r="A52" s="291" t="s">
        <v>112</v>
      </c>
      <c r="B52" s="286" t="s">
        <v>409</v>
      </c>
      <c r="C52" s="286" t="s">
        <v>466</v>
      </c>
      <c r="D52" s="138" t="s">
        <v>510</v>
      </c>
      <c r="E52" s="286" t="s">
        <v>541</v>
      </c>
      <c r="F52" s="287">
        <v>45740</v>
      </c>
      <c r="G52" s="288" t="s">
        <v>103</v>
      </c>
      <c r="H52" s="288">
        <v>1</v>
      </c>
      <c r="I52" s="289">
        <v>147982.54</v>
      </c>
      <c r="J52" s="289">
        <v>147982.54</v>
      </c>
      <c r="K52" s="288" t="s">
        <v>103</v>
      </c>
      <c r="L52" s="292">
        <v>3.56E-2</v>
      </c>
    </row>
    <row r="53" spans="1:12" ht="15.75" thickBot="1" x14ac:dyDescent="0.3">
      <c r="A53" s="291" t="s">
        <v>112</v>
      </c>
      <c r="B53" s="286" t="s">
        <v>465</v>
      </c>
      <c r="C53" s="286" t="s">
        <v>466</v>
      </c>
      <c r="D53" s="138" t="s">
        <v>1053</v>
      </c>
      <c r="E53" s="286" t="s">
        <v>541</v>
      </c>
      <c r="F53" s="287">
        <v>46093</v>
      </c>
      <c r="G53" s="288" t="s">
        <v>103</v>
      </c>
      <c r="H53" s="288">
        <v>1</v>
      </c>
      <c r="I53" s="289">
        <v>56397.33</v>
      </c>
      <c r="J53" s="289">
        <v>56397.33</v>
      </c>
      <c r="K53" s="288" t="s">
        <v>103</v>
      </c>
      <c r="L53" s="292">
        <v>1.3599999999999999E-2</v>
      </c>
    </row>
    <row r="54" spans="1:12" ht="15.75" thickBot="1" x14ac:dyDescent="0.3">
      <c r="A54" s="291" t="s">
        <v>112</v>
      </c>
      <c r="B54" s="286" t="s">
        <v>805</v>
      </c>
      <c r="C54" s="286" t="s">
        <v>466</v>
      </c>
      <c r="D54" s="138" t="s">
        <v>997</v>
      </c>
      <c r="E54" s="286" t="s">
        <v>165</v>
      </c>
      <c r="F54" s="287">
        <v>46181</v>
      </c>
      <c r="G54" s="288" t="s">
        <v>103</v>
      </c>
      <c r="H54" s="288">
        <v>1</v>
      </c>
      <c r="I54" s="289">
        <v>54535.93</v>
      </c>
      <c r="J54" s="289">
        <v>54535.93</v>
      </c>
      <c r="K54" s="288" t="s">
        <v>103</v>
      </c>
      <c r="L54" s="292">
        <v>1.3100000000000001E-2</v>
      </c>
    </row>
    <row r="55" spans="1:12" ht="15.75" thickBot="1" x14ac:dyDescent="0.3">
      <c r="A55" s="291" t="s">
        <v>112</v>
      </c>
      <c r="B55" s="286" t="s">
        <v>1062</v>
      </c>
      <c r="C55" s="286" t="s">
        <v>466</v>
      </c>
      <c r="D55" s="138" t="s">
        <v>1467</v>
      </c>
      <c r="E55" s="286" t="s">
        <v>165</v>
      </c>
      <c r="F55" s="287">
        <v>46234</v>
      </c>
      <c r="G55" s="288" t="s">
        <v>103</v>
      </c>
      <c r="H55" s="288">
        <v>1</v>
      </c>
      <c r="I55" s="289">
        <v>54155.78</v>
      </c>
      <c r="J55" s="289">
        <v>54155.78</v>
      </c>
      <c r="K55" s="288" t="s">
        <v>103</v>
      </c>
      <c r="L55" s="292">
        <v>1.2999999999999999E-2</v>
      </c>
    </row>
    <row r="56" spans="1:12" ht="15.75" thickBot="1" x14ac:dyDescent="0.3">
      <c r="A56" s="291" t="s">
        <v>112</v>
      </c>
      <c r="B56" s="286" t="s">
        <v>360</v>
      </c>
      <c r="C56" s="286" t="s">
        <v>466</v>
      </c>
      <c r="D56" s="138" t="s">
        <v>1050</v>
      </c>
      <c r="E56" s="286" t="s">
        <v>541</v>
      </c>
      <c r="F56" s="287">
        <v>46475</v>
      </c>
      <c r="G56" s="288" t="s">
        <v>103</v>
      </c>
      <c r="H56" s="288">
        <v>1</v>
      </c>
      <c r="I56" s="289">
        <v>55972.55</v>
      </c>
      <c r="J56" s="289">
        <v>55972.55</v>
      </c>
      <c r="K56" s="288" t="s">
        <v>103</v>
      </c>
      <c r="L56" s="292">
        <v>1.35E-2</v>
      </c>
    </row>
    <row r="57" spans="1:12" ht="15.75" thickBot="1" x14ac:dyDescent="0.3">
      <c r="A57" s="291" t="s">
        <v>112</v>
      </c>
      <c r="B57" s="286" t="s">
        <v>360</v>
      </c>
      <c r="C57" s="286" t="s">
        <v>466</v>
      </c>
      <c r="D57" s="138" t="s">
        <v>1294</v>
      </c>
      <c r="E57" s="286" t="s">
        <v>165</v>
      </c>
      <c r="F57" s="287">
        <v>46127</v>
      </c>
      <c r="G57" s="288" t="s">
        <v>103</v>
      </c>
      <c r="H57" s="288">
        <v>1</v>
      </c>
      <c r="I57" s="289">
        <v>55380.3</v>
      </c>
      <c r="J57" s="289">
        <v>55380.3</v>
      </c>
      <c r="K57" s="288" t="s">
        <v>103</v>
      </c>
      <c r="L57" s="292">
        <v>1.3299999999999999E-2</v>
      </c>
    </row>
    <row r="58" spans="1:12" ht="15.75" thickBot="1" x14ac:dyDescent="0.3">
      <c r="A58" s="291" t="s">
        <v>112</v>
      </c>
      <c r="B58" s="286" t="s">
        <v>368</v>
      </c>
      <c r="C58" s="286" t="s">
        <v>466</v>
      </c>
      <c r="D58" s="138" t="s">
        <v>954</v>
      </c>
      <c r="E58" s="286" t="s">
        <v>165</v>
      </c>
      <c r="F58" s="287">
        <v>46152</v>
      </c>
      <c r="G58" s="288" t="s">
        <v>103</v>
      </c>
      <c r="H58" s="288">
        <v>2</v>
      </c>
      <c r="I58" s="289">
        <v>111686.24</v>
      </c>
      <c r="J58" s="289">
        <v>223372.48</v>
      </c>
      <c r="K58" s="288" t="s">
        <v>103</v>
      </c>
      <c r="L58" s="292">
        <v>5.3800000000000001E-2</v>
      </c>
    </row>
    <row r="59" spans="1:12" ht="15.75" thickBot="1" x14ac:dyDescent="0.3">
      <c r="A59" s="291" t="s">
        <v>112</v>
      </c>
      <c r="B59" s="286" t="s">
        <v>808</v>
      </c>
      <c r="C59" s="286" t="s">
        <v>466</v>
      </c>
      <c r="D59" s="138" t="s">
        <v>809</v>
      </c>
      <c r="E59" s="286" t="s">
        <v>541</v>
      </c>
      <c r="F59" s="287">
        <v>45939</v>
      </c>
      <c r="G59" s="288" t="s">
        <v>103</v>
      </c>
      <c r="H59" s="288">
        <v>1</v>
      </c>
      <c r="I59" s="289">
        <v>60527.8</v>
      </c>
      <c r="J59" s="289">
        <v>60527.8</v>
      </c>
      <c r="K59" s="288" t="s">
        <v>103</v>
      </c>
      <c r="L59" s="292">
        <v>1.46E-2</v>
      </c>
    </row>
    <row r="60" spans="1:12" ht="15.75" thickBot="1" x14ac:dyDescent="0.3">
      <c r="A60" s="291" t="s">
        <v>113</v>
      </c>
      <c r="B60" s="286" t="s">
        <v>114</v>
      </c>
      <c r="C60" s="286" t="s">
        <v>466</v>
      </c>
      <c r="D60" s="138" t="s">
        <v>179</v>
      </c>
      <c r="E60" s="286" t="s">
        <v>567</v>
      </c>
      <c r="F60" s="287">
        <v>46980</v>
      </c>
      <c r="G60" s="288" t="s">
        <v>103</v>
      </c>
      <c r="H60" s="288">
        <v>-1</v>
      </c>
      <c r="I60" s="289">
        <v>139301.9</v>
      </c>
      <c r="J60" s="289">
        <v>-52.34</v>
      </c>
      <c r="K60" s="289">
        <v>-139301.9</v>
      </c>
      <c r="L60" s="292">
        <v>-3.3500000000000002E-2</v>
      </c>
    </row>
    <row r="61" spans="1:12" ht="15.75" thickBot="1" x14ac:dyDescent="0.3">
      <c r="A61" s="291" t="s">
        <v>118</v>
      </c>
      <c r="B61" s="286" t="s">
        <v>145</v>
      </c>
      <c r="C61" s="286" t="s">
        <v>466</v>
      </c>
      <c r="D61" s="138" t="s">
        <v>121</v>
      </c>
      <c r="E61" s="286" t="s">
        <v>165</v>
      </c>
      <c r="F61" s="288" t="s">
        <v>103</v>
      </c>
      <c r="G61" s="288" t="s">
        <v>103</v>
      </c>
      <c r="H61" s="290">
        <v>61015</v>
      </c>
      <c r="I61" s="289">
        <v>1.5</v>
      </c>
      <c r="J61" s="289">
        <v>91302.34</v>
      </c>
      <c r="K61" s="288" t="s">
        <v>103</v>
      </c>
      <c r="L61" s="292">
        <v>2.1999999999999999E-2</v>
      </c>
    </row>
    <row r="62" spans="1:12" ht="15.75" thickBot="1" x14ac:dyDescent="0.3">
      <c r="A62" s="291" t="s">
        <v>124</v>
      </c>
      <c r="B62" s="286" t="s">
        <v>861</v>
      </c>
      <c r="C62" s="286" t="s">
        <v>466</v>
      </c>
      <c r="D62" s="138" t="s">
        <v>226</v>
      </c>
      <c r="E62" s="286" t="s">
        <v>165</v>
      </c>
      <c r="F62" s="288" t="s">
        <v>103</v>
      </c>
      <c r="G62" s="288" t="s">
        <v>103</v>
      </c>
      <c r="H62" s="288">
        <v>852</v>
      </c>
      <c r="I62" s="289">
        <v>14.75</v>
      </c>
      <c r="J62" s="289">
        <v>12563.94</v>
      </c>
      <c r="K62" s="288" t="s">
        <v>103</v>
      </c>
      <c r="L62" s="292">
        <v>3.0000000000000001E-3</v>
      </c>
    </row>
    <row r="63" spans="1:12" ht="15.75" thickBot="1" x14ac:dyDescent="0.3">
      <c r="A63" s="291" t="s">
        <v>124</v>
      </c>
      <c r="B63" s="286" t="s">
        <v>900</v>
      </c>
      <c r="C63" s="286" t="s">
        <v>466</v>
      </c>
      <c r="D63" s="138" t="s">
        <v>903</v>
      </c>
      <c r="E63" s="286" t="s">
        <v>165</v>
      </c>
      <c r="F63" s="288" t="s">
        <v>103</v>
      </c>
      <c r="G63" s="288" t="s">
        <v>103</v>
      </c>
      <c r="H63" s="290">
        <v>1180</v>
      </c>
      <c r="I63" s="289">
        <v>11.1</v>
      </c>
      <c r="J63" s="289">
        <v>13098.13</v>
      </c>
      <c r="K63" s="288" t="s">
        <v>103</v>
      </c>
      <c r="L63" s="292">
        <v>3.2000000000000002E-3</v>
      </c>
    </row>
    <row r="64" spans="1:12" ht="15.75" thickBot="1" x14ac:dyDescent="0.3">
      <c r="A64" s="291" t="s">
        <v>124</v>
      </c>
      <c r="B64" s="286" t="s">
        <v>900</v>
      </c>
      <c r="C64" s="286" t="s">
        <v>466</v>
      </c>
      <c r="D64" s="138" t="s">
        <v>901</v>
      </c>
      <c r="E64" s="286" t="s">
        <v>165</v>
      </c>
      <c r="F64" s="288" t="s">
        <v>103</v>
      </c>
      <c r="G64" s="288" t="s">
        <v>103</v>
      </c>
      <c r="H64" s="290">
        <v>1180</v>
      </c>
      <c r="I64" s="289">
        <v>11.1</v>
      </c>
      <c r="J64" s="289">
        <v>13097.98</v>
      </c>
      <c r="K64" s="288" t="s">
        <v>103</v>
      </c>
      <c r="L64" s="292">
        <v>3.2000000000000002E-3</v>
      </c>
    </row>
    <row r="65" spans="1:12" ht="15.75" thickBot="1" x14ac:dyDescent="0.3">
      <c r="A65" s="291" t="s">
        <v>124</v>
      </c>
      <c r="B65" s="286" t="s">
        <v>900</v>
      </c>
      <c r="C65" s="286" t="s">
        <v>466</v>
      </c>
      <c r="D65" s="138" t="s">
        <v>908</v>
      </c>
      <c r="E65" s="286" t="s">
        <v>165</v>
      </c>
      <c r="F65" s="288" t="s">
        <v>103</v>
      </c>
      <c r="G65" s="288" t="s">
        <v>103</v>
      </c>
      <c r="H65" s="290">
        <v>1180</v>
      </c>
      <c r="I65" s="289">
        <v>11.1</v>
      </c>
      <c r="J65" s="289">
        <v>13097.96</v>
      </c>
      <c r="K65" s="288" t="s">
        <v>103</v>
      </c>
      <c r="L65" s="292">
        <v>3.2000000000000002E-3</v>
      </c>
    </row>
    <row r="66" spans="1:12" ht="15.75" thickBot="1" x14ac:dyDescent="0.3">
      <c r="A66" s="291" t="s">
        <v>124</v>
      </c>
      <c r="B66" s="286" t="s">
        <v>900</v>
      </c>
      <c r="C66" s="286" t="s">
        <v>466</v>
      </c>
      <c r="D66" s="138" t="s">
        <v>904</v>
      </c>
      <c r="E66" s="286" t="s">
        <v>165</v>
      </c>
      <c r="F66" s="288" t="s">
        <v>103</v>
      </c>
      <c r="G66" s="288" t="s">
        <v>103</v>
      </c>
      <c r="H66" s="290">
        <v>1180</v>
      </c>
      <c r="I66" s="289">
        <v>11.1</v>
      </c>
      <c r="J66" s="289">
        <v>13097.93</v>
      </c>
      <c r="K66" s="288" t="s">
        <v>103</v>
      </c>
      <c r="L66" s="292">
        <v>3.2000000000000002E-3</v>
      </c>
    </row>
    <row r="67" spans="1:12" ht="15.75" thickBot="1" x14ac:dyDescent="0.3">
      <c r="A67" s="291" t="s">
        <v>124</v>
      </c>
      <c r="B67" s="286" t="s">
        <v>900</v>
      </c>
      <c r="C67" s="286" t="s">
        <v>466</v>
      </c>
      <c r="D67" s="138" t="s">
        <v>902</v>
      </c>
      <c r="E67" s="286" t="s">
        <v>165</v>
      </c>
      <c r="F67" s="288" t="s">
        <v>103</v>
      </c>
      <c r="G67" s="288" t="s">
        <v>103</v>
      </c>
      <c r="H67" s="290">
        <v>1180</v>
      </c>
      <c r="I67" s="289">
        <v>11.1</v>
      </c>
      <c r="J67" s="289">
        <v>13097.92</v>
      </c>
      <c r="K67" s="288" t="s">
        <v>103</v>
      </c>
      <c r="L67" s="292">
        <v>3.2000000000000002E-3</v>
      </c>
    </row>
    <row r="68" spans="1:12" ht="15.75" thickBot="1" x14ac:dyDescent="0.3">
      <c r="A68" s="291" t="s">
        <v>124</v>
      </c>
      <c r="B68" s="286" t="s">
        <v>900</v>
      </c>
      <c r="C68" s="286" t="s">
        <v>466</v>
      </c>
      <c r="D68" s="138" t="s">
        <v>909</v>
      </c>
      <c r="E68" s="286" t="s">
        <v>165</v>
      </c>
      <c r="F68" s="288" t="s">
        <v>103</v>
      </c>
      <c r="G68" s="288" t="s">
        <v>103</v>
      </c>
      <c r="H68" s="290">
        <v>1180</v>
      </c>
      <c r="I68" s="289">
        <v>11.1</v>
      </c>
      <c r="J68" s="289">
        <v>13097.72</v>
      </c>
      <c r="K68" s="288" t="s">
        <v>103</v>
      </c>
      <c r="L68" s="292">
        <v>3.2000000000000002E-3</v>
      </c>
    </row>
    <row r="69" spans="1:12" ht="15.75" thickBot="1" x14ac:dyDescent="0.3">
      <c r="A69" s="291" t="s">
        <v>124</v>
      </c>
      <c r="B69" s="286" t="s">
        <v>900</v>
      </c>
      <c r="C69" s="286" t="s">
        <v>466</v>
      </c>
      <c r="D69" s="138" t="s">
        <v>907</v>
      </c>
      <c r="E69" s="286" t="s">
        <v>165</v>
      </c>
      <c r="F69" s="288" t="s">
        <v>103</v>
      </c>
      <c r="G69" s="288" t="s">
        <v>103</v>
      </c>
      <c r="H69" s="290">
        <v>1180</v>
      </c>
      <c r="I69" s="289">
        <v>11.1</v>
      </c>
      <c r="J69" s="289">
        <v>13096.46</v>
      </c>
      <c r="K69" s="288" t="s">
        <v>103</v>
      </c>
      <c r="L69" s="292">
        <v>3.2000000000000002E-3</v>
      </c>
    </row>
    <row r="70" spans="1:12" ht="15.75" thickBot="1" x14ac:dyDescent="0.3">
      <c r="A70" s="291" t="s">
        <v>124</v>
      </c>
      <c r="B70" s="286" t="s">
        <v>900</v>
      </c>
      <c r="C70" s="286" t="s">
        <v>466</v>
      </c>
      <c r="D70" s="138" t="s">
        <v>906</v>
      </c>
      <c r="E70" s="286" t="s">
        <v>165</v>
      </c>
      <c r="F70" s="288" t="s">
        <v>103</v>
      </c>
      <c r="G70" s="288" t="s">
        <v>103</v>
      </c>
      <c r="H70" s="290">
        <v>1180</v>
      </c>
      <c r="I70" s="289">
        <v>11.1</v>
      </c>
      <c r="J70" s="289">
        <v>13096.45</v>
      </c>
      <c r="K70" s="288" t="s">
        <v>103</v>
      </c>
      <c r="L70" s="292">
        <v>3.2000000000000002E-3</v>
      </c>
    </row>
    <row r="71" spans="1:12" ht="15.75" thickBot="1" x14ac:dyDescent="0.3">
      <c r="A71" s="291" t="s">
        <v>124</v>
      </c>
      <c r="B71" s="286" t="s">
        <v>900</v>
      </c>
      <c r="C71" s="286" t="s">
        <v>466</v>
      </c>
      <c r="D71" s="138" t="s">
        <v>905</v>
      </c>
      <c r="E71" s="286" t="s">
        <v>165</v>
      </c>
      <c r="F71" s="288" t="s">
        <v>103</v>
      </c>
      <c r="G71" s="288" t="s">
        <v>103</v>
      </c>
      <c r="H71" s="290">
        <v>1180</v>
      </c>
      <c r="I71" s="289">
        <v>11.1</v>
      </c>
      <c r="J71" s="289">
        <v>13096.19</v>
      </c>
      <c r="K71" s="288" t="s">
        <v>103</v>
      </c>
      <c r="L71" s="292">
        <v>3.2000000000000002E-3</v>
      </c>
    </row>
    <row r="72" spans="1:12" ht="15.75" thickBot="1" x14ac:dyDescent="0.3">
      <c r="A72" s="291" t="s">
        <v>126</v>
      </c>
      <c r="B72" s="286" t="s">
        <v>877</v>
      </c>
      <c r="C72" s="286" t="s">
        <v>466</v>
      </c>
      <c r="D72" s="138" t="s">
        <v>1140</v>
      </c>
      <c r="E72" s="286" t="s">
        <v>165</v>
      </c>
      <c r="F72" s="287">
        <v>45689</v>
      </c>
      <c r="G72" s="288" t="s">
        <v>103</v>
      </c>
      <c r="H72" s="288">
        <v>90</v>
      </c>
      <c r="I72" s="289">
        <v>750.67</v>
      </c>
      <c r="J72" s="289">
        <v>67559.91</v>
      </c>
      <c r="K72" s="288" t="s">
        <v>103</v>
      </c>
      <c r="L72" s="292">
        <v>1.6299999999999999E-2</v>
      </c>
    </row>
    <row r="73" spans="1:12" ht="15.75" thickBot="1" x14ac:dyDescent="0.3">
      <c r="A73" s="291" t="s">
        <v>126</v>
      </c>
      <c r="B73" s="286" t="s">
        <v>1048</v>
      </c>
      <c r="C73" s="286" t="s">
        <v>466</v>
      </c>
      <c r="D73" s="138" t="s">
        <v>1077</v>
      </c>
      <c r="E73" s="286" t="s">
        <v>165</v>
      </c>
      <c r="F73" s="287">
        <v>49878</v>
      </c>
      <c r="G73" s="288" t="s">
        <v>103</v>
      </c>
      <c r="H73" s="288">
        <v>19</v>
      </c>
      <c r="I73" s="289">
        <v>1080.76</v>
      </c>
      <c r="J73" s="289">
        <v>20534.349999999999</v>
      </c>
      <c r="K73" s="288" t="s">
        <v>103</v>
      </c>
      <c r="L73" s="292">
        <v>4.8999999999999998E-3</v>
      </c>
    </row>
    <row r="74" spans="1:12" ht="15.75" thickBot="1" x14ac:dyDescent="0.3">
      <c r="A74" s="291" t="s">
        <v>126</v>
      </c>
      <c r="B74" s="286" t="s">
        <v>1141</v>
      </c>
      <c r="C74" s="286" t="s">
        <v>466</v>
      </c>
      <c r="D74" s="138" t="s">
        <v>1142</v>
      </c>
      <c r="E74" s="286" t="s">
        <v>165</v>
      </c>
      <c r="F74" s="287">
        <v>47911</v>
      </c>
      <c r="G74" s="288" t="s">
        <v>103</v>
      </c>
      <c r="H74" s="288">
        <v>22</v>
      </c>
      <c r="I74" s="289">
        <v>1238.74</v>
      </c>
      <c r="J74" s="289">
        <v>27252.3</v>
      </c>
      <c r="K74" s="288" t="s">
        <v>103</v>
      </c>
      <c r="L74" s="292">
        <v>6.6E-3</v>
      </c>
    </row>
    <row r="75" spans="1:12" ht="15.75" thickBot="1" x14ac:dyDescent="0.3">
      <c r="A75" s="291" t="s">
        <v>126</v>
      </c>
      <c r="B75" s="286" t="s">
        <v>467</v>
      </c>
      <c r="C75" s="286" t="s">
        <v>466</v>
      </c>
      <c r="D75" s="138" t="s">
        <v>468</v>
      </c>
      <c r="E75" s="286" t="s">
        <v>165</v>
      </c>
      <c r="F75" s="287">
        <v>46198</v>
      </c>
      <c r="G75" s="288" t="s">
        <v>103</v>
      </c>
      <c r="H75" s="288">
        <v>150</v>
      </c>
      <c r="I75" s="289">
        <v>1013.55</v>
      </c>
      <c r="J75" s="289">
        <v>152032.35</v>
      </c>
      <c r="K75" s="288" t="s">
        <v>103</v>
      </c>
      <c r="L75" s="292">
        <v>3.6600000000000001E-2</v>
      </c>
    </row>
    <row r="76" spans="1:12" ht="15.75" thickBot="1" x14ac:dyDescent="0.3">
      <c r="A76" s="291" t="s">
        <v>126</v>
      </c>
      <c r="B76" s="286" t="s">
        <v>416</v>
      </c>
      <c r="C76" s="286" t="s">
        <v>466</v>
      </c>
      <c r="D76" s="138" t="s">
        <v>417</v>
      </c>
      <c r="E76" s="286" t="s">
        <v>165</v>
      </c>
      <c r="F76" s="287">
        <v>46260</v>
      </c>
      <c r="G76" s="288" t="s">
        <v>103</v>
      </c>
      <c r="H76" s="288">
        <v>27</v>
      </c>
      <c r="I76" s="289">
        <v>1005.97</v>
      </c>
      <c r="J76" s="289">
        <v>27161.13</v>
      </c>
      <c r="K76" s="288" t="s">
        <v>103</v>
      </c>
      <c r="L76" s="292">
        <v>6.4999999999999997E-3</v>
      </c>
    </row>
    <row r="77" spans="1:12" ht="15.75" thickBot="1" x14ac:dyDescent="0.3">
      <c r="A77" s="291" t="s">
        <v>126</v>
      </c>
      <c r="B77" s="286" t="s">
        <v>136</v>
      </c>
      <c r="C77" s="286" t="s">
        <v>466</v>
      </c>
      <c r="D77" s="138" t="s">
        <v>136</v>
      </c>
      <c r="E77" s="286" t="s">
        <v>165</v>
      </c>
      <c r="F77" s="287">
        <v>46020</v>
      </c>
      <c r="G77" s="288" t="s">
        <v>103</v>
      </c>
      <c r="H77" s="288">
        <v>214</v>
      </c>
      <c r="I77" s="289">
        <v>341.53</v>
      </c>
      <c r="J77" s="289">
        <v>73087.69</v>
      </c>
      <c r="K77" s="288" t="s">
        <v>103</v>
      </c>
      <c r="L77" s="292">
        <v>1.7600000000000001E-2</v>
      </c>
    </row>
    <row r="78" spans="1:12" ht="15.75" thickBot="1" x14ac:dyDescent="0.3">
      <c r="A78" s="291" t="s">
        <v>126</v>
      </c>
      <c r="B78" s="286" t="s">
        <v>1145</v>
      </c>
      <c r="C78" s="286" t="s">
        <v>466</v>
      </c>
      <c r="D78" s="138" t="s">
        <v>1094</v>
      </c>
      <c r="E78" s="286" t="s">
        <v>165</v>
      </c>
      <c r="F78" s="287">
        <v>46613</v>
      </c>
      <c r="G78" s="288" t="s">
        <v>103</v>
      </c>
      <c r="H78" s="288">
        <v>33</v>
      </c>
      <c r="I78" s="289">
        <v>1004.1</v>
      </c>
      <c r="J78" s="289">
        <v>33135.269999999997</v>
      </c>
      <c r="K78" s="288" t="s">
        <v>103</v>
      </c>
      <c r="L78" s="292">
        <v>8.0000000000000002E-3</v>
      </c>
    </row>
    <row r="79" spans="1:12" ht="15.75" thickBot="1" x14ac:dyDescent="0.3">
      <c r="A79" s="291" t="s">
        <v>126</v>
      </c>
      <c r="B79" s="286" t="s">
        <v>385</v>
      </c>
      <c r="C79" s="286" t="s">
        <v>466</v>
      </c>
      <c r="D79" s="138" t="s">
        <v>386</v>
      </c>
      <c r="E79" s="286" t="s">
        <v>165</v>
      </c>
      <c r="F79" s="288" t="s">
        <v>103</v>
      </c>
      <c r="G79" s="288" t="s">
        <v>103</v>
      </c>
      <c r="H79" s="290">
        <v>53865</v>
      </c>
      <c r="I79" s="289">
        <v>0.28000000000000003</v>
      </c>
      <c r="J79" s="289">
        <v>15018.87</v>
      </c>
      <c r="K79" s="288" t="s">
        <v>103</v>
      </c>
      <c r="L79" s="292">
        <v>3.5999999999999999E-3</v>
      </c>
    </row>
    <row r="80" spans="1:12" ht="15.75" thickBot="1" x14ac:dyDescent="0.3">
      <c r="A80" s="291" t="s">
        <v>126</v>
      </c>
      <c r="B80" s="286" t="s">
        <v>941</v>
      </c>
      <c r="C80" s="286" t="s">
        <v>466</v>
      </c>
      <c r="D80" s="138" t="s">
        <v>942</v>
      </c>
      <c r="E80" s="286" t="s">
        <v>165</v>
      </c>
      <c r="F80" s="287">
        <v>46496</v>
      </c>
      <c r="G80" s="288" t="s">
        <v>103</v>
      </c>
      <c r="H80" s="288">
        <v>26</v>
      </c>
      <c r="I80" s="289">
        <v>1002.2</v>
      </c>
      <c r="J80" s="289">
        <v>26057.19</v>
      </c>
      <c r="K80" s="288" t="s">
        <v>103</v>
      </c>
      <c r="L80" s="292">
        <v>6.3E-3</v>
      </c>
    </row>
    <row r="81" spans="1:12" ht="15.75" thickBot="1" x14ac:dyDescent="0.3">
      <c r="A81" s="291" t="s">
        <v>127</v>
      </c>
      <c r="B81" s="286" t="s">
        <v>1152</v>
      </c>
      <c r="C81" s="286" t="s">
        <v>466</v>
      </c>
      <c r="D81" s="138" t="s">
        <v>911</v>
      </c>
      <c r="E81" s="286" t="s">
        <v>633</v>
      </c>
      <c r="F81" s="287">
        <v>47257</v>
      </c>
      <c r="G81" s="288" t="s">
        <v>103</v>
      </c>
      <c r="H81" s="288">
        <v>52</v>
      </c>
      <c r="I81" s="289">
        <v>1041.03</v>
      </c>
      <c r="J81" s="289">
        <v>54133.71</v>
      </c>
      <c r="K81" s="288" t="s">
        <v>103</v>
      </c>
      <c r="L81" s="292">
        <v>1.2999999999999999E-2</v>
      </c>
    </row>
    <row r="82" spans="1:12" ht="15.75" thickBot="1" x14ac:dyDescent="0.3">
      <c r="A82" s="291" t="s">
        <v>127</v>
      </c>
      <c r="B82" s="286" t="s">
        <v>258</v>
      </c>
      <c r="C82" s="286" t="s">
        <v>466</v>
      </c>
      <c r="D82" s="138" t="s">
        <v>259</v>
      </c>
      <c r="E82" s="286" t="s">
        <v>560</v>
      </c>
      <c r="F82" s="287">
        <v>48168</v>
      </c>
      <c r="G82" s="288" t="s">
        <v>1401</v>
      </c>
      <c r="H82" s="288">
        <v>16</v>
      </c>
      <c r="I82" s="289">
        <v>1059.46</v>
      </c>
      <c r="J82" s="289">
        <v>16951.43</v>
      </c>
      <c r="K82" s="288" t="s">
        <v>103</v>
      </c>
      <c r="L82" s="292">
        <v>4.1000000000000003E-3</v>
      </c>
    </row>
    <row r="83" spans="1:12" ht="15.75" thickBot="1" x14ac:dyDescent="0.3">
      <c r="A83" s="291" t="s">
        <v>127</v>
      </c>
      <c r="B83" s="286" t="s">
        <v>1098</v>
      </c>
      <c r="C83" s="286" t="s">
        <v>466</v>
      </c>
      <c r="D83" s="138" t="s">
        <v>1099</v>
      </c>
      <c r="E83" s="286" t="s">
        <v>1297</v>
      </c>
      <c r="F83" s="287">
        <v>47373</v>
      </c>
      <c r="G83" s="288" t="s">
        <v>103</v>
      </c>
      <c r="H83" s="288">
        <v>25</v>
      </c>
      <c r="I83" s="289">
        <v>1004.85</v>
      </c>
      <c r="J83" s="289">
        <v>25121.25</v>
      </c>
      <c r="K83" s="288" t="s">
        <v>103</v>
      </c>
      <c r="L83" s="292">
        <v>6.0000000000000001E-3</v>
      </c>
    </row>
    <row r="84" spans="1:12" ht="15.75" thickBot="1" x14ac:dyDescent="0.3">
      <c r="A84" s="291" t="s">
        <v>127</v>
      </c>
      <c r="B84" s="286" t="s">
        <v>354</v>
      </c>
      <c r="C84" s="286" t="s">
        <v>466</v>
      </c>
      <c r="D84" s="138" t="s">
        <v>957</v>
      </c>
      <c r="E84" s="286" t="s">
        <v>558</v>
      </c>
      <c r="F84" s="287">
        <v>47234</v>
      </c>
      <c r="G84" s="288" t="s">
        <v>103</v>
      </c>
      <c r="H84" s="288">
        <v>46</v>
      </c>
      <c r="I84" s="289">
        <v>1062.8</v>
      </c>
      <c r="J84" s="289">
        <v>48888.86</v>
      </c>
      <c r="K84" s="288" t="s">
        <v>103</v>
      </c>
      <c r="L84" s="292">
        <v>1.18E-2</v>
      </c>
    </row>
    <row r="85" spans="1:12" ht="15.75" thickBot="1" x14ac:dyDescent="0.3">
      <c r="A85" s="291" t="s">
        <v>127</v>
      </c>
      <c r="B85" s="286" t="s">
        <v>396</v>
      </c>
      <c r="C85" s="286" t="s">
        <v>466</v>
      </c>
      <c r="D85" s="138" t="s">
        <v>1404</v>
      </c>
      <c r="E85" s="286" t="s">
        <v>165</v>
      </c>
      <c r="F85" s="287">
        <v>47123</v>
      </c>
      <c r="G85" s="288" t="s">
        <v>103</v>
      </c>
      <c r="H85" s="288">
        <v>18</v>
      </c>
      <c r="I85" s="289">
        <v>443.22</v>
      </c>
      <c r="J85" s="289">
        <v>7977.92</v>
      </c>
      <c r="K85" s="288" t="s">
        <v>103</v>
      </c>
      <c r="L85" s="292">
        <v>1.9E-3</v>
      </c>
    </row>
    <row r="86" spans="1:12" ht="15.75" thickBot="1" x14ac:dyDescent="0.3">
      <c r="A86" s="291" t="s">
        <v>127</v>
      </c>
      <c r="B86" s="286" t="s">
        <v>396</v>
      </c>
      <c r="C86" s="286" t="s">
        <v>466</v>
      </c>
      <c r="D86" s="138" t="s">
        <v>1405</v>
      </c>
      <c r="E86" s="286" t="s">
        <v>165</v>
      </c>
      <c r="F86" s="287">
        <v>52967</v>
      </c>
      <c r="G86" s="288" t="s">
        <v>103</v>
      </c>
      <c r="H86" s="288">
        <v>26</v>
      </c>
      <c r="I86" s="289">
        <v>88.9</v>
      </c>
      <c r="J86" s="289">
        <v>2311.34</v>
      </c>
      <c r="K86" s="288" t="s">
        <v>103</v>
      </c>
      <c r="L86" s="292">
        <v>5.9999999999999995E-4</v>
      </c>
    </row>
    <row r="87" spans="1:12" ht="15.75" thickBot="1" x14ac:dyDescent="0.3">
      <c r="A87" s="291" t="s">
        <v>127</v>
      </c>
      <c r="B87" s="286" t="s">
        <v>759</v>
      </c>
      <c r="C87" s="286" t="s">
        <v>466</v>
      </c>
      <c r="D87" s="138" t="s">
        <v>760</v>
      </c>
      <c r="E87" s="286" t="s">
        <v>546</v>
      </c>
      <c r="F87" s="287">
        <v>46959</v>
      </c>
      <c r="G87" s="288" t="s">
        <v>1496</v>
      </c>
      <c r="H87" s="288">
        <v>10</v>
      </c>
      <c r="I87" s="289">
        <v>849.88</v>
      </c>
      <c r="J87" s="289">
        <v>8498.7800000000007</v>
      </c>
      <c r="K87" s="288" t="s">
        <v>103</v>
      </c>
      <c r="L87" s="292">
        <v>2E-3</v>
      </c>
    </row>
    <row r="88" spans="1:12" ht="15.75" thickBot="1" x14ac:dyDescent="0.3">
      <c r="A88" s="291" t="s">
        <v>127</v>
      </c>
      <c r="B88" s="286" t="s">
        <v>295</v>
      </c>
      <c r="C88" s="286" t="s">
        <v>466</v>
      </c>
      <c r="D88" s="138" t="s">
        <v>300</v>
      </c>
      <c r="E88" s="286" t="s">
        <v>1302</v>
      </c>
      <c r="F88" s="287">
        <v>47863</v>
      </c>
      <c r="G88" s="288" t="s">
        <v>1501</v>
      </c>
      <c r="H88" s="288">
        <v>81</v>
      </c>
      <c r="I88" s="289">
        <v>940.12</v>
      </c>
      <c r="J88" s="289">
        <v>76149.66</v>
      </c>
      <c r="K88" s="288" t="s">
        <v>103</v>
      </c>
      <c r="L88" s="292">
        <v>1.83E-2</v>
      </c>
    </row>
    <row r="89" spans="1:12" ht="15.75" thickBot="1" x14ac:dyDescent="0.3">
      <c r="A89" s="291" t="s">
        <v>127</v>
      </c>
      <c r="B89" s="286" t="s">
        <v>208</v>
      </c>
      <c r="C89" s="286" t="s">
        <v>466</v>
      </c>
      <c r="D89" s="138" t="s">
        <v>1003</v>
      </c>
      <c r="E89" s="286" t="s">
        <v>562</v>
      </c>
      <c r="F89" s="287">
        <v>47289</v>
      </c>
      <c r="G89" s="288" t="s">
        <v>1407</v>
      </c>
      <c r="H89" s="288">
        <v>22</v>
      </c>
      <c r="I89" s="289">
        <v>1010.88</v>
      </c>
      <c r="J89" s="289">
        <v>22239.439999999999</v>
      </c>
      <c r="K89" s="288" t="s">
        <v>103</v>
      </c>
      <c r="L89" s="292">
        <v>5.4000000000000003E-3</v>
      </c>
    </row>
    <row r="90" spans="1:12" ht="15.75" thickBot="1" x14ac:dyDescent="0.3">
      <c r="A90" s="291" t="s">
        <v>127</v>
      </c>
      <c r="B90" s="286" t="s">
        <v>208</v>
      </c>
      <c r="C90" s="286" t="s">
        <v>466</v>
      </c>
      <c r="D90" s="138" t="s">
        <v>185</v>
      </c>
      <c r="E90" s="286" t="s">
        <v>547</v>
      </c>
      <c r="F90" s="287">
        <v>46893</v>
      </c>
      <c r="G90" s="288" t="s">
        <v>1502</v>
      </c>
      <c r="H90" s="288">
        <v>4</v>
      </c>
      <c r="I90" s="289">
        <v>1044.06</v>
      </c>
      <c r="J90" s="289">
        <v>4176.22</v>
      </c>
      <c r="K90" s="288" t="s">
        <v>103</v>
      </c>
      <c r="L90" s="292">
        <v>1E-3</v>
      </c>
    </row>
    <row r="91" spans="1:12" ht="15.75" thickBot="1" x14ac:dyDescent="0.3">
      <c r="A91" s="291" t="s">
        <v>127</v>
      </c>
      <c r="B91" s="286" t="s">
        <v>230</v>
      </c>
      <c r="C91" s="286" t="s">
        <v>466</v>
      </c>
      <c r="D91" s="138" t="s">
        <v>327</v>
      </c>
      <c r="E91" s="286" t="s">
        <v>622</v>
      </c>
      <c r="F91" s="287">
        <v>46506</v>
      </c>
      <c r="G91" s="288" t="s">
        <v>1503</v>
      </c>
      <c r="H91" s="288">
        <v>69</v>
      </c>
      <c r="I91" s="289">
        <v>1051.98</v>
      </c>
      <c r="J91" s="289">
        <v>72586.94</v>
      </c>
      <c r="K91" s="288" t="s">
        <v>103</v>
      </c>
      <c r="L91" s="292">
        <v>1.7500000000000002E-2</v>
      </c>
    </row>
    <row r="92" spans="1:12" ht="15.75" thickBot="1" x14ac:dyDescent="0.3">
      <c r="A92" s="291" t="s">
        <v>127</v>
      </c>
      <c r="B92" s="286" t="s">
        <v>231</v>
      </c>
      <c r="C92" s="286" t="s">
        <v>466</v>
      </c>
      <c r="D92" s="138" t="s">
        <v>221</v>
      </c>
      <c r="E92" s="286" t="s">
        <v>1307</v>
      </c>
      <c r="F92" s="287">
        <v>48080</v>
      </c>
      <c r="G92" s="288" t="s">
        <v>1438</v>
      </c>
      <c r="H92" s="288">
        <v>53</v>
      </c>
      <c r="I92" s="289">
        <v>1026.3</v>
      </c>
      <c r="J92" s="289">
        <v>54393.99</v>
      </c>
      <c r="K92" s="288" t="s">
        <v>103</v>
      </c>
      <c r="L92" s="292">
        <v>1.3100000000000001E-2</v>
      </c>
    </row>
    <row r="93" spans="1:12" ht="15.75" thickBot="1" x14ac:dyDescent="0.3">
      <c r="A93" s="291" t="s">
        <v>127</v>
      </c>
      <c r="B93" s="286" t="s">
        <v>428</v>
      </c>
      <c r="C93" s="286" t="s">
        <v>466</v>
      </c>
      <c r="D93" s="138" t="s">
        <v>349</v>
      </c>
      <c r="E93" s="286" t="s">
        <v>604</v>
      </c>
      <c r="F93" s="287">
        <v>46541</v>
      </c>
      <c r="G93" s="288" t="s">
        <v>1507</v>
      </c>
      <c r="H93" s="288">
        <v>134</v>
      </c>
      <c r="I93" s="289">
        <v>747.71</v>
      </c>
      <c r="J93" s="289">
        <v>100192.54</v>
      </c>
      <c r="K93" s="288" t="s">
        <v>103</v>
      </c>
      <c r="L93" s="292">
        <v>2.41E-2</v>
      </c>
    </row>
    <row r="94" spans="1:12" ht="15.75" thickBot="1" x14ac:dyDescent="0.3">
      <c r="A94" s="291" t="s">
        <v>127</v>
      </c>
      <c r="B94" s="286" t="s">
        <v>505</v>
      </c>
      <c r="C94" s="286" t="s">
        <v>466</v>
      </c>
      <c r="D94" s="138" t="s">
        <v>764</v>
      </c>
      <c r="E94" s="286" t="s">
        <v>1309</v>
      </c>
      <c r="F94" s="287">
        <v>46614</v>
      </c>
      <c r="G94" s="288" t="s">
        <v>1431</v>
      </c>
      <c r="H94" s="288">
        <v>26</v>
      </c>
      <c r="I94" s="289">
        <v>1023.98</v>
      </c>
      <c r="J94" s="289">
        <v>26623.55</v>
      </c>
      <c r="K94" s="288" t="s">
        <v>103</v>
      </c>
      <c r="L94" s="292">
        <v>6.4000000000000003E-3</v>
      </c>
    </row>
    <row r="95" spans="1:12" ht="15.75" thickBot="1" x14ac:dyDescent="0.3">
      <c r="A95" s="291" t="s">
        <v>127</v>
      </c>
      <c r="B95" s="286" t="s">
        <v>497</v>
      </c>
      <c r="C95" s="286" t="s">
        <v>466</v>
      </c>
      <c r="D95" s="138" t="s">
        <v>498</v>
      </c>
      <c r="E95" s="286" t="s">
        <v>1310</v>
      </c>
      <c r="F95" s="287">
        <v>46716</v>
      </c>
      <c r="G95" s="288" t="s">
        <v>1502</v>
      </c>
      <c r="H95" s="288">
        <v>68</v>
      </c>
      <c r="I95" s="289">
        <v>908.64</v>
      </c>
      <c r="J95" s="289">
        <v>61787.55</v>
      </c>
      <c r="K95" s="288" t="s">
        <v>103</v>
      </c>
      <c r="L95" s="292">
        <v>1.49E-2</v>
      </c>
    </row>
    <row r="96" spans="1:12" ht="15.75" thickBot="1" x14ac:dyDescent="0.3">
      <c r="A96" s="291" t="s">
        <v>127</v>
      </c>
      <c r="B96" s="286" t="s">
        <v>45</v>
      </c>
      <c r="C96" s="286" t="s">
        <v>466</v>
      </c>
      <c r="D96" s="138" t="s">
        <v>437</v>
      </c>
      <c r="E96" s="286" t="s">
        <v>654</v>
      </c>
      <c r="F96" s="287">
        <v>47192</v>
      </c>
      <c r="G96" s="288" t="s">
        <v>1510</v>
      </c>
      <c r="H96" s="288">
        <v>110</v>
      </c>
      <c r="I96" s="289">
        <v>912.22</v>
      </c>
      <c r="J96" s="289">
        <v>100344.69</v>
      </c>
      <c r="K96" s="288" t="s">
        <v>103</v>
      </c>
      <c r="L96" s="292">
        <v>2.4199999999999999E-2</v>
      </c>
    </row>
    <row r="97" spans="1:12" ht="15.75" thickBot="1" x14ac:dyDescent="0.3">
      <c r="A97" s="291" t="s">
        <v>127</v>
      </c>
      <c r="B97" s="286" t="s">
        <v>778</v>
      </c>
      <c r="C97" s="286" t="s">
        <v>466</v>
      </c>
      <c r="D97" s="138" t="s">
        <v>1109</v>
      </c>
      <c r="E97" s="286" t="s">
        <v>1312</v>
      </c>
      <c r="F97" s="287">
        <v>46924</v>
      </c>
      <c r="G97" s="288" t="s">
        <v>1512</v>
      </c>
      <c r="H97" s="288">
        <v>23</v>
      </c>
      <c r="I97" s="289">
        <v>1027.92</v>
      </c>
      <c r="J97" s="289">
        <v>23642.17</v>
      </c>
      <c r="K97" s="288" t="s">
        <v>103</v>
      </c>
      <c r="L97" s="292">
        <v>5.7000000000000002E-3</v>
      </c>
    </row>
    <row r="98" spans="1:12" ht="15.75" thickBot="1" x14ac:dyDescent="0.3">
      <c r="A98" s="291" t="s">
        <v>127</v>
      </c>
      <c r="B98" s="286" t="s">
        <v>1410</v>
      </c>
      <c r="C98" s="286" t="s">
        <v>466</v>
      </c>
      <c r="D98" s="138" t="s">
        <v>1064</v>
      </c>
      <c r="E98" s="286" t="s">
        <v>165</v>
      </c>
      <c r="F98" s="287">
        <v>46482</v>
      </c>
      <c r="G98" s="288" t="s">
        <v>103</v>
      </c>
      <c r="H98" s="288">
        <v>50</v>
      </c>
      <c r="I98" s="289">
        <v>1002.11</v>
      </c>
      <c r="J98" s="289">
        <v>50105.279999999999</v>
      </c>
      <c r="K98" s="288" t="s">
        <v>103</v>
      </c>
      <c r="L98" s="292">
        <v>1.21E-2</v>
      </c>
    </row>
    <row r="99" spans="1:12" ht="15.75" thickBot="1" x14ac:dyDescent="0.3">
      <c r="A99" s="291" t="s">
        <v>127</v>
      </c>
      <c r="B99" s="286" t="s">
        <v>1359</v>
      </c>
      <c r="C99" s="286" t="s">
        <v>466</v>
      </c>
      <c r="D99" s="138" t="s">
        <v>210</v>
      </c>
      <c r="E99" s="286" t="s">
        <v>165</v>
      </c>
      <c r="F99" s="287">
        <v>48531</v>
      </c>
      <c r="G99" s="288" t="s">
        <v>103</v>
      </c>
      <c r="H99" s="288">
        <v>521</v>
      </c>
      <c r="I99" s="289">
        <v>56.46</v>
      </c>
      <c r="J99" s="289">
        <v>29417.56</v>
      </c>
      <c r="K99" s="288" t="s">
        <v>103</v>
      </c>
      <c r="L99" s="292">
        <v>7.1000000000000004E-3</v>
      </c>
    </row>
    <row r="100" spans="1:12" ht="15.75" thickBot="1" x14ac:dyDescent="0.3">
      <c r="A100" s="291" t="s">
        <v>127</v>
      </c>
      <c r="B100" s="286" t="s">
        <v>1359</v>
      </c>
      <c r="C100" s="286" t="s">
        <v>466</v>
      </c>
      <c r="D100" s="138" t="s">
        <v>1181</v>
      </c>
      <c r="E100" s="286" t="s">
        <v>165</v>
      </c>
      <c r="F100" s="287">
        <v>46630</v>
      </c>
      <c r="G100" s="288" t="s">
        <v>103</v>
      </c>
      <c r="H100" s="290">
        <v>1796</v>
      </c>
      <c r="I100" s="289">
        <v>7.96</v>
      </c>
      <c r="J100" s="289">
        <v>14296.16</v>
      </c>
      <c r="K100" s="288" t="s">
        <v>103</v>
      </c>
      <c r="L100" s="292">
        <v>3.3999999999999998E-3</v>
      </c>
    </row>
    <row r="101" spans="1:12" ht="15.75" thickBot="1" x14ac:dyDescent="0.3">
      <c r="A101" s="291" t="s">
        <v>127</v>
      </c>
      <c r="B101" s="286" t="s">
        <v>1359</v>
      </c>
      <c r="C101" s="286" t="s">
        <v>466</v>
      </c>
      <c r="D101" s="138" t="s">
        <v>1182</v>
      </c>
      <c r="E101" s="286" t="s">
        <v>165</v>
      </c>
      <c r="F101" s="287">
        <v>50357</v>
      </c>
      <c r="G101" s="288" t="s">
        <v>103</v>
      </c>
      <c r="H101" s="288">
        <v>227</v>
      </c>
      <c r="I101" s="289">
        <v>26.66</v>
      </c>
      <c r="J101" s="289">
        <v>6051.84</v>
      </c>
      <c r="K101" s="288" t="s">
        <v>103</v>
      </c>
      <c r="L101" s="292">
        <v>1.5E-3</v>
      </c>
    </row>
    <row r="102" spans="1:12" ht="15.75" thickBot="1" x14ac:dyDescent="0.3">
      <c r="A102" s="291" t="s">
        <v>127</v>
      </c>
      <c r="B102" s="286" t="s">
        <v>855</v>
      </c>
      <c r="C102" s="286" t="s">
        <v>466</v>
      </c>
      <c r="D102" s="138" t="s">
        <v>265</v>
      </c>
      <c r="E102" s="286" t="s">
        <v>1521</v>
      </c>
      <c r="F102" s="287">
        <v>47046</v>
      </c>
      <c r="G102" s="288" t="s">
        <v>1441</v>
      </c>
      <c r="H102" s="288">
        <v>130</v>
      </c>
      <c r="I102" s="289">
        <v>1033.5899999999999</v>
      </c>
      <c r="J102" s="289">
        <v>134366.06</v>
      </c>
      <c r="K102" s="288" t="s">
        <v>103</v>
      </c>
      <c r="L102" s="292">
        <v>3.2399999999999998E-2</v>
      </c>
    </row>
    <row r="103" spans="1:12" ht="15.75" thickBot="1" x14ac:dyDescent="0.3">
      <c r="A103" s="291" t="s">
        <v>127</v>
      </c>
      <c r="B103" s="286" t="s">
        <v>427</v>
      </c>
      <c r="C103" s="286" t="s">
        <v>466</v>
      </c>
      <c r="D103" s="138" t="s">
        <v>469</v>
      </c>
      <c r="E103" s="286" t="s">
        <v>709</v>
      </c>
      <c r="F103" s="287">
        <v>46588</v>
      </c>
      <c r="G103" s="288" t="s">
        <v>1524</v>
      </c>
      <c r="H103" s="288">
        <v>77</v>
      </c>
      <c r="I103" s="289">
        <v>1024.76</v>
      </c>
      <c r="J103" s="289">
        <v>78906.720000000001</v>
      </c>
      <c r="K103" s="288" t="s">
        <v>103</v>
      </c>
      <c r="L103" s="292">
        <v>1.9E-2</v>
      </c>
    </row>
    <row r="104" spans="1:12" ht="15.75" thickBot="1" x14ac:dyDescent="0.3">
      <c r="A104" s="291" t="s">
        <v>127</v>
      </c>
      <c r="B104" s="286" t="s">
        <v>758</v>
      </c>
      <c r="C104" s="286" t="s">
        <v>466</v>
      </c>
      <c r="D104" s="138" t="s">
        <v>837</v>
      </c>
      <c r="E104" s="286" t="s">
        <v>1316</v>
      </c>
      <c r="F104" s="287">
        <v>47406</v>
      </c>
      <c r="G104" s="288" t="s">
        <v>1429</v>
      </c>
      <c r="H104" s="290">
        <v>28500</v>
      </c>
      <c r="I104" s="289">
        <v>1.07</v>
      </c>
      <c r="J104" s="289">
        <v>30505.89</v>
      </c>
      <c r="K104" s="288" t="s">
        <v>103</v>
      </c>
      <c r="L104" s="292">
        <v>7.3000000000000001E-3</v>
      </c>
    </row>
    <row r="105" spans="1:12" ht="15.75" thickBot="1" x14ac:dyDescent="0.3">
      <c r="A105" s="291" t="s">
        <v>127</v>
      </c>
      <c r="B105" s="286" t="s">
        <v>758</v>
      </c>
      <c r="C105" s="286" t="s">
        <v>466</v>
      </c>
      <c r="D105" s="138" t="s">
        <v>1113</v>
      </c>
      <c r="E105" s="286" t="s">
        <v>549</v>
      </c>
      <c r="F105" s="287">
        <v>47741</v>
      </c>
      <c r="G105" s="288" t="s">
        <v>1421</v>
      </c>
      <c r="H105" s="288">
        <v>19</v>
      </c>
      <c r="I105" s="289">
        <v>1049.78</v>
      </c>
      <c r="J105" s="289">
        <v>19945.810000000001</v>
      </c>
      <c r="K105" s="288" t="s">
        <v>103</v>
      </c>
      <c r="L105" s="292">
        <v>4.7999999999999996E-3</v>
      </c>
    </row>
    <row r="106" spans="1:12" ht="15.75" thickBot="1" x14ac:dyDescent="0.3">
      <c r="A106" s="291" t="s">
        <v>127</v>
      </c>
      <c r="B106" s="286" t="s">
        <v>13</v>
      </c>
      <c r="C106" s="286" t="s">
        <v>466</v>
      </c>
      <c r="D106" s="138" t="s">
        <v>242</v>
      </c>
      <c r="E106" s="286" t="s">
        <v>1318</v>
      </c>
      <c r="F106" s="287">
        <v>47041</v>
      </c>
      <c r="G106" s="288" t="s">
        <v>1531</v>
      </c>
      <c r="H106" s="288">
        <v>96</v>
      </c>
      <c r="I106" s="289">
        <v>1080.07</v>
      </c>
      <c r="J106" s="289">
        <v>103686.68</v>
      </c>
      <c r="K106" s="288" t="s">
        <v>103</v>
      </c>
      <c r="L106" s="292">
        <v>2.5000000000000001E-2</v>
      </c>
    </row>
    <row r="107" spans="1:12" ht="15.75" thickBot="1" x14ac:dyDescent="0.3">
      <c r="A107" s="291" t="s">
        <v>127</v>
      </c>
      <c r="B107" s="286" t="s">
        <v>33</v>
      </c>
      <c r="C107" s="286" t="s">
        <v>466</v>
      </c>
      <c r="D107" s="138" t="s">
        <v>822</v>
      </c>
      <c r="E107" s="286" t="s">
        <v>1312</v>
      </c>
      <c r="F107" s="287">
        <v>47771</v>
      </c>
      <c r="G107" s="288" t="s">
        <v>1536</v>
      </c>
      <c r="H107" s="288">
        <v>23</v>
      </c>
      <c r="I107" s="289">
        <v>1087.77</v>
      </c>
      <c r="J107" s="289">
        <v>25018.799999999999</v>
      </c>
      <c r="K107" s="288" t="s">
        <v>103</v>
      </c>
      <c r="L107" s="292">
        <v>6.0000000000000001E-3</v>
      </c>
    </row>
    <row r="108" spans="1:12" ht="15.75" thickBot="1" x14ac:dyDescent="0.3">
      <c r="A108" s="291" t="s">
        <v>127</v>
      </c>
      <c r="B108" s="286" t="s">
        <v>975</v>
      </c>
      <c r="C108" s="286" t="s">
        <v>466</v>
      </c>
      <c r="D108" s="138" t="s">
        <v>976</v>
      </c>
      <c r="E108" s="286" t="s">
        <v>560</v>
      </c>
      <c r="F108" s="287">
        <v>45950</v>
      </c>
      <c r="G108" s="288" t="s">
        <v>1539</v>
      </c>
      <c r="H108" s="288">
        <v>16</v>
      </c>
      <c r="I108" s="289">
        <v>515.12</v>
      </c>
      <c r="J108" s="289">
        <v>8242</v>
      </c>
      <c r="K108" s="288" t="s">
        <v>103</v>
      </c>
      <c r="L108" s="292">
        <v>2E-3</v>
      </c>
    </row>
    <row r="109" spans="1:12" ht="15.75" thickBot="1" x14ac:dyDescent="0.3">
      <c r="A109" s="291" t="s">
        <v>127</v>
      </c>
      <c r="B109" s="286" t="s">
        <v>156</v>
      </c>
      <c r="C109" s="286" t="s">
        <v>466</v>
      </c>
      <c r="D109" s="138" t="s">
        <v>1040</v>
      </c>
      <c r="E109" s="286" t="s">
        <v>549</v>
      </c>
      <c r="F109" s="287">
        <v>49123</v>
      </c>
      <c r="G109" s="288" t="s">
        <v>1540</v>
      </c>
      <c r="H109" s="288">
        <v>19</v>
      </c>
      <c r="I109" s="289">
        <v>1017.27</v>
      </c>
      <c r="J109" s="289">
        <v>19328.12</v>
      </c>
      <c r="K109" s="288" t="s">
        <v>103</v>
      </c>
      <c r="L109" s="292">
        <v>4.7000000000000002E-3</v>
      </c>
    </row>
    <row r="110" spans="1:12" ht="15.75" thickBot="1" x14ac:dyDescent="0.3">
      <c r="A110" s="291" t="s">
        <v>127</v>
      </c>
      <c r="B110" s="286" t="s">
        <v>156</v>
      </c>
      <c r="C110" s="286" t="s">
        <v>466</v>
      </c>
      <c r="D110" s="138" t="s">
        <v>1039</v>
      </c>
      <c r="E110" s="286" t="s">
        <v>556</v>
      </c>
      <c r="F110" s="287">
        <v>47297</v>
      </c>
      <c r="G110" s="288" t="s">
        <v>1541</v>
      </c>
      <c r="H110" s="288">
        <v>11</v>
      </c>
      <c r="I110" s="289">
        <v>1016.5</v>
      </c>
      <c r="J110" s="289">
        <v>11181.49</v>
      </c>
      <c r="K110" s="288" t="s">
        <v>103</v>
      </c>
      <c r="L110" s="292">
        <v>2.7000000000000001E-3</v>
      </c>
    </row>
    <row r="111" spans="1:12" ht="15.75" thickBot="1" x14ac:dyDescent="0.3">
      <c r="A111" s="291" t="s">
        <v>127</v>
      </c>
      <c r="B111" s="286" t="s">
        <v>290</v>
      </c>
      <c r="C111" s="286" t="s">
        <v>466</v>
      </c>
      <c r="D111" s="138" t="s">
        <v>240</v>
      </c>
      <c r="E111" s="286" t="s">
        <v>1319</v>
      </c>
      <c r="F111" s="287">
        <v>47406</v>
      </c>
      <c r="G111" s="288" t="s">
        <v>1431</v>
      </c>
      <c r="H111" s="288">
        <v>58</v>
      </c>
      <c r="I111" s="289">
        <v>839.92</v>
      </c>
      <c r="J111" s="289">
        <v>48715.519999999997</v>
      </c>
      <c r="K111" s="288" t="s">
        <v>103</v>
      </c>
      <c r="L111" s="292">
        <v>1.17E-2</v>
      </c>
    </row>
    <row r="112" spans="1:12" ht="15.75" thickBot="1" x14ac:dyDescent="0.3">
      <c r="A112" s="291" t="s">
        <v>127</v>
      </c>
      <c r="B112" s="286" t="s">
        <v>863</v>
      </c>
      <c r="C112" s="286" t="s">
        <v>466</v>
      </c>
      <c r="D112" s="138" t="s">
        <v>864</v>
      </c>
      <c r="E112" s="286" t="s">
        <v>561</v>
      </c>
      <c r="F112" s="287">
        <v>45930</v>
      </c>
      <c r="G112" s="288" t="s">
        <v>1545</v>
      </c>
      <c r="H112" s="288">
        <v>34</v>
      </c>
      <c r="I112" s="289">
        <v>1055.3900000000001</v>
      </c>
      <c r="J112" s="289">
        <v>35883.42</v>
      </c>
      <c r="K112" s="288" t="s">
        <v>103</v>
      </c>
      <c r="L112" s="292">
        <v>8.6E-3</v>
      </c>
    </row>
    <row r="113" spans="1:22" ht="15.75" thickBot="1" x14ac:dyDescent="0.3">
      <c r="A113" s="291" t="s">
        <v>127</v>
      </c>
      <c r="B113" s="286" t="s">
        <v>825</v>
      </c>
      <c r="C113" s="286" t="s">
        <v>466</v>
      </c>
      <c r="D113" s="138" t="s">
        <v>826</v>
      </c>
      <c r="E113" s="286" t="s">
        <v>1321</v>
      </c>
      <c r="F113" s="287">
        <v>47788</v>
      </c>
      <c r="G113" s="288" t="s">
        <v>1298</v>
      </c>
      <c r="H113" s="288">
        <v>60</v>
      </c>
      <c r="I113" s="289">
        <v>1064.3499999999999</v>
      </c>
      <c r="J113" s="289">
        <v>63861.23</v>
      </c>
      <c r="K113" s="288" t="s">
        <v>103</v>
      </c>
      <c r="L113" s="292">
        <v>1.54E-2</v>
      </c>
    </row>
    <row r="114" spans="1:22" ht="15.75" thickBot="1" x14ac:dyDescent="0.3">
      <c r="A114" s="291" t="s">
        <v>127</v>
      </c>
      <c r="B114" s="286" t="s">
        <v>476</v>
      </c>
      <c r="C114" s="286" t="s">
        <v>466</v>
      </c>
      <c r="D114" s="138" t="s">
        <v>470</v>
      </c>
      <c r="E114" s="286" t="s">
        <v>618</v>
      </c>
      <c r="F114" s="287">
        <v>46741</v>
      </c>
      <c r="G114" s="288" t="s">
        <v>1439</v>
      </c>
      <c r="H114" s="288">
        <v>150</v>
      </c>
      <c r="I114" s="289">
        <v>990.12</v>
      </c>
      <c r="J114" s="289">
        <v>148517.60999999999</v>
      </c>
      <c r="K114" s="288" t="s">
        <v>103</v>
      </c>
      <c r="L114" s="292">
        <v>3.5799999999999998E-2</v>
      </c>
    </row>
    <row r="115" spans="1:22" ht="15.75" thickBot="1" x14ac:dyDescent="0.3">
      <c r="A115" s="291" t="s">
        <v>127</v>
      </c>
      <c r="B115" s="286" t="s">
        <v>944</v>
      </c>
      <c r="C115" s="286" t="s">
        <v>466</v>
      </c>
      <c r="D115" s="138" t="s">
        <v>945</v>
      </c>
      <c r="E115" s="286" t="s">
        <v>697</v>
      </c>
      <c r="F115" s="287">
        <v>47223</v>
      </c>
      <c r="G115" s="288" t="s">
        <v>103</v>
      </c>
      <c r="H115" s="288">
        <v>40</v>
      </c>
      <c r="I115" s="289">
        <v>1049.8699999999999</v>
      </c>
      <c r="J115" s="289">
        <v>41994.91</v>
      </c>
      <c r="K115" s="288" t="s">
        <v>103</v>
      </c>
      <c r="L115" s="292">
        <v>1.01E-2</v>
      </c>
    </row>
    <row r="116" spans="1:22" ht="15.75" thickBot="1" x14ac:dyDescent="0.3">
      <c r="A116" s="291" t="s">
        <v>127</v>
      </c>
      <c r="B116" s="286" t="s">
        <v>1034</v>
      </c>
      <c r="C116" s="286" t="s">
        <v>466</v>
      </c>
      <c r="D116" s="138" t="s">
        <v>1033</v>
      </c>
      <c r="E116" s="286" t="s">
        <v>546</v>
      </c>
      <c r="F116" s="287">
        <v>47284</v>
      </c>
      <c r="G116" s="288" t="s">
        <v>1550</v>
      </c>
      <c r="H116" s="288">
        <v>10</v>
      </c>
      <c r="I116" s="289">
        <v>1036.99</v>
      </c>
      <c r="J116" s="289">
        <v>10369.91</v>
      </c>
      <c r="K116" s="288" t="s">
        <v>103</v>
      </c>
      <c r="L116" s="292">
        <v>2.5000000000000001E-3</v>
      </c>
    </row>
    <row r="117" spans="1:22" ht="15.75" thickBot="1" x14ac:dyDescent="0.3">
      <c r="A117" s="291" t="s">
        <v>127</v>
      </c>
      <c r="B117" s="286" t="s">
        <v>234</v>
      </c>
      <c r="C117" s="286" t="s">
        <v>466</v>
      </c>
      <c r="D117" s="138" t="s">
        <v>509</v>
      </c>
      <c r="E117" s="286" t="s">
        <v>558</v>
      </c>
      <c r="F117" s="287">
        <v>46883</v>
      </c>
      <c r="G117" s="288" t="s">
        <v>1413</v>
      </c>
      <c r="H117" s="288">
        <v>46</v>
      </c>
      <c r="I117" s="289">
        <v>841.56</v>
      </c>
      <c r="J117" s="289">
        <v>38711.769999999997</v>
      </c>
      <c r="K117" s="288" t="s">
        <v>103</v>
      </c>
      <c r="L117" s="292">
        <v>9.2999999999999992E-3</v>
      </c>
    </row>
    <row r="118" spans="1:22" ht="15.75" thickBot="1" x14ac:dyDescent="0.3">
      <c r="A118" s="291" t="s">
        <v>127</v>
      </c>
      <c r="B118" s="286" t="s">
        <v>891</v>
      </c>
      <c r="C118" s="286" t="s">
        <v>466</v>
      </c>
      <c r="D118" s="138" t="s">
        <v>472</v>
      </c>
      <c r="E118" s="286" t="s">
        <v>1327</v>
      </c>
      <c r="F118" s="287">
        <v>46664</v>
      </c>
      <c r="G118" s="288" t="s">
        <v>1552</v>
      </c>
      <c r="H118" s="288">
        <v>62</v>
      </c>
      <c r="I118" s="289">
        <v>841.9</v>
      </c>
      <c r="J118" s="289">
        <v>52197.87</v>
      </c>
      <c r="K118" s="288" t="s">
        <v>103</v>
      </c>
      <c r="L118" s="292">
        <v>1.26E-2</v>
      </c>
    </row>
    <row r="119" spans="1:22" ht="15.75" thickBot="1" x14ac:dyDescent="0.3">
      <c r="A119" s="291" t="s">
        <v>127</v>
      </c>
      <c r="B119" s="286" t="s">
        <v>203</v>
      </c>
      <c r="C119" s="286" t="s">
        <v>466</v>
      </c>
      <c r="D119" s="138" t="s">
        <v>750</v>
      </c>
      <c r="E119" s="286" t="s">
        <v>1328</v>
      </c>
      <c r="F119" s="287">
        <v>46142</v>
      </c>
      <c r="G119" s="288" t="s">
        <v>103</v>
      </c>
      <c r="H119" s="288">
        <v>25</v>
      </c>
      <c r="I119" s="289">
        <v>1371.84</v>
      </c>
      <c r="J119" s="289">
        <v>34295.99</v>
      </c>
      <c r="K119" s="288" t="s">
        <v>103</v>
      </c>
      <c r="L119" s="292">
        <v>8.3000000000000001E-3</v>
      </c>
    </row>
    <row r="120" spans="1:22" ht="15.75" thickBot="1" x14ac:dyDescent="0.3">
      <c r="A120" s="291" t="s">
        <v>127</v>
      </c>
      <c r="B120" s="286" t="s">
        <v>233</v>
      </c>
      <c r="C120" s="286" t="s">
        <v>466</v>
      </c>
      <c r="D120" s="138" t="s">
        <v>239</v>
      </c>
      <c r="E120" s="286" t="s">
        <v>1329</v>
      </c>
      <c r="F120" s="287">
        <v>47030</v>
      </c>
      <c r="G120" s="288" t="s">
        <v>1565</v>
      </c>
      <c r="H120" s="288">
        <v>100</v>
      </c>
      <c r="I120" s="289">
        <v>1055.98</v>
      </c>
      <c r="J120" s="289">
        <v>105598.08</v>
      </c>
      <c r="K120" s="288" t="s">
        <v>103</v>
      </c>
      <c r="L120" s="292">
        <v>2.5399999999999999E-2</v>
      </c>
    </row>
    <row r="121" spans="1:22" ht="15.75" thickBot="1" x14ac:dyDescent="0.3">
      <c r="A121" s="291" t="s">
        <v>236</v>
      </c>
      <c r="B121" s="286" t="s">
        <v>270</v>
      </c>
      <c r="C121" s="286" t="s">
        <v>466</v>
      </c>
      <c r="D121" s="138" t="s">
        <v>439</v>
      </c>
      <c r="E121" s="286" t="s">
        <v>165</v>
      </c>
      <c r="F121" s="287">
        <v>46196</v>
      </c>
      <c r="G121" s="288" t="s">
        <v>103</v>
      </c>
      <c r="H121" s="288">
        <v>82</v>
      </c>
      <c r="I121" s="289">
        <v>462.68</v>
      </c>
      <c r="J121" s="289">
        <v>37939.699999999997</v>
      </c>
      <c r="K121" s="288" t="s">
        <v>103</v>
      </c>
      <c r="L121" s="292">
        <v>9.1000000000000004E-3</v>
      </c>
    </row>
    <row r="122" spans="1:22" ht="15.75" thickBot="1" x14ac:dyDescent="0.3">
      <c r="A122" s="291" t="s">
        <v>236</v>
      </c>
      <c r="B122" s="286" t="s">
        <v>270</v>
      </c>
      <c r="C122" s="286" t="s">
        <v>466</v>
      </c>
      <c r="D122" s="138" t="s">
        <v>1016</v>
      </c>
      <c r="E122" s="286" t="s">
        <v>633</v>
      </c>
      <c r="F122" s="287">
        <v>46001</v>
      </c>
      <c r="G122" s="288" t="s">
        <v>103</v>
      </c>
      <c r="H122" s="288">
        <v>52</v>
      </c>
      <c r="I122" s="289">
        <v>447.31</v>
      </c>
      <c r="J122" s="289">
        <v>23259.88</v>
      </c>
      <c r="K122" s="288" t="s">
        <v>103</v>
      </c>
      <c r="L122" s="292">
        <v>5.5999999999999999E-3</v>
      </c>
      <c r="M122" s="140"/>
      <c r="N122" s="140"/>
      <c r="O122" s="140"/>
      <c r="P122" s="140"/>
      <c r="Q122" s="145"/>
      <c r="R122" s="141"/>
      <c r="S122" s="145"/>
      <c r="T122" s="142"/>
      <c r="U122" s="142"/>
      <c r="V122" s="143"/>
    </row>
    <row r="123" spans="1:22" ht="15.75" thickBot="1" x14ac:dyDescent="0.3">
      <c r="A123" s="291" t="s">
        <v>236</v>
      </c>
      <c r="B123" s="286" t="s">
        <v>740</v>
      </c>
      <c r="C123" s="286" t="s">
        <v>466</v>
      </c>
      <c r="D123" s="138" t="s">
        <v>438</v>
      </c>
      <c r="E123" s="286" t="s">
        <v>1337</v>
      </c>
      <c r="F123" s="287">
        <v>46658</v>
      </c>
      <c r="G123" s="288" t="s">
        <v>103</v>
      </c>
      <c r="H123" s="288">
        <v>61</v>
      </c>
      <c r="I123" s="289">
        <v>678.93</v>
      </c>
      <c r="J123" s="289">
        <v>41414.839999999997</v>
      </c>
      <c r="K123" s="288" t="s">
        <v>103</v>
      </c>
      <c r="L123" s="292">
        <v>0.01</v>
      </c>
    </row>
    <row r="124" spans="1:22" ht="15.75" thickBot="1" x14ac:dyDescent="0.3">
      <c r="A124" s="291" t="s">
        <v>186</v>
      </c>
      <c r="B124" s="286" t="s">
        <v>189</v>
      </c>
      <c r="C124" s="286" t="s">
        <v>466</v>
      </c>
      <c r="D124" s="138" t="s">
        <v>271</v>
      </c>
      <c r="E124" s="286" t="s">
        <v>1338</v>
      </c>
      <c r="F124" s="287">
        <v>47953</v>
      </c>
      <c r="G124" s="288" t="s">
        <v>103</v>
      </c>
      <c r="H124" s="288">
        <v>116</v>
      </c>
      <c r="I124" s="289">
        <v>1130.47</v>
      </c>
      <c r="J124" s="289">
        <v>131135</v>
      </c>
      <c r="K124" s="288" t="s">
        <v>103</v>
      </c>
      <c r="L124" s="292">
        <v>3.1600000000000003E-2</v>
      </c>
    </row>
    <row r="125" spans="1:22" ht="15.75" thickBot="1" x14ac:dyDescent="0.3">
      <c r="A125" s="291" t="s">
        <v>488</v>
      </c>
      <c r="B125" s="286" t="s">
        <v>1123</v>
      </c>
      <c r="C125" s="286" t="s">
        <v>466</v>
      </c>
      <c r="D125" s="138" t="s">
        <v>1341</v>
      </c>
      <c r="E125" s="286" t="s">
        <v>165</v>
      </c>
      <c r="F125" s="287">
        <v>45929</v>
      </c>
      <c r="G125" s="288" t="s">
        <v>103</v>
      </c>
      <c r="H125" s="288">
        <v>20</v>
      </c>
      <c r="I125" s="289">
        <v>1050.07</v>
      </c>
      <c r="J125" s="289">
        <v>21001.48</v>
      </c>
      <c r="K125" s="288" t="s">
        <v>103</v>
      </c>
      <c r="L125" s="292">
        <v>5.1000000000000004E-3</v>
      </c>
    </row>
    <row r="126" spans="1:22" ht="15.75" thickBot="1" x14ac:dyDescent="0.3">
      <c r="A126" s="291" t="s">
        <v>144</v>
      </c>
      <c r="B126" s="286" t="s">
        <v>103</v>
      </c>
      <c r="C126" s="286" t="s">
        <v>466</v>
      </c>
      <c r="D126" s="138" t="s">
        <v>144</v>
      </c>
      <c r="E126" s="286" t="s">
        <v>165</v>
      </c>
      <c r="F126" s="288" t="s">
        <v>103</v>
      </c>
      <c r="G126" s="288" t="s">
        <v>103</v>
      </c>
      <c r="H126" s="288" t="s">
        <v>103</v>
      </c>
      <c r="I126" s="288" t="s">
        <v>103</v>
      </c>
      <c r="J126" s="289">
        <v>9981.31</v>
      </c>
      <c r="K126" s="288" t="s">
        <v>103</v>
      </c>
      <c r="L126" s="292">
        <v>2.3999999999999998E-3</v>
      </c>
    </row>
    <row r="127" spans="1:22" ht="15.75" thickBot="1" x14ac:dyDescent="0.3">
      <c r="A127" s="291" t="s">
        <v>105</v>
      </c>
      <c r="B127" s="286" t="s">
        <v>103</v>
      </c>
      <c r="C127" s="286" t="s">
        <v>969</v>
      </c>
      <c r="D127" s="138" t="s">
        <v>105</v>
      </c>
      <c r="E127" s="286" t="s">
        <v>165</v>
      </c>
      <c r="F127" s="288" t="s">
        <v>103</v>
      </c>
      <c r="G127" s="288" t="s">
        <v>103</v>
      </c>
      <c r="H127" s="288" t="s">
        <v>103</v>
      </c>
      <c r="I127" s="288" t="s">
        <v>103</v>
      </c>
      <c r="J127" s="289">
        <v>136565.82</v>
      </c>
      <c r="K127" s="288" t="s">
        <v>103</v>
      </c>
      <c r="L127" s="292">
        <v>1.41E-2</v>
      </c>
    </row>
    <row r="128" spans="1:22" ht="15.75" thickBot="1" x14ac:dyDescent="0.3">
      <c r="A128" s="291" t="s">
        <v>131</v>
      </c>
      <c r="B128" s="286" t="s">
        <v>140</v>
      </c>
      <c r="C128" s="286" t="s">
        <v>969</v>
      </c>
      <c r="D128" s="138">
        <v>760199</v>
      </c>
      <c r="E128" s="286" t="s">
        <v>165</v>
      </c>
      <c r="F128" s="287">
        <v>47710</v>
      </c>
      <c r="G128" s="288" t="s">
        <v>103</v>
      </c>
      <c r="H128" s="288">
        <v>66</v>
      </c>
      <c r="I128" s="289">
        <v>4017.61</v>
      </c>
      <c r="J128" s="289">
        <v>265162</v>
      </c>
      <c r="K128" s="288" t="s">
        <v>103</v>
      </c>
      <c r="L128" s="292">
        <v>2.7300000000000001E-2</v>
      </c>
    </row>
    <row r="129" spans="1:12" ht="15.75" thickBot="1" x14ac:dyDescent="0.3">
      <c r="A129" s="291" t="s">
        <v>144</v>
      </c>
      <c r="B129" s="286" t="s">
        <v>103</v>
      </c>
      <c r="C129" s="286" t="s">
        <v>969</v>
      </c>
      <c r="D129" s="138" t="s">
        <v>144</v>
      </c>
      <c r="E129" s="286" t="s">
        <v>165</v>
      </c>
      <c r="F129" s="288" t="s">
        <v>103</v>
      </c>
      <c r="G129" s="288" t="s">
        <v>103</v>
      </c>
      <c r="H129" s="288" t="s">
        <v>103</v>
      </c>
      <c r="I129" s="288" t="s">
        <v>103</v>
      </c>
      <c r="J129" s="289">
        <v>0</v>
      </c>
      <c r="K129" s="288" t="s">
        <v>103</v>
      </c>
      <c r="L129" s="292">
        <v>0</v>
      </c>
    </row>
    <row r="130" spans="1:12" ht="15.75" thickBot="1" x14ac:dyDescent="0.3">
      <c r="A130" s="291" t="s">
        <v>132</v>
      </c>
      <c r="B130" s="286" t="s">
        <v>1129</v>
      </c>
      <c r="C130" s="286" t="s">
        <v>969</v>
      </c>
      <c r="D130" s="138" t="s">
        <v>1130</v>
      </c>
      <c r="E130" s="286" t="s">
        <v>165</v>
      </c>
      <c r="F130" s="288" t="s">
        <v>103</v>
      </c>
      <c r="G130" s="288" t="s">
        <v>103</v>
      </c>
      <c r="H130" s="290">
        <v>20700</v>
      </c>
      <c r="I130" s="289">
        <v>10.82</v>
      </c>
      <c r="J130" s="289">
        <v>223974</v>
      </c>
      <c r="K130" s="288" t="s">
        <v>103</v>
      </c>
      <c r="L130" s="292">
        <v>2.3099999999999999E-2</v>
      </c>
    </row>
    <row r="131" spans="1:12" ht="15.75" thickBot="1" x14ac:dyDescent="0.3">
      <c r="A131" s="291" t="s">
        <v>132</v>
      </c>
      <c r="B131" s="286" t="s">
        <v>1025</v>
      </c>
      <c r="C131" s="286" t="s">
        <v>969</v>
      </c>
      <c r="D131" s="138" t="s">
        <v>982</v>
      </c>
      <c r="E131" s="286" t="s">
        <v>165</v>
      </c>
      <c r="F131" s="288" t="s">
        <v>103</v>
      </c>
      <c r="G131" s="288" t="s">
        <v>103</v>
      </c>
      <c r="H131" s="290">
        <v>125000</v>
      </c>
      <c r="I131" s="289">
        <v>6.19</v>
      </c>
      <c r="J131" s="289">
        <v>773750</v>
      </c>
      <c r="K131" s="288" t="s">
        <v>103</v>
      </c>
      <c r="L131" s="292">
        <v>7.9600000000000004E-2</v>
      </c>
    </row>
    <row r="132" spans="1:12" ht="15.75" thickBot="1" x14ac:dyDescent="0.3">
      <c r="A132" s="291" t="s">
        <v>132</v>
      </c>
      <c r="B132" s="286" t="s">
        <v>133</v>
      </c>
      <c r="C132" s="286" t="s">
        <v>969</v>
      </c>
      <c r="D132" s="138" t="s">
        <v>948</v>
      </c>
      <c r="E132" s="286" t="s">
        <v>165</v>
      </c>
      <c r="F132" s="288" t="s">
        <v>103</v>
      </c>
      <c r="G132" s="288" t="s">
        <v>103</v>
      </c>
      <c r="H132" s="288">
        <v>0</v>
      </c>
      <c r="I132" s="288" t="s">
        <v>103</v>
      </c>
      <c r="J132" s="289">
        <v>0</v>
      </c>
      <c r="K132" s="288" t="s">
        <v>103</v>
      </c>
      <c r="L132" s="292">
        <v>0</v>
      </c>
    </row>
    <row r="133" spans="1:12" ht="15.75" thickBot="1" x14ac:dyDescent="0.3">
      <c r="A133" s="291" t="s">
        <v>132</v>
      </c>
      <c r="B133" s="286" t="s">
        <v>505</v>
      </c>
      <c r="C133" s="286" t="s">
        <v>969</v>
      </c>
      <c r="D133" s="138" t="s">
        <v>981</v>
      </c>
      <c r="E133" s="286" t="s">
        <v>165</v>
      </c>
      <c r="F133" s="288" t="s">
        <v>103</v>
      </c>
      <c r="G133" s="288" t="s">
        <v>103</v>
      </c>
      <c r="H133" s="290">
        <v>20400</v>
      </c>
      <c r="I133" s="289">
        <v>36.659999999999997</v>
      </c>
      <c r="J133" s="289">
        <v>747864</v>
      </c>
      <c r="K133" s="288" t="s">
        <v>103</v>
      </c>
      <c r="L133" s="292">
        <v>7.6999999999999999E-2</v>
      </c>
    </row>
    <row r="134" spans="1:12" ht="15.75" thickBot="1" x14ac:dyDescent="0.3">
      <c r="A134" s="291" t="s">
        <v>132</v>
      </c>
      <c r="B134" s="286" t="s">
        <v>830</v>
      </c>
      <c r="C134" s="286" t="s">
        <v>969</v>
      </c>
      <c r="D134" s="138" t="s">
        <v>831</v>
      </c>
      <c r="E134" s="286" t="s">
        <v>165</v>
      </c>
      <c r="F134" s="288" t="s">
        <v>103</v>
      </c>
      <c r="G134" s="288" t="s">
        <v>103</v>
      </c>
      <c r="H134" s="290">
        <v>180000</v>
      </c>
      <c r="I134" s="289">
        <v>1.21</v>
      </c>
      <c r="J134" s="289">
        <v>217800</v>
      </c>
      <c r="K134" s="288" t="s">
        <v>103</v>
      </c>
      <c r="L134" s="292">
        <v>2.24E-2</v>
      </c>
    </row>
    <row r="135" spans="1:12" ht="15.75" thickBot="1" x14ac:dyDescent="0.3">
      <c r="A135" s="291" t="s">
        <v>132</v>
      </c>
      <c r="B135" s="286" t="s">
        <v>1410</v>
      </c>
      <c r="C135" s="286" t="s">
        <v>969</v>
      </c>
      <c r="D135" s="138" t="s">
        <v>965</v>
      </c>
      <c r="E135" s="286" t="s">
        <v>165</v>
      </c>
      <c r="F135" s="288" t="s">
        <v>103</v>
      </c>
      <c r="G135" s="288" t="s">
        <v>103</v>
      </c>
      <c r="H135" s="290">
        <v>102500</v>
      </c>
      <c r="I135" s="289">
        <v>3.66</v>
      </c>
      <c r="J135" s="289">
        <v>375150</v>
      </c>
      <c r="K135" s="288" t="s">
        <v>103</v>
      </c>
      <c r="L135" s="292">
        <v>3.8600000000000002E-2</v>
      </c>
    </row>
    <row r="136" spans="1:12" ht="15.75" thickBot="1" x14ac:dyDescent="0.3">
      <c r="A136" s="291" t="s">
        <v>132</v>
      </c>
      <c r="B136" s="286" t="s">
        <v>931</v>
      </c>
      <c r="C136" s="286" t="s">
        <v>969</v>
      </c>
      <c r="D136" s="138" t="s">
        <v>932</v>
      </c>
      <c r="E136" s="286" t="s">
        <v>165</v>
      </c>
      <c r="F136" s="288" t="s">
        <v>103</v>
      </c>
      <c r="G136" s="288" t="s">
        <v>103</v>
      </c>
      <c r="H136" s="290">
        <v>275000</v>
      </c>
      <c r="I136" s="289">
        <v>3.69</v>
      </c>
      <c r="J136" s="289">
        <v>1014750</v>
      </c>
      <c r="K136" s="288" t="s">
        <v>103</v>
      </c>
      <c r="L136" s="292">
        <v>0.10440000000000001</v>
      </c>
    </row>
    <row r="137" spans="1:12" ht="15.75" thickBot="1" x14ac:dyDescent="0.3">
      <c r="A137" s="291" t="s">
        <v>132</v>
      </c>
      <c r="B137" s="286" t="s">
        <v>232</v>
      </c>
      <c r="C137" s="286" t="s">
        <v>969</v>
      </c>
      <c r="D137" s="138" t="s">
        <v>515</v>
      </c>
      <c r="E137" s="286" t="s">
        <v>165</v>
      </c>
      <c r="F137" s="288" t="s">
        <v>103</v>
      </c>
      <c r="G137" s="288" t="s">
        <v>103</v>
      </c>
      <c r="H137" s="290">
        <v>70000</v>
      </c>
      <c r="I137" s="289">
        <v>13.14</v>
      </c>
      <c r="J137" s="289">
        <v>919800</v>
      </c>
      <c r="K137" s="288" t="s">
        <v>103</v>
      </c>
      <c r="L137" s="292">
        <v>9.4700000000000006E-2</v>
      </c>
    </row>
    <row r="138" spans="1:12" ht="15.75" thickBot="1" x14ac:dyDescent="0.3">
      <c r="A138" s="291" t="s">
        <v>132</v>
      </c>
      <c r="B138" s="286" t="s">
        <v>156</v>
      </c>
      <c r="C138" s="286" t="s">
        <v>969</v>
      </c>
      <c r="D138" s="138" t="s">
        <v>516</v>
      </c>
      <c r="E138" s="286" t="s">
        <v>165</v>
      </c>
      <c r="F138" s="288" t="s">
        <v>103</v>
      </c>
      <c r="G138" s="288" t="s">
        <v>103</v>
      </c>
      <c r="H138" s="290">
        <v>96600</v>
      </c>
      <c r="I138" s="289">
        <v>7.12</v>
      </c>
      <c r="J138" s="289">
        <v>687792</v>
      </c>
      <c r="K138" s="288" t="s">
        <v>103</v>
      </c>
      <c r="L138" s="292">
        <v>7.0800000000000002E-2</v>
      </c>
    </row>
    <row r="139" spans="1:12" ht="15.75" thickBot="1" x14ac:dyDescent="0.3">
      <c r="A139" s="291" t="s">
        <v>132</v>
      </c>
      <c r="B139" s="286" t="s">
        <v>917</v>
      </c>
      <c r="C139" s="286" t="s">
        <v>969</v>
      </c>
      <c r="D139" s="138" t="s">
        <v>918</v>
      </c>
      <c r="E139" s="286" t="s">
        <v>165</v>
      </c>
      <c r="F139" s="288" t="s">
        <v>103</v>
      </c>
      <c r="G139" s="288" t="s">
        <v>103</v>
      </c>
      <c r="H139" s="290">
        <v>252000</v>
      </c>
      <c r="I139" s="289">
        <v>1.59</v>
      </c>
      <c r="J139" s="289">
        <v>400680</v>
      </c>
      <c r="K139" s="288" t="s">
        <v>103</v>
      </c>
      <c r="L139" s="292">
        <v>4.1200000000000001E-2</v>
      </c>
    </row>
    <row r="140" spans="1:12" ht="15.75" thickBot="1" x14ac:dyDescent="0.3">
      <c r="A140" s="291" t="s">
        <v>132</v>
      </c>
      <c r="B140" s="286" t="s">
        <v>1346</v>
      </c>
      <c r="C140" s="286" t="s">
        <v>969</v>
      </c>
      <c r="D140" s="138" t="s">
        <v>1347</v>
      </c>
      <c r="E140" s="286" t="s">
        <v>165</v>
      </c>
      <c r="F140" s="288" t="s">
        <v>103</v>
      </c>
      <c r="G140" s="288" t="s">
        <v>103</v>
      </c>
      <c r="H140" s="290">
        <v>19800</v>
      </c>
      <c r="I140" s="289">
        <v>30.62</v>
      </c>
      <c r="J140" s="289">
        <v>606276</v>
      </c>
      <c r="K140" s="288" t="s">
        <v>103</v>
      </c>
      <c r="L140" s="292">
        <v>6.2399999999999997E-2</v>
      </c>
    </row>
    <row r="141" spans="1:12" ht="15.75" thickBot="1" x14ac:dyDescent="0.3">
      <c r="A141" s="291" t="s">
        <v>132</v>
      </c>
      <c r="B141" s="286" t="s">
        <v>1566</v>
      </c>
      <c r="C141" s="286" t="s">
        <v>969</v>
      </c>
      <c r="D141" s="138" t="s">
        <v>1567</v>
      </c>
      <c r="E141" s="286" t="s">
        <v>165</v>
      </c>
      <c r="F141" s="288" t="s">
        <v>103</v>
      </c>
      <c r="G141" s="288" t="s">
        <v>103</v>
      </c>
      <c r="H141" s="290">
        <v>14300</v>
      </c>
      <c r="I141" s="289">
        <v>28.23</v>
      </c>
      <c r="J141" s="289">
        <v>403689</v>
      </c>
      <c r="K141" s="288" t="s">
        <v>103</v>
      </c>
      <c r="L141" s="292">
        <v>4.1500000000000002E-2</v>
      </c>
    </row>
    <row r="142" spans="1:12" ht="15.75" thickBot="1" x14ac:dyDescent="0.3">
      <c r="A142" s="291" t="s">
        <v>132</v>
      </c>
      <c r="B142" s="286" t="s">
        <v>190</v>
      </c>
      <c r="C142" s="286" t="s">
        <v>969</v>
      </c>
      <c r="D142" s="138" t="s">
        <v>1377</v>
      </c>
      <c r="E142" s="286" t="s">
        <v>165</v>
      </c>
      <c r="F142" s="288" t="s">
        <v>103</v>
      </c>
      <c r="G142" s="288" t="s">
        <v>103</v>
      </c>
      <c r="H142" s="290">
        <v>68900</v>
      </c>
      <c r="I142" s="289">
        <v>20.22</v>
      </c>
      <c r="J142" s="289">
        <v>1393158</v>
      </c>
      <c r="K142" s="288" t="s">
        <v>103</v>
      </c>
      <c r="L142" s="292">
        <v>0.1434</v>
      </c>
    </row>
    <row r="143" spans="1:12" ht="15.75" thickBot="1" x14ac:dyDescent="0.3">
      <c r="A143" s="291" t="s">
        <v>132</v>
      </c>
      <c r="B143" s="286" t="s">
        <v>802</v>
      </c>
      <c r="C143" s="286" t="s">
        <v>969</v>
      </c>
      <c r="D143" s="138" t="s">
        <v>803</v>
      </c>
      <c r="E143" s="286" t="s">
        <v>165</v>
      </c>
      <c r="F143" s="288" t="s">
        <v>103</v>
      </c>
      <c r="G143" s="288" t="s">
        <v>103</v>
      </c>
      <c r="H143" s="290">
        <v>148000</v>
      </c>
      <c r="I143" s="289">
        <v>1.88</v>
      </c>
      <c r="J143" s="289">
        <v>278240</v>
      </c>
      <c r="K143" s="288" t="s">
        <v>103</v>
      </c>
      <c r="L143" s="292">
        <v>2.86E-2</v>
      </c>
    </row>
    <row r="144" spans="1:12" ht="15.75" thickBot="1" x14ac:dyDescent="0.3">
      <c r="A144" s="291" t="s">
        <v>132</v>
      </c>
      <c r="B144" s="286" t="s">
        <v>966</v>
      </c>
      <c r="C144" s="286" t="s">
        <v>969</v>
      </c>
      <c r="D144" s="138" t="s">
        <v>967</v>
      </c>
      <c r="E144" s="286" t="s">
        <v>165</v>
      </c>
      <c r="F144" s="288" t="s">
        <v>103</v>
      </c>
      <c r="G144" s="288" t="s">
        <v>103</v>
      </c>
      <c r="H144" s="290">
        <v>68300</v>
      </c>
      <c r="I144" s="289">
        <v>18.62</v>
      </c>
      <c r="J144" s="289">
        <v>1271746</v>
      </c>
      <c r="K144" s="288" t="s">
        <v>103</v>
      </c>
      <c r="L144" s="292">
        <v>0.13089999999999999</v>
      </c>
    </row>
    <row r="145" spans="1:12" ht="15.75" thickBot="1" x14ac:dyDescent="0.3">
      <c r="A145" s="291" t="s">
        <v>105</v>
      </c>
      <c r="B145" s="286" t="s">
        <v>103</v>
      </c>
      <c r="C145" s="286" t="s">
        <v>361</v>
      </c>
      <c r="D145" s="138" t="s">
        <v>105</v>
      </c>
      <c r="E145" s="286" t="s">
        <v>165</v>
      </c>
      <c r="F145" s="288" t="s">
        <v>103</v>
      </c>
      <c r="G145" s="288" t="s">
        <v>103</v>
      </c>
      <c r="H145" s="288" t="s">
        <v>103</v>
      </c>
      <c r="I145" s="288" t="s">
        <v>103</v>
      </c>
      <c r="J145" s="289">
        <v>-7205.77</v>
      </c>
      <c r="K145" s="288" t="s">
        <v>103</v>
      </c>
      <c r="L145" s="292">
        <v>-4.8999999999999998E-3</v>
      </c>
    </row>
    <row r="146" spans="1:12" ht="15.75" thickBot="1" x14ac:dyDescent="0.3">
      <c r="A146" s="291" t="s">
        <v>124</v>
      </c>
      <c r="B146" s="286" t="s">
        <v>861</v>
      </c>
      <c r="C146" s="286" t="s">
        <v>361</v>
      </c>
      <c r="D146" s="138" t="s">
        <v>226</v>
      </c>
      <c r="E146" s="286" t="s">
        <v>165</v>
      </c>
      <c r="F146" s="288" t="s">
        <v>103</v>
      </c>
      <c r="G146" s="288" t="s">
        <v>103</v>
      </c>
      <c r="H146" s="290">
        <v>4969</v>
      </c>
      <c r="I146" s="289">
        <v>14.74</v>
      </c>
      <c r="J146" s="289">
        <v>73262.17</v>
      </c>
      <c r="K146" s="288" t="s">
        <v>103</v>
      </c>
      <c r="L146" s="292">
        <v>4.9599999999999998E-2</v>
      </c>
    </row>
    <row r="147" spans="1:12" ht="15.75" thickBot="1" x14ac:dyDescent="0.3">
      <c r="A147" s="291" t="s">
        <v>124</v>
      </c>
      <c r="B147" s="286" t="s">
        <v>900</v>
      </c>
      <c r="C147" s="286" t="s">
        <v>361</v>
      </c>
      <c r="D147" s="138" t="s">
        <v>904</v>
      </c>
      <c r="E147" s="286" t="s">
        <v>165</v>
      </c>
      <c r="F147" s="288" t="s">
        <v>103</v>
      </c>
      <c r="G147" s="288" t="s">
        <v>103</v>
      </c>
      <c r="H147" s="290">
        <v>8301</v>
      </c>
      <c r="I147" s="289">
        <v>11.1</v>
      </c>
      <c r="J147" s="289">
        <v>92105.3</v>
      </c>
      <c r="K147" s="288" t="s">
        <v>103</v>
      </c>
      <c r="L147" s="292">
        <v>6.2300000000000001E-2</v>
      </c>
    </row>
    <row r="148" spans="1:12" ht="15.75" thickBot="1" x14ac:dyDescent="0.3">
      <c r="A148" s="291" t="s">
        <v>124</v>
      </c>
      <c r="B148" s="286" t="s">
        <v>900</v>
      </c>
      <c r="C148" s="286" t="s">
        <v>361</v>
      </c>
      <c r="D148" s="138" t="s">
        <v>901</v>
      </c>
      <c r="E148" s="286" t="s">
        <v>165</v>
      </c>
      <c r="F148" s="288" t="s">
        <v>103</v>
      </c>
      <c r="G148" s="288" t="s">
        <v>103</v>
      </c>
      <c r="H148" s="290">
        <v>8301</v>
      </c>
      <c r="I148" s="289">
        <v>11.1</v>
      </c>
      <c r="J148" s="289">
        <v>92104.81</v>
      </c>
      <c r="K148" s="288" t="s">
        <v>103</v>
      </c>
      <c r="L148" s="292">
        <v>6.2300000000000001E-2</v>
      </c>
    </row>
    <row r="149" spans="1:12" ht="15.75" thickBot="1" x14ac:dyDescent="0.3">
      <c r="A149" s="291" t="s">
        <v>124</v>
      </c>
      <c r="B149" s="286" t="s">
        <v>900</v>
      </c>
      <c r="C149" s="286" t="s">
        <v>361</v>
      </c>
      <c r="D149" s="138" t="s">
        <v>902</v>
      </c>
      <c r="E149" s="286" t="s">
        <v>165</v>
      </c>
      <c r="F149" s="288" t="s">
        <v>103</v>
      </c>
      <c r="G149" s="288" t="s">
        <v>103</v>
      </c>
      <c r="H149" s="290">
        <v>8301</v>
      </c>
      <c r="I149" s="289">
        <v>11.1</v>
      </c>
      <c r="J149" s="289">
        <v>92103.33</v>
      </c>
      <c r="K149" s="288" t="s">
        <v>103</v>
      </c>
      <c r="L149" s="292">
        <v>6.2300000000000001E-2</v>
      </c>
    </row>
    <row r="150" spans="1:12" ht="15.75" thickBot="1" x14ac:dyDescent="0.3">
      <c r="A150" s="291" t="s">
        <v>124</v>
      </c>
      <c r="B150" s="286" t="s">
        <v>900</v>
      </c>
      <c r="C150" s="286" t="s">
        <v>361</v>
      </c>
      <c r="D150" s="138" t="s">
        <v>908</v>
      </c>
      <c r="E150" s="286" t="s">
        <v>165</v>
      </c>
      <c r="F150" s="288" t="s">
        <v>103</v>
      </c>
      <c r="G150" s="288" t="s">
        <v>103</v>
      </c>
      <c r="H150" s="290">
        <v>8301</v>
      </c>
      <c r="I150" s="289">
        <v>11.1</v>
      </c>
      <c r="J150" s="289">
        <v>92102.63</v>
      </c>
      <c r="K150" s="288" t="s">
        <v>103</v>
      </c>
      <c r="L150" s="292">
        <v>6.2300000000000001E-2</v>
      </c>
    </row>
    <row r="151" spans="1:12" ht="15.75" thickBot="1" x14ac:dyDescent="0.3">
      <c r="A151" s="291" t="s">
        <v>124</v>
      </c>
      <c r="B151" s="286" t="s">
        <v>900</v>
      </c>
      <c r="C151" s="286" t="s">
        <v>361</v>
      </c>
      <c r="D151" s="138" t="s">
        <v>909</v>
      </c>
      <c r="E151" s="286" t="s">
        <v>165</v>
      </c>
      <c r="F151" s="288" t="s">
        <v>103</v>
      </c>
      <c r="G151" s="288" t="s">
        <v>103</v>
      </c>
      <c r="H151" s="290">
        <v>8301</v>
      </c>
      <c r="I151" s="289">
        <v>11.1</v>
      </c>
      <c r="J151" s="289">
        <v>92102.52</v>
      </c>
      <c r="K151" s="288" t="s">
        <v>103</v>
      </c>
      <c r="L151" s="292">
        <v>6.2300000000000001E-2</v>
      </c>
    </row>
    <row r="152" spans="1:12" ht="15.75" thickBot="1" x14ac:dyDescent="0.3">
      <c r="A152" s="291" t="s">
        <v>124</v>
      </c>
      <c r="B152" s="286" t="s">
        <v>900</v>
      </c>
      <c r="C152" s="286" t="s">
        <v>361</v>
      </c>
      <c r="D152" s="138" t="s">
        <v>903</v>
      </c>
      <c r="E152" s="286" t="s">
        <v>165</v>
      </c>
      <c r="F152" s="288" t="s">
        <v>103</v>
      </c>
      <c r="G152" s="288" t="s">
        <v>103</v>
      </c>
      <c r="H152" s="290">
        <v>8301</v>
      </c>
      <c r="I152" s="289">
        <v>11.1</v>
      </c>
      <c r="J152" s="289">
        <v>92102.45</v>
      </c>
      <c r="K152" s="288" t="s">
        <v>103</v>
      </c>
      <c r="L152" s="292">
        <v>6.2300000000000001E-2</v>
      </c>
    </row>
    <row r="153" spans="1:12" ht="15.75" thickBot="1" x14ac:dyDescent="0.3">
      <c r="A153" s="291" t="s">
        <v>124</v>
      </c>
      <c r="B153" s="286" t="s">
        <v>900</v>
      </c>
      <c r="C153" s="286" t="s">
        <v>361</v>
      </c>
      <c r="D153" s="138" t="s">
        <v>905</v>
      </c>
      <c r="E153" s="286" t="s">
        <v>165</v>
      </c>
      <c r="F153" s="288" t="s">
        <v>103</v>
      </c>
      <c r="G153" s="288" t="s">
        <v>103</v>
      </c>
      <c r="H153" s="290">
        <v>8301</v>
      </c>
      <c r="I153" s="289">
        <v>11.09</v>
      </c>
      <c r="J153" s="289">
        <v>92098.85</v>
      </c>
      <c r="K153" s="288" t="s">
        <v>103</v>
      </c>
      <c r="L153" s="292">
        <v>6.2300000000000001E-2</v>
      </c>
    </row>
    <row r="154" spans="1:12" ht="15.75" thickBot="1" x14ac:dyDescent="0.3">
      <c r="A154" s="291" t="s">
        <v>124</v>
      </c>
      <c r="B154" s="286" t="s">
        <v>900</v>
      </c>
      <c r="C154" s="286" t="s">
        <v>361</v>
      </c>
      <c r="D154" s="138" t="s">
        <v>906</v>
      </c>
      <c r="E154" s="286" t="s">
        <v>165</v>
      </c>
      <c r="F154" s="288" t="s">
        <v>103</v>
      </c>
      <c r="G154" s="288" t="s">
        <v>103</v>
      </c>
      <c r="H154" s="290">
        <v>8300</v>
      </c>
      <c r="I154" s="289">
        <v>11.1</v>
      </c>
      <c r="J154" s="289">
        <v>92092.82</v>
      </c>
      <c r="K154" s="288" t="s">
        <v>103</v>
      </c>
      <c r="L154" s="292">
        <v>6.2300000000000001E-2</v>
      </c>
    </row>
    <row r="155" spans="1:12" ht="15.75" thickBot="1" x14ac:dyDescent="0.3">
      <c r="A155" s="291" t="s">
        <v>124</v>
      </c>
      <c r="B155" s="286" t="s">
        <v>900</v>
      </c>
      <c r="C155" s="286" t="s">
        <v>361</v>
      </c>
      <c r="D155" s="138" t="s">
        <v>907</v>
      </c>
      <c r="E155" s="286" t="s">
        <v>165</v>
      </c>
      <c r="F155" s="288" t="s">
        <v>103</v>
      </c>
      <c r="G155" s="288" t="s">
        <v>103</v>
      </c>
      <c r="H155" s="290">
        <v>8300</v>
      </c>
      <c r="I155" s="289">
        <v>11.1</v>
      </c>
      <c r="J155" s="289">
        <v>92092.81</v>
      </c>
      <c r="K155" s="288" t="s">
        <v>103</v>
      </c>
      <c r="L155" s="292">
        <v>6.2300000000000001E-2</v>
      </c>
    </row>
    <row r="156" spans="1:12" ht="15.75" thickBot="1" x14ac:dyDescent="0.3">
      <c r="A156" s="291" t="s">
        <v>127</v>
      </c>
      <c r="B156" s="286" t="s">
        <v>258</v>
      </c>
      <c r="C156" s="286" t="s">
        <v>361</v>
      </c>
      <c r="D156" s="138" t="s">
        <v>259</v>
      </c>
      <c r="E156" s="286" t="s">
        <v>1386</v>
      </c>
      <c r="F156" s="287">
        <v>48168</v>
      </c>
      <c r="G156" s="288" t="s">
        <v>1401</v>
      </c>
      <c r="H156" s="288">
        <v>28</v>
      </c>
      <c r="I156" s="289">
        <v>1059.46</v>
      </c>
      <c r="J156" s="289">
        <v>29665.01</v>
      </c>
      <c r="K156" s="288" t="s">
        <v>103</v>
      </c>
      <c r="L156" s="292">
        <v>2.01E-2</v>
      </c>
    </row>
    <row r="157" spans="1:12" ht="15.75" thickBot="1" x14ac:dyDescent="0.3">
      <c r="A157" s="291" t="s">
        <v>127</v>
      </c>
      <c r="B157" s="286" t="s">
        <v>396</v>
      </c>
      <c r="C157" s="286" t="s">
        <v>361</v>
      </c>
      <c r="D157" s="138" t="s">
        <v>1404</v>
      </c>
      <c r="E157" s="286" t="s">
        <v>165</v>
      </c>
      <c r="F157" s="287">
        <v>47123</v>
      </c>
      <c r="G157" s="288" t="s">
        <v>103</v>
      </c>
      <c r="H157" s="288">
        <v>51</v>
      </c>
      <c r="I157" s="289">
        <v>443.22</v>
      </c>
      <c r="J157" s="289">
        <v>22604.11</v>
      </c>
      <c r="K157" s="288" t="s">
        <v>103</v>
      </c>
      <c r="L157" s="292">
        <v>1.5299999999999999E-2</v>
      </c>
    </row>
    <row r="158" spans="1:12" ht="15.75" thickBot="1" x14ac:dyDescent="0.3">
      <c r="A158" s="291" t="s">
        <v>127</v>
      </c>
      <c r="B158" s="286" t="s">
        <v>396</v>
      </c>
      <c r="C158" s="286" t="s">
        <v>361</v>
      </c>
      <c r="D158" s="138" t="s">
        <v>1405</v>
      </c>
      <c r="E158" s="286" t="s">
        <v>165</v>
      </c>
      <c r="F158" s="287">
        <v>52967</v>
      </c>
      <c r="G158" s="288" t="s">
        <v>103</v>
      </c>
      <c r="H158" s="288">
        <v>75</v>
      </c>
      <c r="I158" s="289">
        <v>88.9</v>
      </c>
      <c r="J158" s="289">
        <v>6667.32</v>
      </c>
      <c r="K158" s="288" t="s">
        <v>103</v>
      </c>
      <c r="L158" s="292">
        <v>4.4999999999999997E-3</v>
      </c>
    </row>
    <row r="159" spans="1:12" ht="15.75" thickBot="1" x14ac:dyDescent="0.3">
      <c r="A159" s="291" t="s">
        <v>127</v>
      </c>
      <c r="B159" s="286" t="s">
        <v>230</v>
      </c>
      <c r="C159" s="286" t="s">
        <v>361</v>
      </c>
      <c r="D159" s="138" t="s">
        <v>211</v>
      </c>
      <c r="E159" s="286" t="s">
        <v>1386</v>
      </c>
      <c r="F159" s="287">
        <v>45802</v>
      </c>
      <c r="G159" s="288" t="s">
        <v>1504</v>
      </c>
      <c r="H159" s="288">
        <v>28</v>
      </c>
      <c r="I159" s="289">
        <v>346.73</v>
      </c>
      <c r="J159" s="289">
        <v>9708.49</v>
      </c>
      <c r="K159" s="288" t="s">
        <v>103</v>
      </c>
      <c r="L159" s="292">
        <v>6.6E-3</v>
      </c>
    </row>
    <row r="160" spans="1:12" ht="15.75" thickBot="1" x14ac:dyDescent="0.3">
      <c r="A160" s="291" t="s">
        <v>127</v>
      </c>
      <c r="B160" s="286" t="s">
        <v>497</v>
      </c>
      <c r="C160" s="286" t="s">
        <v>361</v>
      </c>
      <c r="D160" s="138" t="s">
        <v>498</v>
      </c>
      <c r="E160" s="286" t="s">
        <v>651</v>
      </c>
      <c r="F160" s="287">
        <v>46716</v>
      </c>
      <c r="G160" s="288" t="s">
        <v>1502</v>
      </c>
      <c r="H160" s="288">
        <v>173</v>
      </c>
      <c r="I160" s="289">
        <v>908.64</v>
      </c>
      <c r="J160" s="289">
        <v>157194.79999999999</v>
      </c>
      <c r="K160" s="288" t="s">
        <v>103</v>
      </c>
      <c r="L160" s="292">
        <v>0.10630000000000001</v>
      </c>
    </row>
    <row r="161" spans="1:12" ht="15.75" thickBot="1" x14ac:dyDescent="0.3">
      <c r="A161" s="291" t="s">
        <v>127</v>
      </c>
      <c r="B161" s="286" t="s">
        <v>1359</v>
      </c>
      <c r="C161" s="286" t="s">
        <v>361</v>
      </c>
      <c r="D161" s="138" t="s">
        <v>210</v>
      </c>
      <c r="E161" s="286" t="s">
        <v>165</v>
      </c>
      <c r="F161" s="287">
        <v>48531</v>
      </c>
      <c r="G161" s="288" t="s">
        <v>103</v>
      </c>
      <c r="H161" s="288">
        <v>604</v>
      </c>
      <c r="I161" s="289">
        <v>56.46</v>
      </c>
      <c r="J161" s="289">
        <v>34104.04</v>
      </c>
      <c r="K161" s="288" t="s">
        <v>103</v>
      </c>
      <c r="L161" s="292">
        <v>2.3099999999999999E-2</v>
      </c>
    </row>
    <row r="162" spans="1:12" ht="15.75" thickBot="1" x14ac:dyDescent="0.3">
      <c r="A162" s="291" t="s">
        <v>127</v>
      </c>
      <c r="B162" s="286" t="s">
        <v>1359</v>
      </c>
      <c r="C162" s="286" t="s">
        <v>361</v>
      </c>
      <c r="D162" s="138" t="s">
        <v>1181</v>
      </c>
      <c r="E162" s="286" t="s">
        <v>165</v>
      </c>
      <c r="F162" s="287">
        <v>46630</v>
      </c>
      <c r="G162" s="288" t="s">
        <v>103</v>
      </c>
      <c r="H162" s="290">
        <v>3568</v>
      </c>
      <c r="I162" s="289">
        <v>7.96</v>
      </c>
      <c r="J162" s="289">
        <v>28401.279999999999</v>
      </c>
      <c r="K162" s="288" t="s">
        <v>103</v>
      </c>
      <c r="L162" s="292">
        <v>1.9199999999999998E-2</v>
      </c>
    </row>
    <row r="163" spans="1:12" ht="15.75" thickBot="1" x14ac:dyDescent="0.3">
      <c r="A163" s="291" t="s">
        <v>127</v>
      </c>
      <c r="B163" s="286" t="s">
        <v>1359</v>
      </c>
      <c r="C163" s="286" t="s">
        <v>361</v>
      </c>
      <c r="D163" s="138" t="s">
        <v>12</v>
      </c>
      <c r="E163" s="286" t="s">
        <v>165</v>
      </c>
      <c r="F163" s="287">
        <v>48531</v>
      </c>
      <c r="G163" s="288" t="s">
        <v>103</v>
      </c>
      <c r="H163" s="288">
        <v>429</v>
      </c>
      <c r="I163" s="289">
        <v>56.46</v>
      </c>
      <c r="J163" s="289">
        <v>24222.9</v>
      </c>
      <c r="K163" s="288" t="s">
        <v>103</v>
      </c>
      <c r="L163" s="292">
        <v>1.6400000000000001E-2</v>
      </c>
    </row>
    <row r="164" spans="1:12" ht="15.75" thickBot="1" x14ac:dyDescent="0.3">
      <c r="A164" s="291" t="s">
        <v>127</v>
      </c>
      <c r="B164" s="286" t="s">
        <v>1359</v>
      </c>
      <c r="C164" s="286" t="s">
        <v>361</v>
      </c>
      <c r="D164" s="138" t="s">
        <v>1182</v>
      </c>
      <c r="E164" s="286" t="s">
        <v>165</v>
      </c>
      <c r="F164" s="287">
        <v>50357</v>
      </c>
      <c r="G164" s="288" t="s">
        <v>103</v>
      </c>
      <c r="H164" s="288">
        <v>257</v>
      </c>
      <c r="I164" s="289">
        <v>26.66</v>
      </c>
      <c r="J164" s="289">
        <v>6851.65</v>
      </c>
      <c r="K164" s="288" t="s">
        <v>103</v>
      </c>
      <c r="L164" s="292">
        <v>4.5999999999999999E-3</v>
      </c>
    </row>
    <row r="165" spans="1:12" ht="15.75" thickBot="1" x14ac:dyDescent="0.3">
      <c r="A165" s="291" t="s">
        <v>127</v>
      </c>
      <c r="B165" s="286" t="s">
        <v>1359</v>
      </c>
      <c r="C165" s="286" t="s">
        <v>361</v>
      </c>
      <c r="D165" s="138" t="s">
        <v>1248</v>
      </c>
      <c r="E165" s="286" t="s">
        <v>165</v>
      </c>
      <c r="F165" s="287">
        <v>50357</v>
      </c>
      <c r="G165" s="288" t="s">
        <v>103</v>
      </c>
      <c r="H165" s="288">
        <v>186</v>
      </c>
      <c r="I165" s="289">
        <v>26.66</v>
      </c>
      <c r="J165" s="289">
        <v>4958.78</v>
      </c>
      <c r="K165" s="288" t="s">
        <v>103</v>
      </c>
      <c r="L165" s="292">
        <v>3.3999999999999998E-3</v>
      </c>
    </row>
    <row r="166" spans="1:12" ht="15.75" thickBot="1" x14ac:dyDescent="0.3">
      <c r="A166" s="291" t="s">
        <v>127</v>
      </c>
      <c r="B166" s="286" t="s">
        <v>289</v>
      </c>
      <c r="C166" s="286" t="s">
        <v>361</v>
      </c>
      <c r="D166" s="138" t="s">
        <v>266</v>
      </c>
      <c r="E166" s="286" t="s">
        <v>1414</v>
      </c>
      <c r="F166" s="287">
        <v>47060</v>
      </c>
      <c r="G166" s="288" t="s">
        <v>1523</v>
      </c>
      <c r="H166" s="288">
        <v>37</v>
      </c>
      <c r="I166" s="289">
        <v>1052.45</v>
      </c>
      <c r="J166" s="289">
        <v>38940.5</v>
      </c>
      <c r="K166" s="288" t="s">
        <v>103</v>
      </c>
      <c r="L166" s="292">
        <v>2.63E-2</v>
      </c>
    </row>
    <row r="167" spans="1:12" ht="15.75" thickBot="1" x14ac:dyDescent="0.3">
      <c r="A167" s="291" t="s">
        <v>127</v>
      </c>
      <c r="B167" s="286" t="s">
        <v>975</v>
      </c>
      <c r="C167" s="286" t="s">
        <v>361</v>
      </c>
      <c r="D167" s="138" t="s">
        <v>976</v>
      </c>
      <c r="E167" s="286" t="s">
        <v>695</v>
      </c>
      <c r="F167" s="287">
        <v>45950</v>
      </c>
      <c r="G167" s="288" t="s">
        <v>1539</v>
      </c>
      <c r="H167" s="288">
        <v>31</v>
      </c>
      <c r="I167" s="289">
        <v>515.12</v>
      </c>
      <c r="J167" s="289">
        <v>15968.87</v>
      </c>
      <c r="K167" s="288" t="s">
        <v>103</v>
      </c>
      <c r="L167" s="292">
        <v>1.0800000000000001E-2</v>
      </c>
    </row>
    <row r="168" spans="1:12" ht="15.75" thickBot="1" x14ac:dyDescent="0.3">
      <c r="A168" s="291" t="s">
        <v>127</v>
      </c>
      <c r="B168" s="286" t="s">
        <v>863</v>
      </c>
      <c r="C168" s="286" t="s">
        <v>361</v>
      </c>
      <c r="D168" s="138" t="s">
        <v>864</v>
      </c>
      <c r="E168" s="286" t="s">
        <v>534</v>
      </c>
      <c r="F168" s="287">
        <v>45930</v>
      </c>
      <c r="G168" s="288" t="s">
        <v>1545</v>
      </c>
      <c r="H168" s="288">
        <v>70</v>
      </c>
      <c r="I168" s="289">
        <v>1055.3900000000001</v>
      </c>
      <c r="J168" s="289">
        <v>73877.63</v>
      </c>
      <c r="K168" s="288" t="s">
        <v>103</v>
      </c>
      <c r="L168" s="292">
        <v>0.05</v>
      </c>
    </row>
    <row r="169" spans="1:12" ht="15.75" thickBot="1" x14ac:dyDescent="0.3">
      <c r="A169" s="291" t="s">
        <v>127</v>
      </c>
      <c r="B169" s="286" t="s">
        <v>405</v>
      </c>
      <c r="C169" s="286" t="s">
        <v>361</v>
      </c>
      <c r="D169" s="138" t="s">
        <v>406</v>
      </c>
      <c r="E169" s="286" t="s">
        <v>1385</v>
      </c>
      <c r="F169" s="287">
        <v>46611</v>
      </c>
      <c r="G169" s="288" t="s">
        <v>103</v>
      </c>
      <c r="H169" s="288">
        <v>39</v>
      </c>
      <c r="I169" s="289">
        <v>768.06</v>
      </c>
      <c r="J169" s="289">
        <v>29954.25</v>
      </c>
      <c r="K169" s="288" t="s">
        <v>103</v>
      </c>
      <c r="L169" s="292">
        <v>2.0299999999999999E-2</v>
      </c>
    </row>
    <row r="170" spans="1:12" ht="15.75" thickBot="1" x14ac:dyDescent="0.3">
      <c r="A170" s="291" t="s">
        <v>127</v>
      </c>
      <c r="B170" s="286" t="s">
        <v>891</v>
      </c>
      <c r="C170" s="286" t="s">
        <v>361</v>
      </c>
      <c r="D170" s="138" t="s">
        <v>472</v>
      </c>
      <c r="E170" s="286" t="s">
        <v>1434</v>
      </c>
      <c r="F170" s="287">
        <v>46664</v>
      </c>
      <c r="G170" s="288" t="s">
        <v>1552</v>
      </c>
      <c r="H170" s="288">
        <v>114</v>
      </c>
      <c r="I170" s="289">
        <v>841.9</v>
      </c>
      <c r="J170" s="289">
        <v>95976.73</v>
      </c>
      <c r="K170" s="288" t="s">
        <v>103</v>
      </c>
      <c r="L170" s="292">
        <v>6.4899999999999999E-2</v>
      </c>
    </row>
    <row r="171" spans="1:12" ht="15.75" thickBot="1" x14ac:dyDescent="0.3">
      <c r="A171" s="291" t="s">
        <v>127</v>
      </c>
      <c r="B171" s="286" t="s">
        <v>473</v>
      </c>
      <c r="C171" s="286" t="s">
        <v>361</v>
      </c>
      <c r="D171" s="138" t="s">
        <v>1121</v>
      </c>
      <c r="E171" s="286" t="s">
        <v>165</v>
      </c>
      <c r="F171" s="287">
        <v>47325</v>
      </c>
      <c r="G171" s="288" t="s">
        <v>103</v>
      </c>
      <c r="H171" s="288">
        <v>22</v>
      </c>
      <c r="I171" s="289">
        <v>42.08</v>
      </c>
      <c r="J171" s="289">
        <v>925.83</v>
      </c>
      <c r="K171" s="288" t="s">
        <v>103</v>
      </c>
      <c r="L171" s="292">
        <v>5.9999999999999995E-4</v>
      </c>
    </row>
    <row r="172" spans="1:12" ht="15.75" thickBot="1" x14ac:dyDescent="0.3">
      <c r="A172" s="291" t="s">
        <v>127</v>
      </c>
      <c r="B172" s="286" t="s">
        <v>215</v>
      </c>
      <c r="C172" s="286" t="s">
        <v>361</v>
      </c>
      <c r="D172" s="138" t="s">
        <v>216</v>
      </c>
      <c r="E172" s="286" t="s">
        <v>540</v>
      </c>
      <c r="F172" s="287">
        <v>46234</v>
      </c>
      <c r="G172" s="288" t="s">
        <v>103</v>
      </c>
      <c r="H172" s="288">
        <v>2</v>
      </c>
      <c r="I172" s="289">
        <v>507.3</v>
      </c>
      <c r="J172" s="289">
        <v>1014.61</v>
      </c>
      <c r="K172" s="288" t="s">
        <v>103</v>
      </c>
      <c r="L172" s="292">
        <v>6.9999999999999999E-4</v>
      </c>
    </row>
    <row r="173" spans="1:12" ht="15.75" thickBot="1" x14ac:dyDescent="0.3">
      <c r="A173" s="291" t="s">
        <v>144</v>
      </c>
      <c r="B173" s="286" t="s">
        <v>103</v>
      </c>
      <c r="C173" s="286" t="s">
        <v>361</v>
      </c>
      <c r="D173" s="138" t="s">
        <v>144</v>
      </c>
      <c r="E173" s="286" t="s">
        <v>165</v>
      </c>
      <c r="F173" s="288" t="s">
        <v>103</v>
      </c>
      <c r="G173" s="288" t="s">
        <v>103</v>
      </c>
      <c r="H173" s="288" t="s">
        <v>103</v>
      </c>
      <c r="I173" s="288" t="s">
        <v>103</v>
      </c>
      <c r="J173" s="289">
        <v>2000.02</v>
      </c>
      <c r="K173" s="288" t="s">
        <v>103</v>
      </c>
      <c r="L173" s="292">
        <v>1.4E-3</v>
      </c>
    </row>
    <row r="174" spans="1:12" ht="15.75" thickBot="1" x14ac:dyDescent="0.3">
      <c r="A174" s="291" t="s">
        <v>132</v>
      </c>
      <c r="B174" s="286" t="s">
        <v>1024</v>
      </c>
      <c r="C174" s="286" t="s">
        <v>361</v>
      </c>
      <c r="D174" s="138" t="s">
        <v>1023</v>
      </c>
      <c r="E174" s="286" t="s">
        <v>165</v>
      </c>
      <c r="F174" s="288" t="s">
        <v>103</v>
      </c>
      <c r="G174" s="288" t="s">
        <v>103</v>
      </c>
      <c r="H174" s="288">
        <v>22</v>
      </c>
      <c r="I174" s="289">
        <v>5.55</v>
      </c>
      <c r="J174" s="289">
        <v>122.1</v>
      </c>
      <c r="K174" s="288" t="s">
        <v>103</v>
      </c>
      <c r="L174" s="292">
        <v>1E-4</v>
      </c>
    </row>
    <row r="175" spans="1:12" ht="15.75" thickBot="1" x14ac:dyDescent="0.3">
      <c r="A175" s="291" t="s">
        <v>132</v>
      </c>
      <c r="B175" s="286" t="s">
        <v>473</v>
      </c>
      <c r="C175" s="286" t="s">
        <v>361</v>
      </c>
      <c r="D175" s="138" t="s">
        <v>1022</v>
      </c>
      <c r="E175" s="286" t="s">
        <v>165</v>
      </c>
      <c r="F175" s="288" t="s">
        <v>103</v>
      </c>
      <c r="G175" s="288" t="s">
        <v>103</v>
      </c>
      <c r="H175" s="288">
        <v>36</v>
      </c>
      <c r="I175" s="289">
        <v>5.54</v>
      </c>
      <c r="J175" s="289">
        <v>199.51</v>
      </c>
      <c r="K175" s="288" t="s">
        <v>103</v>
      </c>
      <c r="L175" s="292">
        <v>1E-4</v>
      </c>
    </row>
    <row r="176" spans="1:12" ht="15.75" thickBot="1" x14ac:dyDescent="0.3">
      <c r="A176" s="291" t="s">
        <v>99</v>
      </c>
      <c r="B176" s="286" t="s">
        <v>140</v>
      </c>
      <c r="C176" s="286" t="s">
        <v>949</v>
      </c>
      <c r="D176" s="138" t="s">
        <v>1283</v>
      </c>
      <c r="E176" s="286" t="s">
        <v>165</v>
      </c>
      <c r="F176" s="287">
        <v>47178</v>
      </c>
      <c r="G176" s="288" t="s">
        <v>103</v>
      </c>
      <c r="H176" s="288">
        <v>838</v>
      </c>
      <c r="I176" s="289">
        <v>16049.96</v>
      </c>
      <c r="J176" s="289">
        <v>13449864.789999999</v>
      </c>
      <c r="K176" s="288" t="s">
        <v>103</v>
      </c>
      <c r="L176" s="292">
        <v>0.13469999999999999</v>
      </c>
    </row>
    <row r="177" spans="1:12" ht="15.75" thickBot="1" x14ac:dyDescent="0.3">
      <c r="A177" s="291" t="s">
        <v>99</v>
      </c>
      <c r="B177" s="286" t="s">
        <v>140</v>
      </c>
      <c r="C177" s="286" t="s">
        <v>949</v>
      </c>
      <c r="D177" s="138" t="s">
        <v>1061</v>
      </c>
      <c r="E177" s="286" t="s">
        <v>165</v>
      </c>
      <c r="F177" s="287">
        <v>46997</v>
      </c>
      <c r="G177" s="288" t="s">
        <v>103</v>
      </c>
      <c r="H177" s="288">
        <v>150</v>
      </c>
      <c r="I177" s="289">
        <v>16071.12</v>
      </c>
      <c r="J177" s="289">
        <v>2410667.4900000002</v>
      </c>
      <c r="K177" s="288" t="s">
        <v>103</v>
      </c>
      <c r="L177" s="292">
        <v>2.41E-2</v>
      </c>
    </row>
    <row r="178" spans="1:12" ht="15.75" thickBot="1" x14ac:dyDescent="0.3">
      <c r="A178" s="291" t="s">
        <v>105</v>
      </c>
      <c r="B178" s="286" t="s">
        <v>103</v>
      </c>
      <c r="C178" s="286" t="s">
        <v>949</v>
      </c>
      <c r="D178" s="138" t="s">
        <v>105</v>
      </c>
      <c r="E178" s="286" t="s">
        <v>165</v>
      </c>
      <c r="F178" s="288" t="s">
        <v>103</v>
      </c>
      <c r="G178" s="288" t="s">
        <v>103</v>
      </c>
      <c r="H178" s="288" t="s">
        <v>103</v>
      </c>
      <c r="I178" s="288" t="s">
        <v>103</v>
      </c>
      <c r="J178" s="289">
        <v>-23548.58</v>
      </c>
      <c r="K178" s="288" t="s">
        <v>103</v>
      </c>
      <c r="L178" s="292">
        <v>-2.0000000000000001E-4</v>
      </c>
    </row>
    <row r="179" spans="1:12" ht="15.75" thickBot="1" x14ac:dyDescent="0.3">
      <c r="A179" s="291" t="s">
        <v>112</v>
      </c>
      <c r="B179" s="286" t="s">
        <v>399</v>
      </c>
      <c r="C179" s="286" t="s">
        <v>949</v>
      </c>
      <c r="D179" s="138" t="s">
        <v>1387</v>
      </c>
      <c r="E179" s="286" t="s">
        <v>165</v>
      </c>
      <c r="F179" s="287">
        <v>45992</v>
      </c>
      <c r="G179" s="288" t="s">
        <v>103</v>
      </c>
      <c r="H179" s="288">
        <v>131</v>
      </c>
      <c r="I179" s="289">
        <v>57934.37</v>
      </c>
      <c r="J179" s="289">
        <v>7589401.8499999996</v>
      </c>
      <c r="K179" s="288" t="s">
        <v>103</v>
      </c>
      <c r="L179" s="292">
        <v>7.5999999999999998E-2</v>
      </c>
    </row>
    <row r="180" spans="1:12" ht="15.75" thickBot="1" x14ac:dyDescent="0.3">
      <c r="A180" s="291" t="s">
        <v>112</v>
      </c>
      <c r="B180" s="286" t="s">
        <v>900</v>
      </c>
      <c r="C180" s="286" t="s">
        <v>949</v>
      </c>
      <c r="D180" s="138" t="s">
        <v>1388</v>
      </c>
      <c r="E180" s="286" t="s">
        <v>165</v>
      </c>
      <c r="F180" s="287">
        <v>45971</v>
      </c>
      <c r="G180" s="288" t="s">
        <v>103</v>
      </c>
      <c r="H180" s="288">
        <v>122</v>
      </c>
      <c r="I180" s="289">
        <v>58013.42</v>
      </c>
      <c r="J180" s="289">
        <v>7077637.8200000003</v>
      </c>
      <c r="K180" s="288" t="s">
        <v>103</v>
      </c>
      <c r="L180" s="292">
        <v>7.0900000000000005E-2</v>
      </c>
    </row>
    <row r="181" spans="1:12" ht="15.75" thickBot="1" x14ac:dyDescent="0.3">
      <c r="A181" s="291" t="s">
        <v>112</v>
      </c>
      <c r="B181" s="286" t="s">
        <v>193</v>
      </c>
      <c r="C181" s="286" t="s">
        <v>949</v>
      </c>
      <c r="D181" s="138" t="s">
        <v>1389</v>
      </c>
      <c r="E181" s="286" t="s">
        <v>604</v>
      </c>
      <c r="F181" s="287">
        <v>46020</v>
      </c>
      <c r="G181" s="288" t="s">
        <v>103</v>
      </c>
      <c r="H181" s="288">
        <v>134</v>
      </c>
      <c r="I181" s="289">
        <v>78265.06</v>
      </c>
      <c r="J181" s="289">
        <v>10487518.18</v>
      </c>
      <c r="K181" s="288" t="s">
        <v>103</v>
      </c>
      <c r="L181" s="292">
        <v>0.1051</v>
      </c>
    </row>
    <row r="182" spans="1:12" ht="15.75" thickBot="1" x14ac:dyDescent="0.3">
      <c r="A182" s="291" t="s">
        <v>131</v>
      </c>
      <c r="B182" s="286" t="s">
        <v>140</v>
      </c>
      <c r="C182" s="286" t="s">
        <v>949</v>
      </c>
      <c r="D182" s="138">
        <v>760199</v>
      </c>
      <c r="E182" s="286" t="s">
        <v>165</v>
      </c>
      <c r="F182" s="287">
        <v>47710</v>
      </c>
      <c r="G182" s="288" t="s">
        <v>103</v>
      </c>
      <c r="H182" s="288">
        <v>48</v>
      </c>
      <c r="I182" s="289">
        <v>4017.97</v>
      </c>
      <c r="J182" s="289">
        <v>192862.54</v>
      </c>
      <c r="K182" s="288" t="s">
        <v>103</v>
      </c>
      <c r="L182" s="292">
        <v>1.9E-3</v>
      </c>
    </row>
    <row r="183" spans="1:12" ht="15.75" thickBot="1" x14ac:dyDescent="0.3">
      <c r="A183" s="291" t="s">
        <v>488</v>
      </c>
      <c r="B183" s="286" t="s">
        <v>399</v>
      </c>
      <c r="C183" s="286" t="s">
        <v>949</v>
      </c>
      <c r="D183" s="138" t="s">
        <v>1029</v>
      </c>
      <c r="E183" s="286" t="s">
        <v>165</v>
      </c>
      <c r="F183" s="287">
        <v>45777</v>
      </c>
      <c r="G183" s="288" t="s">
        <v>103</v>
      </c>
      <c r="H183" s="290">
        <v>10000</v>
      </c>
      <c r="I183" s="289">
        <v>1090.74</v>
      </c>
      <c r="J183" s="289">
        <v>10907446</v>
      </c>
      <c r="K183" s="288" t="s">
        <v>103</v>
      </c>
      <c r="L183" s="292">
        <v>0.10929999999999999</v>
      </c>
    </row>
    <row r="184" spans="1:12" ht="15.75" thickBot="1" x14ac:dyDescent="0.3">
      <c r="A184" s="291" t="s">
        <v>488</v>
      </c>
      <c r="B184" s="286" t="s">
        <v>341</v>
      </c>
      <c r="C184" s="286" t="s">
        <v>949</v>
      </c>
      <c r="D184" s="138" t="s">
        <v>1028</v>
      </c>
      <c r="E184" s="286" t="s">
        <v>165</v>
      </c>
      <c r="F184" s="287">
        <v>46146</v>
      </c>
      <c r="G184" s="288" t="s">
        <v>103</v>
      </c>
      <c r="H184" s="290">
        <v>15000</v>
      </c>
      <c r="I184" s="289">
        <v>1092.3699999999999</v>
      </c>
      <c r="J184" s="289">
        <v>16385600.550000001</v>
      </c>
      <c r="K184" s="288" t="s">
        <v>103</v>
      </c>
      <c r="L184" s="292">
        <v>0.1641</v>
      </c>
    </row>
    <row r="185" spans="1:12" ht="15.75" thickBot="1" x14ac:dyDescent="0.3">
      <c r="A185" s="291" t="s">
        <v>488</v>
      </c>
      <c r="B185" s="286" t="s">
        <v>341</v>
      </c>
      <c r="C185" s="286" t="s">
        <v>949</v>
      </c>
      <c r="D185" s="138" t="s">
        <v>1074</v>
      </c>
      <c r="E185" s="286" t="s">
        <v>165</v>
      </c>
      <c r="F185" s="287">
        <v>45923</v>
      </c>
      <c r="G185" s="288" t="s">
        <v>103</v>
      </c>
      <c r="H185" s="290">
        <v>5000</v>
      </c>
      <c r="I185" s="289">
        <v>1048.3399999999999</v>
      </c>
      <c r="J185" s="289">
        <v>5241703.05</v>
      </c>
      <c r="K185" s="288" t="s">
        <v>103</v>
      </c>
      <c r="L185" s="292">
        <v>5.2499999999999998E-2</v>
      </c>
    </row>
    <row r="186" spans="1:12" ht="15.75" thickBot="1" x14ac:dyDescent="0.3">
      <c r="A186" s="291" t="s">
        <v>488</v>
      </c>
      <c r="B186" s="286" t="s">
        <v>805</v>
      </c>
      <c r="C186" s="286" t="s">
        <v>949</v>
      </c>
      <c r="D186" s="138" t="s">
        <v>1026</v>
      </c>
      <c r="E186" s="286" t="s">
        <v>165</v>
      </c>
      <c r="F186" s="287">
        <v>45776</v>
      </c>
      <c r="G186" s="288" t="s">
        <v>103</v>
      </c>
      <c r="H186" s="290">
        <v>15000</v>
      </c>
      <c r="I186" s="289">
        <v>1093.1400000000001</v>
      </c>
      <c r="J186" s="289">
        <v>16397040.75</v>
      </c>
      <c r="K186" s="288" t="s">
        <v>103</v>
      </c>
      <c r="L186" s="292">
        <v>0.1643</v>
      </c>
    </row>
    <row r="187" spans="1:12" ht="15.75" thickBot="1" x14ac:dyDescent="0.3">
      <c r="A187" s="291" t="s">
        <v>488</v>
      </c>
      <c r="B187" s="286" t="s">
        <v>805</v>
      </c>
      <c r="C187" s="286" t="s">
        <v>949</v>
      </c>
      <c r="D187" s="138" t="s">
        <v>1059</v>
      </c>
      <c r="E187" s="286" t="s">
        <v>165</v>
      </c>
      <c r="F187" s="287">
        <v>45825</v>
      </c>
      <c r="G187" s="288" t="s">
        <v>103</v>
      </c>
      <c r="H187" s="290">
        <v>9000</v>
      </c>
      <c r="I187" s="289">
        <v>1078.8699999999999</v>
      </c>
      <c r="J187" s="289">
        <v>9709817.3100000005</v>
      </c>
      <c r="K187" s="288" t="s">
        <v>103</v>
      </c>
      <c r="L187" s="292">
        <v>9.7299999999999998E-2</v>
      </c>
    </row>
    <row r="188" spans="1:12" ht="15.75" thickBot="1" x14ac:dyDescent="0.3">
      <c r="A188" s="291" t="s">
        <v>144</v>
      </c>
      <c r="B188" s="286" t="s">
        <v>103</v>
      </c>
      <c r="C188" s="286" t="s">
        <v>949</v>
      </c>
      <c r="D188" s="138" t="s">
        <v>144</v>
      </c>
      <c r="E188" s="286" t="s">
        <v>165</v>
      </c>
      <c r="F188" s="288" t="s">
        <v>103</v>
      </c>
      <c r="G188" s="288" t="s">
        <v>103</v>
      </c>
      <c r="H188" s="288" t="s">
        <v>103</v>
      </c>
      <c r="I188" s="288" t="s">
        <v>103</v>
      </c>
      <c r="J188" s="289">
        <v>0</v>
      </c>
      <c r="K188" s="288" t="s">
        <v>103</v>
      </c>
      <c r="L188" s="292">
        <v>0</v>
      </c>
    </row>
    <row r="189" spans="1:12" ht="15.75" thickBot="1" x14ac:dyDescent="0.3">
      <c r="A189" s="291" t="s">
        <v>105</v>
      </c>
      <c r="B189" s="286" t="s">
        <v>103</v>
      </c>
      <c r="C189" s="286" t="s">
        <v>106</v>
      </c>
      <c r="D189" s="138" t="s">
        <v>105</v>
      </c>
      <c r="E189" s="286" t="s">
        <v>165</v>
      </c>
      <c r="F189" s="288" t="s">
        <v>103</v>
      </c>
      <c r="G189" s="288" t="s">
        <v>103</v>
      </c>
      <c r="H189" s="288" t="s">
        <v>103</v>
      </c>
      <c r="I189" s="288" t="s">
        <v>103</v>
      </c>
      <c r="J189" s="289">
        <v>1181.08</v>
      </c>
      <c r="K189" s="288" t="s">
        <v>103</v>
      </c>
      <c r="L189" s="292">
        <v>2.5999999999999999E-3</v>
      </c>
    </row>
    <row r="190" spans="1:12" ht="15.75" thickBot="1" x14ac:dyDescent="0.3">
      <c r="A190" s="291" t="s">
        <v>127</v>
      </c>
      <c r="B190" s="286" t="s">
        <v>1359</v>
      </c>
      <c r="C190" s="286" t="s">
        <v>106</v>
      </c>
      <c r="D190" s="138" t="s">
        <v>210</v>
      </c>
      <c r="E190" s="286" t="s">
        <v>165</v>
      </c>
      <c r="F190" s="287">
        <v>48531</v>
      </c>
      <c r="G190" s="288" t="s">
        <v>103</v>
      </c>
      <c r="H190" s="290">
        <v>3528</v>
      </c>
      <c r="I190" s="289">
        <v>56.46</v>
      </c>
      <c r="J190" s="289">
        <v>199203.73</v>
      </c>
      <c r="K190" s="288" t="s">
        <v>103</v>
      </c>
      <c r="L190" s="292">
        <v>0.441</v>
      </c>
    </row>
    <row r="191" spans="1:12" ht="15.75" thickBot="1" x14ac:dyDescent="0.3">
      <c r="A191" s="291" t="s">
        <v>127</v>
      </c>
      <c r="B191" s="286" t="s">
        <v>1359</v>
      </c>
      <c r="C191" s="286" t="s">
        <v>106</v>
      </c>
      <c r="D191" s="138" t="s">
        <v>1181</v>
      </c>
      <c r="E191" s="286" t="s">
        <v>165</v>
      </c>
      <c r="F191" s="287">
        <v>46630</v>
      </c>
      <c r="G191" s="288" t="s">
        <v>103</v>
      </c>
      <c r="H191" s="290">
        <v>12276</v>
      </c>
      <c r="I191" s="289">
        <v>7.96</v>
      </c>
      <c r="J191" s="289">
        <v>97716.96</v>
      </c>
      <c r="K191" s="288" t="s">
        <v>103</v>
      </c>
      <c r="L191" s="292">
        <v>0.21629999999999999</v>
      </c>
    </row>
    <row r="192" spans="1:12" ht="15.75" thickBot="1" x14ac:dyDescent="0.3">
      <c r="A192" s="291" t="s">
        <v>127</v>
      </c>
      <c r="B192" s="286" t="s">
        <v>1359</v>
      </c>
      <c r="C192" s="286" t="s">
        <v>106</v>
      </c>
      <c r="D192" s="138" t="s">
        <v>1182</v>
      </c>
      <c r="E192" s="286" t="s">
        <v>165</v>
      </c>
      <c r="F192" s="287">
        <v>50357</v>
      </c>
      <c r="G192" s="288" t="s">
        <v>103</v>
      </c>
      <c r="H192" s="290">
        <v>1481</v>
      </c>
      <c r="I192" s="289">
        <v>26.66</v>
      </c>
      <c r="J192" s="289">
        <v>39483.61</v>
      </c>
      <c r="K192" s="288" t="s">
        <v>103</v>
      </c>
      <c r="L192" s="292">
        <v>8.7400000000000005E-2</v>
      </c>
    </row>
    <row r="193" spans="1:12" ht="15.75" thickBot="1" x14ac:dyDescent="0.3">
      <c r="A193" s="291" t="s">
        <v>127</v>
      </c>
      <c r="B193" s="286" t="s">
        <v>473</v>
      </c>
      <c r="C193" s="286" t="s">
        <v>106</v>
      </c>
      <c r="D193" s="138" t="s">
        <v>1121</v>
      </c>
      <c r="E193" s="286" t="s">
        <v>165</v>
      </c>
      <c r="F193" s="287">
        <v>47325</v>
      </c>
      <c r="G193" s="288" t="s">
        <v>103</v>
      </c>
      <c r="H193" s="288">
        <v>357</v>
      </c>
      <c r="I193" s="289">
        <v>43.35</v>
      </c>
      <c r="J193" s="289">
        <v>15476.33</v>
      </c>
      <c r="K193" s="288" t="s">
        <v>103</v>
      </c>
      <c r="L193" s="292">
        <v>3.4299999999999997E-2</v>
      </c>
    </row>
    <row r="194" spans="1:12" ht="15.75" thickBot="1" x14ac:dyDescent="0.3">
      <c r="A194" s="291" t="s">
        <v>131</v>
      </c>
      <c r="B194" s="286" t="s">
        <v>140</v>
      </c>
      <c r="C194" s="286" t="s">
        <v>106</v>
      </c>
      <c r="D194" s="138">
        <v>760199</v>
      </c>
      <c r="E194" s="286" t="s">
        <v>165</v>
      </c>
      <c r="F194" s="287">
        <v>48441</v>
      </c>
      <c r="G194" s="288" t="s">
        <v>103</v>
      </c>
      <c r="H194" s="288">
        <v>24</v>
      </c>
      <c r="I194" s="289">
        <v>3888.71</v>
      </c>
      <c r="J194" s="289">
        <v>93329.01</v>
      </c>
      <c r="K194" s="288" t="s">
        <v>103</v>
      </c>
      <c r="L194" s="292">
        <v>0.20660000000000001</v>
      </c>
    </row>
    <row r="195" spans="1:12" ht="15.75" thickBot="1" x14ac:dyDescent="0.3">
      <c r="A195" s="291" t="s">
        <v>144</v>
      </c>
      <c r="B195" s="286" t="s">
        <v>103</v>
      </c>
      <c r="C195" s="286" t="s">
        <v>106</v>
      </c>
      <c r="D195" s="138" t="s">
        <v>144</v>
      </c>
      <c r="E195" s="286" t="s">
        <v>165</v>
      </c>
      <c r="F195" s="288" t="s">
        <v>103</v>
      </c>
      <c r="G195" s="288" t="s">
        <v>103</v>
      </c>
      <c r="H195" s="288" t="s">
        <v>103</v>
      </c>
      <c r="I195" s="288" t="s">
        <v>103</v>
      </c>
      <c r="J195" s="289">
        <v>0</v>
      </c>
      <c r="K195" s="288" t="s">
        <v>103</v>
      </c>
      <c r="L195" s="292">
        <v>0</v>
      </c>
    </row>
    <row r="196" spans="1:12" ht="15.75" thickBot="1" x14ac:dyDescent="0.3">
      <c r="A196" s="291" t="s">
        <v>132</v>
      </c>
      <c r="B196" s="286" t="s">
        <v>1024</v>
      </c>
      <c r="C196" s="286" t="s">
        <v>106</v>
      </c>
      <c r="D196" s="138" t="s">
        <v>1023</v>
      </c>
      <c r="E196" s="286" t="s">
        <v>165</v>
      </c>
      <c r="F196" s="288" t="s">
        <v>103</v>
      </c>
      <c r="G196" s="288" t="s">
        <v>103</v>
      </c>
      <c r="H196" s="288">
        <v>360</v>
      </c>
      <c r="I196" s="289">
        <v>5.55</v>
      </c>
      <c r="J196" s="289">
        <v>1998</v>
      </c>
      <c r="K196" s="288" t="s">
        <v>103</v>
      </c>
      <c r="L196" s="292">
        <v>4.4000000000000003E-3</v>
      </c>
    </row>
    <row r="197" spans="1:12" ht="15.75" thickBot="1" x14ac:dyDescent="0.3">
      <c r="A197" s="291" t="s">
        <v>132</v>
      </c>
      <c r="B197" s="286" t="s">
        <v>473</v>
      </c>
      <c r="C197" s="286" t="s">
        <v>106</v>
      </c>
      <c r="D197" s="138" t="s">
        <v>1022</v>
      </c>
      <c r="E197" s="286" t="s">
        <v>165</v>
      </c>
      <c r="F197" s="288" t="s">
        <v>103</v>
      </c>
      <c r="G197" s="288" t="s">
        <v>103</v>
      </c>
      <c r="H197" s="288">
        <v>599</v>
      </c>
      <c r="I197" s="289">
        <v>5.54</v>
      </c>
      <c r="J197" s="289">
        <v>3319.95</v>
      </c>
      <c r="K197" s="288" t="s">
        <v>103</v>
      </c>
      <c r="L197" s="292">
        <v>7.3000000000000001E-3</v>
      </c>
    </row>
    <row r="198" spans="1:12" ht="15.75" thickBot="1" x14ac:dyDescent="0.3">
      <c r="A198" s="291" t="s">
        <v>105</v>
      </c>
      <c r="B198" s="286" t="s">
        <v>103</v>
      </c>
      <c r="C198" s="286" t="s">
        <v>104</v>
      </c>
      <c r="D198" s="138" t="s">
        <v>105</v>
      </c>
      <c r="E198" s="286" t="s">
        <v>165</v>
      </c>
      <c r="F198" s="288" t="s">
        <v>103</v>
      </c>
      <c r="G198" s="288" t="s">
        <v>103</v>
      </c>
      <c r="H198" s="288" t="s">
        <v>103</v>
      </c>
      <c r="I198" s="288" t="s">
        <v>103</v>
      </c>
      <c r="J198" s="289">
        <v>552430.02</v>
      </c>
      <c r="K198" s="288" t="s">
        <v>103</v>
      </c>
      <c r="L198" s="292">
        <v>1.9199999999999998E-2</v>
      </c>
    </row>
    <row r="199" spans="1:12" ht="15.75" thickBot="1" x14ac:dyDescent="0.3">
      <c r="A199" s="291" t="s">
        <v>131</v>
      </c>
      <c r="B199" s="286" t="s">
        <v>140</v>
      </c>
      <c r="C199" s="286" t="s">
        <v>104</v>
      </c>
      <c r="D199" s="138">
        <v>760199</v>
      </c>
      <c r="E199" s="286" t="s">
        <v>165</v>
      </c>
      <c r="F199" s="287">
        <v>49444</v>
      </c>
      <c r="G199" s="288" t="s">
        <v>103</v>
      </c>
      <c r="H199" s="288">
        <v>45</v>
      </c>
      <c r="I199" s="289">
        <v>3877.19</v>
      </c>
      <c r="J199" s="289">
        <v>174473.58</v>
      </c>
      <c r="K199" s="288" t="s">
        <v>103</v>
      </c>
      <c r="L199" s="292">
        <v>6.1000000000000004E-3</v>
      </c>
    </row>
    <row r="200" spans="1:12" ht="15.75" thickBot="1" x14ac:dyDescent="0.3">
      <c r="A200" s="291" t="s">
        <v>144</v>
      </c>
      <c r="B200" s="286" t="s">
        <v>103</v>
      </c>
      <c r="C200" s="286" t="s">
        <v>104</v>
      </c>
      <c r="D200" s="138" t="s">
        <v>144</v>
      </c>
      <c r="E200" s="286" t="s">
        <v>165</v>
      </c>
      <c r="F200" s="288" t="s">
        <v>103</v>
      </c>
      <c r="G200" s="288" t="s">
        <v>103</v>
      </c>
      <c r="H200" s="288" t="s">
        <v>103</v>
      </c>
      <c r="I200" s="288" t="s">
        <v>103</v>
      </c>
      <c r="J200" s="289">
        <v>0</v>
      </c>
      <c r="K200" s="288" t="s">
        <v>103</v>
      </c>
      <c r="L200" s="292">
        <v>0</v>
      </c>
    </row>
    <row r="201" spans="1:12" ht="15.75" thickBot="1" x14ac:dyDescent="0.3">
      <c r="A201" s="291" t="s">
        <v>132</v>
      </c>
      <c r="B201" s="286" t="s">
        <v>1025</v>
      </c>
      <c r="C201" s="286" t="s">
        <v>104</v>
      </c>
      <c r="D201" s="138" t="s">
        <v>982</v>
      </c>
      <c r="E201" s="286" t="s">
        <v>165</v>
      </c>
      <c r="F201" s="288" t="s">
        <v>103</v>
      </c>
      <c r="G201" s="288" t="s">
        <v>103</v>
      </c>
      <c r="H201" s="290">
        <v>550000</v>
      </c>
      <c r="I201" s="289">
        <v>6.19</v>
      </c>
      <c r="J201" s="289">
        <v>3404500</v>
      </c>
      <c r="K201" s="288" t="s">
        <v>103</v>
      </c>
      <c r="L201" s="292">
        <v>0.1181</v>
      </c>
    </row>
    <row r="202" spans="1:12" ht="15.75" thickBot="1" x14ac:dyDescent="0.3">
      <c r="A202" s="291" t="s">
        <v>132</v>
      </c>
      <c r="B202" s="286" t="s">
        <v>133</v>
      </c>
      <c r="C202" s="286" t="s">
        <v>104</v>
      </c>
      <c r="D202" s="138" t="s">
        <v>948</v>
      </c>
      <c r="E202" s="286" t="s">
        <v>165</v>
      </c>
      <c r="F202" s="288" t="s">
        <v>103</v>
      </c>
      <c r="G202" s="288" t="s">
        <v>103</v>
      </c>
      <c r="H202" s="290">
        <v>60000</v>
      </c>
      <c r="I202" s="289">
        <v>20.77</v>
      </c>
      <c r="J202" s="289">
        <v>1246200</v>
      </c>
      <c r="K202" s="288" t="s">
        <v>103</v>
      </c>
      <c r="L202" s="292">
        <v>4.3200000000000002E-2</v>
      </c>
    </row>
    <row r="203" spans="1:12" ht="15.75" thickBot="1" x14ac:dyDescent="0.3">
      <c r="A203" s="291" t="s">
        <v>132</v>
      </c>
      <c r="B203" s="286" t="s">
        <v>295</v>
      </c>
      <c r="C203" s="286" t="s">
        <v>104</v>
      </c>
      <c r="D203" s="138" t="s">
        <v>273</v>
      </c>
      <c r="E203" s="286" t="s">
        <v>165</v>
      </c>
      <c r="F203" s="288" t="s">
        <v>103</v>
      </c>
      <c r="G203" s="288" t="s">
        <v>103</v>
      </c>
      <c r="H203" s="290">
        <v>1000000</v>
      </c>
      <c r="I203" s="289">
        <v>3.4</v>
      </c>
      <c r="J203" s="289">
        <v>3400000</v>
      </c>
      <c r="K203" s="288" t="s">
        <v>103</v>
      </c>
      <c r="L203" s="292">
        <v>0.1179</v>
      </c>
    </row>
    <row r="204" spans="1:12" ht="15.75" thickBot="1" x14ac:dyDescent="0.3">
      <c r="A204" s="291" t="s">
        <v>132</v>
      </c>
      <c r="B204" s="286" t="s">
        <v>208</v>
      </c>
      <c r="C204" s="286" t="s">
        <v>104</v>
      </c>
      <c r="D204" s="138" t="s">
        <v>1147</v>
      </c>
      <c r="E204" s="286" t="s">
        <v>165</v>
      </c>
      <c r="F204" s="288" t="s">
        <v>103</v>
      </c>
      <c r="G204" s="288" t="s">
        <v>103</v>
      </c>
      <c r="H204" s="288">
        <v>0</v>
      </c>
      <c r="I204" s="288" t="s">
        <v>103</v>
      </c>
      <c r="J204" s="289">
        <v>0</v>
      </c>
      <c r="K204" s="288" t="s">
        <v>103</v>
      </c>
      <c r="L204" s="292">
        <v>0</v>
      </c>
    </row>
    <row r="205" spans="1:12" ht="15.75" thickBot="1" x14ac:dyDescent="0.3">
      <c r="A205" s="291" t="s">
        <v>132</v>
      </c>
      <c r="B205" s="286" t="s">
        <v>1410</v>
      </c>
      <c r="C205" s="286" t="s">
        <v>104</v>
      </c>
      <c r="D205" s="138" t="s">
        <v>965</v>
      </c>
      <c r="E205" s="286" t="s">
        <v>165</v>
      </c>
      <c r="F205" s="288" t="s">
        <v>103</v>
      </c>
      <c r="G205" s="288" t="s">
        <v>103</v>
      </c>
      <c r="H205" s="290">
        <v>900000</v>
      </c>
      <c r="I205" s="289">
        <v>3.66</v>
      </c>
      <c r="J205" s="289">
        <v>3294000</v>
      </c>
      <c r="K205" s="288" t="s">
        <v>103</v>
      </c>
      <c r="L205" s="292">
        <v>0.1142</v>
      </c>
    </row>
    <row r="206" spans="1:12" ht="15.75" thickBot="1" x14ac:dyDescent="0.3">
      <c r="A206" s="291" t="s">
        <v>132</v>
      </c>
      <c r="B206" s="286" t="s">
        <v>931</v>
      </c>
      <c r="C206" s="286" t="s">
        <v>104</v>
      </c>
      <c r="D206" s="138" t="s">
        <v>932</v>
      </c>
      <c r="E206" s="286" t="s">
        <v>165</v>
      </c>
      <c r="F206" s="288" t="s">
        <v>103</v>
      </c>
      <c r="G206" s="288" t="s">
        <v>103</v>
      </c>
      <c r="H206" s="290">
        <v>850000</v>
      </c>
      <c r="I206" s="289">
        <v>3.69</v>
      </c>
      <c r="J206" s="289">
        <v>3136500</v>
      </c>
      <c r="K206" s="288" t="s">
        <v>103</v>
      </c>
      <c r="L206" s="292">
        <v>0.10879999999999999</v>
      </c>
    </row>
    <row r="207" spans="1:12" ht="15.75" thickBot="1" x14ac:dyDescent="0.3">
      <c r="A207" s="291" t="s">
        <v>132</v>
      </c>
      <c r="B207" s="286" t="s">
        <v>232</v>
      </c>
      <c r="C207" s="286" t="s">
        <v>104</v>
      </c>
      <c r="D207" s="138" t="s">
        <v>515</v>
      </c>
      <c r="E207" s="286" t="s">
        <v>165</v>
      </c>
      <c r="F207" s="288" t="s">
        <v>103</v>
      </c>
      <c r="G207" s="288" t="s">
        <v>103</v>
      </c>
      <c r="H207" s="290">
        <v>200000</v>
      </c>
      <c r="I207" s="289">
        <v>13.14</v>
      </c>
      <c r="J207" s="289">
        <v>2628000</v>
      </c>
      <c r="K207" s="288" t="s">
        <v>103</v>
      </c>
      <c r="L207" s="292">
        <v>9.11E-2</v>
      </c>
    </row>
    <row r="208" spans="1:12" ht="15.75" thickBot="1" x14ac:dyDescent="0.3">
      <c r="A208" s="291" t="s">
        <v>132</v>
      </c>
      <c r="B208" s="286" t="s">
        <v>156</v>
      </c>
      <c r="C208" s="286" t="s">
        <v>104</v>
      </c>
      <c r="D208" s="138" t="s">
        <v>516</v>
      </c>
      <c r="E208" s="286" t="s">
        <v>165</v>
      </c>
      <c r="F208" s="288" t="s">
        <v>103</v>
      </c>
      <c r="G208" s="288" t="s">
        <v>103</v>
      </c>
      <c r="H208" s="290">
        <v>400000</v>
      </c>
      <c r="I208" s="289">
        <v>7.12</v>
      </c>
      <c r="J208" s="289">
        <v>2848000</v>
      </c>
      <c r="K208" s="288" t="s">
        <v>103</v>
      </c>
      <c r="L208" s="292">
        <v>9.8799999999999999E-2</v>
      </c>
    </row>
    <row r="209" spans="1:12" ht="15.75" thickBot="1" x14ac:dyDescent="0.3">
      <c r="A209" s="291" t="s">
        <v>132</v>
      </c>
      <c r="B209" s="286" t="s">
        <v>917</v>
      </c>
      <c r="C209" s="286" t="s">
        <v>104</v>
      </c>
      <c r="D209" s="138" t="s">
        <v>918</v>
      </c>
      <c r="E209" s="286" t="s">
        <v>165</v>
      </c>
      <c r="F209" s="288" t="s">
        <v>103</v>
      </c>
      <c r="G209" s="288" t="s">
        <v>103</v>
      </c>
      <c r="H209" s="290">
        <v>3000000</v>
      </c>
      <c r="I209" s="289">
        <v>1.59</v>
      </c>
      <c r="J209" s="289">
        <v>4770000</v>
      </c>
      <c r="K209" s="288" t="s">
        <v>103</v>
      </c>
      <c r="L209" s="292">
        <v>0.16539999999999999</v>
      </c>
    </row>
    <row r="210" spans="1:12" ht="15.75" thickBot="1" x14ac:dyDescent="0.3">
      <c r="A210" s="291" t="s">
        <v>132</v>
      </c>
      <c r="B210" s="286" t="s">
        <v>802</v>
      </c>
      <c r="C210" s="286" t="s">
        <v>104</v>
      </c>
      <c r="D210" s="138" t="s">
        <v>803</v>
      </c>
      <c r="E210" s="286" t="s">
        <v>165</v>
      </c>
      <c r="F210" s="288" t="s">
        <v>103</v>
      </c>
      <c r="G210" s="288" t="s">
        <v>103</v>
      </c>
      <c r="H210" s="290">
        <v>1800000</v>
      </c>
      <c r="I210" s="289">
        <v>1.88</v>
      </c>
      <c r="J210" s="289">
        <v>3384000</v>
      </c>
      <c r="K210" s="288" t="s">
        <v>103</v>
      </c>
      <c r="L210" s="292">
        <v>0.1173</v>
      </c>
    </row>
    <row r="211" spans="1:12" ht="15.75" thickBot="1" x14ac:dyDescent="0.3">
      <c r="A211" s="291" t="s">
        <v>99</v>
      </c>
      <c r="B211" s="286" t="s">
        <v>140</v>
      </c>
      <c r="C211" s="286" t="s">
        <v>100</v>
      </c>
      <c r="D211" s="138" t="s">
        <v>1227</v>
      </c>
      <c r="E211" s="286" t="s">
        <v>1228</v>
      </c>
      <c r="F211" s="287">
        <v>47635</v>
      </c>
      <c r="G211" s="288" t="s">
        <v>103</v>
      </c>
      <c r="H211" s="290">
        <v>1250</v>
      </c>
      <c r="I211" s="289">
        <v>16013.83</v>
      </c>
      <c r="J211" s="289">
        <v>20017286.010000002</v>
      </c>
      <c r="K211" s="288" t="s">
        <v>103</v>
      </c>
      <c r="L211" s="292">
        <v>3.9399999999999998E-2</v>
      </c>
    </row>
    <row r="212" spans="1:12" ht="15.75" thickBot="1" x14ac:dyDescent="0.3">
      <c r="A212" s="291" t="s">
        <v>99</v>
      </c>
      <c r="B212" s="286" t="s">
        <v>140</v>
      </c>
      <c r="C212" s="286" t="s">
        <v>100</v>
      </c>
      <c r="D212" s="138" t="s">
        <v>188</v>
      </c>
      <c r="E212" s="286" t="s">
        <v>933</v>
      </c>
      <c r="F212" s="287">
        <v>46266</v>
      </c>
      <c r="G212" s="288" t="s">
        <v>103</v>
      </c>
      <c r="H212" s="288">
        <v>322</v>
      </c>
      <c r="I212" s="289">
        <v>16113.97</v>
      </c>
      <c r="J212" s="289">
        <v>5188696.93</v>
      </c>
      <c r="K212" s="288" t="s">
        <v>103</v>
      </c>
      <c r="L212" s="292">
        <v>1.0200000000000001E-2</v>
      </c>
    </row>
    <row r="213" spans="1:12" ht="15.75" thickBot="1" x14ac:dyDescent="0.3">
      <c r="A213" s="291" t="s">
        <v>1131</v>
      </c>
      <c r="B213" s="286" t="s">
        <v>201</v>
      </c>
      <c r="C213" s="286" t="s">
        <v>100</v>
      </c>
      <c r="D213" s="138" t="s">
        <v>1360</v>
      </c>
      <c r="E213" s="286" t="s">
        <v>165</v>
      </c>
      <c r="F213" s="287">
        <v>46042</v>
      </c>
      <c r="G213" s="288" t="s">
        <v>103</v>
      </c>
      <c r="H213" s="290">
        <v>1336</v>
      </c>
      <c r="I213" s="289">
        <v>1013.42</v>
      </c>
      <c r="J213" s="289">
        <v>1353929.01</v>
      </c>
      <c r="K213" s="288" t="s">
        <v>103</v>
      </c>
      <c r="L213" s="292">
        <v>2.7000000000000001E-3</v>
      </c>
    </row>
    <row r="214" spans="1:12" ht="15.75" thickBot="1" x14ac:dyDescent="0.3">
      <c r="A214" s="291" t="s">
        <v>105</v>
      </c>
      <c r="B214" s="286" t="s">
        <v>103</v>
      </c>
      <c r="C214" s="286" t="s">
        <v>100</v>
      </c>
      <c r="D214" s="138" t="s">
        <v>105</v>
      </c>
      <c r="E214" s="286" t="s">
        <v>165</v>
      </c>
      <c r="F214" s="288" t="s">
        <v>103</v>
      </c>
      <c r="G214" s="288" t="s">
        <v>103</v>
      </c>
      <c r="H214" s="288" t="s">
        <v>103</v>
      </c>
      <c r="I214" s="288" t="s">
        <v>103</v>
      </c>
      <c r="J214" s="289">
        <v>-5482222.0599999996</v>
      </c>
      <c r="K214" s="288" t="s">
        <v>103</v>
      </c>
      <c r="L214" s="292">
        <v>-1.0800000000000001E-2</v>
      </c>
    </row>
    <row r="215" spans="1:12" ht="15.75" thickBot="1" x14ac:dyDescent="0.3">
      <c r="A215" s="291" t="s">
        <v>134</v>
      </c>
      <c r="B215" s="286" t="s">
        <v>219</v>
      </c>
      <c r="C215" s="286" t="s">
        <v>100</v>
      </c>
      <c r="D215" s="138" t="s">
        <v>11</v>
      </c>
      <c r="E215" s="286" t="s">
        <v>538</v>
      </c>
      <c r="F215" s="287">
        <v>46395</v>
      </c>
      <c r="G215" s="288" t="s">
        <v>103</v>
      </c>
      <c r="H215" s="288">
        <v>11</v>
      </c>
      <c r="I215" s="289">
        <v>695864.12</v>
      </c>
      <c r="J215" s="289">
        <v>7654505.3200000003</v>
      </c>
      <c r="K215" s="288" t="s">
        <v>103</v>
      </c>
      <c r="L215" s="292">
        <v>1.5100000000000001E-2</v>
      </c>
    </row>
    <row r="216" spans="1:12" ht="15.75" thickBot="1" x14ac:dyDescent="0.3">
      <c r="A216" s="291" t="s">
        <v>134</v>
      </c>
      <c r="B216" s="286" t="s">
        <v>219</v>
      </c>
      <c r="C216" s="286" t="s">
        <v>100</v>
      </c>
      <c r="D216" s="138" t="s">
        <v>970</v>
      </c>
      <c r="E216" s="286" t="s">
        <v>165</v>
      </c>
      <c r="F216" s="287">
        <v>46181</v>
      </c>
      <c r="G216" s="288" t="s">
        <v>103</v>
      </c>
      <c r="H216" s="288">
        <v>1</v>
      </c>
      <c r="I216" s="289">
        <v>664678.98</v>
      </c>
      <c r="J216" s="289">
        <v>664678.98</v>
      </c>
      <c r="K216" s="288" t="s">
        <v>103</v>
      </c>
      <c r="L216" s="292">
        <v>1.2999999999999999E-3</v>
      </c>
    </row>
    <row r="217" spans="1:12" ht="15.75" thickBot="1" x14ac:dyDescent="0.3">
      <c r="A217" s="291" t="s">
        <v>134</v>
      </c>
      <c r="B217" s="286" t="s">
        <v>1136</v>
      </c>
      <c r="C217" s="286" t="s">
        <v>100</v>
      </c>
      <c r="D217" s="138" t="s">
        <v>1137</v>
      </c>
      <c r="E217" s="286" t="s">
        <v>165</v>
      </c>
      <c r="F217" s="287">
        <v>49252</v>
      </c>
      <c r="G217" s="288" t="s">
        <v>103</v>
      </c>
      <c r="H217" s="288">
        <v>2</v>
      </c>
      <c r="I217" s="289">
        <v>311677.68</v>
      </c>
      <c r="J217" s="289">
        <v>623355.36</v>
      </c>
      <c r="K217" s="288" t="s">
        <v>103</v>
      </c>
      <c r="L217" s="292">
        <v>1.1999999999999999E-3</v>
      </c>
    </row>
    <row r="218" spans="1:12" ht="15.75" thickBot="1" x14ac:dyDescent="0.3">
      <c r="A218" s="291" t="s">
        <v>134</v>
      </c>
      <c r="B218" s="286" t="s">
        <v>191</v>
      </c>
      <c r="C218" s="286" t="s">
        <v>100</v>
      </c>
      <c r="D218" s="138" t="s">
        <v>192</v>
      </c>
      <c r="E218" s="286" t="s">
        <v>833</v>
      </c>
      <c r="F218" s="287">
        <v>46904</v>
      </c>
      <c r="G218" s="288" t="s">
        <v>103</v>
      </c>
      <c r="H218" s="288">
        <v>35</v>
      </c>
      <c r="I218" s="289">
        <v>534022.09</v>
      </c>
      <c r="J218" s="289">
        <v>18690773.280000001</v>
      </c>
      <c r="K218" s="288" t="s">
        <v>103</v>
      </c>
      <c r="L218" s="292">
        <v>3.6799999999999999E-2</v>
      </c>
    </row>
    <row r="219" spans="1:12" ht="15.75" thickBot="1" x14ac:dyDescent="0.3">
      <c r="A219" s="291" t="s">
        <v>134</v>
      </c>
      <c r="B219" s="286" t="s">
        <v>490</v>
      </c>
      <c r="C219" s="286" t="s">
        <v>100</v>
      </c>
      <c r="D219" s="138" t="s">
        <v>491</v>
      </c>
      <c r="E219" s="286" t="s">
        <v>545</v>
      </c>
      <c r="F219" s="287">
        <v>46720</v>
      </c>
      <c r="G219" s="288" t="s">
        <v>103</v>
      </c>
      <c r="H219" s="288">
        <v>8</v>
      </c>
      <c r="I219" s="289">
        <v>704805.05</v>
      </c>
      <c r="J219" s="289">
        <v>5638440.4100000001</v>
      </c>
      <c r="K219" s="288" t="s">
        <v>103</v>
      </c>
      <c r="L219" s="292">
        <v>1.11E-2</v>
      </c>
    </row>
    <row r="220" spans="1:12" ht="15.75" thickBot="1" x14ac:dyDescent="0.3">
      <c r="A220" s="291" t="s">
        <v>134</v>
      </c>
      <c r="B220" s="286" t="s">
        <v>368</v>
      </c>
      <c r="C220" s="286" t="s">
        <v>100</v>
      </c>
      <c r="D220" s="138" t="s">
        <v>1187</v>
      </c>
      <c r="E220" s="286" t="s">
        <v>537</v>
      </c>
      <c r="F220" s="287">
        <v>46199</v>
      </c>
      <c r="G220" s="288" t="s">
        <v>103</v>
      </c>
      <c r="H220" s="288">
        <v>1</v>
      </c>
      <c r="I220" s="289">
        <v>879416.83</v>
      </c>
      <c r="J220" s="289">
        <v>879416.83</v>
      </c>
      <c r="K220" s="288" t="s">
        <v>103</v>
      </c>
      <c r="L220" s="292">
        <v>1.6999999999999999E-3</v>
      </c>
    </row>
    <row r="221" spans="1:12" ht="15.75" thickBot="1" x14ac:dyDescent="0.3">
      <c r="A221" s="291" t="s">
        <v>134</v>
      </c>
      <c r="B221" s="286" t="s">
        <v>190</v>
      </c>
      <c r="C221" s="286" t="s">
        <v>100</v>
      </c>
      <c r="D221" s="138" t="s">
        <v>195</v>
      </c>
      <c r="E221" s="286" t="s">
        <v>806</v>
      </c>
      <c r="F221" s="287">
        <v>45828</v>
      </c>
      <c r="G221" s="288" t="s">
        <v>103</v>
      </c>
      <c r="H221" s="288">
        <v>8</v>
      </c>
      <c r="I221" s="289">
        <v>555192.86</v>
      </c>
      <c r="J221" s="289">
        <v>4441542.92</v>
      </c>
      <c r="K221" s="288" t="s">
        <v>103</v>
      </c>
      <c r="L221" s="292">
        <v>8.8000000000000005E-3</v>
      </c>
    </row>
    <row r="222" spans="1:12" ht="15.75" thickBot="1" x14ac:dyDescent="0.3">
      <c r="A222" s="291" t="s">
        <v>134</v>
      </c>
      <c r="B222" s="286" t="s">
        <v>190</v>
      </c>
      <c r="C222" s="286" t="s">
        <v>100</v>
      </c>
      <c r="D222" s="138" t="s">
        <v>2</v>
      </c>
      <c r="E222" s="286" t="s">
        <v>165</v>
      </c>
      <c r="F222" s="287">
        <v>45929</v>
      </c>
      <c r="G222" s="288" t="s">
        <v>103</v>
      </c>
      <c r="H222" s="288">
        <v>3</v>
      </c>
      <c r="I222" s="289">
        <v>728337.06</v>
      </c>
      <c r="J222" s="289">
        <v>2185011.1800000002</v>
      </c>
      <c r="K222" s="288" t="s">
        <v>103</v>
      </c>
      <c r="L222" s="292">
        <v>4.3E-3</v>
      </c>
    </row>
    <row r="223" spans="1:12" ht="15.75" thickBot="1" x14ac:dyDescent="0.3">
      <c r="A223" s="291" t="s">
        <v>134</v>
      </c>
      <c r="B223" s="286" t="s">
        <v>190</v>
      </c>
      <c r="C223" s="286" t="s">
        <v>100</v>
      </c>
      <c r="D223" s="138" t="s">
        <v>504</v>
      </c>
      <c r="E223" s="286" t="s">
        <v>541</v>
      </c>
      <c r="F223" s="287">
        <v>46742</v>
      </c>
      <c r="G223" s="288" t="s">
        <v>103</v>
      </c>
      <c r="H223" s="288">
        <v>1</v>
      </c>
      <c r="I223" s="289">
        <v>420855.89</v>
      </c>
      <c r="J223" s="289">
        <v>420855.89</v>
      </c>
      <c r="K223" s="288" t="s">
        <v>103</v>
      </c>
      <c r="L223" s="292">
        <v>8.0000000000000004E-4</v>
      </c>
    </row>
    <row r="224" spans="1:12" ht="15.75" thickBot="1" x14ac:dyDescent="0.3">
      <c r="A224" s="291" t="s">
        <v>135</v>
      </c>
      <c r="B224" s="286" t="s">
        <v>399</v>
      </c>
      <c r="C224" s="286" t="s">
        <v>100</v>
      </c>
      <c r="D224" s="138" t="s">
        <v>887</v>
      </c>
      <c r="E224" s="286" t="s">
        <v>552</v>
      </c>
      <c r="F224" s="287">
        <v>47172</v>
      </c>
      <c r="G224" s="288" t="s">
        <v>103</v>
      </c>
      <c r="H224" s="288">
        <v>7</v>
      </c>
      <c r="I224" s="289">
        <v>309657.90000000002</v>
      </c>
      <c r="J224" s="289">
        <v>2167605.2799999998</v>
      </c>
      <c r="K224" s="288" t="s">
        <v>103</v>
      </c>
      <c r="L224" s="292">
        <v>4.3E-3</v>
      </c>
    </row>
    <row r="225" spans="1:12" ht="15.75" thickBot="1" x14ac:dyDescent="0.3">
      <c r="A225" s="291" t="s">
        <v>135</v>
      </c>
      <c r="B225" s="286" t="s">
        <v>196</v>
      </c>
      <c r="C225" s="286" t="s">
        <v>100</v>
      </c>
      <c r="D225" s="138" t="s">
        <v>6</v>
      </c>
      <c r="E225" s="286" t="s">
        <v>757</v>
      </c>
      <c r="F225" s="287">
        <v>47254</v>
      </c>
      <c r="G225" s="288" t="s">
        <v>103</v>
      </c>
      <c r="H225" s="288">
        <v>22</v>
      </c>
      <c r="I225" s="289">
        <v>305936.78999999998</v>
      </c>
      <c r="J225" s="289">
        <v>6730609.3300000001</v>
      </c>
      <c r="K225" s="288" t="s">
        <v>103</v>
      </c>
      <c r="L225" s="292">
        <v>1.3299999999999999E-2</v>
      </c>
    </row>
    <row r="226" spans="1:12" ht="15.75" thickBot="1" x14ac:dyDescent="0.3">
      <c r="A226" s="291" t="s">
        <v>135</v>
      </c>
      <c r="B226" s="286" t="s">
        <v>190</v>
      </c>
      <c r="C226" s="286" t="s">
        <v>100</v>
      </c>
      <c r="D226" s="138" t="s">
        <v>897</v>
      </c>
      <c r="E226" s="286" t="s">
        <v>165</v>
      </c>
      <c r="F226" s="287">
        <v>47224</v>
      </c>
      <c r="G226" s="288" t="s">
        <v>103</v>
      </c>
      <c r="H226" s="288">
        <v>10</v>
      </c>
      <c r="I226" s="289">
        <v>350793.71</v>
      </c>
      <c r="J226" s="289">
        <v>3507937.11</v>
      </c>
      <c r="K226" s="288" t="s">
        <v>103</v>
      </c>
      <c r="L226" s="292">
        <v>6.8999999999999999E-3</v>
      </c>
    </row>
    <row r="227" spans="1:12" ht="15.75" thickBot="1" x14ac:dyDescent="0.3">
      <c r="A227" s="291" t="s">
        <v>135</v>
      </c>
      <c r="B227" s="286" t="s">
        <v>190</v>
      </c>
      <c r="C227" s="286" t="s">
        <v>100</v>
      </c>
      <c r="D227" s="138" t="s">
        <v>199</v>
      </c>
      <c r="E227" s="286" t="s">
        <v>539</v>
      </c>
      <c r="F227" s="287">
        <v>47313</v>
      </c>
      <c r="G227" s="288" t="s">
        <v>103</v>
      </c>
      <c r="H227" s="288">
        <v>6</v>
      </c>
      <c r="I227" s="289">
        <v>546388.59</v>
      </c>
      <c r="J227" s="289">
        <v>3278331.56</v>
      </c>
      <c r="K227" s="288" t="s">
        <v>103</v>
      </c>
      <c r="L227" s="292">
        <v>6.4999999999999997E-3</v>
      </c>
    </row>
    <row r="228" spans="1:12" ht="15.75" thickBot="1" x14ac:dyDescent="0.3">
      <c r="A228" s="291" t="s">
        <v>135</v>
      </c>
      <c r="B228" s="286" t="s">
        <v>190</v>
      </c>
      <c r="C228" s="286" t="s">
        <v>100</v>
      </c>
      <c r="D228" s="138" t="s">
        <v>1132</v>
      </c>
      <c r="E228" s="286" t="s">
        <v>165</v>
      </c>
      <c r="F228" s="287">
        <v>47408</v>
      </c>
      <c r="G228" s="288" t="s">
        <v>103</v>
      </c>
      <c r="H228" s="288">
        <v>1</v>
      </c>
      <c r="I228" s="289">
        <v>315910.53999999998</v>
      </c>
      <c r="J228" s="289">
        <v>315910.53999999998</v>
      </c>
      <c r="K228" s="288" t="s">
        <v>103</v>
      </c>
      <c r="L228" s="292">
        <v>5.9999999999999995E-4</v>
      </c>
    </row>
    <row r="229" spans="1:12" ht="15.75" thickBot="1" x14ac:dyDescent="0.3">
      <c r="A229" s="291" t="s">
        <v>112</v>
      </c>
      <c r="B229" s="286" t="s">
        <v>201</v>
      </c>
      <c r="C229" s="286" t="s">
        <v>100</v>
      </c>
      <c r="D229" s="138" t="s">
        <v>930</v>
      </c>
      <c r="E229" s="286" t="s">
        <v>560</v>
      </c>
      <c r="F229" s="287">
        <v>46119</v>
      </c>
      <c r="G229" s="288" t="s">
        <v>103</v>
      </c>
      <c r="H229" s="288">
        <v>16</v>
      </c>
      <c r="I229" s="289">
        <v>55650.05</v>
      </c>
      <c r="J229" s="289">
        <v>890400.8</v>
      </c>
      <c r="K229" s="288" t="s">
        <v>103</v>
      </c>
      <c r="L229" s="292">
        <v>1.8E-3</v>
      </c>
    </row>
    <row r="230" spans="1:12" ht="15.75" thickBot="1" x14ac:dyDescent="0.3">
      <c r="A230" s="291" t="s">
        <v>112</v>
      </c>
      <c r="B230" s="286" t="s">
        <v>201</v>
      </c>
      <c r="C230" s="286" t="s">
        <v>100</v>
      </c>
      <c r="D230" s="138" t="s">
        <v>776</v>
      </c>
      <c r="E230" s="286" t="s">
        <v>165</v>
      </c>
      <c r="F230" s="287">
        <v>45883</v>
      </c>
      <c r="G230" s="288" t="s">
        <v>103</v>
      </c>
      <c r="H230" s="288">
        <v>7</v>
      </c>
      <c r="I230" s="289">
        <v>60666.09</v>
      </c>
      <c r="J230" s="289">
        <v>424662.65</v>
      </c>
      <c r="K230" s="288" t="s">
        <v>103</v>
      </c>
      <c r="L230" s="292">
        <v>8.0000000000000004E-4</v>
      </c>
    </row>
    <row r="231" spans="1:12" ht="15.75" thickBot="1" x14ac:dyDescent="0.3">
      <c r="A231" s="291" t="s">
        <v>112</v>
      </c>
      <c r="B231" s="286" t="s">
        <v>201</v>
      </c>
      <c r="C231" s="286" t="s">
        <v>100</v>
      </c>
      <c r="D231" s="138" t="s">
        <v>993</v>
      </c>
      <c r="E231" s="286" t="s">
        <v>838</v>
      </c>
      <c r="F231" s="287">
        <v>46238</v>
      </c>
      <c r="G231" s="288" t="s">
        <v>103</v>
      </c>
      <c r="H231" s="288">
        <v>5</v>
      </c>
      <c r="I231" s="289">
        <v>61292.85</v>
      </c>
      <c r="J231" s="289">
        <v>306464.26</v>
      </c>
      <c r="K231" s="288" t="s">
        <v>103</v>
      </c>
      <c r="L231" s="292">
        <v>5.9999999999999995E-4</v>
      </c>
    </row>
    <row r="232" spans="1:12" ht="15.75" thickBot="1" x14ac:dyDescent="0.3">
      <c r="A232" s="291" t="s">
        <v>112</v>
      </c>
      <c r="B232" s="286" t="s">
        <v>201</v>
      </c>
      <c r="C232" s="286" t="s">
        <v>100</v>
      </c>
      <c r="D232" s="138" t="s">
        <v>770</v>
      </c>
      <c r="E232" s="286" t="s">
        <v>819</v>
      </c>
      <c r="F232" s="287">
        <v>45883</v>
      </c>
      <c r="G232" s="288" t="s">
        <v>103</v>
      </c>
      <c r="H232" s="288">
        <v>3</v>
      </c>
      <c r="I232" s="289">
        <v>60666.09</v>
      </c>
      <c r="J232" s="289">
        <v>181998.28</v>
      </c>
      <c r="K232" s="288" t="s">
        <v>103</v>
      </c>
      <c r="L232" s="292">
        <v>4.0000000000000002E-4</v>
      </c>
    </row>
    <row r="233" spans="1:12" ht="15.75" thickBot="1" x14ac:dyDescent="0.3">
      <c r="A233" s="291" t="s">
        <v>112</v>
      </c>
      <c r="B233" s="286" t="s">
        <v>1383</v>
      </c>
      <c r="C233" s="286" t="s">
        <v>100</v>
      </c>
      <c r="D233" s="138" t="s">
        <v>1384</v>
      </c>
      <c r="E233" s="286" t="s">
        <v>623</v>
      </c>
      <c r="F233" s="287">
        <v>46146</v>
      </c>
      <c r="G233" s="288" t="s">
        <v>103</v>
      </c>
      <c r="H233" s="288">
        <v>38</v>
      </c>
      <c r="I233" s="289">
        <v>55383.07</v>
      </c>
      <c r="J233" s="289">
        <v>2104556.61</v>
      </c>
      <c r="K233" s="288" t="s">
        <v>103</v>
      </c>
      <c r="L233" s="292">
        <v>4.1000000000000003E-3</v>
      </c>
    </row>
    <row r="234" spans="1:12" ht="15.75" thickBot="1" x14ac:dyDescent="0.3">
      <c r="A234" s="291" t="s">
        <v>112</v>
      </c>
      <c r="B234" s="286" t="s">
        <v>409</v>
      </c>
      <c r="C234" s="286" t="s">
        <v>100</v>
      </c>
      <c r="D234" s="138" t="s">
        <v>510</v>
      </c>
      <c r="E234" s="286" t="s">
        <v>807</v>
      </c>
      <c r="F234" s="287">
        <v>45740</v>
      </c>
      <c r="G234" s="288" t="s">
        <v>103</v>
      </c>
      <c r="H234" s="288">
        <v>9</v>
      </c>
      <c r="I234" s="289">
        <v>147986.71</v>
      </c>
      <c r="J234" s="289">
        <v>1331880.3700000001</v>
      </c>
      <c r="K234" s="288" t="s">
        <v>103</v>
      </c>
      <c r="L234" s="292">
        <v>2.5999999999999999E-3</v>
      </c>
    </row>
    <row r="235" spans="1:12" ht="15.75" thickBot="1" x14ac:dyDescent="0.3">
      <c r="A235" s="291" t="s">
        <v>112</v>
      </c>
      <c r="B235" s="286" t="s">
        <v>409</v>
      </c>
      <c r="C235" s="286" t="s">
        <v>100</v>
      </c>
      <c r="D235" s="138" t="s">
        <v>511</v>
      </c>
      <c r="E235" s="286" t="s">
        <v>554</v>
      </c>
      <c r="F235" s="287">
        <v>45884</v>
      </c>
      <c r="G235" s="288" t="s">
        <v>103</v>
      </c>
      <c r="H235" s="288">
        <v>6</v>
      </c>
      <c r="I235" s="289">
        <v>70604.94</v>
      </c>
      <c r="J235" s="289">
        <v>423629.62</v>
      </c>
      <c r="K235" s="288" t="s">
        <v>103</v>
      </c>
      <c r="L235" s="292">
        <v>8.0000000000000004E-4</v>
      </c>
    </row>
    <row r="236" spans="1:12" ht="15.75" thickBot="1" x14ac:dyDescent="0.3">
      <c r="A236" s="291" t="s">
        <v>112</v>
      </c>
      <c r="B236" s="286" t="s">
        <v>465</v>
      </c>
      <c r="C236" s="286" t="s">
        <v>100</v>
      </c>
      <c r="D236" s="138" t="s">
        <v>1054</v>
      </c>
      <c r="E236" s="286" t="s">
        <v>557</v>
      </c>
      <c r="F236" s="287">
        <v>46195</v>
      </c>
      <c r="G236" s="288" t="s">
        <v>103</v>
      </c>
      <c r="H236" s="288">
        <v>54</v>
      </c>
      <c r="I236" s="289">
        <v>54409.62</v>
      </c>
      <c r="J236" s="289">
        <v>2938119.45</v>
      </c>
      <c r="K236" s="288" t="s">
        <v>103</v>
      </c>
      <c r="L236" s="292">
        <v>5.7999999999999996E-3</v>
      </c>
    </row>
    <row r="237" spans="1:12" ht="15.75" thickBot="1" x14ac:dyDescent="0.3">
      <c r="A237" s="291" t="s">
        <v>112</v>
      </c>
      <c r="B237" s="286" t="s">
        <v>465</v>
      </c>
      <c r="C237" s="286" t="s">
        <v>100</v>
      </c>
      <c r="D237" s="138" t="s">
        <v>1053</v>
      </c>
      <c r="E237" s="286" t="s">
        <v>1229</v>
      </c>
      <c r="F237" s="287">
        <v>46093</v>
      </c>
      <c r="G237" s="288" t="s">
        <v>103</v>
      </c>
      <c r="H237" s="288">
        <v>20</v>
      </c>
      <c r="I237" s="289">
        <v>56445.54</v>
      </c>
      <c r="J237" s="289">
        <v>1128910.75</v>
      </c>
      <c r="K237" s="288" t="s">
        <v>103</v>
      </c>
      <c r="L237" s="292">
        <v>2.2000000000000001E-3</v>
      </c>
    </row>
    <row r="238" spans="1:12" ht="15.75" thickBot="1" x14ac:dyDescent="0.3">
      <c r="A238" s="291" t="s">
        <v>112</v>
      </c>
      <c r="B238" s="286" t="s">
        <v>1088</v>
      </c>
      <c r="C238" s="286" t="s">
        <v>100</v>
      </c>
      <c r="D238" s="138" t="s">
        <v>1090</v>
      </c>
      <c r="E238" s="286" t="s">
        <v>552</v>
      </c>
      <c r="F238" s="287">
        <v>46290</v>
      </c>
      <c r="G238" s="288" t="s">
        <v>103</v>
      </c>
      <c r="H238" s="288">
        <v>84</v>
      </c>
      <c r="I238" s="289">
        <v>52570.03</v>
      </c>
      <c r="J238" s="289">
        <v>4415882.66</v>
      </c>
      <c r="K238" s="288" t="s">
        <v>103</v>
      </c>
      <c r="L238" s="292">
        <v>8.6999999999999994E-3</v>
      </c>
    </row>
    <row r="239" spans="1:12" ht="15.75" thickBot="1" x14ac:dyDescent="0.3">
      <c r="A239" s="291" t="s">
        <v>112</v>
      </c>
      <c r="B239" s="286" t="s">
        <v>1088</v>
      </c>
      <c r="C239" s="286" t="s">
        <v>100</v>
      </c>
      <c r="D239" s="138" t="s">
        <v>1089</v>
      </c>
      <c r="E239" s="286" t="s">
        <v>552</v>
      </c>
      <c r="F239" s="287">
        <v>46290</v>
      </c>
      <c r="G239" s="288" t="s">
        <v>103</v>
      </c>
      <c r="H239" s="288">
        <v>7</v>
      </c>
      <c r="I239" s="289">
        <v>52570.03</v>
      </c>
      <c r="J239" s="289">
        <v>367990.22</v>
      </c>
      <c r="K239" s="288" t="s">
        <v>103</v>
      </c>
      <c r="L239" s="292">
        <v>6.9999999999999999E-4</v>
      </c>
    </row>
    <row r="240" spans="1:12" ht="15.75" thickBot="1" x14ac:dyDescent="0.3">
      <c r="A240" s="291" t="s">
        <v>112</v>
      </c>
      <c r="B240" s="286" t="s">
        <v>805</v>
      </c>
      <c r="C240" s="286" t="s">
        <v>100</v>
      </c>
      <c r="D240" s="138" t="s">
        <v>997</v>
      </c>
      <c r="E240" s="286" t="s">
        <v>838</v>
      </c>
      <c r="F240" s="287">
        <v>46181</v>
      </c>
      <c r="G240" s="288" t="s">
        <v>103</v>
      </c>
      <c r="H240" s="288">
        <v>36</v>
      </c>
      <c r="I240" s="289">
        <v>54586.67</v>
      </c>
      <c r="J240" s="289">
        <v>1965120.21</v>
      </c>
      <c r="K240" s="288" t="s">
        <v>103</v>
      </c>
      <c r="L240" s="292">
        <v>3.8999999999999998E-3</v>
      </c>
    </row>
    <row r="241" spans="1:12" ht="15.75" thickBot="1" x14ac:dyDescent="0.3">
      <c r="A241" s="291" t="s">
        <v>112</v>
      </c>
      <c r="B241" s="286" t="s">
        <v>1062</v>
      </c>
      <c r="C241" s="286" t="s">
        <v>100</v>
      </c>
      <c r="D241" s="138" t="s">
        <v>1468</v>
      </c>
      <c r="E241" s="286" t="s">
        <v>544</v>
      </c>
      <c r="F241" s="287">
        <v>46234</v>
      </c>
      <c r="G241" s="288" t="s">
        <v>103</v>
      </c>
      <c r="H241" s="288">
        <v>10</v>
      </c>
      <c r="I241" s="289">
        <v>53895.22</v>
      </c>
      <c r="J241" s="289">
        <v>538952.17000000004</v>
      </c>
      <c r="K241" s="288" t="s">
        <v>103</v>
      </c>
      <c r="L241" s="292">
        <v>1.1000000000000001E-3</v>
      </c>
    </row>
    <row r="242" spans="1:12" ht="15.75" thickBot="1" x14ac:dyDescent="0.3">
      <c r="A242" s="291" t="s">
        <v>112</v>
      </c>
      <c r="B242" s="286" t="s">
        <v>1062</v>
      </c>
      <c r="C242" s="286" t="s">
        <v>100</v>
      </c>
      <c r="D242" s="138" t="s">
        <v>1469</v>
      </c>
      <c r="E242" s="286" t="s">
        <v>544</v>
      </c>
      <c r="F242" s="287">
        <v>46234</v>
      </c>
      <c r="G242" s="288" t="s">
        <v>103</v>
      </c>
      <c r="H242" s="288">
        <v>7</v>
      </c>
      <c r="I242" s="289">
        <v>53895.22</v>
      </c>
      <c r="J242" s="289">
        <v>377266.52</v>
      </c>
      <c r="K242" s="288" t="s">
        <v>103</v>
      </c>
      <c r="L242" s="292">
        <v>6.9999999999999999E-4</v>
      </c>
    </row>
    <row r="243" spans="1:12" ht="15.75" thickBot="1" x14ac:dyDescent="0.3">
      <c r="A243" s="291" t="s">
        <v>112</v>
      </c>
      <c r="B243" s="286" t="s">
        <v>324</v>
      </c>
      <c r="C243" s="286" t="s">
        <v>100</v>
      </c>
      <c r="D243" s="138" t="s">
        <v>325</v>
      </c>
      <c r="E243" s="286" t="s">
        <v>562</v>
      </c>
      <c r="F243" s="287">
        <v>45780</v>
      </c>
      <c r="G243" s="288" t="s">
        <v>103</v>
      </c>
      <c r="H243" s="288">
        <v>22</v>
      </c>
      <c r="I243" s="289">
        <v>71988.679999999993</v>
      </c>
      <c r="J243" s="289">
        <v>1583750.97</v>
      </c>
      <c r="K243" s="288" t="s">
        <v>103</v>
      </c>
      <c r="L243" s="292">
        <v>3.0999999999999999E-3</v>
      </c>
    </row>
    <row r="244" spans="1:12" ht="15.75" thickBot="1" x14ac:dyDescent="0.3">
      <c r="A244" s="291" t="s">
        <v>112</v>
      </c>
      <c r="B244" s="286" t="s">
        <v>360</v>
      </c>
      <c r="C244" s="286" t="s">
        <v>100</v>
      </c>
      <c r="D244" s="138" t="s">
        <v>1051</v>
      </c>
      <c r="E244" s="286" t="s">
        <v>1052</v>
      </c>
      <c r="F244" s="287">
        <v>46562</v>
      </c>
      <c r="G244" s="288" t="s">
        <v>103</v>
      </c>
      <c r="H244" s="288">
        <v>42</v>
      </c>
      <c r="I244" s="289">
        <v>54545.81</v>
      </c>
      <c r="J244" s="289">
        <v>2290924.0699999998</v>
      </c>
      <c r="K244" s="288" t="s">
        <v>103</v>
      </c>
      <c r="L244" s="292">
        <v>4.4999999999999997E-3</v>
      </c>
    </row>
    <row r="245" spans="1:12" ht="15.75" thickBot="1" x14ac:dyDescent="0.3">
      <c r="A245" s="291" t="s">
        <v>112</v>
      </c>
      <c r="B245" s="286" t="s">
        <v>360</v>
      </c>
      <c r="C245" s="286" t="s">
        <v>100</v>
      </c>
      <c r="D245" s="138" t="s">
        <v>934</v>
      </c>
      <c r="E245" s="286" t="s">
        <v>838</v>
      </c>
      <c r="F245" s="287">
        <v>46127</v>
      </c>
      <c r="G245" s="288" t="s">
        <v>103</v>
      </c>
      <c r="H245" s="288">
        <v>31</v>
      </c>
      <c r="I245" s="289">
        <v>55371.08</v>
      </c>
      <c r="J245" s="289">
        <v>1716503.46</v>
      </c>
      <c r="K245" s="288" t="s">
        <v>103</v>
      </c>
      <c r="L245" s="292">
        <v>3.3999999999999998E-3</v>
      </c>
    </row>
    <row r="246" spans="1:12" ht="15.75" thickBot="1" x14ac:dyDescent="0.3">
      <c r="A246" s="291" t="s">
        <v>112</v>
      </c>
      <c r="B246" s="286" t="s">
        <v>360</v>
      </c>
      <c r="C246" s="286" t="s">
        <v>100</v>
      </c>
      <c r="D246" s="138" t="s">
        <v>1050</v>
      </c>
      <c r="E246" s="286" t="s">
        <v>1230</v>
      </c>
      <c r="F246" s="287">
        <v>46475</v>
      </c>
      <c r="G246" s="288" t="s">
        <v>103</v>
      </c>
      <c r="H246" s="288">
        <v>21</v>
      </c>
      <c r="I246" s="289">
        <v>55966.71</v>
      </c>
      <c r="J246" s="289">
        <v>1175300.9099999999</v>
      </c>
      <c r="K246" s="288" t="s">
        <v>103</v>
      </c>
      <c r="L246" s="292">
        <v>2.3E-3</v>
      </c>
    </row>
    <row r="247" spans="1:12" ht="15.75" thickBot="1" x14ac:dyDescent="0.3">
      <c r="A247" s="291" t="s">
        <v>112</v>
      </c>
      <c r="B247" s="286" t="s">
        <v>360</v>
      </c>
      <c r="C247" s="286" t="s">
        <v>100</v>
      </c>
      <c r="D247" s="138" t="s">
        <v>994</v>
      </c>
      <c r="E247" s="286" t="s">
        <v>838</v>
      </c>
      <c r="F247" s="287">
        <v>46127</v>
      </c>
      <c r="G247" s="288" t="s">
        <v>103</v>
      </c>
      <c r="H247" s="288">
        <v>5</v>
      </c>
      <c r="I247" s="289">
        <v>55371.08</v>
      </c>
      <c r="J247" s="289">
        <v>276855.40000000002</v>
      </c>
      <c r="K247" s="288" t="s">
        <v>103</v>
      </c>
      <c r="L247" s="292">
        <v>5.0000000000000001E-4</v>
      </c>
    </row>
    <row r="248" spans="1:12" ht="15.75" thickBot="1" x14ac:dyDescent="0.3">
      <c r="A248" s="291" t="s">
        <v>112</v>
      </c>
      <c r="B248" s="286" t="s">
        <v>1151</v>
      </c>
      <c r="C248" s="286" t="s">
        <v>100</v>
      </c>
      <c r="D248" s="138" t="s">
        <v>1133</v>
      </c>
      <c r="E248" s="286" t="s">
        <v>165</v>
      </c>
      <c r="F248" s="287">
        <v>46332</v>
      </c>
      <c r="G248" s="288" t="s">
        <v>103</v>
      </c>
      <c r="H248" s="288">
        <v>47</v>
      </c>
      <c r="I248" s="289">
        <v>51924.53</v>
      </c>
      <c r="J248" s="289">
        <v>2440452.96</v>
      </c>
      <c r="K248" s="288" t="s">
        <v>103</v>
      </c>
      <c r="L248" s="292">
        <v>4.7999999999999996E-3</v>
      </c>
    </row>
    <row r="249" spans="1:12" ht="15.75" thickBot="1" x14ac:dyDescent="0.3">
      <c r="A249" s="291" t="s">
        <v>112</v>
      </c>
      <c r="B249" s="286" t="s">
        <v>368</v>
      </c>
      <c r="C249" s="286" t="s">
        <v>100</v>
      </c>
      <c r="D249" s="138" t="s">
        <v>954</v>
      </c>
      <c r="E249" s="286" t="s">
        <v>1014</v>
      </c>
      <c r="F249" s="287">
        <v>46152</v>
      </c>
      <c r="G249" s="288" t="s">
        <v>103</v>
      </c>
      <c r="H249" s="288">
        <v>52</v>
      </c>
      <c r="I249" s="289">
        <v>111703.52</v>
      </c>
      <c r="J249" s="289">
        <v>5808583.0599999996</v>
      </c>
      <c r="K249" s="288" t="s">
        <v>103</v>
      </c>
      <c r="L249" s="292">
        <v>1.14E-2</v>
      </c>
    </row>
    <row r="250" spans="1:12" ht="15.75" thickBot="1" x14ac:dyDescent="0.3">
      <c r="A250" s="291" t="s">
        <v>112</v>
      </c>
      <c r="B250" s="286" t="s">
        <v>368</v>
      </c>
      <c r="C250" s="286" t="s">
        <v>100</v>
      </c>
      <c r="D250" s="138" t="s">
        <v>486</v>
      </c>
      <c r="E250" s="286" t="s">
        <v>1231</v>
      </c>
      <c r="F250" s="287">
        <v>45984</v>
      </c>
      <c r="G250" s="288" t="s">
        <v>103</v>
      </c>
      <c r="H250" s="288">
        <v>12</v>
      </c>
      <c r="I250" s="289">
        <v>136495.19</v>
      </c>
      <c r="J250" s="289">
        <v>1637942.27</v>
      </c>
      <c r="K250" s="288" t="s">
        <v>103</v>
      </c>
      <c r="L250" s="292">
        <v>3.2000000000000002E-3</v>
      </c>
    </row>
    <row r="251" spans="1:12" ht="15.75" thickBot="1" x14ac:dyDescent="0.3">
      <c r="A251" s="291" t="s">
        <v>112</v>
      </c>
      <c r="B251" s="286" t="s">
        <v>368</v>
      </c>
      <c r="C251" s="286" t="s">
        <v>100</v>
      </c>
      <c r="D251" s="138" t="s">
        <v>1138</v>
      </c>
      <c r="E251" s="286" t="s">
        <v>1231</v>
      </c>
      <c r="F251" s="287">
        <v>46333</v>
      </c>
      <c r="G251" s="288" t="s">
        <v>103</v>
      </c>
      <c r="H251" s="288">
        <v>12</v>
      </c>
      <c r="I251" s="289">
        <v>104519.78</v>
      </c>
      <c r="J251" s="289">
        <v>1254237.3999999999</v>
      </c>
      <c r="K251" s="288" t="s">
        <v>103</v>
      </c>
      <c r="L251" s="292">
        <v>2.5000000000000001E-3</v>
      </c>
    </row>
    <row r="252" spans="1:12" ht="15.75" thickBot="1" x14ac:dyDescent="0.3">
      <c r="A252" s="291" t="s">
        <v>112</v>
      </c>
      <c r="B252" s="286" t="s">
        <v>808</v>
      </c>
      <c r="C252" s="286" t="s">
        <v>100</v>
      </c>
      <c r="D252" s="138" t="s">
        <v>809</v>
      </c>
      <c r="E252" s="286" t="s">
        <v>547</v>
      </c>
      <c r="F252" s="287">
        <v>45939</v>
      </c>
      <c r="G252" s="288" t="s">
        <v>103</v>
      </c>
      <c r="H252" s="288">
        <v>4</v>
      </c>
      <c r="I252" s="289">
        <v>60475.12</v>
      </c>
      <c r="J252" s="289">
        <v>241900.47</v>
      </c>
      <c r="K252" s="288" t="s">
        <v>103</v>
      </c>
      <c r="L252" s="292">
        <v>5.0000000000000001E-4</v>
      </c>
    </row>
    <row r="253" spans="1:12" ht="15.75" thickBot="1" x14ac:dyDescent="0.3">
      <c r="A253" s="291" t="s">
        <v>113</v>
      </c>
      <c r="B253" s="286" t="s">
        <v>114</v>
      </c>
      <c r="C253" s="286" t="s">
        <v>100</v>
      </c>
      <c r="D253" s="138" t="s">
        <v>177</v>
      </c>
      <c r="E253" s="286" t="s">
        <v>1175</v>
      </c>
      <c r="F253" s="287">
        <v>45792</v>
      </c>
      <c r="G253" s="288" t="s">
        <v>103</v>
      </c>
      <c r="H253" s="288">
        <v>-30</v>
      </c>
      <c r="I253" s="289">
        <v>177502.21</v>
      </c>
      <c r="J253" s="289">
        <v>5760.3</v>
      </c>
      <c r="K253" s="289">
        <v>-5325066.18</v>
      </c>
      <c r="L253" s="292">
        <v>-1.0500000000000001E-2</v>
      </c>
    </row>
    <row r="254" spans="1:12" ht="15.75" thickBot="1" x14ac:dyDescent="0.3">
      <c r="A254" s="291" t="s">
        <v>113</v>
      </c>
      <c r="B254" s="286" t="s">
        <v>114</v>
      </c>
      <c r="C254" s="286" t="s">
        <v>100</v>
      </c>
      <c r="D254" s="138" t="s">
        <v>143</v>
      </c>
      <c r="E254" s="286" t="s">
        <v>1049</v>
      </c>
      <c r="F254" s="287">
        <v>46391</v>
      </c>
      <c r="G254" s="288" t="s">
        <v>103</v>
      </c>
      <c r="H254" s="288">
        <v>3</v>
      </c>
      <c r="I254" s="289">
        <v>78010.259999999995</v>
      </c>
      <c r="J254" s="289">
        <v>161.31</v>
      </c>
      <c r="K254" s="289">
        <v>234030.78</v>
      </c>
      <c r="L254" s="292">
        <v>5.0000000000000001E-4</v>
      </c>
    </row>
    <row r="255" spans="1:12" ht="15.75" thickBot="1" x14ac:dyDescent="0.3">
      <c r="A255" s="291" t="s">
        <v>113</v>
      </c>
      <c r="B255" s="286" t="s">
        <v>114</v>
      </c>
      <c r="C255" s="286" t="s">
        <v>100</v>
      </c>
      <c r="D255" s="138" t="s">
        <v>116</v>
      </c>
      <c r="E255" s="286" t="s">
        <v>165</v>
      </c>
      <c r="F255" s="287">
        <v>46251</v>
      </c>
      <c r="G255" s="288" t="s">
        <v>103</v>
      </c>
      <c r="H255" s="288">
        <v>0</v>
      </c>
      <c r="I255" s="289">
        <v>160200.82999999999</v>
      </c>
      <c r="J255" s="289">
        <v>0</v>
      </c>
      <c r="K255" s="289">
        <v>0</v>
      </c>
      <c r="L255" s="292">
        <v>0</v>
      </c>
    </row>
    <row r="256" spans="1:12" ht="15.75" thickBot="1" x14ac:dyDescent="0.3">
      <c r="A256" s="291" t="s">
        <v>113</v>
      </c>
      <c r="B256" s="286" t="s">
        <v>114</v>
      </c>
      <c r="C256" s="286" t="s">
        <v>100</v>
      </c>
      <c r="D256" s="138" t="s">
        <v>180</v>
      </c>
      <c r="E256" s="286" t="s">
        <v>567</v>
      </c>
      <c r="F256" s="287">
        <v>47710</v>
      </c>
      <c r="G256" s="288" t="s">
        <v>103</v>
      </c>
      <c r="H256" s="288">
        <v>-1</v>
      </c>
      <c r="I256" s="289">
        <v>120219.86</v>
      </c>
      <c r="J256" s="289">
        <v>-216.42</v>
      </c>
      <c r="K256" s="289">
        <v>-120219.86</v>
      </c>
      <c r="L256" s="292">
        <v>-2.0000000000000001E-4</v>
      </c>
    </row>
    <row r="257" spans="1:12" ht="15.75" thickBot="1" x14ac:dyDescent="0.3">
      <c r="A257" s="291" t="s">
        <v>113</v>
      </c>
      <c r="B257" s="286" t="s">
        <v>114</v>
      </c>
      <c r="C257" s="286" t="s">
        <v>100</v>
      </c>
      <c r="D257" s="138" t="s">
        <v>972</v>
      </c>
      <c r="E257" s="286" t="s">
        <v>973</v>
      </c>
      <c r="F257" s="287">
        <v>46204</v>
      </c>
      <c r="G257" s="288" t="s">
        <v>103</v>
      </c>
      <c r="H257" s="288">
        <v>-7</v>
      </c>
      <c r="I257" s="289">
        <v>83380</v>
      </c>
      <c r="J257" s="289">
        <v>-349.51</v>
      </c>
      <c r="K257" s="289">
        <v>-583660</v>
      </c>
      <c r="L257" s="292">
        <v>-1.1999999999999999E-3</v>
      </c>
    </row>
    <row r="258" spans="1:12" ht="15.75" thickBot="1" x14ac:dyDescent="0.3">
      <c r="A258" s="291" t="s">
        <v>113</v>
      </c>
      <c r="B258" s="286" t="s">
        <v>114</v>
      </c>
      <c r="C258" s="286" t="s">
        <v>100</v>
      </c>
      <c r="D258" s="138" t="s">
        <v>479</v>
      </c>
      <c r="E258" s="286" t="s">
        <v>1476</v>
      </c>
      <c r="F258" s="287">
        <v>46024</v>
      </c>
      <c r="G258" s="288" t="s">
        <v>103</v>
      </c>
      <c r="H258" s="288">
        <v>-15</v>
      </c>
      <c r="I258" s="289">
        <v>89079.679999999993</v>
      </c>
      <c r="J258" s="289">
        <v>-454.8</v>
      </c>
      <c r="K258" s="289">
        <v>-1336195.2</v>
      </c>
      <c r="L258" s="292">
        <v>-2.5999999999999999E-3</v>
      </c>
    </row>
    <row r="259" spans="1:12" ht="15.75" thickBot="1" x14ac:dyDescent="0.3">
      <c r="A259" s="291" t="s">
        <v>113</v>
      </c>
      <c r="B259" s="286" t="s">
        <v>114</v>
      </c>
      <c r="C259" s="286" t="s">
        <v>100</v>
      </c>
      <c r="D259" s="138" t="s">
        <v>202</v>
      </c>
      <c r="E259" s="286" t="s">
        <v>1392</v>
      </c>
      <c r="F259" s="287">
        <v>47120</v>
      </c>
      <c r="G259" s="288" t="s">
        <v>103</v>
      </c>
      <c r="H259" s="288">
        <v>20</v>
      </c>
      <c r="I259" s="289">
        <v>59837.78</v>
      </c>
      <c r="J259" s="289">
        <v>-1348</v>
      </c>
      <c r="K259" s="289">
        <v>1196755.6000000001</v>
      </c>
      <c r="L259" s="292">
        <v>2.3999999999999998E-3</v>
      </c>
    </row>
    <row r="260" spans="1:12" ht="15.75" thickBot="1" x14ac:dyDescent="0.3">
      <c r="A260" s="291" t="s">
        <v>113</v>
      </c>
      <c r="B260" s="286" t="s">
        <v>114</v>
      </c>
      <c r="C260" s="286" t="s">
        <v>100</v>
      </c>
      <c r="D260" s="138" t="s">
        <v>179</v>
      </c>
      <c r="E260" s="286" t="s">
        <v>1232</v>
      </c>
      <c r="F260" s="287">
        <v>46980</v>
      </c>
      <c r="G260" s="288" t="s">
        <v>103</v>
      </c>
      <c r="H260" s="288">
        <v>-27</v>
      </c>
      <c r="I260" s="289">
        <v>139301.9</v>
      </c>
      <c r="J260" s="289">
        <v>-1413.18</v>
      </c>
      <c r="K260" s="289">
        <v>-3761151.3</v>
      </c>
      <c r="L260" s="292">
        <v>-7.4000000000000003E-3</v>
      </c>
    </row>
    <row r="261" spans="1:12" ht="15.75" thickBot="1" x14ac:dyDescent="0.3">
      <c r="A261" s="291" t="s">
        <v>126</v>
      </c>
      <c r="B261" s="286" t="s">
        <v>252</v>
      </c>
      <c r="C261" s="286" t="s">
        <v>100</v>
      </c>
      <c r="D261" s="138" t="s">
        <v>253</v>
      </c>
      <c r="E261" s="286" t="s">
        <v>592</v>
      </c>
      <c r="F261" s="287">
        <v>45976</v>
      </c>
      <c r="G261" s="288" t="s">
        <v>103</v>
      </c>
      <c r="H261" s="288">
        <v>765</v>
      </c>
      <c r="I261" s="289">
        <v>600.4</v>
      </c>
      <c r="J261" s="289">
        <v>459303.51</v>
      </c>
      <c r="K261" s="288" t="s">
        <v>103</v>
      </c>
      <c r="L261" s="292">
        <v>8.9999999999999998E-4</v>
      </c>
    </row>
    <row r="262" spans="1:12" ht="15.75" thickBot="1" x14ac:dyDescent="0.3">
      <c r="A262" s="291" t="s">
        <v>126</v>
      </c>
      <c r="B262" s="286" t="s">
        <v>877</v>
      </c>
      <c r="C262" s="286" t="s">
        <v>100</v>
      </c>
      <c r="D262" s="138" t="s">
        <v>1140</v>
      </c>
      <c r="E262" s="286" t="s">
        <v>165</v>
      </c>
      <c r="F262" s="287">
        <v>45689</v>
      </c>
      <c r="G262" s="288" t="s">
        <v>103</v>
      </c>
      <c r="H262" s="290">
        <v>3300</v>
      </c>
      <c r="I262" s="289">
        <v>912.42</v>
      </c>
      <c r="J262" s="289">
        <v>3010990.18</v>
      </c>
      <c r="K262" s="288" t="s">
        <v>103</v>
      </c>
      <c r="L262" s="292">
        <v>5.8999999999999999E-3</v>
      </c>
    </row>
    <row r="263" spans="1:12" ht="15.75" thickBot="1" x14ac:dyDescent="0.3">
      <c r="A263" s="291" t="s">
        <v>126</v>
      </c>
      <c r="B263" s="286" t="s">
        <v>778</v>
      </c>
      <c r="C263" s="286" t="s">
        <v>100</v>
      </c>
      <c r="D263" s="138" t="s">
        <v>910</v>
      </c>
      <c r="E263" s="286" t="s">
        <v>165</v>
      </c>
      <c r="F263" s="288" t="s">
        <v>103</v>
      </c>
      <c r="G263" s="288" t="s">
        <v>103</v>
      </c>
      <c r="H263" s="290">
        <v>2338</v>
      </c>
      <c r="I263" s="289">
        <v>1202</v>
      </c>
      <c r="J263" s="289">
        <v>2810274.56</v>
      </c>
      <c r="K263" s="288" t="s">
        <v>103</v>
      </c>
      <c r="L263" s="292">
        <v>5.4999999999999997E-3</v>
      </c>
    </row>
    <row r="264" spans="1:12" ht="15.75" thickBot="1" x14ac:dyDescent="0.3">
      <c r="A264" s="291" t="s">
        <v>126</v>
      </c>
      <c r="B264" s="286" t="s">
        <v>1048</v>
      </c>
      <c r="C264" s="286" t="s">
        <v>100</v>
      </c>
      <c r="D264" s="138" t="s">
        <v>1077</v>
      </c>
      <c r="E264" s="286" t="s">
        <v>165</v>
      </c>
      <c r="F264" s="287">
        <v>49878</v>
      </c>
      <c r="G264" s="288" t="s">
        <v>103</v>
      </c>
      <c r="H264" s="290">
        <v>1208</v>
      </c>
      <c r="I264" s="289">
        <v>1080.76</v>
      </c>
      <c r="J264" s="289">
        <v>1305552.3999999999</v>
      </c>
      <c r="K264" s="288" t="s">
        <v>103</v>
      </c>
      <c r="L264" s="292">
        <v>2.5999999999999999E-3</v>
      </c>
    </row>
    <row r="265" spans="1:12" ht="15.75" thickBot="1" x14ac:dyDescent="0.3">
      <c r="A265" s="291" t="s">
        <v>126</v>
      </c>
      <c r="B265" s="286" t="s">
        <v>1141</v>
      </c>
      <c r="C265" s="286" t="s">
        <v>100</v>
      </c>
      <c r="D265" s="138" t="s">
        <v>1142</v>
      </c>
      <c r="E265" s="286" t="s">
        <v>165</v>
      </c>
      <c r="F265" s="287">
        <v>47911</v>
      </c>
      <c r="G265" s="288" t="s">
        <v>103</v>
      </c>
      <c r="H265" s="288">
        <v>710</v>
      </c>
      <c r="I265" s="289">
        <v>1238.74</v>
      </c>
      <c r="J265" s="289">
        <v>879505.76</v>
      </c>
      <c r="K265" s="288" t="s">
        <v>103</v>
      </c>
      <c r="L265" s="292">
        <v>1.6999999999999999E-3</v>
      </c>
    </row>
    <row r="266" spans="1:12" ht="15.75" thickBot="1" x14ac:dyDescent="0.3">
      <c r="A266" s="291" t="s">
        <v>126</v>
      </c>
      <c r="B266" s="286" t="s">
        <v>467</v>
      </c>
      <c r="C266" s="286" t="s">
        <v>100</v>
      </c>
      <c r="D266" s="138" t="s">
        <v>468</v>
      </c>
      <c r="E266" s="286" t="s">
        <v>597</v>
      </c>
      <c r="F266" s="287">
        <v>46198</v>
      </c>
      <c r="G266" s="288" t="s">
        <v>103</v>
      </c>
      <c r="H266" s="290">
        <v>2085</v>
      </c>
      <c r="I266" s="289">
        <v>1013.55</v>
      </c>
      <c r="J266" s="289">
        <v>2113249.73</v>
      </c>
      <c r="K266" s="288" t="s">
        <v>103</v>
      </c>
      <c r="L266" s="292">
        <v>4.1999999999999997E-3</v>
      </c>
    </row>
    <row r="267" spans="1:12" ht="15.75" thickBot="1" x14ac:dyDescent="0.3">
      <c r="A267" s="291" t="s">
        <v>126</v>
      </c>
      <c r="B267" s="286" t="s">
        <v>416</v>
      </c>
      <c r="C267" s="286" t="s">
        <v>100</v>
      </c>
      <c r="D267" s="138" t="s">
        <v>417</v>
      </c>
      <c r="E267" s="286" t="s">
        <v>600</v>
      </c>
      <c r="F267" s="287">
        <v>46260</v>
      </c>
      <c r="G267" s="288" t="s">
        <v>103</v>
      </c>
      <c r="H267" s="290">
        <v>1923</v>
      </c>
      <c r="I267" s="289">
        <v>1005.97</v>
      </c>
      <c r="J267" s="289">
        <v>1934476.21</v>
      </c>
      <c r="K267" s="288" t="s">
        <v>103</v>
      </c>
      <c r="L267" s="292">
        <v>3.8E-3</v>
      </c>
    </row>
    <row r="268" spans="1:12" ht="15.75" thickBot="1" x14ac:dyDescent="0.3">
      <c r="A268" s="291" t="s">
        <v>126</v>
      </c>
      <c r="B268" s="286" t="s">
        <v>1237</v>
      </c>
      <c r="C268" s="286" t="s">
        <v>100</v>
      </c>
      <c r="D268" s="138" t="s">
        <v>1238</v>
      </c>
      <c r="E268" s="286" t="s">
        <v>165</v>
      </c>
      <c r="F268" s="287">
        <v>47834</v>
      </c>
      <c r="G268" s="288" t="s">
        <v>103</v>
      </c>
      <c r="H268" s="290">
        <v>5105</v>
      </c>
      <c r="I268" s="289">
        <v>1025.6300000000001</v>
      </c>
      <c r="J268" s="289">
        <v>5235862.92</v>
      </c>
      <c r="K268" s="288" t="s">
        <v>103</v>
      </c>
      <c r="L268" s="292">
        <v>1.03E-2</v>
      </c>
    </row>
    <row r="269" spans="1:12" ht="15.75" thickBot="1" x14ac:dyDescent="0.3">
      <c r="A269" s="291" t="s">
        <v>126</v>
      </c>
      <c r="B269" s="286" t="s">
        <v>1145</v>
      </c>
      <c r="C269" s="286" t="s">
        <v>100</v>
      </c>
      <c r="D269" s="138" t="s">
        <v>1094</v>
      </c>
      <c r="E269" s="286" t="s">
        <v>165</v>
      </c>
      <c r="F269" s="287">
        <v>46613</v>
      </c>
      <c r="G269" s="288" t="s">
        <v>103</v>
      </c>
      <c r="H269" s="290">
        <v>1143</v>
      </c>
      <c r="I269" s="289">
        <v>1004.1</v>
      </c>
      <c r="J269" s="289">
        <v>1147685.1000000001</v>
      </c>
      <c r="K269" s="288" t="s">
        <v>103</v>
      </c>
      <c r="L269" s="292">
        <v>2.3E-3</v>
      </c>
    </row>
    <row r="270" spans="1:12" ht="15.75" thickBot="1" x14ac:dyDescent="0.3">
      <c r="A270" s="291" t="s">
        <v>126</v>
      </c>
      <c r="B270" s="286" t="s">
        <v>1399</v>
      </c>
      <c r="C270" s="286" t="s">
        <v>100</v>
      </c>
      <c r="D270" s="138" t="s">
        <v>1400</v>
      </c>
      <c r="E270" s="286" t="s">
        <v>165</v>
      </c>
      <c r="F270" s="288" t="s">
        <v>103</v>
      </c>
      <c r="G270" s="288" t="s">
        <v>103</v>
      </c>
      <c r="H270" s="290">
        <v>1250</v>
      </c>
      <c r="I270" s="289">
        <v>1007.12</v>
      </c>
      <c r="J270" s="289">
        <v>1258894.6499999999</v>
      </c>
      <c r="K270" s="288" t="s">
        <v>103</v>
      </c>
      <c r="L270" s="292">
        <v>2.5000000000000001E-3</v>
      </c>
    </row>
    <row r="271" spans="1:12" ht="15.75" thickBot="1" x14ac:dyDescent="0.3">
      <c r="A271" s="291" t="s">
        <v>126</v>
      </c>
      <c r="B271" s="286" t="s">
        <v>941</v>
      </c>
      <c r="C271" s="286" t="s">
        <v>100</v>
      </c>
      <c r="D271" s="138" t="s">
        <v>942</v>
      </c>
      <c r="E271" s="286" t="s">
        <v>165</v>
      </c>
      <c r="F271" s="287">
        <v>46496</v>
      </c>
      <c r="G271" s="288" t="s">
        <v>103</v>
      </c>
      <c r="H271" s="288">
        <v>677</v>
      </c>
      <c r="I271" s="289">
        <v>1002.2</v>
      </c>
      <c r="J271" s="289">
        <v>678489.24</v>
      </c>
      <c r="K271" s="288" t="s">
        <v>103</v>
      </c>
      <c r="L271" s="292">
        <v>1.2999999999999999E-3</v>
      </c>
    </row>
    <row r="272" spans="1:12" ht="15.75" thickBot="1" x14ac:dyDescent="0.3">
      <c r="A272" s="291" t="s">
        <v>127</v>
      </c>
      <c r="B272" s="286" t="s">
        <v>1152</v>
      </c>
      <c r="C272" s="286" t="s">
        <v>100</v>
      </c>
      <c r="D272" s="138" t="s">
        <v>911</v>
      </c>
      <c r="E272" s="286" t="s">
        <v>912</v>
      </c>
      <c r="F272" s="287">
        <v>47257</v>
      </c>
      <c r="G272" s="288" t="s">
        <v>103</v>
      </c>
      <c r="H272" s="290">
        <v>1320</v>
      </c>
      <c r="I272" s="289">
        <v>1046.6099999999999</v>
      </c>
      <c r="J272" s="289">
        <v>1381519.97</v>
      </c>
      <c r="K272" s="288" t="s">
        <v>103</v>
      </c>
      <c r="L272" s="292">
        <v>2.7000000000000001E-3</v>
      </c>
    </row>
    <row r="273" spans="1:12" ht="15.75" thickBot="1" x14ac:dyDescent="0.3">
      <c r="A273" s="291" t="s">
        <v>127</v>
      </c>
      <c r="B273" s="286" t="s">
        <v>38</v>
      </c>
      <c r="C273" s="286" t="s">
        <v>100</v>
      </c>
      <c r="D273" s="138" t="s">
        <v>238</v>
      </c>
      <c r="E273" s="286" t="s">
        <v>605</v>
      </c>
      <c r="F273" s="287">
        <v>46096</v>
      </c>
      <c r="G273" s="288" t="s">
        <v>1486</v>
      </c>
      <c r="H273" s="290">
        <v>3319</v>
      </c>
      <c r="I273" s="289">
        <v>712.31</v>
      </c>
      <c r="J273" s="289">
        <v>2364152.98</v>
      </c>
      <c r="K273" s="288" t="s">
        <v>103</v>
      </c>
      <c r="L273" s="292">
        <v>4.7000000000000002E-3</v>
      </c>
    </row>
    <row r="274" spans="1:12" ht="15.75" thickBot="1" x14ac:dyDescent="0.3">
      <c r="A274" s="291" t="s">
        <v>127</v>
      </c>
      <c r="B274" s="286" t="s">
        <v>38</v>
      </c>
      <c r="C274" s="286" t="s">
        <v>100</v>
      </c>
      <c r="D274" s="138" t="s">
        <v>1063</v>
      </c>
      <c r="E274" s="286" t="s">
        <v>1148</v>
      </c>
      <c r="F274" s="287">
        <v>47645</v>
      </c>
      <c r="G274" s="288" t="s">
        <v>1485</v>
      </c>
      <c r="H274" s="288">
        <v>282</v>
      </c>
      <c r="I274" s="289">
        <v>1032.24</v>
      </c>
      <c r="J274" s="289">
        <v>291091.09999999998</v>
      </c>
      <c r="K274" s="288" t="s">
        <v>103</v>
      </c>
      <c r="L274" s="292">
        <v>5.9999999999999995E-4</v>
      </c>
    </row>
    <row r="275" spans="1:12" ht="15.75" thickBot="1" x14ac:dyDescent="0.3">
      <c r="A275" s="291" t="s">
        <v>127</v>
      </c>
      <c r="B275" s="286" t="s">
        <v>258</v>
      </c>
      <c r="C275" s="286" t="s">
        <v>100</v>
      </c>
      <c r="D275" s="138" t="s">
        <v>259</v>
      </c>
      <c r="E275" s="286" t="s">
        <v>810</v>
      </c>
      <c r="F275" s="287">
        <v>48168</v>
      </c>
      <c r="G275" s="288" t="s">
        <v>1401</v>
      </c>
      <c r="H275" s="288">
        <v>429</v>
      </c>
      <c r="I275" s="289">
        <v>1059.46</v>
      </c>
      <c r="J275" s="289">
        <v>454510.31</v>
      </c>
      <c r="K275" s="288" t="s">
        <v>103</v>
      </c>
      <c r="L275" s="292">
        <v>8.9999999999999998E-4</v>
      </c>
    </row>
    <row r="276" spans="1:12" ht="15.75" thickBot="1" x14ac:dyDescent="0.3">
      <c r="A276" s="291" t="s">
        <v>127</v>
      </c>
      <c r="B276" s="286" t="s">
        <v>397</v>
      </c>
      <c r="C276" s="286" t="s">
        <v>100</v>
      </c>
      <c r="D276" s="138" t="s">
        <v>398</v>
      </c>
      <c r="E276" s="286" t="s">
        <v>1176</v>
      </c>
      <c r="F276" s="287">
        <v>45856</v>
      </c>
      <c r="G276" s="288" t="s">
        <v>1487</v>
      </c>
      <c r="H276" s="290">
        <v>6734</v>
      </c>
      <c r="I276" s="289">
        <v>1015.91</v>
      </c>
      <c r="J276" s="289">
        <v>6841106.7000000002</v>
      </c>
      <c r="K276" s="288" t="s">
        <v>103</v>
      </c>
      <c r="L276" s="292">
        <v>1.35E-2</v>
      </c>
    </row>
    <row r="277" spans="1:12" ht="15.75" thickBot="1" x14ac:dyDescent="0.3">
      <c r="A277" s="291" t="s">
        <v>127</v>
      </c>
      <c r="B277" s="286" t="s">
        <v>1098</v>
      </c>
      <c r="C277" s="286" t="s">
        <v>100</v>
      </c>
      <c r="D277" s="138" t="s">
        <v>1099</v>
      </c>
      <c r="E277" s="286" t="s">
        <v>1100</v>
      </c>
      <c r="F277" s="287">
        <v>47373</v>
      </c>
      <c r="G277" s="288" t="s">
        <v>103</v>
      </c>
      <c r="H277" s="290">
        <v>1174</v>
      </c>
      <c r="I277" s="289">
        <v>1004.85</v>
      </c>
      <c r="J277" s="289">
        <v>1179693.8999999999</v>
      </c>
      <c r="K277" s="288" t="s">
        <v>103</v>
      </c>
      <c r="L277" s="292">
        <v>2.3E-3</v>
      </c>
    </row>
    <row r="278" spans="1:12" ht="15.75" thickBot="1" x14ac:dyDescent="0.3">
      <c r="A278" s="291" t="s">
        <v>127</v>
      </c>
      <c r="B278" s="286" t="s">
        <v>237</v>
      </c>
      <c r="C278" s="286" t="s">
        <v>100</v>
      </c>
      <c r="D278" s="138" t="s">
        <v>1078</v>
      </c>
      <c r="E278" s="286" t="s">
        <v>1086</v>
      </c>
      <c r="F278" s="287">
        <v>47011</v>
      </c>
      <c r="G278" s="288" t="s">
        <v>103</v>
      </c>
      <c r="H278" s="288">
        <v>449</v>
      </c>
      <c r="I278" s="289">
        <v>864.99</v>
      </c>
      <c r="J278" s="289">
        <v>388381.68</v>
      </c>
      <c r="K278" s="288" t="s">
        <v>103</v>
      </c>
      <c r="L278" s="292">
        <v>8.0000000000000004E-4</v>
      </c>
    </row>
    <row r="279" spans="1:12" ht="15.75" thickBot="1" x14ac:dyDescent="0.3">
      <c r="A279" s="291" t="s">
        <v>127</v>
      </c>
      <c r="B279" s="286" t="s">
        <v>204</v>
      </c>
      <c r="C279" s="286" t="s">
        <v>100</v>
      </c>
      <c r="D279" s="138" t="s">
        <v>206</v>
      </c>
      <c r="E279" s="286" t="s">
        <v>734</v>
      </c>
      <c r="F279" s="287">
        <v>48014</v>
      </c>
      <c r="G279" s="288" t="s">
        <v>1493</v>
      </c>
      <c r="H279" s="290">
        <v>2309</v>
      </c>
      <c r="I279" s="289">
        <v>980.16</v>
      </c>
      <c r="J279" s="289">
        <v>2263197.89</v>
      </c>
      <c r="K279" s="288" t="s">
        <v>103</v>
      </c>
      <c r="L279" s="292">
        <v>4.4999999999999997E-3</v>
      </c>
    </row>
    <row r="280" spans="1:12" ht="15.75" thickBot="1" x14ac:dyDescent="0.3">
      <c r="A280" s="291" t="s">
        <v>127</v>
      </c>
      <c r="B280" s="286" t="s">
        <v>204</v>
      </c>
      <c r="C280" s="286" t="s">
        <v>100</v>
      </c>
      <c r="D280" s="138" t="s">
        <v>207</v>
      </c>
      <c r="E280" s="286" t="s">
        <v>610</v>
      </c>
      <c r="F280" s="287">
        <v>47284</v>
      </c>
      <c r="G280" s="288" t="s">
        <v>1430</v>
      </c>
      <c r="H280" s="290">
        <v>1306</v>
      </c>
      <c r="I280" s="289">
        <v>985.8</v>
      </c>
      <c r="J280" s="289">
        <v>1287456.24</v>
      </c>
      <c r="K280" s="288" t="s">
        <v>103</v>
      </c>
      <c r="L280" s="292">
        <v>2.5000000000000001E-3</v>
      </c>
    </row>
    <row r="281" spans="1:12" ht="15.75" thickBot="1" x14ac:dyDescent="0.3">
      <c r="A281" s="291" t="s">
        <v>127</v>
      </c>
      <c r="B281" s="286" t="s">
        <v>354</v>
      </c>
      <c r="C281" s="286" t="s">
        <v>100</v>
      </c>
      <c r="D281" s="138" t="s">
        <v>957</v>
      </c>
      <c r="E281" s="286" t="s">
        <v>958</v>
      </c>
      <c r="F281" s="287">
        <v>47234</v>
      </c>
      <c r="G281" s="288" t="s">
        <v>103</v>
      </c>
      <c r="H281" s="290">
        <v>1792</v>
      </c>
      <c r="I281" s="289">
        <v>1059.28</v>
      </c>
      <c r="J281" s="289">
        <v>1898235.22</v>
      </c>
      <c r="K281" s="288" t="s">
        <v>103</v>
      </c>
      <c r="L281" s="292">
        <v>3.7000000000000002E-3</v>
      </c>
    </row>
    <row r="282" spans="1:12" ht="15.75" thickBot="1" x14ac:dyDescent="0.3">
      <c r="A282" s="291" t="s">
        <v>127</v>
      </c>
      <c r="B282" s="286" t="s">
        <v>396</v>
      </c>
      <c r="C282" s="286" t="s">
        <v>100</v>
      </c>
      <c r="D282" s="138" t="s">
        <v>1404</v>
      </c>
      <c r="E282" s="286" t="s">
        <v>165</v>
      </c>
      <c r="F282" s="287">
        <v>47123</v>
      </c>
      <c r="G282" s="288" t="s">
        <v>103</v>
      </c>
      <c r="H282" s="288">
        <v>488</v>
      </c>
      <c r="I282" s="289">
        <v>443.22</v>
      </c>
      <c r="J282" s="289">
        <v>216290.35</v>
      </c>
      <c r="K282" s="288" t="s">
        <v>103</v>
      </c>
      <c r="L282" s="292">
        <v>4.0000000000000002E-4</v>
      </c>
    </row>
    <row r="283" spans="1:12" ht="15.75" thickBot="1" x14ac:dyDescent="0.3">
      <c r="A283" s="291" t="s">
        <v>127</v>
      </c>
      <c r="B283" s="286" t="s">
        <v>396</v>
      </c>
      <c r="C283" s="286" t="s">
        <v>100</v>
      </c>
      <c r="D283" s="138" t="s">
        <v>1405</v>
      </c>
      <c r="E283" s="286" t="s">
        <v>165</v>
      </c>
      <c r="F283" s="287">
        <v>52967</v>
      </c>
      <c r="G283" s="288" t="s">
        <v>103</v>
      </c>
      <c r="H283" s="288">
        <v>722</v>
      </c>
      <c r="I283" s="289">
        <v>79.02</v>
      </c>
      <c r="J283" s="289">
        <v>57052.53</v>
      </c>
      <c r="K283" s="288" t="s">
        <v>103</v>
      </c>
      <c r="L283" s="292">
        <v>1E-4</v>
      </c>
    </row>
    <row r="284" spans="1:12" ht="15.75" thickBot="1" x14ac:dyDescent="0.3">
      <c r="A284" s="291" t="s">
        <v>127</v>
      </c>
      <c r="B284" s="286" t="s">
        <v>759</v>
      </c>
      <c r="C284" s="286" t="s">
        <v>100</v>
      </c>
      <c r="D284" s="138" t="s">
        <v>760</v>
      </c>
      <c r="E284" s="286" t="s">
        <v>711</v>
      </c>
      <c r="F284" s="287">
        <v>46959</v>
      </c>
      <c r="G284" s="288" t="s">
        <v>1496</v>
      </c>
      <c r="H284" s="290">
        <v>1070</v>
      </c>
      <c r="I284" s="289">
        <v>849.88</v>
      </c>
      <c r="J284" s="289">
        <v>909369.6</v>
      </c>
      <c r="K284" s="288" t="s">
        <v>103</v>
      </c>
      <c r="L284" s="292">
        <v>1.8E-3</v>
      </c>
    </row>
    <row r="285" spans="1:12" ht="15.75" thickBot="1" x14ac:dyDescent="0.3">
      <c r="A285" s="291" t="s">
        <v>127</v>
      </c>
      <c r="B285" s="286" t="s">
        <v>37</v>
      </c>
      <c r="C285" s="286" t="s">
        <v>100</v>
      </c>
      <c r="D285" s="138" t="s">
        <v>260</v>
      </c>
      <c r="E285" s="286" t="s">
        <v>621</v>
      </c>
      <c r="F285" s="287">
        <v>47065</v>
      </c>
      <c r="G285" s="288" t="s">
        <v>1415</v>
      </c>
      <c r="H285" s="288">
        <v>43</v>
      </c>
      <c r="I285" s="289">
        <v>1058.49</v>
      </c>
      <c r="J285" s="289">
        <v>45515.09</v>
      </c>
      <c r="K285" s="288" t="s">
        <v>103</v>
      </c>
      <c r="L285" s="292">
        <v>1E-4</v>
      </c>
    </row>
    <row r="286" spans="1:12" ht="15.75" thickBot="1" x14ac:dyDescent="0.3">
      <c r="A286" s="291" t="s">
        <v>127</v>
      </c>
      <c r="B286" s="286" t="s">
        <v>295</v>
      </c>
      <c r="C286" s="286" t="s">
        <v>100</v>
      </c>
      <c r="D286" s="138" t="s">
        <v>508</v>
      </c>
      <c r="E286" s="286" t="s">
        <v>629</v>
      </c>
      <c r="F286" s="287">
        <v>47472</v>
      </c>
      <c r="G286" s="288" t="s">
        <v>1406</v>
      </c>
      <c r="H286" s="290">
        <v>5019</v>
      </c>
      <c r="I286" s="289">
        <v>941.28</v>
      </c>
      <c r="J286" s="289">
        <v>4724303.7699999996</v>
      </c>
      <c r="K286" s="288" t="s">
        <v>103</v>
      </c>
      <c r="L286" s="292">
        <v>9.2999999999999992E-3</v>
      </c>
    </row>
    <row r="287" spans="1:12" ht="15.75" thickBot="1" x14ac:dyDescent="0.3">
      <c r="A287" s="291" t="s">
        <v>127</v>
      </c>
      <c r="B287" s="286" t="s">
        <v>295</v>
      </c>
      <c r="C287" s="286" t="s">
        <v>100</v>
      </c>
      <c r="D287" s="138" t="s">
        <v>300</v>
      </c>
      <c r="E287" s="286" t="s">
        <v>1241</v>
      </c>
      <c r="F287" s="287">
        <v>47863</v>
      </c>
      <c r="G287" s="288" t="s">
        <v>1501</v>
      </c>
      <c r="H287" s="290">
        <v>1177</v>
      </c>
      <c r="I287" s="289">
        <v>940.12</v>
      </c>
      <c r="J287" s="289">
        <v>1106520.4099999999</v>
      </c>
      <c r="K287" s="288" t="s">
        <v>103</v>
      </c>
      <c r="L287" s="292">
        <v>2.2000000000000001E-3</v>
      </c>
    </row>
    <row r="288" spans="1:12" ht="15.75" thickBot="1" x14ac:dyDescent="0.3">
      <c r="A288" s="291" t="s">
        <v>127</v>
      </c>
      <c r="B288" s="286" t="s">
        <v>208</v>
      </c>
      <c r="C288" s="286" t="s">
        <v>100</v>
      </c>
      <c r="D288" s="138" t="s">
        <v>185</v>
      </c>
      <c r="E288" s="286" t="s">
        <v>1102</v>
      </c>
      <c r="F288" s="287">
        <v>46893</v>
      </c>
      <c r="G288" s="288" t="s">
        <v>1502</v>
      </c>
      <c r="H288" s="290">
        <v>3135</v>
      </c>
      <c r="I288" s="289">
        <v>1044.05</v>
      </c>
      <c r="J288" s="289">
        <v>3273111.82</v>
      </c>
      <c r="K288" s="288" t="s">
        <v>103</v>
      </c>
      <c r="L288" s="292">
        <v>6.4000000000000003E-3</v>
      </c>
    </row>
    <row r="289" spans="1:12" ht="15.75" thickBot="1" x14ac:dyDescent="0.3">
      <c r="A289" s="291" t="s">
        <v>127</v>
      </c>
      <c r="B289" s="286" t="s">
        <v>208</v>
      </c>
      <c r="C289" s="286" t="s">
        <v>100</v>
      </c>
      <c r="D289" s="138" t="s">
        <v>1003</v>
      </c>
      <c r="E289" s="286" t="s">
        <v>655</v>
      </c>
      <c r="F289" s="287">
        <v>47289</v>
      </c>
      <c r="G289" s="288" t="s">
        <v>1407</v>
      </c>
      <c r="H289" s="290">
        <v>1195</v>
      </c>
      <c r="I289" s="289">
        <v>1010.88</v>
      </c>
      <c r="J289" s="289">
        <v>1208005.95</v>
      </c>
      <c r="K289" s="288" t="s">
        <v>103</v>
      </c>
      <c r="L289" s="292">
        <v>2.3999999999999998E-3</v>
      </c>
    </row>
    <row r="290" spans="1:12" ht="15.75" thickBot="1" x14ac:dyDescent="0.3">
      <c r="A290" s="291" t="s">
        <v>127</v>
      </c>
      <c r="B290" s="286" t="s">
        <v>230</v>
      </c>
      <c r="C290" s="286" t="s">
        <v>100</v>
      </c>
      <c r="D290" s="138" t="s">
        <v>327</v>
      </c>
      <c r="E290" s="286" t="s">
        <v>1242</v>
      </c>
      <c r="F290" s="287">
        <v>46506</v>
      </c>
      <c r="G290" s="288" t="s">
        <v>1503</v>
      </c>
      <c r="H290" s="288">
        <v>412</v>
      </c>
      <c r="I290" s="289">
        <v>1051.98</v>
      </c>
      <c r="J290" s="289">
        <v>433417.66</v>
      </c>
      <c r="K290" s="288" t="s">
        <v>103</v>
      </c>
      <c r="L290" s="292">
        <v>8.9999999999999998E-4</v>
      </c>
    </row>
    <row r="291" spans="1:12" ht="15.75" thickBot="1" x14ac:dyDescent="0.3">
      <c r="A291" s="291" t="s">
        <v>127</v>
      </c>
      <c r="B291" s="286" t="s">
        <v>230</v>
      </c>
      <c r="C291" s="286" t="s">
        <v>100</v>
      </c>
      <c r="D291" s="138" t="s">
        <v>211</v>
      </c>
      <c r="E291" s="286" t="s">
        <v>636</v>
      </c>
      <c r="F291" s="287">
        <v>45802</v>
      </c>
      <c r="G291" s="288" t="s">
        <v>1504</v>
      </c>
      <c r="H291" s="290">
        <v>1192</v>
      </c>
      <c r="I291" s="289">
        <v>346.73</v>
      </c>
      <c r="J291" s="289">
        <v>413304.38</v>
      </c>
      <c r="K291" s="288" t="s">
        <v>103</v>
      </c>
      <c r="L291" s="292">
        <v>8.0000000000000004E-4</v>
      </c>
    </row>
    <row r="292" spans="1:12" ht="15.75" thickBot="1" x14ac:dyDescent="0.3">
      <c r="A292" s="291" t="s">
        <v>127</v>
      </c>
      <c r="B292" s="286" t="s">
        <v>8</v>
      </c>
      <c r="C292" s="286" t="s">
        <v>100</v>
      </c>
      <c r="D292" s="138" t="s">
        <v>137</v>
      </c>
      <c r="E292" s="286" t="s">
        <v>1243</v>
      </c>
      <c r="F292" s="287">
        <v>46371</v>
      </c>
      <c r="G292" s="288" t="s">
        <v>1506</v>
      </c>
      <c r="H292" s="290">
        <v>1740</v>
      </c>
      <c r="I292" s="289">
        <v>694.57</v>
      </c>
      <c r="J292" s="289">
        <v>1208551.8</v>
      </c>
      <c r="K292" s="288" t="s">
        <v>103</v>
      </c>
      <c r="L292" s="292">
        <v>2.3999999999999998E-3</v>
      </c>
    </row>
    <row r="293" spans="1:12" ht="15.75" thickBot="1" x14ac:dyDescent="0.3">
      <c r="A293" s="291" t="s">
        <v>127</v>
      </c>
      <c r="B293" s="286" t="s">
        <v>231</v>
      </c>
      <c r="C293" s="286" t="s">
        <v>100</v>
      </c>
      <c r="D293" s="138" t="s">
        <v>221</v>
      </c>
      <c r="E293" s="286" t="s">
        <v>1046</v>
      </c>
      <c r="F293" s="287">
        <v>48080</v>
      </c>
      <c r="G293" s="288" t="s">
        <v>1438</v>
      </c>
      <c r="H293" s="290">
        <v>1885</v>
      </c>
      <c r="I293" s="289">
        <v>1026.3</v>
      </c>
      <c r="J293" s="289">
        <v>1934578.84</v>
      </c>
      <c r="K293" s="288" t="s">
        <v>103</v>
      </c>
      <c r="L293" s="292">
        <v>3.8E-3</v>
      </c>
    </row>
    <row r="294" spans="1:12" ht="15.75" thickBot="1" x14ac:dyDescent="0.3">
      <c r="A294" s="291" t="s">
        <v>127</v>
      </c>
      <c r="B294" s="286" t="s">
        <v>428</v>
      </c>
      <c r="C294" s="286" t="s">
        <v>100</v>
      </c>
      <c r="D294" s="138" t="s">
        <v>349</v>
      </c>
      <c r="E294" s="286" t="s">
        <v>1106</v>
      </c>
      <c r="F294" s="287">
        <v>46541</v>
      </c>
      <c r="G294" s="288" t="s">
        <v>1507</v>
      </c>
      <c r="H294" s="290">
        <v>3948</v>
      </c>
      <c r="I294" s="289">
        <v>747.71</v>
      </c>
      <c r="J294" s="289">
        <v>2951941.44</v>
      </c>
      <c r="K294" s="288" t="s">
        <v>103</v>
      </c>
      <c r="L294" s="292">
        <v>5.7999999999999996E-3</v>
      </c>
    </row>
    <row r="295" spans="1:12" ht="15.75" thickBot="1" x14ac:dyDescent="0.3">
      <c r="A295" s="291" t="s">
        <v>127</v>
      </c>
      <c r="B295" s="286" t="s">
        <v>505</v>
      </c>
      <c r="C295" s="286" t="s">
        <v>100</v>
      </c>
      <c r="D295" s="138" t="s">
        <v>764</v>
      </c>
      <c r="E295" s="286" t="s">
        <v>765</v>
      </c>
      <c r="F295" s="287">
        <v>46614</v>
      </c>
      <c r="G295" s="288" t="s">
        <v>1431</v>
      </c>
      <c r="H295" s="290">
        <v>1397</v>
      </c>
      <c r="I295" s="289">
        <v>1023.98</v>
      </c>
      <c r="J295" s="289">
        <v>1430503.76</v>
      </c>
      <c r="K295" s="288" t="s">
        <v>103</v>
      </c>
      <c r="L295" s="292">
        <v>2.8E-3</v>
      </c>
    </row>
    <row r="296" spans="1:12" ht="15.75" thickBot="1" x14ac:dyDescent="0.3">
      <c r="A296" s="291" t="s">
        <v>127</v>
      </c>
      <c r="B296" s="286" t="s">
        <v>497</v>
      </c>
      <c r="C296" s="286" t="s">
        <v>100</v>
      </c>
      <c r="D296" s="138" t="s">
        <v>498</v>
      </c>
      <c r="E296" s="286" t="s">
        <v>1244</v>
      </c>
      <c r="F296" s="287">
        <v>46716</v>
      </c>
      <c r="G296" s="288" t="s">
        <v>1502</v>
      </c>
      <c r="H296" s="290">
        <v>2711</v>
      </c>
      <c r="I296" s="289">
        <v>908.64</v>
      </c>
      <c r="J296" s="289">
        <v>2463324.37</v>
      </c>
      <c r="K296" s="288" t="s">
        <v>103</v>
      </c>
      <c r="L296" s="292">
        <v>4.8999999999999998E-3</v>
      </c>
    </row>
    <row r="297" spans="1:12" ht="15.75" thickBot="1" x14ac:dyDescent="0.3">
      <c r="A297" s="291" t="s">
        <v>127</v>
      </c>
      <c r="B297" s="286" t="s">
        <v>45</v>
      </c>
      <c r="C297" s="286" t="s">
        <v>100</v>
      </c>
      <c r="D297" s="138" t="s">
        <v>437</v>
      </c>
      <c r="E297" s="286" t="s">
        <v>1246</v>
      </c>
      <c r="F297" s="287">
        <v>47192</v>
      </c>
      <c r="G297" s="288" t="s">
        <v>1510</v>
      </c>
      <c r="H297" s="290">
        <v>1498</v>
      </c>
      <c r="I297" s="289">
        <v>912.22</v>
      </c>
      <c r="J297" s="289">
        <v>1366512.24</v>
      </c>
      <c r="K297" s="288" t="s">
        <v>103</v>
      </c>
      <c r="L297" s="292">
        <v>2.7000000000000001E-3</v>
      </c>
    </row>
    <row r="298" spans="1:12" ht="15.75" thickBot="1" x14ac:dyDescent="0.3">
      <c r="A298" s="291" t="s">
        <v>127</v>
      </c>
      <c r="B298" s="286" t="s">
        <v>778</v>
      </c>
      <c r="C298" s="286" t="s">
        <v>100</v>
      </c>
      <c r="D298" s="138" t="s">
        <v>1109</v>
      </c>
      <c r="E298" s="286" t="s">
        <v>1111</v>
      </c>
      <c r="F298" s="287">
        <v>46924</v>
      </c>
      <c r="G298" s="288" t="s">
        <v>1512</v>
      </c>
      <c r="H298" s="290">
        <v>1970</v>
      </c>
      <c r="I298" s="289">
        <v>1027.92</v>
      </c>
      <c r="J298" s="289">
        <v>2025003.65</v>
      </c>
      <c r="K298" s="288" t="s">
        <v>103</v>
      </c>
      <c r="L298" s="292">
        <v>4.0000000000000001E-3</v>
      </c>
    </row>
    <row r="299" spans="1:12" ht="15.75" thickBot="1" x14ac:dyDescent="0.3">
      <c r="A299" s="291" t="s">
        <v>127</v>
      </c>
      <c r="B299" s="286" t="s">
        <v>1410</v>
      </c>
      <c r="C299" s="286" t="s">
        <v>100</v>
      </c>
      <c r="D299" s="138" t="s">
        <v>1064</v>
      </c>
      <c r="E299" s="286" t="s">
        <v>165</v>
      </c>
      <c r="F299" s="287">
        <v>46482</v>
      </c>
      <c r="G299" s="288" t="s">
        <v>103</v>
      </c>
      <c r="H299" s="290">
        <v>1590</v>
      </c>
      <c r="I299" s="289">
        <v>1002.11</v>
      </c>
      <c r="J299" s="289">
        <v>1593347.96</v>
      </c>
      <c r="K299" s="288" t="s">
        <v>103</v>
      </c>
      <c r="L299" s="292">
        <v>3.0999999999999999E-3</v>
      </c>
    </row>
    <row r="300" spans="1:12" ht="15.75" thickBot="1" x14ac:dyDescent="0.3">
      <c r="A300" s="291" t="s">
        <v>127</v>
      </c>
      <c r="B300" s="286" t="s">
        <v>513</v>
      </c>
      <c r="C300" s="286" t="s">
        <v>100</v>
      </c>
      <c r="D300" s="138" t="s">
        <v>514</v>
      </c>
      <c r="E300" s="286" t="s">
        <v>662</v>
      </c>
      <c r="F300" s="287">
        <v>46310</v>
      </c>
      <c r="G300" s="288" t="s">
        <v>1517</v>
      </c>
      <c r="H300" s="290">
        <v>1330</v>
      </c>
      <c r="I300" s="289">
        <v>1044.98</v>
      </c>
      <c r="J300" s="289">
        <v>1389823.93</v>
      </c>
      <c r="K300" s="288" t="s">
        <v>103</v>
      </c>
      <c r="L300" s="292">
        <v>2.7000000000000001E-3</v>
      </c>
    </row>
    <row r="301" spans="1:12" ht="15.75" thickBot="1" x14ac:dyDescent="0.3">
      <c r="A301" s="291" t="s">
        <v>127</v>
      </c>
      <c r="B301" s="286" t="s">
        <v>1358</v>
      </c>
      <c r="C301" s="286" t="s">
        <v>100</v>
      </c>
      <c r="D301" s="138" t="s">
        <v>326</v>
      </c>
      <c r="E301" s="286" t="s">
        <v>165</v>
      </c>
      <c r="F301" s="287">
        <v>46492</v>
      </c>
      <c r="G301" s="288" t="s">
        <v>103</v>
      </c>
      <c r="H301" s="290">
        <v>3575</v>
      </c>
      <c r="I301" s="289">
        <v>1057.8599999999999</v>
      </c>
      <c r="J301" s="289">
        <v>3781842.54</v>
      </c>
      <c r="K301" s="288" t="s">
        <v>103</v>
      </c>
      <c r="L301" s="292">
        <v>7.4999999999999997E-3</v>
      </c>
    </row>
    <row r="302" spans="1:12" ht="15.75" thickBot="1" x14ac:dyDescent="0.3">
      <c r="A302" s="291" t="s">
        <v>127</v>
      </c>
      <c r="B302" s="286" t="s">
        <v>1359</v>
      </c>
      <c r="C302" s="286" t="s">
        <v>100</v>
      </c>
      <c r="D302" s="138" t="s">
        <v>210</v>
      </c>
      <c r="E302" s="286" t="s">
        <v>165</v>
      </c>
      <c r="F302" s="287">
        <v>48531</v>
      </c>
      <c r="G302" s="288" t="s">
        <v>103</v>
      </c>
      <c r="H302" s="290">
        <v>18096</v>
      </c>
      <c r="I302" s="289">
        <v>56.46</v>
      </c>
      <c r="J302" s="289">
        <v>1021766.05</v>
      </c>
      <c r="K302" s="288" t="s">
        <v>103</v>
      </c>
      <c r="L302" s="292">
        <v>2E-3</v>
      </c>
    </row>
    <row r="303" spans="1:12" ht="15.75" thickBot="1" x14ac:dyDescent="0.3">
      <c r="A303" s="291" t="s">
        <v>127</v>
      </c>
      <c r="B303" s="286" t="s">
        <v>1359</v>
      </c>
      <c r="C303" s="286" t="s">
        <v>100</v>
      </c>
      <c r="D303" s="138" t="s">
        <v>1181</v>
      </c>
      <c r="E303" s="286" t="s">
        <v>165</v>
      </c>
      <c r="F303" s="287">
        <v>46630</v>
      </c>
      <c r="G303" s="288" t="s">
        <v>103</v>
      </c>
      <c r="H303" s="290">
        <v>119586</v>
      </c>
      <c r="I303" s="289">
        <v>7.96</v>
      </c>
      <c r="J303" s="289">
        <v>951904.56</v>
      </c>
      <c r="K303" s="288" t="s">
        <v>103</v>
      </c>
      <c r="L303" s="292">
        <v>1.9E-3</v>
      </c>
    </row>
    <row r="304" spans="1:12" ht="15.75" thickBot="1" x14ac:dyDescent="0.3">
      <c r="A304" s="291" t="s">
        <v>127</v>
      </c>
      <c r="B304" s="286" t="s">
        <v>1359</v>
      </c>
      <c r="C304" s="286" t="s">
        <v>100</v>
      </c>
      <c r="D304" s="138" t="s">
        <v>12</v>
      </c>
      <c r="E304" s="286" t="s">
        <v>165</v>
      </c>
      <c r="F304" s="287">
        <v>48531</v>
      </c>
      <c r="G304" s="288" t="s">
        <v>103</v>
      </c>
      <c r="H304" s="290">
        <v>16149</v>
      </c>
      <c r="I304" s="289">
        <v>56.46</v>
      </c>
      <c r="J304" s="289">
        <v>911831.34</v>
      </c>
      <c r="K304" s="288" t="s">
        <v>103</v>
      </c>
      <c r="L304" s="292">
        <v>1.8E-3</v>
      </c>
    </row>
    <row r="305" spans="1:12" ht="15.75" thickBot="1" x14ac:dyDescent="0.3">
      <c r="A305" s="291" t="s">
        <v>127</v>
      </c>
      <c r="B305" s="286" t="s">
        <v>1359</v>
      </c>
      <c r="C305" s="286" t="s">
        <v>100</v>
      </c>
      <c r="D305" s="138" t="s">
        <v>1182</v>
      </c>
      <c r="E305" s="286" t="s">
        <v>165</v>
      </c>
      <c r="F305" s="287">
        <v>50357</v>
      </c>
      <c r="G305" s="288" t="s">
        <v>103</v>
      </c>
      <c r="H305" s="290">
        <v>7594</v>
      </c>
      <c r="I305" s="289">
        <v>26.66</v>
      </c>
      <c r="J305" s="289">
        <v>202456.8</v>
      </c>
      <c r="K305" s="288" t="s">
        <v>103</v>
      </c>
      <c r="L305" s="292">
        <v>4.0000000000000002E-4</v>
      </c>
    </row>
    <row r="306" spans="1:12" ht="15.75" thickBot="1" x14ac:dyDescent="0.3">
      <c r="A306" s="291" t="s">
        <v>127</v>
      </c>
      <c r="B306" s="286" t="s">
        <v>1359</v>
      </c>
      <c r="C306" s="286" t="s">
        <v>100</v>
      </c>
      <c r="D306" s="138" t="s">
        <v>1248</v>
      </c>
      <c r="E306" s="286" t="s">
        <v>165</v>
      </c>
      <c r="F306" s="287">
        <v>50357</v>
      </c>
      <c r="G306" s="288" t="s">
        <v>103</v>
      </c>
      <c r="H306" s="290">
        <v>6781</v>
      </c>
      <c r="I306" s="289">
        <v>26.66</v>
      </c>
      <c r="J306" s="289">
        <v>180782.14</v>
      </c>
      <c r="K306" s="288" t="s">
        <v>103</v>
      </c>
      <c r="L306" s="292">
        <v>4.0000000000000002E-4</v>
      </c>
    </row>
    <row r="307" spans="1:12" ht="15.75" thickBot="1" x14ac:dyDescent="0.3">
      <c r="A307" s="291" t="s">
        <v>127</v>
      </c>
      <c r="B307" s="286" t="s">
        <v>35</v>
      </c>
      <c r="C307" s="286" t="s">
        <v>100</v>
      </c>
      <c r="D307" s="138" t="s">
        <v>3</v>
      </c>
      <c r="E307" s="286" t="s">
        <v>743</v>
      </c>
      <c r="F307" s="287">
        <v>47196</v>
      </c>
      <c r="G307" s="288" t="s">
        <v>1520</v>
      </c>
      <c r="H307" s="288">
        <v>191</v>
      </c>
      <c r="I307" s="289">
        <v>10895.87</v>
      </c>
      <c r="J307" s="289">
        <v>2081111.47</v>
      </c>
      <c r="K307" s="288" t="s">
        <v>103</v>
      </c>
      <c r="L307" s="292">
        <v>4.1000000000000003E-3</v>
      </c>
    </row>
    <row r="308" spans="1:12" ht="15.75" thickBot="1" x14ac:dyDescent="0.3">
      <c r="A308" s="291" t="s">
        <v>127</v>
      </c>
      <c r="B308" s="286" t="s">
        <v>855</v>
      </c>
      <c r="C308" s="286" t="s">
        <v>100</v>
      </c>
      <c r="D308" s="138" t="s">
        <v>265</v>
      </c>
      <c r="E308" s="286" t="s">
        <v>890</v>
      </c>
      <c r="F308" s="287">
        <v>47046</v>
      </c>
      <c r="G308" s="288" t="s">
        <v>1441</v>
      </c>
      <c r="H308" s="290">
        <v>7388</v>
      </c>
      <c r="I308" s="289">
        <v>1033.5899999999999</v>
      </c>
      <c r="J308" s="289">
        <v>7636126.5300000003</v>
      </c>
      <c r="K308" s="288" t="s">
        <v>103</v>
      </c>
      <c r="L308" s="292">
        <v>1.4999999999999999E-2</v>
      </c>
    </row>
    <row r="309" spans="1:12" ht="15.75" thickBot="1" x14ac:dyDescent="0.3">
      <c r="A309" s="291" t="s">
        <v>127</v>
      </c>
      <c r="B309" s="286" t="s">
        <v>289</v>
      </c>
      <c r="C309" s="286" t="s">
        <v>100</v>
      </c>
      <c r="D309" s="138" t="s">
        <v>266</v>
      </c>
      <c r="E309" s="286" t="s">
        <v>672</v>
      </c>
      <c r="F309" s="287">
        <v>47060</v>
      </c>
      <c r="G309" s="288" t="s">
        <v>1523</v>
      </c>
      <c r="H309" s="288">
        <v>285</v>
      </c>
      <c r="I309" s="289">
        <v>1052.45</v>
      </c>
      <c r="J309" s="289">
        <v>299947.09000000003</v>
      </c>
      <c r="K309" s="288" t="s">
        <v>103</v>
      </c>
      <c r="L309" s="292">
        <v>5.9999999999999995E-4</v>
      </c>
    </row>
    <row r="310" spans="1:12" ht="15.75" thickBot="1" x14ac:dyDescent="0.3">
      <c r="A310" s="291" t="s">
        <v>127</v>
      </c>
      <c r="B310" s="286" t="s">
        <v>427</v>
      </c>
      <c r="C310" s="286" t="s">
        <v>100</v>
      </c>
      <c r="D310" s="138" t="s">
        <v>469</v>
      </c>
      <c r="E310" s="286" t="s">
        <v>667</v>
      </c>
      <c r="F310" s="287">
        <v>46588</v>
      </c>
      <c r="G310" s="288" t="s">
        <v>1524</v>
      </c>
      <c r="H310" s="290">
        <v>1087</v>
      </c>
      <c r="I310" s="289">
        <v>1024.76</v>
      </c>
      <c r="J310" s="289">
        <v>1113916.99</v>
      </c>
      <c r="K310" s="288" t="s">
        <v>103</v>
      </c>
      <c r="L310" s="292">
        <v>2.2000000000000001E-3</v>
      </c>
    </row>
    <row r="311" spans="1:12" ht="15.75" thickBot="1" x14ac:dyDescent="0.3">
      <c r="A311" s="291" t="s">
        <v>127</v>
      </c>
      <c r="B311" s="286" t="s">
        <v>267</v>
      </c>
      <c r="C311" s="286" t="s">
        <v>100</v>
      </c>
      <c r="D311" s="138" t="s">
        <v>268</v>
      </c>
      <c r="E311" s="286" t="s">
        <v>813</v>
      </c>
      <c r="F311" s="287">
        <v>47238</v>
      </c>
      <c r="G311" s="288" t="s">
        <v>1525</v>
      </c>
      <c r="H311" s="290">
        <v>3610</v>
      </c>
      <c r="I311" s="289">
        <v>1049.1099999999999</v>
      </c>
      <c r="J311" s="289">
        <v>3787302.31</v>
      </c>
      <c r="K311" s="288" t="s">
        <v>103</v>
      </c>
      <c r="L311" s="292">
        <v>7.4999999999999997E-3</v>
      </c>
    </row>
    <row r="312" spans="1:12" ht="15.75" thickBot="1" x14ac:dyDescent="0.3">
      <c r="A312" s="291" t="s">
        <v>127</v>
      </c>
      <c r="B312" s="286" t="s">
        <v>758</v>
      </c>
      <c r="C312" s="286" t="s">
        <v>100</v>
      </c>
      <c r="D312" s="138" t="s">
        <v>837</v>
      </c>
      <c r="E312" s="286" t="s">
        <v>1114</v>
      </c>
      <c r="F312" s="287">
        <v>47406</v>
      </c>
      <c r="G312" s="288" t="s">
        <v>1429</v>
      </c>
      <c r="H312" s="290">
        <v>2222594</v>
      </c>
      <c r="I312" s="289">
        <v>1.07</v>
      </c>
      <c r="J312" s="289">
        <v>2379024.61</v>
      </c>
      <c r="K312" s="288" t="s">
        <v>103</v>
      </c>
      <c r="L312" s="292">
        <v>4.7000000000000002E-3</v>
      </c>
    </row>
    <row r="313" spans="1:12" ht="15.75" thickBot="1" x14ac:dyDescent="0.3">
      <c r="A313" s="291" t="s">
        <v>127</v>
      </c>
      <c r="B313" s="286" t="s">
        <v>758</v>
      </c>
      <c r="C313" s="286" t="s">
        <v>100</v>
      </c>
      <c r="D313" s="138" t="s">
        <v>1113</v>
      </c>
      <c r="E313" s="286" t="s">
        <v>1115</v>
      </c>
      <c r="F313" s="287">
        <v>47741</v>
      </c>
      <c r="G313" s="288" t="s">
        <v>1421</v>
      </c>
      <c r="H313" s="288">
        <v>390</v>
      </c>
      <c r="I313" s="289">
        <v>1049.78</v>
      </c>
      <c r="J313" s="289">
        <v>409413.99</v>
      </c>
      <c r="K313" s="288" t="s">
        <v>103</v>
      </c>
      <c r="L313" s="292">
        <v>8.0000000000000004E-4</v>
      </c>
    </row>
    <row r="314" spans="1:12" ht="15.75" thickBot="1" x14ac:dyDescent="0.3">
      <c r="A314" s="291" t="s">
        <v>127</v>
      </c>
      <c r="B314" s="286" t="s">
        <v>13</v>
      </c>
      <c r="C314" s="286" t="s">
        <v>100</v>
      </c>
      <c r="D314" s="138" t="s">
        <v>242</v>
      </c>
      <c r="E314" s="286" t="s">
        <v>680</v>
      </c>
      <c r="F314" s="287">
        <v>47041</v>
      </c>
      <c r="G314" s="288" t="s">
        <v>1531</v>
      </c>
      <c r="H314" s="290">
        <v>1695</v>
      </c>
      <c r="I314" s="289">
        <v>1080.07</v>
      </c>
      <c r="J314" s="289">
        <v>1830717.98</v>
      </c>
      <c r="K314" s="288" t="s">
        <v>103</v>
      </c>
      <c r="L314" s="292">
        <v>3.5999999999999999E-3</v>
      </c>
    </row>
    <row r="315" spans="1:12" ht="15.75" thickBot="1" x14ac:dyDescent="0.3">
      <c r="A315" s="291" t="s">
        <v>127</v>
      </c>
      <c r="B315" s="286" t="s">
        <v>13</v>
      </c>
      <c r="C315" s="286" t="s">
        <v>100</v>
      </c>
      <c r="D315" s="138" t="s">
        <v>97</v>
      </c>
      <c r="E315" s="286" t="s">
        <v>683</v>
      </c>
      <c r="F315" s="287">
        <v>45894</v>
      </c>
      <c r="G315" s="288" t="s">
        <v>1533</v>
      </c>
      <c r="H315" s="288">
        <v>168</v>
      </c>
      <c r="I315" s="289">
        <v>336.33</v>
      </c>
      <c r="J315" s="289">
        <v>56504.04</v>
      </c>
      <c r="K315" s="288" t="s">
        <v>103</v>
      </c>
      <c r="L315" s="292">
        <v>1E-4</v>
      </c>
    </row>
    <row r="316" spans="1:12" ht="15.75" thickBot="1" x14ac:dyDescent="0.3">
      <c r="A316" s="291" t="s">
        <v>127</v>
      </c>
      <c r="B316" s="286" t="s">
        <v>33</v>
      </c>
      <c r="C316" s="286" t="s">
        <v>100</v>
      </c>
      <c r="D316" s="138" t="s">
        <v>751</v>
      </c>
      <c r="E316" s="286" t="s">
        <v>693</v>
      </c>
      <c r="F316" s="287">
        <v>46193</v>
      </c>
      <c r="G316" s="288" t="s">
        <v>1537</v>
      </c>
      <c r="H316" s="290">
        <v>1590</v>
      </c>
      <c r="I316" s="289">
        <v>1041.82</v>
      </c>
      <c r="J316" s="289">
        <v>1656494.27</v>
      </c>
      <c r="K316" s="288" t="s">
        <v>103</v>
      </c>
      <c r="L316" s="292">
        <v>3.3E-3</v>
      </c>
    </row>
    <row r="317" spans="1:12" ht="15.75" thickBot="1" x14ac:dyDescent="0.3">
      <c r="A317" s="291" t="s">
        <v>127</v>
      </c>
      <c r="B317" s="286" t="s">
        <v>33</v>
      </c>
      <c r="C317" s="286" t="s">
        <v>100</v>
      </c>
      <c r="D317" s="138" t="s">
        <v>822</v>
      </c>
      <c r="E317" s="286" t="s">
        <v>626</v>
      </c>
      <c r="F317" s="287">
        <v>47771</v>
      </c>
      <c r="G317" s="288" t="s">
        <v>1536</v>
      </c>
      <c r="H317" s="288">
        <v>131</v>
      </c>
      <c r="I317" s="289">
        <v>1087.77</v>
      </c>
      <c r="J317" s="289">
        <v>142498.39000000001</v>
      </c>
      <c r="K317" s="288" t="s">
        <v>103</v>
      </c>
      <c r="L317" s="292">
        <v>2.9999999999999997E-4</v>
      </c>
    </row>
    <row r="318" spans="1:12" ht="15.75" thickBot="1" x14ac:dyDescent="0.3">
      <c r="A318" s="291" t="s">
        <v>127</v>
      </c>
      <c r="B318" s="286" t="s">
        <v>975</v>
      </c>
      <c r="C318" s="286" t="s">
        <v>100</v>
      </c>
      <c r="D318" s="138" t="s">
        <v>976</v>
      </c>
      <c r="E318" s="286" t="s">
        <v>977</v>
      </c>
      <c r="F318" s="287">
        <v>45950</v>
      </c>
      <c r="G318" s="288" t="s">
        <v>1539</v>
      </c>
      <c r="H318" s="288">
        <v>242</v>
      </c>
      <c r="I318" s="289">
        <v>515.12</v>
      </c>
      <c r="J318" s="289">
        <v>124660.21</v>
      </c>
      <c r="K318" s="288" t="s">
        <v>103</v>
      </c>
      <c r="L318" s="292">
        <v>2.0000000000000001E-4</v>
      </c>
    </row>
    <row r="319" spans="1:12" ht="15.75" thickBot="1" x14ac:dyDescent="0.3">
      <c r="A319" s="291" t="s">
        <v>127</v>
      </c>
      <c r="B319" s="286" t="s">
        <v>156</v>
      </c>
      <c r="C319" s="286" t="s">
        <v>100</v>
      </c>
      <c r="D319" s="138" t="s">
        <v>328</v>
      </c>
      <c r="E319" s="286" t="s">
        <v>686</v>
      </c>
      <c r="F319" s="287">
        <v>48339</v>
      </c>
      <c r="G319" s="288" t="s">
        <v>1401</v>
      </c>
      <c r="H319" s="290">
        <v>2299</v>
      </c>
      <c r="I319" s="289">
        <v>1056.8900000000001</v>
      </c>
      <c r="J319" s="289">
        <v>2429784.75</v>
      </c>
      <c r="K319" s="288" t="s">
        <v>103</v>
      </c>
      <c r="L319" s="292">
        <v>4.7999999999999996E-3</v>
      </c>
    </row>
    <row r="320" spans="1:12" ht="15.75" thickBot="1" x14ac:dyDescent="0.3">
      <c r="A320" s="291" t="s">
        <v>127</v>
      </c>
      <c r="B320" s="286" t="s">
        <v>156</v>
      </c>
      <c r="C320" s="286" t="s">
        <v>100</v>
      </c>
      <c r="D320" s="138" t="s">
        <v>1039</v>
      </c>
      <c r="E320" s="286" t="s">
        <v>1041</v>
      </c>
      <c r="F320" s="287">
        <v>47297</v>
      </c>
      <c r="G320" s="288" t="s">
        <v>1541</v>
      </c>
      <c r="H320" s="290">
        <v>1453</v>
      </c>
      <c r="I320" s="289">
        <v>1016.5</v>
      </c>
      <c r="J320" s="289">
        <v>1476972.81</v>
      </c>
      <c r="K320" s="288" t="s">
        <v>103</v>
      </c>
      <c r="L320" s="292">
        <v>2.8999999999999998E-3</v>
      </c>
    </row>
    <row r="321" spans="1:12" ht="15.75" thickBot="1" x14ac:dyDescent="0.3">
      <c r="A321" s="291" t="s">
        <v>127</v>
      </c>
      <c r="B321" s="286" t="s">
        <v>290</v>
      </c>
      <c r="C321" s="286" t="s">
        <v>100</v>
      </c>
      <c r="D321" s="138" t="s">
        <v>240</v>
      </c>
      <c r="E321" s="286" t="s">
        <v>1424</v>
      </c>
      <c r="F321" s="287">
        <v>47406</v>
      </c>
      <c r="G321" s="288" t="s">
        <v>1431</v>
      </c>
      <c r="H321" s="290">
        <v>2985</v>
      </c>
      <c r="I321" s="289">
        <v>839.92</v>
      </c>
      <c r="J321" s="289">
        <v>2507169.7400000002</v>
      </c>
      <c r="K321" s="288" t="s">
        <v>103</v>
      </c>
      <c r="L321" s="292">
        <v>4.8999999999999998E-3</v>
      </c>
    </row>
    <row r="322" spans="1:12" ht="15.75" thickBot="1" x14ac:dyDescent="0.3">
      <c r="A322" s="291" t="s">
        <v>127</v>
      </c>
      <c r="B322" s="286" t="s">
        <v>825</v>
      </c>
      <c r="C322" s="286" t="s">
        <v>100</v>
      </c>
      <c r="D322" s="138" t="s">
        <v>826</v>
      </c>
      <c r="E322" s="286" t="s">
        <v>1252</v>
      </c>
      <c r="F322" s="287">
        <v>47788</v>
      </c>
      <c r="G322" s="288" t="s">
        <v>1298</v>
      </c>
      <c r="H322" s="290">
        <v>1132</v>
      </c>
      <c r="I322" s="289">
        <v>1064.3499999999999</v>
      </c>
      <c r="J322" s="289">
        <v>1204848.55</v>
      </c>
      <c r="K322" s="288" t="s">
        <v>103</v>
      </c>
      <c r="L322" s="292">
        <v>2.3999999999999998E-3</v>
      </c>
    </row>
    <row r="323" spans="1:12" ht="15.75" thickBot="1" x14ac:dyDescent="0.3">
      <c r="A323" s="291" t="s">
        <v>127</v>
      </c>
      <c r="B323" s="286" t="s">
        <v>476</v>
      </c>
      <c r="C323" s="286" t="s">
        <v>100</v>
      </c>
      <c r="D323" s="138" t="s">
        <v>470</v>
      </c>
      <c r="E323" s="286" t="s">
        <v>691</v>
      </c>
      <c r="F323" s="287">
        <v>46741</v>
      </c>
      <c r="G323" s="288" t="s">
        <v>1439</v>
      </c>
      <c r="H323" s="290">
        <v>2811</v>
      </c>
      <c r="I323" s="289">
        <v>990.12</v>
      </c>
      <c r="J323" s="289">
        <v>2783219.95</v>
      </c>
      <c r="K323" s="288" t="s">
        <v>103</v>
      </c>
      <c r="L323" s="292">
        <v>5.4999999999999997E-3</v>
      </c>
    </row>
    <row r="324" spans="1:12" ht="15.75" thickBot="1" x14ac:dyDescent="0.3">
      <c r="A324" s="291" t="s">
        <v>127</v>
      </c>
      <c r="B324" s="286" t="s">
        <v>418</v>
      </c>
      <c r="C324" s="286" t="s">
        <v>100</v>
      </c>
      <c r="D324" s="138" t="s">
        <v>419</v>
      </c>
      <c r="E324" s="286" t="s">
        <v>698</v>
      </c>
      <c r="F324" s="287">
        <v>46609</v>
      </c>
      <c r="G324" s="288" t="s">
        <v>103</v>
      </c>
      <c r="H324" s="290">
        <v>1325</v>
      </c>
      <c r="I324" s="289">
        <v>630.55999999999995</v>
      </c>
      <c r="J324" s="289">
        <v>835490.44</v>
      </c>
      <c r="K324" s="288" t="s">
        <v>103</v>
      </c>
      <c r="L324" s="292">
        <v>1.6000000000000001E-3</v>
      </c>
    </row>
    <row r="325" spans="1:12" ht="15.75" thickBot="1" x14ac:dyDescent="0.3">
      <c r="A325" s="291" t="s">
        <v>127</v>
      </c>
      <c r="B325" s="286" t="s">
        <v>944</v>
      </c>
      <c r="C325" s="286" t="s">
        <v>100</v>
      </c>
      <c r="D325" s="138" t="s">
        <v>945</v>
      </c>
      <c r="E325" s="286" t="s">
        <v>946</v>
      </c>
      <c r="F325" s="287">
        <v>47223</v>
      </c>
      <c r="G325" s="288" t="s">
        <v>103</v>
      </c>
      <c r="H325" s="290">
        <v>1047</v>
      </c>
      <c r="I325" s="289">
        <v>1044.33</v>
      </c>
      <c r="J325" s="289">
        <v>1093409.78</v>
      </c>
      <c r="K325" s="288" t="s">
        <v>103</v>
      </c>
      <c r="L325" s="292">
        <v>2.2000000000000001E-3</v>
      </c>
    </row>
    <row r="326" spans="1:12" ht="15.75" thickBot="1" x14ac:dyDescent="0.3">
      <c r="A326" s="291" t="s">
        <v>127</v>
      </c>
      <c r="B326" s="286" t="s">
        <v>1034</v>
      </c>
      <c r="C326" s="286" t="s">
        <v>100</v>
      </c>
      <c r="D326" s="138" t="s">
        <v>1033</v>
      </c>
      <c r="E326" s="286" t="s">
        <v>1037</v>
      </c>
      <c r="F326" s="287">
        <v>47284</v>
      </c>
      <c r="G326" s="288" t="s">
        <v>1550</v>
      </c>
      <c r="H326" s="288">
        <v>365</v>
      </c>
      <c r="I326" s="289">
        <v>1036.99</v>
      </c>
      <c r="J326" s="289">
        <v>378501.87</v>
      </c>
      <c r="K326" s="288" t="s">
        <v>103</v>
      </c>
      <c r="L326" s="292">
        <v>6.9999999999999999E-4</v>
      </c>
    </row>
    <row r="327" spans="1:12" ht="15.75" thickBot="1" x14ac:dyDescent="0.3">
      <c r="A327" s="291" t="s">
        <v>127</v>
      </c>
      <c r="B327" s="286" t="s">
        <v>234</v>
      </c>
      <c r="C327" s="286" t="s">
        <v>100</v>
      </c>
      <c r="D327" s="138" t="s">
        <v>471</v>
      </c>
      <c r="E327" s="286" t="s">
        <v>701</v>
      </c>
      <c r="F327" s="287">
        <v>46152</v>
      </c>
      <c r="G327" s="288" t="s">
        <v>1422</v>
      </c>
      <c r="H327" s="290">
        <v>2444</v>
      </c>
      <c r="I327" s="289">
        <v>989.51</v>
      </c>
      <c r="J327" s="289">
        <v>2418361.6800000002</v>
      </c>
      <c r="K327" s="288" t="s">
        <v>103</v>
      </c>
      <c r="L327" s="292">
        <v>4.7999999999999996E-3</v>
      </c>
    </row>
    <row r="328" spans="1:12" ht="15.75" thickBot="1" x14ac:dyDescent="0.3">
      <c r="A328" s="291" t="s">
        <v>127</v>
      </c>
      <c r="B328" s="286" t="s">
        <v>234</v>
      </c>
      <c r="C328" s="286" t="s">
        <v>100</v>
      </c>
      <c r="D328" s="138" t="s">
        <v>509</v>
      </c>
      <c r="E328" s="286" t="s">
        <v>1254</v>
      </c>
      <c r="F328" s="287">
        <v>46883</v>
      </c>
      <c r="G328" s="288" t="s">
        <v>1413</v>
      </c>
      <c r="H328" s="290">
        <v>1267</v>
      </c>
      <c r="I328" s="289">
        <v>841.56</v>
      </c>
      <c r="J328" s="289">
        <v>1066256.8500000001</v>
      </c>
      <c r="K328" s="288" t="s">
        <v>103</v>
      </c>
      <c r="L328" s="292">
        <v>2.0999999999999999E-3</v>
      </c>
    </row>
    <row r="329" spans="1:12" ht="15.75" thickBot="1" x14ac:dyDescent="0.3">
      <c r="A329" s="291" t="s">
        <v>127</v>
      </c>
      <c r="B329" s="286" t="s">
        <v>891</v>
      </c>
      <c r="C329" s="286" t="s">
        <v>100</v>
      </c>
      <c r="D329" s="138" t="s">
        <v>472</v>
      </c>
      <c r="E329" s="286" t="s">
        <v>845</v>
      </c>
      <c r="F329" s="287">
        <v>46664</v>
      </c>
      <c r="G329" s="288" t="s">
        <v>1552</v>
      </c>
      <c r="H329" s="290">
        <v>3255</v>
      </c>
      <c r="I329" s="289">
        <v>841.9</v>
      </c>
      <c r="J329" s="289">
        <v>2740388.17</v>
      </c>
      <c r="K329" s="288" t="s">
        <v>103</v>
      </c>
      <c r="L329" s="292">
        <v>5.4000000000000003E-3</v>
      </c>
    </row>
    <row r="330" spans="1:12" ht="15.75" thickBot="1" x14ac:dyDescent="0.3">
      <c r="A330" s="291" t="s">
        <v>127</v>
      </c>
      <c r="B330" s="286" t="s">
        <v>213</v>
      </c>
      <c r="C330" s="286" t="s">
        <v>100</v>
      </c>
      <c r="D330" s="138" t="s">
        <v>332</v>
      </c>
      <c r="E330" s="286" t="s">
        <v>916</v>
      </c>
      <c r="F330" s="287">
        <v>46492</v>
      </c>
      <c r="G330" s="288" t="s">
        <v>1555</v>
      </c>
      <c r="H330" s="290">
        <v>3222</v>
      </c>
      <c r="I330" s="289">
        <v>1054.58</v>
      </c>
      <c r="J330" s="289">
        <v>3397862.75</v>
      </c>
      <c r="K330" s="288" t="s">
        <v>103</v>
      </c>
      <c r="L330" s="292">
        <v>6.7000000000000002E-3</v>
      </c>
    </row>
    <row r="331" spans="1:12" ht="15.75" thickBot="1" x14ac:dyDescent="0.3">
      <c r="A331" s="291" t="s">
        <v>127</v>
      </c>
      <c r="B331" s="286" t="s">
        <v>203</v>
      </c>
      <c r="C331" s="286" t="s">
        <v>100</v>
      </c>
      <c r="D331" s="138" t="s">
        <v>750</v>
      </c>
      <c r="E331" s="286" t="s">
        <v>869</v>
      </c>
      <c r="F331" s="287">
        <v>46142</v>
      </c>
      <c r="G331" s="288" t="s">
        <v>103</v>
      </c>
      <c r="H331" s="290">
        <v>1207</v>
      </c>
      <c r="I331" s="289">
        <v>1371.84</v>
      </c>
      <c r="J331" s="289">
        <v>1655810.46</v>
      </c>
      <c r="K331" s="288" t="s">
        <v>103</v>
      </c>
      <c r="L331" s="292">
        <v>3.3E-3</v>
      </c>
    </row>
    <row r="332" spans="1:12" ht="15.75" thickBot="1" x14ac:dyDescent="0.3">
      <c r="A332" s="291" t="s">
        <v>127</v>
      </c>
      <c r="B332" s="286" t="s">
        <v>429</v>
      </c>
      <c r="C332" s="286" t="s">
        <v>100</v>
      </c>
      <c r="D332" s="138" t="s">
        <v>347</v>
      </c>
      <c r="E332" s="286" t="s">
        <v>706</v>
      </c>
      <c r="F332" s="287">
        <v>47250</v>
      </c>
      <c r="G332" s="288" t="s">
        <v>1557</v>
      </c>
      <c r="H332" s="290">
        <v>1475</v>
      </c>
      <c r="I332" s="289">
        <v>996.46</v>
      </c>
      <c r="J332" s="289">
        <v>1469777.25</v>
      </c>
      <c r="K332" s="288" t="s">
        <v>103</v>
      </c>
      <c r="L332" s="292">
        <v>2.8999999999999998E-3</v>
      </c>
    </row>
    <row r="333" spans="1:12" ht="15.75" thickBot="1" x14ac:dyDescent="0.3">
      <c r="A333" s="291" t="s">
        <v>127</v>
      </c>
      <c r="B333" s="286" t="s">
        <v>473</v>
      </c>
      <c r="C333" s="286" t="s">
        <v>100</v>
      </c>
      <c r="D333" s="138" t="s">
        <v>1121</v>
      </c>
      <c r="E333" s="286" t="s">
        <v>165</v>
      </c>
      <c r="F333" s="287">
        <v>47325</v>
      </c>
      <c r="G333" s="288" t="s">
        <v>103</v>
      </c>
      <c r="H333" s="290">
        <v>2280</v>
      </c>
      <c r="I333" s="289">
        <v>43.35</v>
      </c>
      <c r="J333" s="289">
        <v>98840.44</v>
      </c>
      <c r="K333" s="288" t="s">
        <v>103</v>
      </c>
      <c r="L333" s="292">
        <v>2.0000000000000001E-4</v>
      </c>
    </row>
    <row r="334" spans="1:12" ht="15.75" thickBot="1" x14ac:dyDescent="0.3">
      <c r="A334" s="291" t="s">
        <v>127</v>
      </c>
      <c r="B334" s="286" t="s">
        <v>10</v>
      </c>
      <c r="C334" s="286" t="s">
        <v>100</v>
      </c>
      <c r="D334" s="138" t="s">
        <v>1330</v>
      </c>
      <c r="E334" s="286" t="s">
        <v>1331</v>
      </c>
      <c r="F334" s="287">
        <v>45716</v>
      </c>
      <c r="G334" s="288" t="s">
        <v>1562</v>
      </c>
      <c r="H334" s="290">
        <v>1378</v>
      </c>
      <c r="I334" s="289">
        <v>672.93</v>
      </c>
      <c r="J334" s="289">
        <v>927297.87</v>
      </c>
      <c r="K334" s="288" t="s">
        <v>103</v>
      </c>
      <c r="L334" s="292">
        <v>1.8E-3</v>
      </c>
    </row>
    <row r="335" spans="1:12" ht="15.75" thickBot="1" x14ac:dyDescent="0.3">
      <c r="A335" s="291" t="s">
        <v>127</v>
      </c>
      <c r="B335" s="286" t="s">
        <v>215</v>
      </c>
      <c r="C335" s="286" t="s">
        <v>100</v>
      </c>
      <c r="D335" s="138" t="s">
        <v>216</v>
      </c>
      <c r="E335" s="286" t="s">
        <v>534</v>
      </c>
      <c r="F335" s="287">
        <v>46234</v>
      </c>
      <c r="G335" s="288" t="s">
        <v>103</v>
      </c>
      <c r="H335" s="288">
        <v>70</v>
      </c>
      <c r="I335" s="289">
        <v>507.3</v>
      </c>
      <c r="J335" s="289">
        <v>35511.269999999997</v>
      </c>
      <c r="K335" s="288" t="s">
        <v>103</v>
      </c>
      <c r="L335" s="292">
        <v>1E-4</v>
      </c>
    </row>
    <row r="336" spans="1:12" ht="15.75" thickBot="1" x14ac:dyDescent="0.3">
      <c r="A336" s="291" t="s">
        <v>127</v>
      </c>
      <c r="B336" s="286" t="s">
        <v>233</v>
      </c>
      <c r="C336" s="286" t="s">
        <v>100</v>
      </c>
      <c r="D336" s="138" t="s">
        <v>239</v>
      </c>
      <c r="E336" s="286" t="s">
        <v>894</v>
      </c>
      <c r="F336" s="287">
        <v>47030</v>
      </c>
      <c r="G336" s="288" t="s">
        <v>1565</v>
      </c>
      <c r="H336" s="290">
        <v>4843</v>
      </c>
      <c r="I336" s="289">
        <v>1055.98</v>
      </c>
      <c r="J336" s="289">
        <v>5114115.17</v>
      </c>
      <c r="K336" s="288" t="s">
        <v>103</v>
      </c>
      <c r="L336" s="292">
        <v>1.01E-2</v>
      </c>
    </row>
    <row r="337" spans="1:12" ht="15.75" thickBot="1" x14ac:dyDescent="0.3">
      <c r="A337" s="291" t="s">
        <v>127</v>
      </c>
      <c r="B337" s="286" t="s">
        <v>506</v>
      </c>
      <c r="C337" s="286" t="s">
        <v>100</v>
      </c>
      <c r="D337" s="138" t="s">
        <v>879</v>
      </c>
      <c r="E337" s="286" t="s">
        <v>964</v>
      </c>
      <c r="F337" s="287">
        <v>47157</v>
      </c>
      <c r="G337" s="288" t="s">
        <v>1412</v>
      </c>
      <c r="H337" s="290">
        <v>1728</v>
      </c>
      <c r="I337" s="289">
        <v>1021.7</v>
      </c>
      <c r="J337" s="289">
        <v>1765489.68</v>
      </c>
      <c r="K337" s="288" t="s">
        <v>103</v>
      </c>
      <c r="L337" s="292">
        <v>3.5000000000000001E-3</v>
      </c>
    </row>
    <row r="338" spans="1:12" ht="15.75" thickBot="1" x14ac:dyDescent="0.3">
      <c r="A338" s="291" t="s">
        <v>186</v>
      </c>
      <c r="B338" s="286" t="s">
        <v>189</v>
      </c>
      <c r="C338" s="286" t="s">
        <v>100</v>
      </c>
      <c r="D338" s="138" t="s">
        <v>271</v>
      </c>
      <c r="E338" s="286" t="s">
        <v>881</v>
      </c>
      <c r="F338" s="287">
        <v>47953</v>
      </c>
      <c r="G338" s="288" t="s">
        <v>103</v>
      </c>
      <c r="H338" s="290">
        <v>2730</v>
      </c>
      <c r="I338" s="289">
        <v>1105.3599999999999</v>
      </c>
      <c r="J338" s="289">
        <v>3017625.11</v>
      </c>
      <c r="K338" s="288" t="s">
        <v>103</v>
      </c>
      <c r="L338" s="292">
        <v>5.8999999999999999E-3</v>
      </c>
    </row>
    <row r="339" spans="1:12" ht="15.75" thickBot="1" x14ac:dyDescent="0.3">
      <c r="A339" s="291" t="s">
        <v>131</v>
      </c>
      <c r="B339" s="286" t="s">
        <v>140</v>
      </c>
      <c r="C339" s="286" t="s">
        <v>100</v>
      </c>
      <c r="D339" s="138">
        <v>100000</v>
      </c>
      <c r="E339" s="286" t="s">
        <v>165</v>
      </c>
      <c r="F339" s="287">
        <v>47119</v>
      </c>
      <c r="G339" s="288" t="s">
        <v>103</v>
      </c>
      <c r="H339" s="290">
        <v>414884</v>
      </c>
      <c r="I339" s="289">
        <v>583.54</v>
      </c>
      <c r="J339" s="289">
        <v>242103023.81999999</v>
      </c>
      <c r="K339" s="288" t="s">
        <v>103</v>
      </c>
      <c r="L339" s="292">
        <v>0.47710000000000002</v>
      </c>
    </row>
    <row r="340" spans="1:12" ht="15.75" thickBot="1" x14ac:dyDescent="0.3">
      <c r="A340" s="291" t="s">
        <v>488</v>
      </c>
      <c r="B340" s="286" t="s">
        <v>767</v>
      </c>
      <c r="C340" s="286" t="s">
        <v>100</v>
      </c>
      <c r="D340" s="138" t="s">
        <v>768</v>
      </c>
      <c r="E340" s="286" t="s">
        <v>847</v>
      </c>
      <c r="F340" s="287">
        <v>45870</v>
      </c>
      <c r="G340" s="288" t="s">
        <v>103</v>
      </c>
      <c r="H340" s="290">
        <v>1487</v>
      </c>
      <c r="I340" s="289">
        <v>1211.97</v>
      </c>
      <c r="J340" s="289">
        <v>1802195.01</v>
      </c>
      <c r="K340" s="288" t="s">
        <v>103</v>
      </c>
      <c r="L340" s="292">
        <v>3.5999999999999999E-3</v>
      </c>
    </row>
    <row r="341" spans="1:12" ht="15.75" thickBot="1" x14ac:dyDescent="0.3">
      <c r="A341" s="291" t="s">
        <v>488</v>
      </c>
      <c r="B341" s="286" t="s">
        <v>1027</v>
      </c>
      <c r="C341" s="286" t="s">
        <v>100</v>
      </c>
      <c r="D341" s="138" t="s">
        <v>1081</v>
      </c>
      <c r="E341" s="286" t="s">
        <v>165</v>
      </c>
      <c r="F341" s="287">
        <v>45897</v>
      </c>
      <c r="G341" s="288" t="s">
        <v>103</v>
      </c>
      <c r="H341" s="290">
        <v>2100</v>
      </c>
      <c r="I341" s="289">
        <v>1059.03</v>
      </c>
      <c r="J341" s="289">
        <v>2223965.96</v>
      </c>
      <c r="K341" s="288" t="s">
        <v>103</v>
      </c>
      <c r="L341" s="292">
        <v>4.4000000000000003E-3</v>
      </c>
    </row>
    <row r="342" spans="1:12" ht="15.75" thickBot="1" x14ac:dyDescent="0.3">
      <c r="A342" s="291" t="s">
        <v>488</v>
      </c>
      <c r="B342" s="286" t="s">
        <v>1123</v>
      </c>
      <c r="C342" s="286" t="s">
        <v>100</v>
      </c>
      <c r="D342" s="138" t="s">
        <v>1158</v>
      </c>
      <c r="E342" s="286" t="s">
        <v>165</v>
      </c>
      <c r="F342" s="287">
        <v>45810</v>
      </c>
      <c r="G342" s="288" t="s">
        <v>103</v>
      </c>
      <c r="H342" s="290">
        <v>4867</v>
      </c>
      <c r="I342" s="289">
        <v>1028.3800000000001</v>
      </c>
      <c r="J342" s="289">
        <v>5005108.72</v>
      </c>
      <c r="K342" s="288" t="s">
        <v>103</v>
      </c>
      <c r="L342" s="292">
        <v>9.9000000000000008E-3</v>
      </c>
    </row>
    <row r="343" spans="1:12" ht="15.75" thickBot="1" x14ac:dyDescent="0.3">
      <c r="A343" s="291" t="s">
        <v>488</v>
      </c>
      <c r="B343" s="286" t="s">
        <v>1123</v>
      </c>
      <c r="C343" s="286" t="s">
        <v>100</v>
      </c>
      <c r="D343" s="138" t="s">
        <v>1124</v>
      </c>
      <c r="E343" s="286" t="s">
        <v>165</v>
      </c>
      <c r="F343" s="287">
        <v>45929</v>
      </c>
      <c r="G343" s="288" t="s">
        <v>103</v>
      </c>
      <c r="H343" s="290">
        <v>4241</v>
      </c>
      <c r="I343" s="289">
        <v>1051.06</v>
      </c>
      <c r="J343" s="289">
        <v>4457549.74</v>
      </c>
      <c r="K343" s="288" t="s">
        <v>103</v>
      </c>
      <c r="L343" s="292">
        <v>8.8000000000000005E-3</v>
      </c>
    </row>
    <row r="344" spans="1:12" ht="15.75" thickBot="1" x14ac:dyDescent="0.3">
      <c r="A344" s="291" t="s">
        <v>488</v>
      </c>
      <c r="B344" s="286" t="s">
        <v>1062</v>
      </c>
      <c r="C344" s="286" t="s">
        <v>100</v>
      </c>
      <c r="D344" s="138" t="s">
        <v>1146</v>
      </c>
      <c r="E344" s="286" t="s">
        <v>165</v>
      </c>
      <c r="F344" s="287">
        <v>45943</v>
      </c>
      <c r="G344" s="288" t="s">
        <v>103</v>
      </c>
      <c r="H344" s="290">
        <v>3076</v>
      </c>
      <c r="I344" s="289">
        <v>1047.6099999999999</v>
      </c>
      <c r="J344" s="289">
        <v>3222453.05</v>
      </c>
      <c r="K344" s="288" t="s">
        <v>103</v>
      </c>
      <c r="L344" s="292">
        <v>6.4000000000000003E-3</v>
      </c>
    </row>
    <row r="345" spans="1:12" ht="15.75" thickBot="1" x14ac:dyDescent="0.3">
      <c r="A345" s="291" t="s">
        <v>488</v>
      </c>
      <c r="B345" s="286" t="s">
        <v>1062</v>
      </c>
      <c r="C345" s="286" t="s">
        <v>100</v>
      </c>
      <c r="D345" s="138" t="s">
        <v>1128</v>
      </c>
      <c r="E345" s="286" t="s">
        <v>165</v>
      </c>
      <c r="F345" s="287">
        <v>45869</v>
      </c>
      <c r="G345" s="288" t="s">
        <v>103</v>
      </c>
      <c r="H345" s="290">
        <v>1523</v>
      </c>
      <c r="I345" s="289">
        <v>1074.3</v>
      </c>
      <c r="J345" s="289">
        <v>1636164.77</v>
      </c>
      <c r="K345" s="288" t="s">
        <v>103</v>
      </c>
      <c r="L345" s="292">
        <v>3.2000000000000002E-3</v>
      </c>
    </row>
    <row r="346" spans="1:12" ht="15.75" thickBot="1" x14ac:dyDescent="0.3">
      <c r="A346" s="291" t="s">
        <v>144</v>
      </c>
      <c r="B346" s="286" t="s">
        <v>103</v>
      </c>
      <c r="C346" s="286" t="s">
        <v>100</v>
      </c>
      <c r="D346" s="138" t="s">
        <v>144</v>
      </c>
      <c r="E346" s="286" t="s">
        <v>165</v>
      </c>
      <c r="F346" s="288" t="s">
        <v>103</v>
      </c>
      <c r="G346" s="288" t="s">
        <v>103</v>
      </c>
      <c r="H346" s="288" t="s">
        <v>103</v>
      </c>
      <c r="I346" s="288" t="s">
        <v>103</v>
      </c>
      <c r="J346" s="289">
        <v>0</v>
      </c>
      <c r="K346" s="288" t="s">
        <v>103</v>
      </c>
      <c r="L346" s="292">
        <v>0</v>
      </c>
    </row>
    <row r="347" spans="1:12" ht="15.75" thickBot="1" x14ac:dyDescent="0.3">
      <c r="A347" s="291" t="s">
        <v>99</v>
      </c>
      <c r="B347" s="286" t="s">
        <v>140</v>
      </c>
      <c r="C347" s="286" t="s">
        <v>108</v>
      </c>
      <c r="D347" s="138" t="s">
        <v>248</v>
      </c>
      <c r="E347" s="286" t="s">
        <v>528</v>
      </c>
      <c r="F347" s="287">
        <v>46082</v>
      </c>
      <c r="G347" s="288" t="s">
        <v>103</v>
      </c>
      <c r="H347" s="288">
        <v>119</v>
      </c>
      <c r="I347" s="289">
        <v>16114.22</v>
      </c>
      <c r="J347" s="289">
        <v>1917592.59</v>
      </c>
      <c r="K347" s="288" t="s">
        <v>103</v>
      </c>
      <c r="L347" s="292">
        <v>6.8999999999999999E-3</v>
      </c>
    </row>
    <row r="348" spans="1:12" ht="15.75" thickBot="1" x14ac:dyDescent="0.3">
      <c r="A348" s="291" t="s">
        <v>1131</v>
      </c>
      <c r="B348" s="286" t="s">
        <v>201</v>
      </c>
      <c r="C348" s="286" t="s">
        <v>108</v>
      </c>
      <c r="D348" s="138" t="s">
        <v>1361</v>
      </c>
      <c r="E348" s="286" t="s">
        <v>165</v>
      </c>
      <c r="F348" s="287">
        <v>46042</v>
      </c>
      <c r="G348" s="288" t="s">
        <v>103</v>
      </c>
      <c r="H348" s="290">
        <v>2955</v>
      </c>
      <c r="I348" s="289">
        <v>1013.42</v>
      </c>
      <c r="J348" s="289">
        <v>2994655.85</v>
      </c>
      <c r="K348" s="288" t="s">
        <v>103</v>
      </c>
      <c r="L348" s="292">
        <v>1.0800000000000001E-2</v>
      </c>
    </row>
    <row r="349" spans="1:12" ht="15.75" thickBot="1" x14ac:dyDescent="0.3">
      <c r="A349" s="291" t="s">
        <v>105</v>
      </c>
      <c r="B349" s="286" t="s">
        <v>103</v>
      </c>
      <c r="C349" s="286" t="s">
        <v>108</v>
      </c>
      <c r="D349" s="138" t="s">
        <v>105</v>
      </c>
      <c r="E349" s="286" t="s">
        <v>165</v>
      </c>
      <c r="F349" s="288" t="s">
        <v>103</v>
      </c>
      <c r="G349" s="288" t="s">
        <v>103</v>
      </c>
      <c r="H349" s="288" t="s">
        <v>103</v>
      </c>
      <c r="I349" s="288" t="s">
        <v>103</v>
      </c>
      <c r="J349" s="289">
        <v>-86284.69</v>
      </c>
      <c r="K349" s="288" t="s">
        <v>103</v>
      </c>
      <c r="L349" s="292">
        <v>-2.9999999999999997E-4</v>
      </c>
    </row>
    <row r="350" spans="1:12" ht="15.75" thickBot="1" x14ac:dyDescent="0.3">
      <c r="A350" s="291" t="s">
        <v>134</v>
      </c>
      <c r="B350" s="286" t="s">
        <v>219</v>
      </c>
      <c r="C350" s="286" t="s">
        <v>108</v>
      </c>
      <c r="D350" s="138" t="s">
        <v>507</v>
      </c>
      <c r="E350" s="286" t="s">
        <v>537</v>
      </c>
      <c r="F350" s="287">
        <v>47343</v>
      </c>
      <c r="G350" s="288" t="s">
        <v>103</v>
      </c>
      <c r="H350" s="288">
        <v>1</v>
      </c>
      <c r="I350" s="289">
        <v>832088.28</v>
      </c>
      <c r="J350" s="289">
        <v>832088.28</v>
      </c>
      <c r="K350" s="288" t="s">
        <v>103</v>
      </c>
      <c r="L350" s="292">
        <v>3.0000000000000001E-3</v>
      </c>
    </row>
    <row r="351" spans="1:12" ht="15.75" thickBot="1" x14ac:dyDescent="0.3">
      <c r="A351" s="291" t="s">
        <v>134</v>
      </c>
      <c r="B351" s="286" t="s">
        <v>1136</v>
      </c>
      <c r="C351" s="286" t="s">
        <v>108</v>
      </c>
      <c r="D351" s="138" t="s">
        <v>1137</v>
      </c>
      <c r="E351" s="286" t="s">
        <v>165</v>
      </c>
      <c r="F351" s="287">
        <v>49252</v>
      </c>
      <c r="G351" s="288" t="s">
        <v>103</v>
      </c>
      <c r="H351" s="288">
        <v>1</v>
      </c>
      <c r="I351" s="289">
        <v>311677.68</v>
      </c>
      <c r="J351" s="289">
        <v>311677.68</v>
      </c>
      <c r="K351" s="288" t="s">
        <v>103</v>
      </c>
      <c r="L351" s="292">
        <v>1.1000000000000001E-3</v>
      </c>
    </row>
    <row r="352" spans="1:12" ht="15.75" thickBot="1" x14ac:dyDescent="0.3">
      <c r="A352" s="291" t="s">
        <v>134</v>
      </c>
      <c r="B352" s="286" t="s">
        <v>490</v>
      </c>
      <c r="C352" s="286" t="s">
        <v>108</v>
      </c>
      <c r="D352" s="138" t="s">
        <v>491</v>
      </c>
      <c r="E352" s="286" t="s">
        <v>546</v>
      </c>
      <c r="F352" s="287">
        <v>46720</v>
      </c>
      <c r="G352" s="288" t="s">
        <v>103</v>
      </c>
      <c r="H352" s="288">
        <v>10</v>
      </c>
      <c r="I352" s="289">
        <v>704805.05</v>
      </c>
      <c r="J352" s="289">
        <v>7048050.5099999998</v>
      </c>
      <c r="K352" s="288" t="s">
        <v>103</v>
      </c>
      <c r="L352" s="292">
        <v>2.5399999999999999E-2</v>
      </c>
    </row>
    <row r="353" spans="1:12" ht="15.75" thickBot="1" x14ac:dyDescent="0.3">
      <c r="A353" s="291" t="s">
        <v>134</v>
      </c>
      <c r="B353" s="286" t="s">
        <v>368</v>
      </c>
      <c r="C353" s="286" t="s">
        <v>108</v>
      </c>
      <c r="D353" s="138" t="s">
        <v>18</v>
      </c>
      <c r="E353" s="286" t="s">
        <v>548</v>
      </c>
      <c r="F353" s="287">
        <v>46195</v>
      </c>
      <c r="G353" s="288" t="s">
        <v>103</v>
      </c>
      <c r="H353" s="288">
        <v>5</v>
      </c>
      <c r="I353" s="289">
        <v>880164.86</v>
      </c>
      <c r="J353" s="289">
        <v>4400824.29</v>
      </c>
      <c r="K353" s="288" t="s">
        <v>103</v>
      </c>
      <c r="L353" s="292">
        <v>1.5800000000000002E-2</v>
      </c>
    </row>
    <row r="354" spans="1:12" ht="15.75" thickBot="1" x14ac:dyDescent="0.3">
      <c r="A354" s="291" t="s">
        <v>134</v>
      </c>
      <c r="B354" s="286" t="s">
        <v>190</v>
      </c>
      <c r="C354" s="286" t="s">
        <v>108</v>
      </c>
      <c r="D354" s="138" t="s">
        <v>502</v>
      </c>
      <c r="E354" s="286" t="s">
        <v>165</v>
      </c>
      <c r="F354" s="287">
        <v>46742</v>
      </c>
      <c r="G354" s="288" t="s">
        <v>103</v>
      </c>
      <c r="H354" s="288">
        <v>7</v>
      </c>
      <c r="I354" s="289">
        <v>420855.89</v>
      </c>
      <c r="J354" s="289">
        <v>2945991.21</v>
      </c>
      <c r="K354" s="288" t="s">
        <v>103</v>
      </c>
      <c r="L354" s="292">
        <v>1.06E-2</v>
      </c>
    </row>
    <row r="355" spans="1:12" ht="15.75" thickBot="1" x14ac:dyDescent="0.3">
      <c r="A355" s="291" t="s">
        <v>134</v>
      </c>
      <c r="B355" s="286" t="s">
        <v>190</v>
      </c>
      <c r="C355" s="286" t="s">
        <v>108</v>
      </c>
      <c r="D355" s="138" t="s">
        <v>195</v>
      </c>
      <c r="E355" s="286" t="s">
        <v>536</v>
      </c>
      <c r="F355" s="287">
        <v>45828</v>
      </c>
      <c r="G355" s="288" t="s">
        <v>103</v>
      </c>
      <c r="H355" s="288">
        <v>3</v>
      </c>
      <c r="I355" s="289">
        <v>555192.87</v>
      </c>
      <c r="J355" s="289">
        <v>1665578.6</v>
      </c>
      <c r="K355" s="288" t="s">
        <v>103</v>
      </c>
      <c r="L355" s="292">
        <v>6.0000000000000001E-3</v>
      </c>
    </row>
    <row r="356" spans="1:12" ht="15.75" thickBot="1" x14ac:dyDescent="0.3">
      <c r="A356" s="291" t="s">
        <v>135</v>
      </c>
      <c r="B356" s="286" t="s">
        <v>399</v>
      </c>
      <c r="C356" s="286" t="s">
        <v>108</v>
      </c>
      <c r="D356" s="138" t="s">
        <v>887</v>
      </c>
      <c r="E356" s="286" t="s">
        <v>545</v>
      </c>
      <c r="F356" s="287">
        <v>47172</v>
      </c>
      <c r="G356" s="288" t="s">
        <v>103</v>
      </c>
      <c r="H356" s="288">
        <v>8</v>
      </c>
      <c r="I356" s="289">
        <v>309657.90000000002</v>
      </c>
      <c r="J356" s="289">
        <v>2477263.1800000002</v>
      </c>
      <c r="K356" s="288" t="s">
        <v>103</v>
      </c>
      <c r="L356" s="292">
        <v>8.8999999999999999E-3</v>
      </c>
    </row>
    <row r="357" spans="1:12" ht="15.75" thickBot="1" x14ac:dyDescent="0.3">
      <c r="A357" s="291" t="s">
        <v>135</v>
      </c>
      <c r="B357" s="286" t="s">
        <v>196</v>
      </c>
      <c r="C357" s="286" t="s">
        <v>108</v>
      </c>
      <c r="D357" s="138" t="s">
        <v>285</v>
      </c>
      <c r="E357" s="286" t="s">
        <v>538</v>
      </c>
      <c r="F357" s="287">
        <v>47315</v>
      </c>
      <c r="G357" s="288" t="s">
        <v>103</v>
      </c>
      <c r="H357" s="288">
        <v>11</v>
      </c>
      <c r="I357" s="289">
        <v>303810.33</v>
      </c>
      <c r="J357" s="289">
        <v>3341913.61</v>
      </c>
      <c r="K357" s="288" t="s">
        <v>103</v>
      </c>
      <c r="L357" s="292">
        <v>1.2E-2</v>
      </c>
    </row>
    <row r="358" spans="1:12" ht="15.75" thickBot="1" x14ac:dyDescent="0.3">
      <c r="A358" s="291" t="s">
        <v>135</v>
      </c>
      <c r="B358" s="286" t="s">
        <v>196</v>
      </c>
      <c r="C358" s="286" t="s">
        <v>108</v>
      </c>
      <c r="D358" s="138" t="s">
        <v>220</v>
      </c>
      <c r="E358" s="286" t="s">
        <v>536</v>
      </c>
      <c r="F358" s="287">
        <v>47417</v>
      </c>
      <c r="G358" s="288" t="s">
        <v>103</v>
      </c>
      <c r="H358" s="288">
        <v>3</v>
      </c>
      <c r="I358" s="289">
        <v>303406.90999999997</v>
      </c>
      <c r="J358" s="289">
        <v>910220.72</v>
      </c>
      <c r="K358" s="288" t="s">
        <v>103</v>
      </c>
      <c r="L358" s="292">
        <v>3.3E-3</v>
      </c>
    </row>
    <row r="359" spans="1:12" ht="15.75" thickBot="1" x14ac:dyDescent="0.3">
      <c r="A359" s="291" t="s">
        <v>135</v>
      </c>
      <c r="B359" s="286" t="s">
        <v>196</v>
      </c>
      <c r="C359" s="286" t="s">
        <v>108</v>
      </c>
      <c r="D359" s="138" t="s">
        <v>197</v>
      </c>
      <c r="E359" s="286" t="s">
        <v>537</v>
      </c>
      <c r="F359" s="287">
        <v>47255</v>
      </c>
      <c r="G359" s="288" t="s">
        <v>103</v>
      </c>
      <c r="H359" s="288">
        <v>1</v>
      </c>
      <c r="I359" s="289">
        <v>304671.96000000002</v>
      </c>
      <c r="J359" s="289">
        <v>304671.96000000002</v>
      </c>
      <c r="K359" s="288" t="s">
        <v>103</v>
      </c>
      <c r="L359" s="292">
        <v>1.1000000000000001E-3</v>
      </c>
    </row>
    <row r="360" spans="1:12" ht="15.75" thickBot="1" x14ac:dyDescent="0.3">
      <c r="A360" s="291" t="s">
        <v>135</v>
      </c>
      <c r="B360" s="286" t="s">
        <v>193</v>
      </c>
      <c r="C360" s="286" t="s">
        <v>108</v>
      </c>
      <c r="D360" s="138" t="s">
        <v>518</v>
      </c>
      <c r="E360" s="286" t="s">
        <v>548</v>
      </c>
      <c r="F360" s="287">
        <v>47192</v>
      </c>
      <c r="G360" s="288" t="s">
        <v>103</v>
      </c>
      <c r="H360" s="288">
        <v>5</v>
      </c>
      <c r="I360" s="289">
        <v>338337.51</v>
      </c>
      <c r="J360" s="289">
        <v>1691687.53</v>
      </c>
      <c r="K360" s="288" t="s">
        <v>103</v>
      </c>
      <c r="L360" s="292">
        <v>6.1000000000000004E-3</v>
      </c>
    </row>
    <row r="361" spans="1:12" ht="15.75" thickBot="1" x14ac:dyDescent="0.3">
      <c r="A361" s="291" t="s">
        <v>135</v>
      </c>
      <c r="B361" s="286" t="s">
        <v>193</v>
      </c>
      <c r="C361" s="286" t="s">
        <v>108</v>
      </c>
      <c r="D361" s="138" t="s">
        <v>404</v>
      </c>
      <c r="E361" s="286" t="s">
        <v>539</v>
      </c>
      <c r="F361" s="287">
        <v>46827</v>
      </c>
      <c r="G361" s="288" t="s">
        <v>103</v>
      </c>
      <c r="H361" s="288">
        <v>2</v>
      </c>
      <c r="I361" s="289">
        <v>338337.5</v>
      </c>
      <c r="J361" s="289">
        <v>676675.01</v>
      </c>
      <c r="K361" s="288" t="s">
        <v>103</v>
      </c>
      <c r="L361" s="292">
        <v>2.3999999999999998E-3</v>
      </c>
    </row>
    <row r="362" spans="1:12" ht="15.75" thickBot="1" x14ac:dyDescent="0.3">
      <c r="A362" s="291" t="s">
        <v>135</v>
      </c>
      <c r="B362" s="286" t="s">
        <v>193</v>
      </c>
      <c r="C362" s="286" t="s">
        <v>108</v>
      </c>
      <c r="D362" s="138" t="s">
        <v>489</v>
      </c>
      <c r="E362" s="286" t="s">
        <v>539</v>
      </c>
      <c r="F362" s="287">
        <v>46827</v>
      </c>
      <c r="G362" s="288" t="s">
        <v>103</v>
      </c>
      <c r="H362" s="288">
        <v>2</v>
      </c>
      <c r="I362" s="289">
        <v>338337.5</v>
      </c>
      <c r="J362" s="289">
        <v>676675.01</v>
      </c>
      <c r="K362" s="288" t="s">
        <v>103</v>
      </c>
      <c r="L362" s="292">
        <v>2.3999999999999998E-3</v>
      </c>
    </row>
    <row r="363" spans="1:12" ht="15.75" thickBot="1" x14ac:dyDescent="0.3">
      <c r="A363" s="291" t="s">
        <v>135</v>
      </c>
      <c r="B363" s="286" t="s">
        <v>193</v>
      </c>
      <c r="C363" s="286" t="s">
        <v>108</v>
      </c>
      <c r="D363" s="138" t="s">
        <v>400</v>
      </c>
      <c r="E363" s="286" t="s">
        <v>539</v>
      </c>
      <c r="F363" s="287">
        <v>46827</v>
      </c>
      <c r="G363" s="288" t="s">
        <v>103</v>
      </c>
      <c r="H363" s="288">
        <v>2</v>
      </c>
      <c r="I363" s="289">
        <v>338337.5</v>
      </c>
      <c r="J363" s="289">
        <v>676675.01</v>
      </c>
      <c r="K363" s="288" t="s">
        <v>103</v>
      </c>
      <c r="L363" s="292">
        <v>2.3999999999999998E-3</v>
      </c>
    </row>
    <row r="364" spans="1:12" ht="15.75" thickBot="1" x14ac:dyDescent="0.3">
      <c r="A364" s="291" t="s">
        <v>135</v>
      </c>
      <c r="B364" s="286" t="s">
        <v>190</v>
      </c>
      <c r="C364" s="286" t="s">
        <v>108</v>
      </c>
      <c r="D364" s="138" t="s">
        <v>898</v>
      </c>
      <c r="E364" s="286" t="s">
        <v>165</v>
      </c>
      <c r="F364" s="287">
        <v>47224</v>
      </c>
      <c r="G364" s="288" t="s">
        <v>103</v>
      </c>
      <c r="H364" s="288">
        <v>7</v>
      </c>
      <c r="I364" s="289">
        <v>350793.71</v>
      </c>
      <c r="J364" s="289">
        <v>2455555.98</v>
      </c>
      <c r="K364" s="288" t="s">
        <v>103</v>
      </c>
      <c r="L364" s="292">
        <v>8.8000000000000005E-3</v>
      </c>
    </row>
    <row r="365" spans="1:12" ht="15.75" thickBot="1" x14ac:dyDescent="0.3">
      <c r="A365" s="291" t="s">
        <v>135</v>
      </c>
      <c r="B365" s="286" t="s">
        <v>190</v>
      </c>
      <c r="C365" s="286" t="s">
        <v>108</v>
      </c>
      <c r="D365" s="138" t="s">
        <v>199</v>
      </c>
      <c r="E365" s="286" t="s">
        <v>539</v>
      </c>
      <c r="F365" s="287">
        <v>47313</v>
      </c>
      <c r="G365" s="288" t="s">
        <v>103</v>
      </c>
      <c r="H365" s="288">
        <v>4</v>
      </c>
      <c r="I365" s="289">
        <v>546388.59</v>
      </c>
      <c r="J365" s="289">
        <v>2185554.37</v>
      </c>
      <c r="K365" s="288" t="s">
        <v>103</v>
      </c>
      <c r="L365" s="292">
        <v>7.9000000000000008E-3</v>
      </c>
    </row>
    <row r="366" spans="1:12" ht="15.75" thickBot="1" x14ac:dyDescent="0.3">
      <c r="A366" s="291" t="s">
        <v>135</v>
      </c>
      <c r="B366" s="286" t="s">
        <v>190</v>
      </c>
      <c r="C366" s="286" t="s">
        <v>108</v>
      </c>
      <c r="D366" s="138" t="s">
        <v>519</v>
      </c>
      <c r="E366" s="286" t="s">
        <v>536</v>
      </c>
      <c r="F366" s="287">
        <v>47408</v>
      </c>
      <c r="G366" s="288" t="s">
        <v>103</v>
      </c>
      <c r="H366" s="288">
        <v>3</v>
      </c>
      <c r="I366" s="289">
        <v>526517.56999999995</v>
      </c>
      <c r="J366" s="289">
        <v>1579552.72</v>
      </c>
      <c r="K366" s="288" t="s">
        <v>103</v>
      </c>
      <c r="L366" s="292">
        <v>5.7000000000000002E-3</v>
      </c>
    </row>
    <row r="367" spans="1:12" ht="15.75" thickBot="1" x14ac:dyDescent="0.3">
      <c r="A367" s="291" t="s">
        <v>135</v>
      </c>
      <c r="B367" s="286" t="s">
        <v>190</v>
      </c>
      <c r="C367" s="286" t="s">
        <v>108</v>
      </c>
      <c r="D367" s="138" t="s">
        <v>200</v>
      </c>
      <c r="E367" s="286" t="s">
        <v>539</v>
      </c>
      <c r="F367" s="287">
        <v>47313</v>
      </c>
      <c r="G367" s="288" t="s">
        <v>103</v>
      </c>
      <c r="H367" s="288">
        <v>2</v>
      </c>
      <c r="I367" s="289">
        <v>546388.6</v>
      </c>
      <c r="J367" s="289">
        <v>1092777.19</v>
      </c>
      <c r="K367" s="288" t="s">
        <v>103</v>
      </c>
      <c r="L367" s="292">
        <v>3.8999999999999998E-3</v>
      </c>
    </row>
    <row r="368" spans="1:12" ht="15.75" thickBot="1" x14ac:dyDescent="0.3">
      <c r="A368" s="291" t="s">
        <v>135</v>
      </c>
      <c r="B368" s="286" t="s">
        <v>190</v>
      </c>
      <c r="C368" s="286" t="s">
        <v>108</v>
      </c>
      <c r="D368" s="138" t="s">
        <v>17</v>
      </c>
      <c r="E368" s="286" t="s">
        <v>165</v>
      </c>
      <c r="F368" s="287">
        <v>47408</v>
      </c>
      <c r="G368" s="288" t="s">
        <v>103</v>
      </c>
      <c r="H368" s="288">
        <v>1</v>
      </c>
      <c r="I368" s="289">
        <v>525852.77</v>
      </c>
      <c r="J368" s="289">
        <v>525852.77</v>
      </c>
      <c r="K368" s="288" t="s">
        <v>103</v>
      </c>
      <c r="L368" s="292">
        <v>1.9E-3</v>
      </c>
    </row>
    <row r="369" spans="1:12" ht="15.75" thickBot="1" x14ac:dyDescent="0.3">
      <c r="A369" s="291" t="s">
        <v>112</v>
      </c>
      <c r="B369" s="286" t="s">
        <v>201</v>
      </c>
      <c r="C369" s="286" t="s">
        <v>108</v>
      </c>
      <c r="D369" s="138" t="s">
        <v>930</v>
      </c>
      <c r="E369" s="286" t="s">
        <v>554</v>
      </c>
      <c r="F369" s="287">
        <v>46119</v>
      </c>
      <c r="G369" s="288" t="s">
        <v>103</v>
      </c>
      <c r="H369" s="288">
        <v>6</v>
      </c>
      <c r="I369" s="289">
        <v>55650.05</v>
      </c>
      <c r="J369" s="289">
        <v>333900.3</v>
      </c>
      <c r="K369" s="288" t="s">
        <v>103</v>
      </c>
      <c r="L369" s="292">
        <v>1.1999999999999999E-3</v>
      </c>
    </row>
    <row r="370" spans="1:12" ht="15.75" thickBot="1" x14ac:dyDescent="0.3">
      <c r="A370" s="291" t="s">
        <v>112</v>
      </c>
      <c r="B370" s="286" t="s">
        <v>1383</v>
      </c>
      <c r="C370" s="286" t="s">
        <v>108</v>
      </c>
      <c r="D370" s="138" t="s">
        <v>1384</v>
      </c>
      <c r="E370" s="286" t="s">
        <v>1385</v>
      </c>
      <c r="F370" s="287">
        <v>46146</v>
      </c>
      <c r="G370" s="288" t="s">
        <v>103</v>
      </c>
      <c r="H370" s="288">
        <v>39</v>
      </c>
      <c r="I370" s="289">
        <v>55383.07</v>
      </c>
      <c r="J370" s="289">
        <v>2159939.6800000002</v>
      </c>
      <c r="K370" s="288" t="s">
        <v>103</v>
      </c>
      <c r="L370" s="292">
        <v>7.7999999999999996E-3</v>
      </c>
    </row>
    <row r="371" spans="1:12" ht="15.75" thickBot="1" x14ac:dyDescent="0.3">
      <c r="A371" s="291" t="s">
        <v>112</v>
      </c>
      <c r="B371" s="286" t="s">
        <v>409</v>
      </c>
      <c r="C371" s="286" t="s">
        <v>108</v>
      </c>
      <c r="D371" s="138" t="s">
        <v>510</v>
      </c>
      <c r="E371" s="286" t="s">
        <v>555</v>
      </c>
      <c r="F371" s="287">
        <v>45740</v>
      </c>
      <c r="G371" s="288" t="s">
        <v>103</v>
      </c>
      <c r="H371" s="288">
        <v>13</v>
      </c>
      <c r="I371" s="289">
        <v>147986.71</v>
      </c>
      <c r="J371" s="289">
        <v>1923827.2</v>
      </c>
      <c r="K371" s="288" t="s">
        <v>103</v>
      </c>
      <c r="L371" s="292">
        <v>6.8999999999999999E-3</v>
      </c>
    </row>
    <row r="372" spans="1:12" ht="15.75" thickBot="1" x14ac:dyDescent="0.3">
      <c r="A372" s="291" t="s">
        <v>112</v>
      </c>
      <c r="B372" s="286" t="s">
        <v>409</v>
      </c>
      <c r="C372" s="286" t="s">
        <v>108</v>
      </c>
      <c r="D372" s="138" t="s">
        <v>511</v>
      </c>
      <c r="E372" s="286" t="s">
        <v>556</v>
      </c>
      <c r="F372" s="287">
        <v>45884</v>
      </c>
      <c r="G372" s="288" t="s">
        <v>103</v>
      </c>
      <c r="H372" s="288">
        <v>11</v>
      </c>
      <c r="I372" s="289">
        <v>70604.94</v>
      </c>
      <c r="J372" s="289">
        <v>776654.3</v>
      </c>
      <c r="K372" s="288" t="s">
        <v>103</v>
      </c>
      <c r="L372" s="292">
        <v>2.8E-3</v>
      </c>
    </row>
    <row r="373" spans="1:12" ht="15.75" thickBot="1" x14ac:dyDescent="0.3">
      <c r="A373" s="291" t="s">
        <v>112</v>
      </c>
      <c r="B373" s="286" t="s">
        <v>465</v>
      </c>
      <c r="C373" s="286" t="s">
        <v>108</v>
      </c>
      <c r="D373" s="138" t="s">
        <v>1054</v>
      </c>
      <c r="E373" s="286" t="s">
        <v>616</v>
      </c>
      <c r="F373" s="287">
        <v>46195</v>
      </c>
      <c r="G373" s="288" t="s">
        <v>103</v>
      </c>
      <c r="H373" s="288">
        <v>67</v>
      </c>
      <c r="I373" s="289">
        <v>54409.62</v>
      </c>
      <c r="J373" s="289">
        <v>3645444.51</v>
      </c>
      <c r="K373" s="288" t="s">
        <v>103</v>
      </c>
      <c r="L373" s="292">
        <v>1.3100000000000001E-2</v>
      </c>
    </row>
    <row r="374" spans="1:12" ht="15.75" thickBot="1" x14ac:dyDescent="0.3">
      <c r="A374" s="291" t="s">
        <v>112</v>
      </c>
      <c r="B374" s="286" t="s">
        <v>1088</v>
      </c>
      <c r="C374" s="286" t="s">
        <v>108</v>
      </c>
      <c r="D374" s="138" t="s">
        <v>1091</v>
      </c>
      <c r="E374" s="286" t="s">
        <v>165</v>
      </c>
      <c r="F374" s="287">
        <v>46290</v>
      </c>
      <c r="G374" s="288" t="s">
        <v>103</v>
      </c>
      <c r="H374" s="288">
        <v>53</v>
      </c>
      <c r="I374" s="289">
        <v>52570.03</v>
      </c>
      <c r="J374" s="289">
        <v>2786211.68</v>
      </c>
      <c r="K374" s="288" t="s">
        <v>103</v>
      </c>
      <c r="L374" s="292">
        <v>0.01</v>
      </c>
    </row>
    <row r="375" spans="1:12" ht="15.75" thickBot="1" x14ac:dyDescent="0.3">
      <c r="A375" s="291" t="s">
        <v>112</v>
      </c>
      <c r="B375" s="286" t="s">
        <v>805</v>
      </c>
      <c r="C375" s="286" t="s">
        <v>108</v>
      </c>
      <c r="D375" s="138" t="s">
        <v>997</v>
      </c>
      <c r="E375" s="286" t="s">
        <v>165</v>
      </c>
      <c r="F375" s="287">
        <v>46181</v>
      </c>
      <c r="G375" s="288" t="s">
        <v>103</v>
      </c>
      <c r="H375" s="288">
        <v>41</v>
      </c>
      <c r="I375" s="289">
        <v>54586.67</v>
      </c>
      <c r="J375" s="289">
        <v>2238053.58</v>
      </c>
      <c r="K375" s="288" t="s">
        <v>103</v>
      </c>
      <c r="L375" s="292">
        <v>8.0999999999999996E-3</v>
      </c>
    </row>
    <row r="376" spans="1:12" ht="15.75" thickBot="1" x14ac:dyDescent="0.3">
      <c r="A376" s="291" t="s">
        <v>112</v>
      </c>
      <c r="B376" s="286" t="s">
        <v>1062</v>
      </c>
      <c r="C376" s="286" t="s">
        <v>108</v>
      </c>
      <c r="D376" s="138" t="s">
        <v>1470</v>
      </c>
      <c r="E376" s="286" t="s">
        <v>165</v>
      </c>
      <c r="F376" s="287">
        <v>46234</v>
      </c>
      <c r="G376" s="288" t="s">
        <v>103</v>
      </c>
      <c r="H376" s="288">
        <v>12</v>
      </c>
      <c r="I376" s="289">
        <v>53895.22</v>
      </c>
      <c r="J376" s="289">
        <v>646742.6</v>
      </c>
      <c r="K376" s="288" t="s">
        <v>103</v>
      </c>
      <c r="L376" s="292">
        <v>2.3E-3</v>
      </c>
    </row>
    <row r="377" spans="1:12" ht="15.75" thickBot="1" x14ac:dyDescent="0.3">
      <c r="A377" s="291" t="s">
        <v>112</v>
      </c>
      <c r="B377" s="286" t="s">
        <v>360</v>
      </c>
      <c r="C377" s="286" t="s">
        <v>108</v>
      </c>
      <c r="D377" s="138" t="s">
        <v>1051</v>
      </c>
      <c r="E377" s="286" t="s">
        <v>557</v>
      </c>
      <c r="F377" s="287">
        <v>46562</v>
      </c>
      <c r="G377" s="288" t="s">
        <v>103</v>
      </c>
      <c r="H377" s="288">
        <v>54</v>
      </c>
      <c r="I377" s="289">
        <v>54545.81</v>
      </c>
      <c r="J377" s="289">
        <v>2945473.81</v>
      </c>
      <c r="K377" s="288" t="s">
        <v>103</v>
      </c>
      <c r="L377" s="292">
        <v>1.06E-2</v>
      </c>
    </row>
    <row r="378" spans="1:12" ht="15.75" thickBot="1" x14ac:dyDescent="0.3">
      <c r="A378" s="291" t="s">
        <v>112</v>
      </c>
      <c r="B378" s="286" t="s">
        <v>360</v>
      </c>
      <c r="C378" s="286" t="s">
        <v>108</v>
      </c>
      <c r="D378" s="138" t="s">
        <v>935</v>
      </c>
      <c r="E378" s="286" t="s">
        <v>165</v>
      </c>
      <c r="F378" s="287">
        <v>46127</v>
      </c>
      <c r="G378" s="288" t="s">
        <v>103</v>
      </c>
      <c r="H378" s="288">
        <v>37</v>
      </c>
      <c r="I378" s="289">
        <v>55371.08</v>
      </c>
      <c r="J378" s="289">
        <v>2048729.93</v>
      </c>
      <c r="K378" s="288" t="s">
        <v>103</v>
      </c>
      <c r="L378" s="292">
        <v>7.4000000000000003E-3</v>
      </c>
    </row>
    <row r="379" spans="1:12" ht="15.75" thickBot="1" x14ac:dyDescent="0.3">
      <c r="A379" s="291" t="s">
        <v>112</v>
      </c>
      <c r="B379" s="286" t="s">
        <v>1151</v>
      </c>
      <c r="C379" s="286" t="s">
        <v>108</v>
      </c>
      <c r="D379" s="138" t="s">
        <v>1134</v>
      </c>
      <c r="E379" s="286" t="s">
        <v>165</v>
      </c>
      <c r="F379" s="287">
        <v>46332</v>
      </c>
      <c r="G379" s="288" t="s">
        <v>103</v>
      </c>
      <c r="H379" s="288">
        <v>56</v>
      </c>
      <c r="I379" s="289">
        <v>51924.53</v>
      </c>
      <c r="J379" s="289">
        <v>2907773.74</v>
      </c>
      <c r="K379" s="288" t="s">
        <v>103</v>
      </c>
      <c r="L379" s="292">
        <v>1.0500000000000001E-2</v>
      </c>
    </row>
    <row r="380" spans="1:12" ht="15.75" thickBot="1" x14ac:dyDescent="0.3">
      <c r="A380" s="291" t="s">
        <v>112</v>
      </c>
      <c r="B380" s="286" t="s">
        <v>368</v>
      </c>
      <c r="C380" s="286" t="s">
        <v>108</v>
      </c>
      <c r="D380" s="138" t="s">
        <v>954</v>
      </c>
      <c r="E380" s="286" t="s">
        <v>165</v>
      </c>
      <c r="F380" s="287">
        <v>46152</v>
      </c>
      <c r="G380" s="288" t="s">
        <v>103</v>
      </c>
      <c r="H380" s="288">
        <v>24</v>
      </c>
      <c r="I380" s="289">
        <v>111703.52</v>
      </c>
      <c r="J380" s="289">
        <v>2680884.4900000002</v>
      </c>
      <c r="K380" s="288" t="s">
        <v>103</v>
      </c>
      <c r="L380" s="292">
        <v>9.7000000000000003E-3</v>
      </c>
    </row>
    <row r="381" spans="1:12" ht="15.75" thickBot="1" x14ac:dyDescent="0.3">
      <c r="A381" s="291" t="s">
        <v>112</v>
      </c>
      <c r="B381" s="286" t="s">
        <v>368</v>
      </c>
      <c r="C381" s="286" t="s">
        <v>108</v>
      </c>
      <c r="D381" s="138" t="s">
        <v>486</v>
      </c>
      <c r="E381" s="286" t="s">
        <v>546</v>
      </c>
      <c r="F381" s="287">
        <v>45984</v>
      </c>
      <c r="G381" s="288" t="s">
        <v>103</v>
      </c>
      <c r="H381" s="288">
        <v>10</v>
      </c>
      <c r="I381" s="289">
        <v>136495.19</v>
      </c>
      <c r="J381" s="289">
        <v>1364951.89</v>
      </c>
      <c r="K381" s="288" t="s">
        <v>103</v>
      </c>
      <c r="L381" s="292">
        <v>4.8999999999999998E-3</v>
      </c>
    </row>
    <row r="382" spans="1:12" ht="15.75" thickBot="1" x14ac:dyDescent="0.3">
      <c r="A382" s="291" t="s">
        <v>112</v>
      </c>
      <c r="B382" s="286" t="s">
        <v>808</v>
      </c>
      <c r="C382" s="286" t="s">
        <v>108</v>
      </c>
      <c r="D382" s="138" t="s">
        <v>809</v>
      </c>
      <c r="E382" s="286" t="s">
        <v>560</v>
      </c>
      <c r="F382" s="287">
        <v>45939</v>
      </c>
      <c r="G382" s="288" t="s">
        <v>103</v>
      </c>
      <c r="H382" s="288">
        <v>16</v>
      </c>
      <c r="I382" s="289">
        <v>60475.12</v>
      </c>
      <c r="J382" s="289">
        <v>967601.9</v>
      </c>
      <c r="K382" s="288" t="s">
        <v>103</v>
      </c>
      <c r="L382" s="292">
        <v>3.5000000000000001E-3</v>
      </c>
    </row>
    <row r="383" spans="1:12" ht="15.75" thickBot="1" x14ac:dyDescent="0.3">
      <c r="A383" s="291" t="s">
        <v>113</v>
      </c>
      <c r="B383" s="286" t="s">
        <v>114</v>
      </c>
      <c r="C383" s="286" t="s">
        <v>108</v>
      </c>
      <c r="D383" s="138" t="s">
        <v>177</v>
      </c>
      <c r="E383" s="286" t="s">
        <v>1162</v>
      </c>
      <c r="F383" s="287">
        <v>45792</v>
      </c>
      <c r="G383" s="288" t="s">
        <v>103</v>
      </c>
      <c r="H383" s="288">
        <v>-28</v>
      </c>
      <c r="I383" s="289">
        <v>177502.21</v>
      </c>
      <c r="J383" s="289">
        <v>5376.28</v>
      </c>
      <c r="K383" s="289">
        <v>-4970061.76</v>
      </c>
      <c r="L383" s="292">
        <v>-1.7899999999999999E-2</v>
      </c>
    </row>
    <row r="384" spans="1:12" ht="15.75" thickBot="1" x14ac:dyDescent="0.3">
      <c r="A384" s="291" t="s">
        <v>113</v>
      </c>
      <c r="B384" s="286" t="s">
        <v>114</v>
      </c>
      <c r="C384" s="286" t="s">
        <v>108</v>
      </c>
      <c r="D384" s="138" t="s">
        <v>143</v>
      </c>
      <c r="E384" s="286" t="s">
        <v>820</v>
      </c>
      <c r="F384" s="287">
        <v>46391</v>
      </c>
      <c r="G384" s="288" t="s">
        <v>103</v>
      </c>
      <c r="H384" s="288">
        <v>1</v>
      </c>
      <c r="I384" s="289">
        <v>78010.259999999995</v>
      </c>
      <c r="J384" s="289">
        <v>53.77</v>
      </c>
      <c r="K384" s="289">
        <v>78010.259999999995</v>
      </c>
      <c r="L384" s="292">
        <v>2.9999999999999997E-4</v>
      </c>
    </row>
    <row r="385" spans="1:12" ht="15.75" thickBot="1" x14ac:dyDescent="0.3">
      <c r="A385" s="291" t="s">
        <v>113</v>
      </c>
      <c r="B385" s="286" t="s">
        <v>114</v>
      </c>
      <c r="C385" s="286" t="s">
        <v>108</v>
      </c>
      <c r="D385" s="138" t="s">
        <v>116</v>
      </c>
      <c r="E385" s="286" t="s">
        <v>165</v>
      </c>
      <c r="F385" s="287">
        <v>46251</v>
      </c>
      <c r="G385" s="288" t="s">
        <v>103</v>
      </c>
      <c r="H385" s="288">
        <v>0</v>
      </c>
      <c r="I385" s="289">
        <v>160200.82999999999</v>
      </c>
      <c r="J385" s="289">
        <v>0</v>
      </c>
      <c r="K385" s="289">
        <v>0</v>
      </c>
      <c r="L385" s="292">
        <v>0</v>
      </c>
    </row>
    <row r="386" spans="1:12" ht="15.75" thickBot="1" x14ac:dyDescent="0.3">
      <c r="A386" s="291" t="s">
        <v>113</v>
      </c>
      <c r="B386" s="286" t="s">
        <v>114</v>
      </c>
      <c r="C386" s="286" t="s">
        <v>108</v>
      </c>
      <c r="D386" s="138" t="s">
        <v>202</v>
      </c>
      <c r="E386" s="286" t="s">
        <v>1049</v>
      </c>
      <c r="F386" s="287">
        <v>47120</v>
      </c>
      <c r="G386" s="288" t="s">
        <v>103</v>
      </c>
      <c r="H386" s="288">
        <v>3</v>
      </c>
      <c r="I386" s="289">
        <v>59837.78</v>
      </c>
      <c r="J386" s="289">
        <v>-202.2</v>
      </c>
      <c r="K386" s="289">
        <v>179513.34</v>
      </c>
      <c r="L386" s="292">
        <v>5.9999999999999995E-4</v>
      </c>
    </row>
    <row r="387" spans="1:12" ht="15.75" thickBot="1" x14ac:dyDescent="0.3">
      <c r="A387" s="291" t="s">
        <v>113</v>
      </c>
      <c r="B387" s="286" t="s">
        <v>114</v>
      </c>
      <c r="C387" s="286" t="s">
        <v>108</v>
      </c>
      <c r="D387" s="138" t="s">
        <v>479</v>
      </c>
      <c r="E387" s="286" t="s">
        <v>1477</v>
      </c>
      <c r="F387" s="287">
        <v>46024</v>
      </c>
      <c r="G387" s="288" t="s">
        <v>103</v>
      </c>
      <c r="H387" s="288">
        <v>-11</v>
      </c>
      <c r="I387" s="289">
        <v>89079.679999999993</v>
      </c>
      <c r="J387" s="289">
        <v>-333.52</v>
      </c>
      <c r="K387" s="289">
        <v>-979876.48</v>
      </c>
      <c r="L387" s="292">
        <v>-3.5000000000000001E-3</v>
      </c>
    </row>
    <row r="388" spans="1:12" ht="15.75" thickBot="1" x14ac:dyDescent="0.3">
      <c r="A388" s="291" t="s">
        <v>113</v>
      </c>
      <c r="B388" s="286" t="s">
        <v>114</v>
      </c>
      <c r="C388" s="286" t="s">
        <v>108</v>
      </c>
      <c r="D388" s="138" t="s">
        <v>179</v>
      </c>
      <c r="E388" s="286" t="s">
        <v>1233</v>
      </c>
      <c r="F388" s="287">
        <v>46980</v>
      </c>
      <c r="G388" s="288" t="s">
        <v>103</v>
      </c>
      <c r="H388" s="288">
        <v>-24</v>
      </c>
      <c r="I388" s="289">
        <v>139301.9</v>
      </c>
      <c r="J388" s="289">
        <v>-1256.1600000000001</v>
      </c>
      <c r="K388" s="289">
        <v>-3343245.6</v>
      </c>
      <c r="L388" s="292">
        <v>-1.2E-2</v>
      </c>
    </row>
    <row r="389" spans="1:12" ht="15.75" thickBot="1" x14ac:dyDescent="0.3">
      <c r="A389" s="291" t="s">
        <v>118</v>
      </c>
      <c r="B389" s="286" t="s">
        <v>25</v>
      </c>
      <c r="C389" s="286" t="s">
        <v>108</v>
      </c>
      <c r="D389" s="138" t="s">
        <v>119</v>
      </c>
      <c r="E389" s="286" t="s">
        <v>575</v>
      </c>
      <c r="F389" s="288" t="s">
        <v>103</v>
      </c>
      <c r="G389" s="288" t="s">
        <v>103</v>
      </c>
      <c r="H389" s="290">
        <v>1019625</v>
      </c>
      <c r="I389" s="289">
        <v>4.67</v>
      </c>
      <c r="J389" s="289">
        <v>4762133.03</v>
      </c>
      <c r="K389" s="288" t="s">
        <v>103</v>
      </c>
      <c r="L389" s="292">
        <v>1.7100000000000001E-2</v>
      </c>
    </row>
    <row r="390" spans="1:12" ht="15.75" thickBot="1" x14ac:dyDescent="0.3">
      <c r="A390" s="291" t="s">
        <v>118</v>
      </c>
      <c r="B390" s="286" t="s">
        <v>145</v>
      </c>
      <c r="C390" s="286" t="s">
        <v>108</v>
      </c>
      <c r="D390" s="138" t="s">
        <v>121</v>
      </c>
      <c r="E390" s="286" t="s">
        <v>576</v>
      </c>
      <c r="F390" s="288" t="s">
        <v>103</v>
      </c>
      <c r="G390" s="288" t="s">
        <v>103</v>
      </c>
      <c r="H390" s="290">
        <v>8501727</v>
      </c>
      <c r="I390" s="289">
        <v>1.5</v>
      </c>
      <c r="J390" s="289">
        <v>12721985.75</v>
      </c>
      <c r="K390" s="288" t="s">
        <v>103</v>
      </c>
      <c r="L390" s="292">
        <v>4.58E-2</v>
      </c>
    </row>
    <row r="391" spans="1:12" ht="15.75" thickBot="1" x14ac:dyDescent="0.3">
      <c r="A391" s="291" t="s">
        <v>126</v>
      </c>
      <c r="B391" s="286" t="s">
        <v>252</v>
      </c>
      <c r="C391" s="286" t="s">
        <v>108</v>
      </c>
      <c r="D391" s="138" t="s">
        <v>253</v>
      </c>
      <c r="E391" s="286" t="s">
        <v>593</v>
      </c>
      <c r="F391" s="287">
        <v>45976</v>
      </c>
      <c r="G391" s="288" t="s">
        <v>103</v>
      </c>
      <c r="H391" s="288">
        <v>755</v>
      </c>
      <c r="I391" s="289">
        <v>600.39</v>
      </c>
      <c r="J391" s="289">
        <v>453295.44</v>
      </c>
      <c r="K391" s="288" t="s">
        <v>103</v>
      </c>
      <c r="L391" s="292">
        <v>1.6000000000000001E-3</v>
      </c>
    </row>
    <row r="392" spans="1:12" ht="15.75" thickBot="1" x14ac:dyDescent="0.3">
      <c r="A392" s="291" t="s">
        <v>126</v>
      </c>
      <c r="B392" s="286" t="s">
        <v>877</v>
      </c>
      <c r="C392" s="286" t="s">
        <v>108</v>
      </c>
      <c r="D392" s="138" t="s">
        <v>1140</v>
      </c>
      <c r="E392" s="286" t="s">
        <v>165</v>
      </c>
      <c r="F392" s="287">
        <v>45689</v>
      </c>
      <c r="G392" s="288" t="s">
        <v>103</v>
      </c>
      <c r="H392" s="290">
        <v>3900</v>
      </c>
      <c r="I392" s="289">
        <v>901.25</v>
      </c>
      <c r="J392" s="289">
        <v>3514868.89</v>
      </c>
      <c r="K392" s="288" t="s">
        <v>103</v>
      </c>
      <c r="L392" s="292">
        <v>1.2699999999999999E-2</v>
      </c>
    </row>
    <row r="393" spans="1:12" ht="15.75" thickBot="1" x14ac:dyDescent="0.3">
      <c r="A393" s="291" t="s">
        <v>126</v>
      </c>
      <c r="B393" s="286" t="s">
        <v>778</v>
      </c>
      <c r="C393" s="286" t="s">
        <v>108</v>
      </c>
      <c r="D393" s="138" t="s">
        <v>910</v>
      </c>
      <c r="E393" s="286" t="s">
        <v>165</v>
      </c>
      <c r="F393" s="288" t="s">
        <v>103</v>
      </c>
      <c r="G393" s="288" t="s">
        <v>103</v>
      </c>
      <c r="H393" s="288">
        <v>796</v>
      </c>
      <c r="I393" s="289">
        <v>1202</v>
      </c>
      <c r="J393" s="289">
        <v>956791.51</v>
      </c>
      <c r="K393" s="288" t="s">
        <v>103</v>
      </c>
      <c r="L393" s="292">
        <v>3.3999999999999998E-3</v>
      </c>
    </row>
    <row r="394" spans="1:12" ht="15.75" thickBot="1" x14ac:dyDescent="0.3">
      <c r="A394" s="291" t="s">
        <v>126</v>
      </c>
      <c r="B394" s="286" t="s">
        <v>1048</v>
      </c>
      <c r="C394" s="286" t="s">
        <v>108</v>
      </c>
      <c r="D394" s="138" t="s">
        <v>1077</v>
      </c>
      <c r="E394" s="286" t="s">
        <v>165</v>
      </c>
      <c r="F394" s="287">
        <v>49878</v>
      </c>
      <c r="G394" s="288" t="s">
        <v>103</v>
      </c>
      <c r="H394" s="290">
        <v>1508</v>
      </c>
      <c r="I394" s="289">
        <v>1080.76</v>
      </c>
      <c r="J394" s="289">
        <v>1629778.99</v>
      </c>
      <c r="K394" s="288" t="s">
        <v>103</v>
      </c>
      <c r="L394" s="292">
        <v>5.8999999999999999E-3</v>
      </c>
    </row>
    <row r="395" spans="1:12" ht="15.75" thickBot="1" x14ac:dyDescent="0.3">
      <c r="A395" s="291" t="s">
        <v>126</v>
      </c>
      <c r="B395" s="286" t="s">
        <v>1141</v>
      </c>
      <c r="C395" s="286" t="s">
        <v>108</v>
      </c>
      <c r="D395" s="138" t="s">
        <v>1142</v>
      </c>
      <c r="E395" s="286" t="s">
        <v>165</v>
      </c>
      <c r="F395" s="287">
        <v>47911</v>
      </c>
      <c r="G395" s="288" t="s">
        <v>103</v>
      </c>
      <c r="H395" s="288">
        <v>902</v>
      </c>
      <c r="I395" s="289">
        <v>1238.74</v>
      </c>
      <c r="J395" s="289">
        <v>1117343.94</v>
      </c>
      <c r="K395" s="288" t="s">
        <v>103</v>
      </c>
      <c r="L395" s="292">
        <v>4.0000000000000001E-3</v>
      </c>
    </row>
    <row r="396" spans="1:12" ht="15.75" thickBot="1" x14ac:dyDescent="0.3">
      <c r="A396" s="291" t="s">
        <v>126</v>
      </c>
      <c r="B396" s="286" t="s">
        <v>467</v>
      </c>
      <c r="C396" s="286" t="s">
        <v>108</v>
      </c>
      <c r="D396" s="138" t="s">
        <v>468</v>
      </c>
      <c r="E396" s="286" t="s">
        <v>598</v>
      </c>
      <c r="F396" s="287">
        <v>46198</v>
      </c>
      <c r="G396" s="288" t="s">
        <v>103</v>
      </c>
      <c r="H396" s="290">
        <v>2555</v>
      </c>
      <c r="I396" s="289">
        <v>1013.55</v>
      </c>
      <c r="J396" s="289">
        <v>2589617.77</v>
      </c>
      <c r="K396" s="288" t="s">
        <v>103</v>
      </c>
      <c r="L396" s="292">
        <v>9.2999999999999992E-3</v>
      </c>
    </row>
    <row r="397" spans="1:12" ht="15.75" thickBot="1" x14ac:dyDescent="0.3">
      <c r="A397" s="291" t="s">
        <v>126</v>
      </c>
      <c r="B397" s="286" t="s">
        <v>416</v>
      </c>
      <c r="C397" s="286" t="s">
        <v>108</v>
      </c>
      <c r="D397" s="138" t="s">
        <v>417</v>
      </c>
      <c r="E397" s="286" t="s">
        <v>601</v>
      </c>
      <c r="F397" s="287">
        <v>46260</v>
      </c>
      <c r="G397" s="288" t="s">
        <v>103</v>
      </c>
      <c r="H397" s="290">
        <v>2103</v>
      </c>
      <c r="I397" s="289">
        <v>1005.97</v>
      </c>
      <c r="J397" s="289">
        <v>2115550.4300000002</v>
      </c>
      <c r="K397" s="288" t="s">
        <v>103</v>
      </c>
      <c r="L397" s="292">
        <v>7.6E-3</v>
      </c>
    </row>
    <row r="398" spans="1:12" ht="15.75" thickBot="1" x14ac:dyDescent="0.3">
      <c r="A398" s="291" t="s">
        <v>126</v>
      </c>
      <c r="B398" s="286" t="s">
        <v>136</v>
      </c>
      <c r="C398" s="286" t="s">
        <v>108</v>
      </c>
      <c r="D398" s="138" t="s">
        <v>136</v>
      </c>
      <c r="E398" s="286" t="s">
        <v>588</v>
      </c>
      <c r="F398" s="287">
        <v>46020</v>
      </c>
      <c r="G398" s="288" t="s">
        <v>103</v>
      </c>
      <c r="H398" s="290">
        <v>1262</v>
      </c>
      <c r="I398" s="289">
        <v>341.53</v>
      </c>
      <c r="J398" s="289">
        <v>431012.46</v>
      </c>
      <c r="K398" s="288" t="s">
        <v>103</v>
      </c>
      <c r="L398" s="292">
        <v>1.6000000000000001E-3</v>
      </c>
    </row>
    <row r="399" spans="1:12" ht="15.75" thickBot="1" x14ac:dyDescent="0.3">
      <c r="A399" s="291" t="s">
        <v>126</v>
      </c>
      <c r="B399" s="286" t="s">
        <v>1237</v>
      </c>
      <c r="C399" s="286" t="s">
        <v>108</v>
      </c>
      <c r="D399" s="138" t="s">
        <v>1238</v>
      </c>
      <c r="E399" s="286" t="s">
        <v>165</v>
      </c>
      <c r="F399" s="287">
        <v>47834</v>
      </c>
      <c r="G399" s="288" t="s">
        <v>103</v>
      </c>
      <c r="H399" s="290">
        <v>2880</v>
      </c>
      <c r="I399" s="289">
        <v>1025.6300000000001</v>
      </c>
      <c r="J399" s="289">
        <v>2953826.68</v>
      </c>
      <c r="K399" s="288" t="s">
        <v>103</v>
      </c>
      <c r="L399" s="292">
        <v>1.06E-2</v>
      </c>
    </row>
    <row r="400" spans="1:12" ht="15.75" thickBot="1" x14ac:dyDescent="0.3">
      <c r="A400" s="291" t="s">
        <v>126</v>
      </c>
      <c r="B400" s="286" t="s">
        <v>1145</v>
      </c>
      <c r="C400" s="286" t="s">
        <v>108</v>
      </c>
      <c r="D400" s="138" t="s">
        <v>1094</v>
      </c>
      <c r="E400" s="286" t="s">
        <v>165</v>
      </c>
      <c r="F400" s="287">
        <v>46613</v>
      </c>
      <c r="G400" s="288" t="s">
        <v>103</v>
      </c>
      <c r="H400" s="290">
        <v>1401</v>
      </c>
      <c r="I400" s="289">
        <v>1004.1</v>
      </c>
      <c r="J400" s="289">
        <v>1406742.63</v>
      </c>
      <c r="K400" s="288" t="s">
        <v>103</v>
      </c>
      <c r="L400" s="292">
        <v>5.1000000000000004E-3</v>
      </c>
    </row>
    <row r="401" spans="1:12" ht="15.75" thickBot="1" x14ac:dyDescent="0.3">
      <c r="A401" s="291" t="s">
        <v>126</v>
      </c>
      <c r="B401" s="286" t="s">
        <v>1399</v>
      </c>
      <c r="C401" s="286" t="s">
        <v>108</v>
      </c>
      <c r="D401" s="138" t="s">
        <v>1400</v>
      </c>
      <c r="E401" s="286" t="s">
        <v>165</v>
      </c>
      <c r="F401" s="288" t="s">
        <v>103</v>
      </c>
      <c r="G401" s="288" t="s">
        <v>103</v>
      </c>
      <c r="H401" s="290">
        <v>1327</v>
      </c>
      <c r="I401" s="289">
        <v>1007.12</v>
      </c>
      <c r="J401" s="289">
        <v>1336442.56</v>
      </c>
      <c r="K401" s="288" t="s">
        <v>103</v>
      </c>
      <c r="L401" s="292">
        <v>4.7999999999999996E-3</v>
      </c>
    </row>
    <row r="402" spans="1:12" ht="15.75" thickBot="1" x14ac:dyDescent="0.3">
      <c r="A402" s="291" t="s">
        <v>126</v>
      </c>
      <c r="B402" s="286" t="s">
        <v>385</v>
      </c>
      <c r="C402" s="286" t="s">
        <v>108</v>
      </c>
      <c r="D402" s="138" t="s">
        <v>386</v>
      </c>
      <c r="E402" s="286" t="s">
        <v>165</v>
      </c>
      <c r="F402" s="288" t="s">
        <v>103</v>
      </c>
      <c r="G402" s="288" t="s">
        <v>103</v>
      </c>
      <c r="H402" s="288">
        <v>1</v>
      </c>
      <c r="I402" s="289">
        <v>0.22</v>
      </c>
      <c r="J402" s="289">
        <v>0.22</v>
      </c>
      <c r="K402" s="288" t="s">
        <v>103</v>
      </c>
      <c r="L402" s="292">
        <v>0</v>
      </c>
    </row>
    <row r="403" spans="1:12" ht="15.75" thickBot="1" x14ac:dyDescent="0.3">
      <c r="A403" s="291" t="s">
        <v>126</v>
      </c>
      <c r="B403" s="286" t="s">
        <v>235</v>
      </c>
      <c r="C403" s="286" t="s">
        <v>108</v>
      </c>
      <c r="D403" s="138" t="s">
        <v>737</v>
      </c>
      <c r="E403" s="286" t="s">
        <v>165</v>
      </c>
      <c r="F403" s="287">
        <v>46611</v>
      </c>
      <c r="G403" s="288" t="s">
        <v>103</v>
      </c>
      <c r="H403" s="290">
        <v>1251783</v>
      </c>
      <c r="I403" s="289">
        <v>0.63</v>
      </c>
      <c r="J403" s="289">
        <v>785057.46</v>
      </c>
      <c r="K403" s="288" t="s">
        <v>103</v>
      </c>
      <c r="L403" s="292">
        <v>2.8E-3</v>
      </c>
    </row>
    <row r="404" spans="1:12" ht="15.75" thickBot="1" x14ac:dyDescent="0.3">
      <c r="A404" s="291" t="s">
        <v>126</v>
      </c>
      <c r="B404" s="286" t="s">
        <v>941</v>
      </c>
      <c r="C404" s="286" t="s">
        <v>108</v>
      </c>
      <c r="D404" s="138" t="s">
        <v>942</v>
      </c>
      <c r="E404" s="286" t="s">
        <v>165</v>
      </c>
      <c r="F404" s="287">
        <v>46496</v>
      </c>
      <c r="G404" s="288" t="s">
        <v>103</v>
      </c>
      <c r="H404" s="288">
        <v>890</v>
      </c>
      <c r="I404" s="289">
        <v>1002.2</v>
      </c>
      <c r="J404" s="289">
        <v>891957.79</v>
      </c>
      <c r="K404" s="288" t="s">
        <v>103</v>
      </c>
      <c r="L404" s="292">
        <v>3.2000000000000002E-3</v>
      </c>
    </row>
    <row r="405" spans="1:12" ht="15.75" thickBot="1" x14ac:dyDescent="0.3">
      <c r="A405" s="291" t="s">
        <v>126</v>
      </c>
      <c r="B405" s="286" t="s">
        <v>1096</v>
      </c>
      <c r="C405" s="286" t="s">
        <v>108</v>
      </c>
      <c r="D405" s="138" t="s">
        <v>1097</v>
      </c>
      <c r="E405" s="286" t="s">
        <v>165</v>
      </c>
      <c r="F405" s="288" t="s">
        <v>103</v>
      </c>
      <c r="G405" s="288" t="s">
        <v>103</v>
      </c>
      <c r="H405" s="288">
        <v>9</v>
      </c>
      <c r="I405" s="289">
        <v>38849.29</v>
      </c>
      <c r="J405" s="289">
        <v>349643.62</v>
      </c>
      <c r="K405" s="288" t="s">
        <v>103</v>
      </c>
      <c r="L405" s="292">
        <v>1.2999999999999999E-3</v>
      </c>
    </row>
    <row r="406" spans="1:12" ht="15.75" thickBot="1" x14ac:dyDescent="0.3">
      <c r="A406" s="291" t="s">
        <v>127</v>
      </c>
      <c r="B406" s="286" t="s">
        <v>1152</v>
      </c>
      <c r="C406" s="286" t="s">
        <v>108</v>
      </c>
      <c r="D406" s="138" t="s">
        <v>911</v>
      </c>
      <c r="E406" s="286" t="s">
        <v>1239</v>
      </c>
      <c r="F406" s="287">
        <v>47257</v>
      </c>
      <c r="G406" s="288" t="s">
        <v>103</v>
      </c>
      <c r="H406" s="290">
        <v>1465</v>
      </c>
      <c r="I406" s="289">
        <v>1046.6099999999999</v>
      </c>
      <c r="J406" s="289">
        <v>1533277.84</v>
      </c>
      <c r="K406" s="288" t="s">
        <v>103</v>
      </c>
      <c r="L406" s="292">
        <v>5.4999999999999997E-3</v>
      </c>
    </row>
    <row r="407" spans="1:12" ht="15.75" thickBot="1" x14ac:dyDescent="0.3">
      <c r="A407" s="291" t="s">
        <v>127</v>
      </c>
      <c r="B407" s="286" t="s">
        <v>38</v>
      </c>
      <c r="C407" s="286" t="s">
        <v>108</v>
      </c>
      <c r="D407" s="138" t="s">
        <v>238</v>
      </c>
      <c r="E407" s="286" t="s">
        <v>840</v>
      </c>
      <c r="F407" s="287">
        <v>46096</v>
      </c>
      <c r="G407" s="288" t="s">
        <v>1486</v>
      </c>
      <c r="H407" s="290">
        <v>1827</v>
      </c>
      <c r="I407" s="289">
        <v>712.31</v>
      </c>
      <c r="J407" s="289">
        <v>1301388.22</v>
      </c>
      <c r="K407" s="288" t="s">
        <v>103</v>
      </c>
      <c r="L407" s="292">
        <v>4.7000000000000002E-3</v>
      </c>
    </row>
    <row r="408" spans="1:12" ht="15.75" thickBot="1" x14ac:dyDescent="0.3">
      <c r="A408" s="291" t="s">
        <v>127</v>
      </c>
      <c r="B408" s="286" t="s">
        <v>38</v>
      </c>
      <c r="C408" s="286" t="s">
        <v>108</v>
      </c>
      <c r="D408" s="138" t="s">
        <v>1063</v>
      </c>
      <c r="E408" s="286" t="s">
        <v>667</v>
      </c>
      <c r="F408" s="287">
        <v>47645</v>
      </c>
      <c r="G408" s="288" t="s">
        <v>1485</v>
      </c>
      <c r="H408" s="290">
        <v>1087</v>
      </c>
      <c r="I408" s="289">
        <v>1032.24</v>
      </c>
      <c r="J408" s="289">
        <v>1122042.6299999999</v>
      </c>
      <c r="K408" s="288" t="s">
        <v>103</v>
      </c>
      <c r="L408" s="292">
        <v>4.0000000000000001E-3</v>
      </c>
    </row>
    <row r="409" spans="1:12" ht="15.75" thickBot="1" x14ac:dyDescent="0.3">
      <c r="A409" s="291" t="s">
        <v>127</v>
      </c>
      <c r="B409" s="286" t="s">
        <v>258</v>
      </c>
      <c r="C409" s="286" t="s">
        <v>108</v>
      </c>
      <c r="D409" s="138" t="s">
        <v>259</v>
      </c>
      <c r="E409" s="286" t="s">
        <v>811</v>
      </c>
      <c r="F409" s="287">
        <v>48168</v>
      </c>
      <c r="G409" s="288" t="s">
        <v>1401</v>
      </c>
      <c r="H409" s="288">
        <v>350</v>
      </c>
      <c r="I409" s="289">
        <v>1059.46</v>
      </c>
      <c r="J409" s="289">
        <v>370812.61</v>
      </c>
      <c r="K409" s="288" t="s">
        <v>103</v>
      </c>
      <c r="L409" s="292">
        <v>1.2999999999999999E-3</v>
      </c>
    </row>
    <row r="410" spans="1:12" ht="15.75" thickBot="1" x14ac:dyDescent="0.3">
      <c r="A410" s="291" t="s">
        <v>127</v>
      </c>
      <c r="B410" s="286" t="s">
        <v>397</v>
      </c>
      <c r="C410" s="286" t="s">
        <v>108</v>
      </c>
      <c r="D410" s="138" t="s">
        <v>398</v>
      </c>
      <c r="E410" s="286" t="s">
        <v>1177</v>
      </c>
      <c r="F410" s="287">
        <v>45856</v>
      </c>
      <c r="G410" s="288" t="s">
        <v>1487</v>
      </c>
      <c r="H410" s="290">
        <v>3949</v>
      </c>
      <c r="I410" s="289">
        <v>1015.91</v>
      </c>
      <c r="J410" s="289">
        <v>4011810.27</v>
      </c>
      <c r="K410" s="288" t="s">
        <v>103</v>
      </c>
      <c r="L410" s="292">
        <v>1.44E-2</v>
      </c>
    </row>
    <row r="411" spans="1:12" ht="15.75" thickBot="1" x14ac:dyDescent="0.3">
      <c r="A411" s="291" t="s">
        <v>127</v>
      </c>
      <c r="B411" s="286" t="s">
        <v>1098</v>
      </c>
      <c r="C411" s="286" t="s">
        <v>108</v>
      </c>
      <c r="D411" s="138" t="s">
        <v>1099</v>
      </c>
      <c r="E411" s="286" t="s">
        <v>1101</v>
      </c>
      <c r="F411" s="287">
        <v>47373</v>
      </c>
      <c r="G411" s="288" t="s">
        <v>103</v>
      </c>
      <c r="H411" s="288">
        <v>262</v>
      </c>
      <c r="I411" s="289">
        <v>1004.85</v>
      </c>
      <c r="J411" s="289">
        <v>263270.7</v>
      </c>
      <c r="K411" s="288" t="s">
        <v>103</v>
      </c>
      <c r="L411" s="292">
        <v>8.9999999999999998E-4</v>
      </c>
    </row>
    <row r="412" spans="1:12" ht="15.75" thickBot="1" x14ac:dyDescent="0.3">
      <c r="A412" s="291" t="s">
        <v>127</v>
      </c>
      <c r="B412" s="286" t="s">
        <v>237</v>
      </c>
      <c r="C412" s="286" t="s">
        <v>108</v>
      </c>
      <c r="D412" s="138" t="s">
        <v>1078</v>
      </c>
      <c r="E412" s="286" t="s">
        <v>1087</v>
      </c>
      <c r="F412" s="287">
        <v>47011</v>
      </c>
      <c r="G412" s="288" t="s">
        <v>103</v>
      </c>
      <c r="H412" s="288">
        <v>551</v>
      </c>
      <c r="I412" s="289">
        <v>864.99</v>
      </c>
      <c r="J412" s="289">
        <v>476610.92</v>
      </c>
      <c r="K412" s="288" t="s">
        <v>103</v>
      </c>
      <c r="L412" s="292">
        <v>1.6999999999999999E-3</v>
      </c>
    </row>
    <row r="413" spans="1:12" ht="15.75" thickBot="1" x14ac:dyDescent="0.3">
      <c r="A413" s="291" t="s">
        <v>127</v>
      </c>
      <c r="B413" s="286" t="s">
        <v>204</v>
      </c>
      <c r="C413" s="286" t="s">
        <v>108</v>
      </c>
      <c r="D413" s="138" t="s">
        <v>207</v>
      </c>
      <c r="E413" s="286" t="s">
        <v>612</v>
      </c>
      <c r="F413" s="287">
        <v>47284</v>
      </c>
      <c r="G413" s="288" t="s">
        <v>1430</v>
      </c>
      <c r="H413" s="290">
        <v>1000</v>
      </c>
      <c r="I413" s="289">
        <v>985.8</v>
      </c>
      <c r="J413" s="289">
        <v>985801.1</v>
      </c>
      <c r="K413" s="288" t="s">
        <v>103</v>
      </c>
      <c r="L413" s="292">
        <v>3.5999999999999999E-3</v>
      </c>
    </row>
    <row r="414" spans="1:12" ht="15.75" thickBot="1" x14ac:dyDescent="0.3">
      <c r="A414" s="291" t="s">
        <v>127</v>
      </c>
      <c r="B414" s="286" t="s">
        <v>204</v>
      </c>
      <c r="C414" s="286" t="s">
        <v>108</v>
      </c>
      <c r="D414" s="138" t="s">
        <v>206</v>
      </c>
      <c r="E414" s="286" t="s">
        <v>735</v>
      </c>
      <c r="F414" s="287">
        <v>48014</v>
      </c>
      <c r="G414" s="288" t="s">
        <v>1493</v>
      </c>
      <c r="H414" s="288">
        <v>991</v>
      </c>
      <c r="I414" s="289">
        <v>980.16</v>
      </c>
      <c r="J414" s="289">
        <v>971342.19</v>
      </c>
      <c r="K414" s="288" t="s">
        <v>103</v>
      </c>
      <c r="L414" s="292">
        <v>3.5000000000000001E-3</v>
      </c>
    </row>
    <row r="415" spans="1:12" ht="15.75" thickBot="1" x14ac:dyDescent="0.3">
      <c r="A415" s="291" t="s">
        <v>127</v>
      </c>
      <c r="B415" s="286" t="s">
        <v>354</v>
      </c>
      <c r="C415" s="286" t="s">
        <v>108</v>
      </c>
      <c r="D415" s="138" t="s">
        <v>957</v>
      </c>
      <c r="E415" s="286" t="s">
        <v>1240</v>
      </c>
      <c r="F415" s="287">
        <v>47234</v>
      </c>
      <c r="G415" s="288" t="s">
        <v>103</v>
      </c>
      <c r="H415" s="290">
        <v>1667</v>
      </c>
      <c r="I415" s="289">
        <v>1059.28</v>
      </c>
      <c r="J415" s="289">
        <v>1765824.83</v>
      </c>
      <c r="K415" s="288" t="s">
        <v>103</v>
      </c>
      <c r="L415" s="292">
        <v>6.4000000000000003E-3</v>
      </c>
    </row>
    <row r="416" spans="1:12" ht="15.75" thickBot="1" x14ac:dyDescent="0.3">
      <c r="A416" s="291" t="s">
        <v>127</v>
      </c>
      <c r="B416" s="286" t="s">
        <v>396</v>
      </c>
      <c r="C416" s="286" t="s">
        <v>108</v>
      </c>
      <c r="D416" s="138" t="s">
        <v>1404</v>
      </c>
      <c r="E416" s="286" t="s">
        <v>165</v>
      </c>
      <c r="F416" s="287">
        <v>47123</v>
      </c>
      <c r="G416" s="288" t="s">
        <v>103</v>
      </c>
      <c r="H416" s="288">
        <v>687</v>
      </c>
      <c r="I416" s="289">
        <v>443.22</v>
      </c>
      <c r="J416" s="289">
        <v>304490.71000000002</v>
      </c>
      <c r="K416" s="288" t="s">
        <v>103</v>
      </c>
      <c r="L416" s="292">
        <v>1.1000000000000001E-3</v>
      </c>
    </row>
    <row r="417" spans="1:12" ht="15.75" thickBot="1" x14ac:dyDescent="0.3">
      <c r="A417" s="291" t="s">
        <v>127</v>
      </c>
      <c r="B417" s="286" t="s">
        <v>396</v>
      </c>
      <c r="C417" s="286" t="s">
        <v>108</v>
      </c>
      <c r="D417" s="138" t="s">
        <v>1405</v>
      </c>
      <c r="E417" s="286" t="s">
        <v>165</v>
      </c>
      <c r="F417" s="287">
        <v>52967</v>
      </c>
      <c r="G417" s="288" t="s">
        <v>103</v>
      </c>
      <c r="H417" s="290">
        <v>1015</v>
      </c>
      <c r="I417" s="289">
        <v>79.02</v>
      </c>
      <c r="J417" s="289">
        <v>80205.429999999993</v>
      </c>
      <c r="K417" s="288" t="s">
        <v>103</v>
      </c>
      <c r="L417" s="292">
        <v>2.9999999999999997E-4</v>
      </c>
    </row>
    <row r="418" spans="1:12" ht="15.75" thickBot="1" x14ac:dyDescent="0.3">
      <c r="A418" s="291" t="s">
        <v>127</v>
      </c>
      <c r="B418" s="286" t="s">
        <v>759</v>
      </c>
      <c r="C418" s="286" t="s">
        <v>108</v>
      </c>
      <c r="D418" s="138" t="s">
        <v>760</v>
      </c>
      <c r="E418" s="286" t="s">
        <v>762</v>
      </c>
      <c r="F418" s="287">
        <v>46959</v>
      </c>
      <c r="G418" s="288" t="s">
        <v>1496</v>
      </c>
      <c r="H418" s="290">
        <v>1020</v>
      </c>
      <c r="I418" s="289">
        <v>849.88</v>
      </c>
      <c r="J418" s="289">
        <v>866875.69</v>
      </c>
      <c r="K418" s="288" t="s">
        <v>103</v>
      </c>
      <c r="L418" s="292">
        <v>3.0999999999999999E-3</v>
      </c>
    </row>
    <row r="419" spans="1:12" ht="15.75" thickBot="1" x14ac:dyDescent="0.3">
      <c r="A419" s="291" t="s">
        <v>127</v>
      </c>
      <c r="B419" s="286" t="s">
        <v>295</v>
      </c>
      <c r="C419" s="286" t="s">
        <v>108</v>
      </c>
      <c r="D419" s="138" t="s">
        <v>508</v>
      </c>
      <c r="E419" s="286" t="s">
        <v>630</v>
      </c>
      <c r="F419" s="287">
        <v>47472</v>
      </c>
      <c r="G419" s="288" t="s">
        <v>1406</v>
      </c>
      <c r="H419" s="290">
        <v>2376</v>
      </c>
      <c r="I419" s="289">
        <v>941.28</v>
      </c>
      <c r="J419" s="289">
        <v>2236490.4900000002</v>
      </c>
      <c r="K419" s="288" t="s">
        <v>103</v>
      </c>
      <c r="L419" s="292">
        <v>8.0999999999999996E-3</v>
      </c>
    </row>
    <row r="420" spans="1:12" ht="15.75" thickBot="1" x14ac:dyDescent="0.3">
      <c r="A420" s="291" t="s">
        <v>127</v>
      </c>
      <c r="B420" s="286" t="s">
        <v>208</v>
      </c>
      <c r="C420" s="286" t="s">
        <v>108</v>
      </c>
      <c r="D420" s="138" t="s">
        <v>1003</v>
      </c>
      <c r="E420" s="286" t="s">
        <v>1004</v>
      </c>
      <c r="F420" s="287">
        <v>47289</v>
      </c>
      <c r="G420" s="288" t="s">
        <v>1407</v>
      </c>
      <c r="H420" s="290">
        <v>1747</v>
      </c>
      <c r="I420" s="289">
        <v>1010.88</v>
      </c>
      <c r="J420" s="289">
        <v>1766013.72</v>
      </c>
      <c r="K420" s="288" t="s">
        <v>103</v>
      </c>
      <c r="L420" s="292">
        <v>6.4000000000000003E-3</v>
      </c>
    </row>
    <row r="421" spans="1:12" ht="15.75" thickBot="1" x14ac:dyDescent="0.3">
      <c r="A421" s="291" t="s">
        <v>127</v>
      </c>
      <c r="B421" s="286" t="s">
        <v>208</v>
      </c>
      <c r="C421" s="286" t="s">
        <v>108</v>
      </c>
      <c r="D421" s="138" t="s">
        <v>185</v>
      </c>
      <c r="E421" s="286" t="s">
        <v>1103</v>
      </c>
      <c r="F421" s="287">
        <v>46893</v>
      </c>
      <c r="G421" s="288" t="s">
        <v>1502</v>
      </c>
      <c r="H421" s="290">
        <v>1035</v>
      </c>
      <c r="I421" s="289">
        <v>1044.05</v>
      </c>
      <c r="J421" s="289">
        <v>1080596.73</v>
      </c>
      <c r="K421" s="288" t="s">
        <v>103</v>
      </c>
      <c r="L421" s="292">
        <v>3.8999999999999998E-3</v>
      </c>
    </row>
    <row r="422" spans="1:12" ht="15.75" thickBot="1" x14ac:dyDescent="0.3">
      <c r="A422" s="291" t="s">
        <v>127</v>
      </c>
      <c r="B422" s="286" t="s">
        <v>230</v>
      </c>
      <c r="C422" s="286" t="s">
        <v>108</v>
      </c>
      <c r="D422" s="138" t="s">
        <v>211</v>
      </c>
      <c r="E422" s="286" t="s">
        <v>606</v>
      </c>
      <c r="F422" s="287">
        <v>45802</v>
      </c>
      <c r="G422" s="288" t="s">
        <v>1504</v>
      </c>
      <c r="H422" s="290">
        <v>1222</v>
      </c>
      <c r="I422" s="289">
        <v>346.73</v>
      </c>
      <c r="J422" s="289">
        <v>423706.35</v>
      </c>
      <c r="K422" s="288" t="s">
        <v>103</v>
      </c>
      <c r="L422" s="292">
        <v>1.5E-3</v>
      </c>
    </row>
    <row r="423" spans="1:12" ht="15.75" thickBot="1" x14ac:dyDescent="0.3">
      <c r="A423" s="291" t="s">
        <v>127</v>
      </c>
      <c r="B423" s="286" t="s">
        <v>230</v>
      </c>
      <c r="C423" s="286" t="s">
        <v>108</v>
      </c>
      <c r="D423" s="138" t="s">
        <v>327</v>
      </c>
      <c r="E423" s="286" t="s">
        <v>637</v>
      </c>
      <c r="F423" s="287">
        <v>46506</v>
      </c>
      <c r="G423" s="288" t="s">
        <v>1503</v>
      </c>
      <c r="H423" s="288">
        <v>247</v>
      </c>
      <c r="I423" s="289">
        <v>1051.98</v>
      </c>
      <c r="J423" s="289">
        <v>259840.2</v>
      </c>
      <c r="K423" s="288" t="s">
        <v>103</v>
      </c>
      <c r="L423" s="292">
        <v>8.9999999999999998E-4</v>
      </c>
    </row>
    <row r="424" spans="1:12" ht="15.75" thickBot="1" x14ac:dyDescent="0.3">
      <c r="A424" s="291" t="s">
        <v>127</v>
      </c>
      <c r="B424" s="286" t="s">
        <v>8</v>
      </c>
      <c r="C424" s="286" t="s">
        <v>108</v>
      </c>
      <c r="D424" s="138" t="s">
        <v>137</v>
      </c>
      <c r="E424" s="286" t="s">
        <v>741</v>
      </c>
      <c r="F424" s="287">
        <v>46371</v>
      </c>
      <c r="G424" s="288" t="s">
        <v>1506</v>
      </c>
      <c r="H424" s="290">
        <v>2742</v>
      </c>
      <c r="I424" s="289">
        <v>694.57</v>
      </c>
      <c r="J424" s="289">
        <v>1904510.94</v>
      </c>
      <c r="K424" s="288" t="s">
        <v>103</v>
      </c>
      <c r="L424" s="292">
        <v>6.8999999999999999E-3</v>
      </c>
    </row>
    <row r="425" spans="1:12" ht="15.75" thickBot="1" x14ac:dyDescent="0.3">
      <c r="A425" s="291" t="s">
        <v>127</v>
      </c>
      <c r="B425" s="286" t="s">
        <v>231</v>
      </c>
      <c r="C425" s="286" t="s">
        <v>108</v>
      </c>
      <c r="D425" s="138" t="s">
        <v>221</v>
      </c>
      <c r="E425" s="286" t="s">
        <v>1045</v>
      </c>
      <c r="F425" s="287">
        <v>48080</v>
      </c>
      <c r="G425" s="288" t="s">
        <v>1438</v>
      </c>
      <c r="H425" s="290">
        <v>1613</v>
      </c>
      <c r="I425" s="289">
        <v>1026.3</v>
      </c>
      <c r="J425" s="289">
        <v>1655424.76</v>
      </c>
      <c r="K425" s="288" t="s">
        <v>103</v>
      </c>
      <c r="L425" s="292">
        <v>6.0000000000000001E-3</v>
      </c>
    </row>
    <row r="426" spans="1:12" ht="15.75" thickBot="1" x14ac:dyDescent="0.3">
      <c r="A426" s="291" t="s">
        <v>127</v>
      </c>
      <c r="B426" s="286" t="s">
        <v>231</v>
      </c>
      <c r="C426" s="286" t="s">
        <v>108</v>
      </c>
      <c r="D426" s="138" t="s">
        <v>261</v>
      </c>
      <c r="E426" s="286" t="s">
        <v>617</v>
      </c>
      <c r="F426" s="287">
        <v>48080</v>
      </c>
      <c r="G426" s="288" t="s">
        <v>1438</v>
      </c>
      <c r="H426" s="288">
        <v>483</v>
      </c>
      <c r="I426" s="289">
        <v>1024.9000000000001</v>
      </c>
      <c r="J426" s="289">
        <v>495028.92</v>
      </c>
      <c r="K426" s="288" t="s">
        <v>103</v>
      </c>
      <c r="L426" s="292">
        <v>1.8E-3</v>
      </c>
    </row>
    <row r="427" spans="1:12" ht="15.75" thickBot="1" x14ac:dyDescent="0.3">
      <c r="A427" s="291" t="s">
        <v>127</v>
      </c>
      <c r="B427" s="286" t="s">
        <v>428</v>
      </c>
      <c r="C427" s="286" t="s">
        <v>108</v>
      </c>
      <c r="D427" s="138" t="s">
        <v>349</v>
      </c>
      <c r="E427" s="286" t="s">
        <v>1107</v>
      </c>
      <c r="F427" s="287">
        <v>46541</v>
      </c>
      <c r="G427" s="288" t="s">
        <v>1507</v>
      </c>
      <c r="H427" s="290">
        <v>4745</v>
      </c>
      <c r="I427" s="289">
        <v>747.71</v>
      </c>
      <c r="J427" s="289">
        <v>3547862.75</v>
      </c>
      <c r="K427" s="288" t="s">
        <v>103</v>
      </c>
      <c r="L427" s="292">
        <v>1.2800000000000001E-2</v>
      </c>
    </row>
    <row r="428" spans="1:12" ht="15.75" thickBot="1" x14ac:dyDescent="0.3">
      <c r="A428" s="291" t="s">
        <v>127</v>
      </c>
      <c r="B428" s="286" t="s">
        <v>505</v>
      </c>
      <c r="C428" s="286" t="s">
        <v>108</v>
      </c>
      <c r="D428" s="138" t="s">
        <v>764</v>
      </c>
      <c r="E428" s="286" t="s">
        <v>1165</v>
      </c>
      <c r="F428" s="287">
        <v>46614</v>
      </c>
      <c r="G428" s="288" t="s">
        <v>1431</v>
      </c>
      <c r="H428" s="288">
        <v>722</v>
      </c>
      <c r="I428" s="289">
        <v>1023.98</v>
      </c>
      <c r="J428" s="289">
        <v>739315.48</v>
      </c>
      <c r="K428" s="288" t="s">
        <v>103</v>
      </c>
      <c r="L428" s="292">
        <v>2.7000000000000001E-3</v>
      </c>
    </row>
    <row r="429" spans="1:12" ht="15.75" thickBot="1" x14ac:dyDescent="0.3">
      <c r="A429" s="291" t="s">
        <v>127</v>
      </c>
      <c r="B429" s="286" t="s">
        <v>497</v>
      </c>
      <c r="C429" s="286" t="s">
        <v>108</v>
      </c>
      <c r="D429" s="138" t="s">
        <v>498</v>
      </c>
      <c r="E429" s="286" t="s">
        <v>1245</v>
      </c>
      <c r="F429" s="287">
        <v>46716</v>
      </c>
      <c r="G429" s="288" t="s">
        <v>1502</v>
      </c>
      <c r="H429" s="290">
        <v>2977</v>
      </c>
      <c r="I429" s="289">
        <v>908.64</v>
      </c>
      <c r="J429" s="289">
        <v>2705022.73</v>
      </c>
      <c r="K429" s="288" t="s">
        <v>103</v>
      </c>
      <c r="L429" s="292">
        <v>9.7000000000000003E-3</v>
      </c>
    </row>
    <row r="430" spans="1:12" ht="15.75" thickBot="1" x14ac:dyDescent="0.3">
      <c r="A430" s="291" t="s">
        <v>127</v>
      </c>
      <c r="B430" s="286" t="s">
        <v>45</v>
      </c>
      <c r="C430" s="286" t="s">
        <v>108</v>
      </c>
      <c r="D430" s="138" t="s">
        <v>437</v>
      </c>
      <c r="E430" s="286" t="s">
        <v>652</v>
      </c>
      <c r="F430" s="287">
        <v>47192</v>
      </c>
      <c r="G430" s="288" t="s">
        <v>1510</v>
      </c>
      <c r="H430" s="290">
        <v>1662</v>
      </c>
      <c r="I430" s="289">
        <v>912.22</v>
      </c>
      <c r="J430" s="289">
        <v>1516117.06</v>
      </c>
      <c r="K430" s="288" t="s">
        <v>103</v>
      </c>
      <c r="L430" s="292">
        <v>5.4999999999999997E-3</v>
      </c>
    </row>
    <row r="431" spans="1:12" ht="15.75" thickBot="1" x14ac:dyDescent="0.3">
      <c r="A431" s="291" t="s">
        <v>127</v>
      </c>
      <c r="B431" s="286" t="s">
        <v>778</v>
      </c>
      <c r="C431" s="286" t="s">
        <v>108</v>
      </c>
      <c r="D431" s="138" t="s">
        <v>1109</v>
      </c>
      <c r="E431" s="286" t="s">
        <v>1112</v>
      </c>
      <c r="F431" s="287">
        <v>46924</v>
      </c>
      <c r="G431" s="288" t="s">
        <v>1512</v>
      </c>
      <c r="H431" s="290">
        <v>2350</v>
      </c>
      <c r="I431" s="289">
        <v>1027.92</v>
      </c>
      <c r="J431" s="289">
        <v>2415613.4900000002</v>
      </c>
      <c r="K431" s="288" t="s">
        <v>103</v>
      </c>
      <c r="L431" s="292">
        <v>8.6999999999999994E-3</v>
      </c>
    </row>
    <row r="432" spans="1:12" ht="15.75" thickBot="1" x14ac:dyDescent="0.3">
      <c r="A432" s="291" t="s">
        <v>127</v>
      </c>
      <c r="B432" s="286" t="s">
        <v>1410</v>
      </c>
      <c r="C432" s="286" t="s">
        <v>108</v>
      </c>
      <c r="D432" s="138" t="s">
        <v>1064</v>
      </c>
      <c r="E432" s="286" t="s">
        <v>165</v>
      </c>
      <c r="F432" s="287">
        <v>46482</v>
      </c>
      <c r="G432" s="288" t="s">
        <v>103</v>
      </c>
      <c r="H432" s="290">
        <v>1910</v>
      </c>
      <c r="I432" s="289">
        <v>1002.11</v>
      </c>
      <c r="J432" s="289">
        <v>1914021.76</v>
      </c>
      <c r="K432" s="288" t="s">
        <v>103</v>
      </c>
      <c r="L432" s="292">
        <v>6.8999999999999999E-3</v>
      </c>
    </row>
    <row r="433" spans="1:12" ht="15.75" thickBot="1" x14ac:dyDescent="0.3">
      <c r="A433" s="291" t="s">
        <v>127</v>
      </c>
      <c r="B433" s="286" t="s">
        <v>513</v>
      </c>
      <c r="C433" s="286" t="s">
        <v>108</v>
      </c>
      <c r="D433" s="138" t="s">
        <v>514</v>
      </c>
      <c r="E433" s="286" t="s">
        <v>663</v>
      </c>
      <c r="F433" s="287">
        <v>46310</v>
      </c>
      <c r="G433" s="288" t="s">
        <v>1517</v>
      </c>
      <c r="H433" s="290">
        <v>1670</v>
      </c>
      <c r="I433" s="289">
        <v>1044.98</v>
      </c>
      <c r="J433" s="289">
        <v>1745117.27</v>
      </c>
      <c r="K433" s="288" t="s">
        <v>103</v>
      </c>
      <c r="L433" s="292">
        <v>6.3E-3</v>
      </c>
    </row>
    <row r="434" spans="1:12" ht="15.75" thickBot="1" x14ac:dyDescent="0.3">
      <c r="A434" s="291" t="s">
        <v>127</v>
      </c>
      <c r="B434" s="286" t="s">
        <v>1358</v>
      </c>
      <c r="C434" s="286" t="s">
        <v>108</v>
      </c>
      <c r="D434" s="138" t="s">
        <v>326</v>
      </c>
      <c r="E434" s="286" t="s">
        <v>165</v>
      </c>
      <c r="F434" s="287">
        <v>46492</v>
      </c>
      <c r="G434" s="288" t="s">
        <v>103</v>
      </c>
      <c r="H434" s="288">
        <v>949</v>
      </c>
      <c r="I434" s="289">
        <v>1057.8599999999999</v>
      </c>
      <c r="J434" s="289">
        <v>1003907.29</v>
      </c>
      <c r="K434" s="288" t="s">
        <v>103</v>
      </c>
      <c r="L434" s="292">
        <v>3.5999999999999999E-3</v>
      </c>
    </row>
    <row r="435" spans="1:12" ht="15.75" thickBot="1" x14ac:dyDescent="0.3">
      <c r="A435" s="291" t="s">
        <v>127</v>
      </c>
      <c r="B435" s="286" t="s">
        <v>1359</v>
      </c>
      <c r="C435" s="286" t="s">
        <v>108</v>
      </c>
      <c r="D435" s="138" t="s">
        <v>210</v>
      </c>
      <c r="E435" s="286" t="s">
        <v>165</v>
      </c>
      <c r="F435" s="287">
        <v>48531</v>
      </c>
      <c r="G435" s="288" t="s">
        <v>103</v>
      </c>
      <c r="H435" s="290">
        <v>31824</v>
      </c>
      <c r="I435" s="289">
        <v>56.46</v>
      </c>
      <c r="J435" s="289">
        <v>1796898.91</v>
      </c>
      <c r="K435" s="288" t="s">
        <v>103</v>
      </c>
      <c r="L435" s="292">
        <v>6.4999999999999997E-3</v>
      </c>
    </row>
    <row r="436" spans="1:12" ht="15.75" thickBot="1" x14ac:dyDescent="0.3">
      <c r="A436" s="291" t="s">
        <v>127</v>
      </c>
      <c r="B436" s="286" t="s">
        <v>1359</v>
      </c>
      <c r="C436" s="286" t="s">
        <v>108</v>
      </c>
      <c r="D436" s="138" t="s">
        <v>1181</v>
      </c>
      <c r="E436" s="286" t="s">
        <v>165</v>
      </c>
      <c r="F436" s="287">
        <v>46630</v>
      </c>
      <c r="G436" s="288" t="s">
        <v>103</v>
      </c>
      <c r="H436" s="290">
        <v>191757</v>
      </c>
      <c r="I436" s="289">
        <v>7.96</v>
      </c>
      <c r="J436" s="289">
        <v>1526385.72</v>
      </c>
      <c r="K436" s="288" t="s">
        <v>103</v>
      </c>
      <c r="L436" s="292">
        <v>5.4999999999999997E-3</v>
      </c>
    </row>
    <row r="437" spans="1:12" ht="15.75" thickBot="1" x14ac:dyDescent="0.3">
      <c r="A437" s="291" t="s">
        <v>127</v>
      </c>
      <c r="B437" s="286" t="s">
        <v>1359</v>
      </c>
      <c r="C437" s="286" t="s">
        <v>108</v>
      </c>
      <c r="D437" s="138" t="s">
        <v>12</v>
      </c>
      <c r="E437" s="286" t="s">
        <v>165</v>
      </c>
      <c r="F437" s="287">
        <v>48531</v>
      </c>
      <c r="G437" s="288" t="s">
        <v>103</v>
      </c>
      <c r="H437" s="290">
        <v>23092</v>
      </c>
      <c r="I437" s="289">
        <v>56.46</v>
      </c>
      <c r="J437" s="289">
        <v>1303858.3999999999</v>
      </c>
      <c r="K437" s="288" t="s">
        <v>103</v>
      </c>
      <c r="L437" s="292">
        <v>4.7000000000000002E-3</v>
      </c>
    </row>
    <row r="438" spans="1:12" ht="15.75" thickBot="1" x14ac:dyDescent="0.3">
      <c r="A438" s="291" t="s">
        <v>127</v>
      </c>
      <c r="B438" s="286" t="s">
        <v>1359</v>
      </c>
      <c r="C438" s="286" t="s">
        <v>108</v>
      </c>
      <c r="D438" s="138" t="s">
        <v>1182</v>
      </c>
      <c r="E438" s="286" t="s">
        <v>165</v>
      </c>
      <c r="F438" s="287">
        <v>50357</v>
      </c>
      <c r="G438" s="288" t="s">
        <v>103</v>
      </c>
      <c r="H438" s="290">
        <v>13352</v>
      </c>
      <c r="I438" s="289">
        <v>26.66</v>
      </c>
      <c r="J438" s="289">
        <v>355965.66</v>
      </c>
      <c r="K438" s="288" t="s">
        <v>103</v>
      </c>
      <c r="L438" s="292">
        <v>1.2999999999999999E-3</v>
      </c>
    </row>
    <row r="439" spans="1:12" ht="15.75" thickBot="1" x14ac:dyDescent="0.3">
      <c r="A439" s="291" t="s">
        <v>127</v>
      </c>
      <c r="B439" s="286" t="s">
        <v>1359</v>
      </c>
      <c r="C439" s="286" t="s">
        <v>108</v>
      </c>
      <c r="D439" s="138" t="s">
        <v>1248</v>
      </c>
      <c r="E439" s="286" t="s">
        <v>165</v>
      </c>
      <c r="F439" s="287">
        <v>50357</v>
      </c>
      <c r="G439" s="288" t="s">
        <v>103</v>
      </c>
      <c r="H439" s="290">
        <v>9695</v>
      </c>
      <c r="I439" s="289">
        <v>26.66</v>
      </c>
      <c r="J439" s="289">
        <v>258469.67</v>
      </c>
      <c r="K439" s="288" t="s">
        <v>103</v>
      </c>
      <c r="L439" s="292">
        <v>8.9999999999999998E-4</v>
      </c>
    </row>
    <row r="440" spans="1:12" ht="15.75" thickBot="1" x14ac:dyDescent="0.3">
      <c r="A440" s="291" t="s">
        <v>127</v>
      </c>
      <c r="B440" s="286" t="s">
        <v>35</v>
      </c>
      <c r="C440" s="286" t="s">
        <v>108</v>
      </c>
      <c r="D440" s="138" t="s">
        <v>3</v>
      </c>
      <c r="E440" s="286" t="s">
        <v>744</v>
      </c>
      <c r="F440" s="287">
        <v>47196</v>
      </c>
      <c r="G440" s="288" t="s">
        <v>1520</v>
      </c>
      <c r="H440" s="288">
        <v>194</v>
      </c>
      <c r="I440" s="289">
        <v>10895.87</v>
      </c>
      <c r="J440" s="289">
        <v>2113799.08</v>
      </c>
      <c r="K440" s="288" t="s">
        <v>103</v>
      </c>
      <c r="L440" s="292">
        <v>7.6E-3</v>
      </c>
    </row>
    <row r="441" spans="1:12" ht="15.75" thickBot="1" x14ac:dyDescent="0.3">
      <c r="A441" s="291" t="s">
        <v>127</v>
      </c>
      <c r="B441" s="286" t="s">
        <v>855</v>
      </c>
      <c r="C441" s="286" t="s">
        <v>108</v>
      </c>
      <c r="D441" s="138" t="s">
        <v>265</v>
      </c>
      <c r="E441" s="286" t="s">
        <v>962</v>
      </c>
      <c r="F441" s="287">
        <v>47046</v>
      </c>
      <c r="G441" s="288" t="s">
        <v>1441</v>
      </c>
      <c r="H441" s="290">
        <v>2328</v>
      </c>
      <c r="I441" s="289">
        <v>1033.5899999999999</v>
      </c>
      <c r="J441" s="289">
        <v>2406186.0499999998</v>
      </c>
      <c r="K441" s="288" t="s">
        <v>103</v>
      </c>
      <c r="L441" s="292">
        <v>8.6999999999999994E-3</v>
      </c>
    </row>
    <row r="442" spans="1:12" ht="15.75" thickBot="1" x14ac:dyDescent="0.3">
      <c r="A442" s="291" t="s">
        <v>127</v>
      </c>
      <c r="B442" s="286" t="s">
        <v>289</v>
      </c>
      <c r="C442" s="286" t="s">
        <v>108</v>
      </c>
      <c r="D442" s="138" t="s">
        <v>266</v>
      </c>
      <c r="E442" s="286" t="s">
        <v>673</v>
      </c>
      <c r="F442" s="287">
        <v>47060</v>
      </c>
      <c r="G442" s="288" t="s">
        <v>1523</v>
      </c>
      <c r="H442" s="288">
        <v>400</v>
      </c>
      <c r="I442" s="289">
        <v>1052.45</v>
      </c>
      <c r="J442" s="289">
        <v>420978.37</v>
      </c>
      <c r="K442" s="288" t="s">
        <v>103</v>
      </c>
      <c r="L442" s="292">
        <v>1.5E-3</v>
      </c>
    </row>
    <row r="443" spans="1:12" ht="15.75" thickBot="1" x14ac:dyDescent="0.3">
      <c r="A443" s="291" t="s">
        <v>127</v>
      </c>
      <c r="B443" s="286" t="s">
        <v>427</v>
      </c>
      <c r="C443" s="286" t="s">
        <v>108</v>
      </c>
      <c r="D443" s="138" t="s">
        <v>469</v>
      </c>
      <c r="E443" s="286" t="s">
        <v>834</v>
      </c>
      <c r="F443" s="287">
        <v>46588</v>
      </c>
      <c r="G443" s="288" t="s">
        <v>1524</v>
      </c>
      <c r="H443" s="290">
        <v>1685</v>
      </c>
      <c r="I443" s="289">
        <v>1024.76</v>
      </c>
      <c r="J443" s="289">
        <v>1726725.04</v>
      </c>
      <c r="K443" s="288" t="s">
        <v>103</v>
      </c>
      <c r="L443" s="292">
        <v>6.1999999999999998E-3</v>
      </c>
    </row>
    <row r="444" spans="1:12" ht="15.75" thickBot="1" x14ac:dyDescent="0.3">
      <c r="A444" s="291" t="s">
        <v>127</v>
      </c>
      <c r="B444" s="286" t="s">
        <v>267</v>
      </c>
      <c r="C444" s="286" t="s">
        <v>108</v>
      </c>
      <c r="D444" s="138" t="s">
        <v>268</v>
      </c>
      <c r="E444" s="286" t="s">
        <v>843</v>
      </c>
      <c r="F444" s="287">
        <v>47238</v>
      </c>
      <c r="G444" s="288" t="s">
        <v>1525</v>
      </c>
      <c r="H444" s="290">
        <v>4145</v>
      </c>
      <c r="I444" s="289">
        <v>1049.1099999999999</v>
      </c>
      <c r="J444" s="289">
        <v>4348578.41</v>
      </c>
      <c r="K444" s="288" t="s">
        <v>103</v>
      </c>
      <c r="L444" s="292">
        <v>1.5699999999999999E-2</v>
      </c>
    </row>
    <row r="445" spans="1:12" ht="15.75" thickBot="1" x14ac:dyDescent="0.3">
      <c r="A445" s="291" t="s">
        <v>127</v>
      </c>
      <c r="B445" s="286" t="s">
        <v>1166</v>
      </c>
      <c r="C445" s="286" t="s">
        <v>108</v>
      </c>
      <c r="D445" s="138" t="s">
        <v>1167</v>
      </c>
      <c r="E445" s="286" t="s">
        <v>1168</v>
      </c>
      <c r="F445" s="287">
        <v>49475</v>
      </c>
      <c r="G445" s="288" t="s">
        <v>1529</v>
      </c>
      <c r="H445" s="288">
        <v>850</v>
      </c>
      <c r="I445" s="289">
        <v>1028.8</v>
      </c>
      <c r="J445" s="289">
        <v>874480.71</v>
      </c>
      <c r="K445" s="288" t="s">
        <v>103</v>
      </c>
      <c r="L445" s="292">
        <v>3.0999999999999999E-3</v>
      </c>
    </row>
    <row r="446" spans="1:12" ht="15.75" thickBot="1" x14ac:dyDescent="0.3">
      <c r="A446" s="291" t="s">
        <v>127</v>
      </c>
      <c r="B446" s="286" t="s">
        <v>758</v>
      </c>
      <c r="C446" s="286" t="s">
        <v>108</v>
      </c>
      <c r="D446" s="138" t="s">
        <v>837</v>
      </c>
      <c r="E446" s="286" t="s">
        <v>1116</v>
      </c>
      <c r="F446" s="287">
        <v>47406</v>
      </c>
      <c r="G446" s="288" t="s">
        <v>1429</v>
      </c>
      <c r="H446" s="290">
        <v>1179100</v>
      </c>
      <c r="I446" s="289">
        <v>1.07</v>
      </c>
      <c r="J446" s="289">
        <v>1262087.4099999999</v>
      </c>
      <c r="K446" s="288" t="s">
        <v>103</v>
      </c>
      <c r="L446" s="292">
        <v>4.4999999999999997E-3</v>
      </c>
    </row>
    <row r="447" spans="1:12" ht="15.75" thickBot="1" x14ac:dyDescent="0.3">
      <c r="A447" s="291" t="s">
        <v>127</v>
      </c>
      <c r="B447" s="286" t="s">
        <v>758</v>
      </c>
      <c r="C447" s="286" t="s">
        <v>108</v>
      </c>
      <c r="D447" s="138" t="s">
        <v>1113</v>
      </c>
      <c r="E447" s="286" t="s">
        <v>1117</v>
      </c>
      <c r="F447" s="287">
        <v>47741</v>
      </c>
      <c r="G447" s="288" t="s">
        <v>1421</v>
      </c>
      <c r="H447" s="288">
        <v>410</v>
      </c>
      <c r="I447" s="289">
        <v>1049.78</v>
      </c>
      <c r="J447" s="289">
        <v>430409.58</v>
      </c>
      <c r="K447" s="288" t="s">
        <v>103</v>
      </c>
      <c r="L447" s="292">
        <v>1.5E-3</v>
      </c>
    </row>
    <row r="448" spans="1:12" ht="15.75" thickBot="1" x14ac:dyDescent="0.3">
      <c r="A448" s="291" t="s">
        <v>127</v>
      </c>
      <c r="B448" s="286" t="s">
        <v>13</v>
      </c>
      <c r="C448" s="286" t="s">
        <v>108</v>
      </c>
      <c r="D448" s="138" t="s">
        <v>242</v>
      </c>
      <c r="E448" s="286" t="s">
        <v>681</v>
      </c>
      <c r="F448" s="287">
        <v>47041</v>
      </c>
      <c r="G448" s="288" t="s">
        <v>1531</v>
      </c>
      <c r="H448" s="290">
        <v>2524</v>
      </c>
      <c r="I448" s="289">
        <v>1080.07</v>
      </c>
      <c r="J448" s="289">
        <v>2726095.68</v>
      </c>
      <c r="K448" s="288" t="s">
        <v>103</v>
      </c>
      <c r="L448" s="292">
        <v>9.7999999999999997E-3</v>
      </c>
    </row>
    <row r="449" spans="1:12" ht="15.75" thickBot="1" x14ac:dyDescent="0.3">
      <c r="A449" s="291" t="s">
        <v>127</v>
      </c>
      <c r="B449" s="286" t="s">
        <v>13</v>
      </c>
      <c r="C449" s="286" t="s">
        <v>108</v>
      </c>
      <c r="D449" s="138" t="s">
        <v>97</v>
      </c>
      <c r="E449" s="286" t="s">
        <v>682</v>
      </c>
      <c r="F449" s="287">
        <v>45894</v>
      </c>
      <c r="G449" s="288" t="s">
        <v>1533</v>
      </c>
      <c r="H449" s="288">
        <v>336</v>
      </c>
      <c r="I449" s="289">
        <v>336.33</v>
      </c>
      <c r="J449" s="289">
        <v>113008.09</v>
      </c>
      <c r="K449" s="288" t="s">
        <v>103</v>
      </c>
      <c r="L449" s="292">
        <v>4.0000000000000002E-4</v>
      </c>
    </row>
    <row r="450" spans="1:12" ht="15.75" thickBot="1" x14ac:dyDescent="0.3">
      <c r="A450" s="291" t="s">
        <v>127</v>
      </c>
      <c r="B450" s="286" t="s">
        <v>33</v>
      </c>
      <c r="C450" s="286" t="s">
        <v>108</v>
      </c>
      <c r="D450" s="138" t="s">
        <v>751</v>
      </c>
      <c r="E450" s="286" t="s">
        <v>752</v>
      </c>
      <c r="F450" s="287">
        <v>46193</v>
      </c>
      <c r="G450" s="288" t="s">
        <v>1537</v>
      </c>
      <c r="H450" s="290">
        <v>1601</v>
      </c>
      <c r="I450" s="289">
        <v>1041.82</v>
      </c>
      <c r="J450" s="289">
        <v>1667954.29</v>
      </c>
      <c r="K450" s="288" t="s">
        <v>103</v>
      </c>
      <c r="L450" s="292">
        <v>6.0000000000000001E-3</v>
      </c>
    </row>
    <row r="451" spans="1:12" ht="15.75" thickBot="1" x14ac:dyDescent="0.3">
      <c r="A451" s="291" t="s">
        <v>127</v>
      </c>
      <c r="B451" s="286" t="s">
        <v>33</v>
      </c>
      <c r="C451" s="286" t="s">
        <v>108</v>
      </c>
      <c r="D451" s="138" t="s">
        <v>822</v>
      </c>
      <c r="E451" s="286" t="s">
        <v>823</v>
      </c>
      <c r="F451" s="287">
        <v>47771</v>
      </c>
      <c r="G451" s="288" t="s">
        <v>1536</v>
      </c>
      <c r="H451" s="288">
        <v>216</v>
      </c>
      <c r="I451" s="289">
        <v>1087.77</v>
      </c>
      <c r="J451" s="289">
        <v>234959.17</v>
      </c>
      <c r="K451" s="288" t="s">
        <v>103</v>
      </c>
      <c r="L451" s="292">
        <v>8.0000000000000004E-4</v>
      </c>
    </row>
    <row r="452" spans="1:12" ht="15.75" thickBot="1" x14ac:dyDescent="0.3">
      <c r="A452" s="291" t="s">
        <v>127</v>
      </c>
      <c r="B452" s="286" t="s">
        <v>975</v>
      </c>
      <c r="C452" s="286" t="s">
        <v>108</v>
      </c>
      <c r="D452" s="138" t="s">
        <v>976</v>
      </c>
      <c r="E452" s="286" t="s">
        <v>620</v>
      </c>
      <c r="F452" s="287">
        <v>45950</v>
      </c>
      <c r="G452" s="288" t="s">
        <v>1539</v>
      </c>
      <c r="H452" s="288">
        <v>283</v>
      </c>
      <c r="I452" s="289">
        <v>515.12</v>
      </c>
      <c r="J452" s="289">
        <v>145780.32999999999</v>
      </c>
      <c r="K452" s="288" t="s">
        <v>103</v>
      </c>
      <c r="L452" s="292">
        <v>5.0000000000000001E-4</v>
      </c>
    </row>
    <row r="453" spans="1:12" ht="15.75" thickBot="1" x14ac:dyDescent="0.3">
      <c r="A453" s="291" t="s">
        <v>127</v>
      </c>
      <c r="B453" s="286" t="s">
        <v>156</v>
      </c>
      <c r="C453" s="286" t="s">
        <v>108</v>
      </c>
      <c r="D453" s="138" t="s">
        <v>328</v>
      </c>
      <c r="E453" s="286" t="s">
        <v>687</v>
      </c>
      <c r="F453" s="287">
        <v>48339</v>
      </c>
      <c r="G453" s="288" t="s">
        <v>1401</v>
      </c>
      <c r="H453" s="290">
        <v>2787</v>
      </c>
      <c r="I453" s="289">
        <v>1056.8900000000001</v>
      </c>
      <c r="J453" s="289">
        <v>2945545.94</v>
      </c>
      <c r="K453" s="288" t="s">
        <v>103</v>
      </c>
      <c r="L453" s="292">
        <v>1.06E-2</v>
      </c>
    </row>
    <row r="454" spans="1:12" ht="15.75" thickBot="1" x14ac:dyDescent="0.3">
      <c r="A454" s="291" t="s">
        <v>127</v>
      </c>
      <c r="B454" s="286" t="s">
        <v>156</v>
      </c>
      <c r="C454" s="286" t="s">
        <v>108</v>
      </c>
      <c r="D454" s="138" t="s">
        <v>1039</v>
      </c>
      <c r="E454" s="286" t="s">
        <v>709</v>
      </c>
      <c r="F454" s="287">
        <v>47297</v>
      </c>
      <c r="G454" s="288" t="s">
        <v>1541</v>
      </c>
      <c r="H454" s="288">
        <v>77</v>
      </c>
      <c r="I454" s="289">
        <v>1016.5</v>
      </c>
      <c r="J454" s="289">
        <v>78270.41</v>
      </c>
      <c r="K454" s="288" t="s">
        <v>103</v>
      </c>
      <c r="L454" s="292">
        <v>2.9999999999999997E-4</v>
      </c>
    </row>
    <row r="455" spans="1:12" ht="15.75" thickBot="1" x14ac:dyDescent="0.3">
      <c r="A455" s="291" t="s">
        <v>127</v>
      </c>
      <c r="B455" s="286" t="s">
        <v>290</v>
      </c>
      <c r="C455" s="286" t="s">
        <v>108</v>
      </c>
      <c r="D455" s="138" t="s">
        <v>240</v>
      </c>
      <c r="E455" s="286" t="s">
        <v>1425</v>
      </c>
      <c r="F455" s="287">
        <v>47406</v>
      </c>
      <c r="G455" s="288" t="s">
        <v>1431</v>
      </c>
      <c r="H455" s="290">
        <v>2539</v>
      </c>
      <c r="I455" s="289">
        <v>839.92</v>
      </c>
      <c r="J455" s="289">
        <v>2132564.14</v>
      </c>
      <c r="K455" s="288" t="s">
        <v>103</v>
      </c>
      <c r="L455" s="292">
        <v>7.7000000000000002E-3</v>
      </c>
    </row>
    <row r="456" spans="1:12" ht="15.75" thickBot="1" x14ac:dyDescent="0.3">
      <c r="A456" s="291" t="s">
        <v>127</v>
      </c>
      <c r="B456" s="286" t="s">
        <v>825</v>
      </c>
      <c r="C456" s="286" t="s">
        <v>108</v>
      </c>
      <c r="D456" s="138" t="s">
        <v>826</v>
      </c>
      <c r="E456" s="286" t="s">
        <v>827</v>
      </c>
      <c r="F456" s="287">
        <v>47788</v>
      </c>
      <c r="G456" s="288" t="s">
        <v>1298</v>
      </c>
      <c r="H456" s="290">
        <v>1326</v>
      </c>
      <c r="I456" s="289">
        <v>1064.3499999999999</v>
      </c>
      <c r="J456" s="289">
        <v>1411333.2</v>
      </c>
      <c r="K456" s="288" t="s">
        <v>103</v>
      </c>
      <c r="L456" s="292">
        <v>5.1000000000000004E-3</v>
      </c>
    </row>
    <row r="457" spans="1:12" ht="15.75" thickBot="1" x14ac:dyDescent="0.3">
      <c r="A457" s="291" t="s">
        <v>127</v>
      </c>
      <c r="B457" s="286" t="s">
        <v>476</v>
      </c>
      <c r="C457" s="286" t="s">
        <v>108</v>
      </c>
      <c r="D457" s="138" t="s">
        <v>470</v>
      </c>
      <c r="E457" s="286" t="s">
        <v>692</v>
      </c>
      <c r="F457" s="287">
        <v>46741</v>
      </c>
      <c r="G457" s="288" t="s">
        <v>1439</v>
      </c>
      <c r="H457" s="290">
        <v>3537</v>
      </c>
      <c r="I457" s="289">
        <v>990.12</v>
      </c>
      <c r="J457" s="289">
        <v>3502045.17</v>
      </c>
      <c r="K457" s="288" t="s">
        <v>103</v>
      </c>
      <c r="L457" s="292">
        <v>1.26E-2</v>
      </c>
    </row>
    <row r="458" spans="1:12" ht="15.75" thickBot="1" x14ac:dyDescent="0.3">
      <c r="A458" s="291" t="s">
        <v>127</v>
      </c>
      <c r="B458" s="286" t="s">
        <v>418</v>
      </c>
      <c r="C458" s="286" t="s">
        <v>108</v>
      </c>
      <c r="D458" s="138" t="s">
        <v>419</v>
      </c>
      <c r="E458" s="286" t="s">
        <v>699</v>
      </c>
      <c r="F458" s="287">
        <v>46609</v>
      </c>
      <c r="G458" s="288" t="s">
        <v>103</v>
      </c>
      <c r="H458" s="290">
        <v>1468</v>
      </c>
      <c r="I458" s="289">
        <v>630.55999999999995</v>
      </c>
      <c r="J458" s="289">
        <v>925660.35</v>
      </c>
      <c r="K458" s="288" t="s">
        <v>103</v>
      </c>
      <c r="L458" s="292">
        <v>3.3E-3</v>
      </c>
    </row>
    <row r="459" spans="1:12" ht="15.75" thickBot="1" x14ac:dyDescent="0.3">
      <c r="A459" s="291" t="s">
        <v>127</v>
      </c>
      <c r="B459" s="286" t="s">
        <v>944</v>
      </c>
      <c r="C459" s="286" t="s">
        <v>108</v>
      </c>
      <c r="D459" s="138" t="s">
        <v>945</v>
      </c>
      <c r="E459" s="286" t="s">
        <v>1253</v>
      </c>
      <c r="F459" s="287">
        <v>47223</v>
      </c>
      <c r="G459" s="288" t="s">
        <v>103</v>
      </c>
      <c r="H459" s="290">
        <v>1108</v>
      </c>
      <c r="I459" s="289">
        <v>1044.33</v>
      </c>
      <c r="J459" s="289">
        <v>1157113.69</v>
      </c>
      <c r="K459" s="288" t="s">
        <v>103</v>
      </c>
      <c r="L459" s="292">
        <v>4.1999999999999997E-3</v>
      </c>
    </row>
    <row r="460" spans="1:12" ht="15.75" thickBot="1" x14ac:dyDescent="0.3">
      <c r="A460" s="291" t="s">
        <v>127</v>
      </c>
      <c r="B460" s="286" t="s">
        <v>1034</v>
      </c>
      <c r="C460" s="286" t="s">
        <v>108</v>
      </c>
      <c r="D460" s="138" t="s">
        <v>1033</v>
      </c>
      <c r="E460" s="286" t="s">
        <v>1036</v>
      </c>
      <c r="F460" s="287">
        <v>47284</v>
      </c>
      <c r="G460" s="288" t="s">
        <v>1550</v>
      </c>
      <c r="H460" s="288">
        <v>456</v>
      </c>
      <c r="I460" s="289">
        <v>1036.99</v>
      </c>
      <c r="J460" s="289">
        <v>472868.09</v>
      </c>
      <c r="K460" s="288" t="s">
        <v>103</v>
      </c>
      <c r="L460" s="292">
        <v>1.6999999999999999E-3</v>
      </c>
    </row>
    <row r="461" spans="1:12" ht="15.75" thickBot="1" x14ac:dyDescent="0.3">
      <c r="A461" s="291" t="s">
        <v>127</v>
      </c>
      <c r="B461" s="286" t="s">
        <v>234</v>
      </c>
      <c r="C461" s="286" t="s">
        <v>108</v>
      </c>
      <c r="D461" s="138" t="s">
        <v>471</v>
      </c>
      <c r="E461" s="286" t="s">
        <v>915</v>
      </c>
      <c r="F461" s="287">
        <v>46152</v>
      </c>
      <c r="G461" s="288" t="s">
        <v>1422</v>
      </c>
      <c r="H461" s="290">
        <v>3073</v>
      </c>
      <c r="I461" s="289">
        <v>989.51</v>
      </c>
      <c r="J461" s="289">
        <v>3040763.27</v>
      </c>
      <c r="K461" s="288" t="s">
        <v>103</v>
      </c>
      <c r="L461" s="292">
        <v>1.0999999999999999E-2</v>
      </c>
    </row>
    <row r="462" spans="1:12" ht="15.75" thickBot="1" x14ac:dyDescent="0.3">
      <c r="A462" s="291" t="s">
        <v>127</v>
      </c>
      <c r="B462" s="286" t="s">
        <v>234</v>
      </c>
      <c r="C462" s="286" t="s">
        <v>108</v>
      </c>
      <c r="D462" s="138" t="s">
        <v>509</v>
      </c>
      <c r="E462" s="286" t="s">
        <v>1432</v>
      </c>
      <c r="F462" s="287">
        <v>46883</v>
      </c>
      <c r="G462" s="288" t="s">
        <v>1413</v>
      </c>
      <c r="H462" s="290">
        <v>1191</v>
      </c>
      <c r="I462" s="289">
        <v>841.56</v>
      </c>
      <c r="J462" s="289">
        <v>1002298.27</v>
      </c>
      <c r="K462" s="288" t="s">
        <v>103</v>
      </c>
      <c r="L462" s="292">
        <v>3.5999999999999999E-3</v>
      </c>
    </row>
    <row r="463" spans="1:12" ht="15.75" thickBot="1" x14ac:dyDescent="0.3">
      <c r="A463" s="291" t="s">
        <v>127</v>
      </c>
      <c r="B463" s="286" t="s">
        <v>891</v>
      </c>
      <c r="C463" s="286" t="s">
        <v>108</v>
      </c>
      <c r="D463" s="138" t="s">
        <v>472</v>
      </c>
      <c r="E463" s="286" t="s">
        <v>846</v>
      </c>
      <c r="F463" s="287">
        <v>46664</v>
      </c>
      <c r="G463" s="288" t="s">
        <v>1552</v>
      </c>
      <c r="H463" s="290">
        <v>2616</v>
      </c>
      <c r="I463" s="289">
        <v>841.9</v>
      </c>
      <c r="J463" s="289">
        <v>2202413.35</v>
      </c>
      <c r="K463" s="288" t="s">
        <v>103</v>
      </c>
      <c r="L463" s="292">
        <v>7.9000000000000008E-3</v>
      </c>
    </row>
    <row r="464" spans="1:12" ht="15.75" thickBot="1" x14ac:dyDescent="0.3">
      <c r="A464" s="291" t="s">
        <v>127</v>
      </c>
      <c r="B464" s="286" t="s">
        <v>213</v>
      </c>
      <c r="C464" s="286" t="s">
        <v>108</v>
      </c>
      <c r="D464" s="138" t="s">
        <v>332</v>
      </c>
      <c r="E464" s="286" t="s">
        <v>742</v>
      </c>
      <c r="F464" s="287">
        <v>46492</v>
      </c>
      <c r="G464" s="288" t="s">
        <v>1555</v>
      </c>
      <c r="H464" s="290">
        <v>3532</v>
      </c>
      <c r="I464" s="289">
        <v>1054.58</v>
      </c>
      <c r="J464" s="289">
        <v>3724783.13</v>
      </c>
      <c r="K464" s="288" t="s">
        <v>103</v>
      </c>
      <c r="L464" s="292">
        <v>1.34E-2</v>
      </c>
    </row>
    <row r="465" spans="1:12" ht="15.75" thickBot="1" x14ac:dyDescent="0.3">
      <c r="A465" s="291" t="s">
        <v>127</v>
      </c>
      <c r="B465" s="286" t="s">
        <v>203</v>
      </c>
      <c r="C465" s="286" t="s">
        <v>108</v>
      </c>
      <c r="D465" s="138" t="s">
        <v>750</v>
      </c>
      <c r="E465" s="286" t="s">
        <v>870</v>
      </c>
      <c r="F465" s="287">
        <v>46142</v>
      </c>
      <c r="G465" s="288" t="s">
        <v>103</v>
      </c>
      <c r="H465" s="290">
        <v>1099</v>
      </c>
      <c r="I465" s="289">
        <v>1371.84</v>
      </c>
      <c r="J465" s="289">
        <v>1507651.79</v>
      </c>
      <c r="K465" s="288" t="s">
        <v>103</v>
      </c>
      <c r="L465" s="292">
        <v>5.4000000000000003E-3</v>
      </c>
    </row>
    <row r="466" spans="1:12" ht="15.75" thickBot="1" x14ac:dyDescent="0.3">
      <c r="A466" s="291" t="s">
        <v>127</v>
      </c>
      <c r="B466" s="286" t="s">
        <v>429</v>
      </c>
      <c r="C466" s="286" t="s">
        <v>108</v>
      </c>
      <c r="D466" s="138" t="s">
        <v>347</v>
      </c>
      <c r="E466" s="286" t="s">
        <v>707</v>
      </c>
      <c r="F466" s="287">
        <v>47250</v>
      </c>
      <c r="G466" s="288" t="s">
        <v>1557</v>
      </c>
      <c r="H466" s="290">
        <v>1646</v>
      </c>
      <c r="I466" s="289">
        <v>996.46</v>
      </c>
      <c r="J466" s="289">
        <v>1640171.76</v>
      </c>
      <c r="K466" s="288" t="s">
        <v>103</v>
      </c>
      <c r="L466" s="292">
        <v>5.8999999999999999E-3</v>
      </c>
    </row>
    <row r="467" spans="1:12" ht="15.75" thickBot="1" x14ac:dyDescent="0.3">
      <c r="A467" s="291" t="s">
        <v>127</v>
      </c>
      <c r="B467" s="286" t="s">
        <v>473</v>
      </c>
      <c r="C467" s="286" t="s">
        <v>108</v>
      </c>
      <c r="D467" s="138" t="s">
        <v>1121</v>
      </c>
      <c r="E467" s="286" t="s">
        <v>165</v>
      </c>
      <c r="F467" s="287">
        <v>47325</v>
      </c>
      <c r="G467" s="288" t="s">
        <v>103</v>
      </c>
      <c r="H467" s="290">
        <v>2306</v>
      </c>
      <c r="I467" s="289">
        <v>43.35</v>
      </c>
      <c r="J467" s="289">
        <v>99967.56</v>
      </c>
      <c r="K467" s="288" t="s">
        <v>103</v>
      </c>
      <c r="L467" s="292">
        <v>4.0000000000000002E-4</v>
      </c>
    </row>
    <row r="468" spans="1:12" ht="15.75" thickBot="1" x14ac:dyDescent="0.3">
      <c r="A468" s="291" t="s">
        <v>127</v>
      </c>
      <c r="B468" s="286" t="s">
        <v>10</v>
      </c>
      <c r="C468" s="286" t="s">
        <v>108</v>
      </c>
      <c r="D468" s="138" t="s">
        <v>1330</v>
      </c>
      <c r="E468" s="286" t="s">
        <v>1332</v>
      </c>
      <c r="F468" s="287">
        <v>45716</v>
      </c>
      <c r="G468" s="288" t="s">
        <v>1562</v>
      </c>
      <c r="H468" s="290">
        <v>1523</v>
      </c>
      <c r="I468" s="289">
        <v>672.93</v>
      </c>
      <c r="J468" s="289">
        <v>1024872.75</v>
      </c>
      <c r="K468" s="288" t="s">
        <v>103</v>
      </c>
      <c r="L468" s="292">
        <v>3.7000000000000002E-3</v>
      </c>
    </row>
    <row r="469" spans="1:12" ht="15.75" thickBot="1" x14ac:dyDescent="0.3">
      <c r="A469" s="291" t="s">
        <v>127</v>
      </c>
      <c r="B469" s="286" t="s">
        <v>215</v>
      </c>
      <c r="C469" s="286" t="s">
        <v>108</v>
      </c>
      <c r="D469" s="138" t="s">
        <v>216</v>
      </c>
      <c r="E469" s="286" t="s">
        <v>645</v>
      </c>
      <c r="F469" s="287">
        <v>46234</v>
      </c>
      <c r="G469" s="288" t="s">
        <v>103</v>
      </c>
      <c r="H469" s="288">
        <v>74</v>
      </c>
      <c r="I469" s="289">
        <v>507.3</v>
      </c>
      <c r="J469" s="289">
        <v>37540.49</v>
      </c>
      <c r="K469" s="288" t="s">
        <v>103</v>
      </c>
      <c r="L469" s="292">
        <v>1E-4</v>
      </c>
    </row>
    <row r="470" spans="1:12" ht="15.75" thickBot="1" x14ac:dyDescent="0.3">
      <c r="A470" s="291" t="s">
        <v>127</v>
      </c>
      <c r="B470" s="286" t="s">
        <v>233</v>
      </c>
      <c r="C470" s="286" t="s">
        <v>108</v>
      </c>
      <c r="D470" s="138" t="s">
        <v>239</v>
      </c>
      <c r="E470" s="286" t="s">
        <v>963</v>
      </c>
      <c r="F470" s="287">
        <v>47030</v>
      </c>
      <c r="G470" s="288" t="s">
        <v>1565</v>
      </c>
      <c r="H470" s="290">
        <v>3306</v>
      </c>
      <c r="I470" s="289">
        <v>1055.98</v>
      </c>
      <c r="J470" s="289">
        <v>3491072.63</v>
      </c>
      <c r="K470" s="288" t="s">
        <v>103</v>
      </c>
      <c r="L470" s="292">
        <v>1.26E-2</v>
      </c>
    </row>
    <row r="471" spans="1:12" ht="15.75" thickBot="1" x14ac:dyDescent="0.3">
      <c r="A471" s="291" t="s">
        <v>127</v>
      </c>
      <c r="B471" s="286" t="s">
        <v>506</v>
      </c>
      <c r="C471" s="286" t="s">
        <v>108</v>
      </c>
      <c r="D471" s="138" t="s">
        <v>879</v>
      </c>
      <c r="E471" s="286" t="s">
        <v>880</v>
      </c>
      <c r="F471" s="287">
        <v>47157</v>
      </c>
      <c r="G471" s="288" t="s">
        <v>1412</v>
      </c>
      <c r="H471" s="290">
        <v>2406</v>
      </c>
      <c r="I471" s="289">
        <v>1021.7</v>
      </c>
      <c r="J471" s="289">
        <v>2458199.1800000002</v>
      </c>
      <c r="K471" s="288" t="s">
        <v>103</v>
      </c>
      <c r="L471" s="292">
        <v>8.8999999999999999E-3</v>
      </c>
    </row>
    <row r="472" spans="1:12" ht="15.75" thickBot="1" x14ac:dyDescent="0.3">
      <c r="A472" s="291" t="s">
        <v>186</v>
      </c>
      <c r="B472" s="286" t="s">
        <v>189</v>
      </c>
      <c r="C472" s="286" t="s">
        <v>108</v>
      </c>
      <c r="D472" s="138" t="s">
        <v>271</v>
      </c>
      <c r="E472" s="286" t="s">
        <v>882</v>
      </c>
      <c r="F472" s="287">
        <v>47953</v>
      </c>
      <c r="G472" s="288" t="s">
        <v>103</v>
      </c>
      <c r="H472" s="290">
        <v>2466</v>
      </c>
      <c r="I472" s="289">
        <v>1105.3599999999999</v>
      </c>
      <c r="J472" s="289">
        <v>2725810.81</v>
      </c>
      <c r="K472" s="288" t="s">
        <v>103</v>
      </c>
      <c r="L472" s="292">
        <v>9.7999999999999997E-3</v>
      </c>
    </row>
    <row r="473" spans="1:12" ht="15.75" thickBot="1" x14ac:dyDescent="0.3">
      <c r="A473" s="291" t="s">
        <v>131</v>
      </c>
      <c r="B473" s="286" t="s">
        <v>140</v>
      </c>
      <c r="C473" s="286" t="s">
        <v>108</v>
      </c>
      <c r="D473" s="138">
        <v>760199</v>
      </c>
      <c r="E473" s="286" t="s">
        <v>165</v>
      </c>
      <c r="F473" s="287">
        <v>47253</v>
      </c>
      <c r="G473" s="288" t="s">
        <v>103</v>
      </c>
      <c r="H473" s="290">
        <v>15072</v>
      </c>
      <c r="I473" s="289">
        <v>4206.55</v>
      </c>
      <c r="J473" s="289">
        <v>63401185.5</v>
      </c>
      <c r="K473" s="288" t="s">
        <v>103</v>
      </c>
      <c r="L473" s="292">
        <v>0.2283</v>
      </c>
    </row>
    <row r="474" spans="1:12" ht="15.75" thickBot="1" x14ac:dyDescent="0.3">
      <c r="A474" s="291" t="s">
        <v>488</v>
      </c>
      <c r="B474" s="286" t="s">
        <v>1027</v>
      </c>
      <c r="C474" s="286" t="s">
        <v>108</v>
      </c>
      <c r="D474" s="138" t="s">
        <v>1082</v>
      </c>
      <c r="E474" s="286" t="s">
        <v>165</v>
      </c>
      <c r="F474" s="287">
        <v>45897</v>
      </c>
      <c r="G474" s="288" t="s">
        <v>103</v>
      </c>
      <c r="H474" s="290">
        <v>1210</v>
      </c>
      <c r="I474" s="289">
        <v>1059.03</v>
      </c>
      <c r="J474" s="289">
        <v>1281428.01</v>
      </c>
      <c r="K474" s="288" t="s">
        <v>103</v>
      </c>
      <c r="L474" s="292">
        <v>4.5999999999999999E-3</v>
      </c>
    </row>
    <row r="475" spans="1:12" ht="15.75" thickBot="1" x14ac:dyDescent="0.3">
      <c r="A475" s="291" t="s">
        <v>488</v>
      </c>
      <c r="B475" s="286" t="s">
        <v>1123</v>
      </c>
      <c r="C475" s="286" t="s">
        <v>108</v>
      </c>
      <c r="D475" s="138" t="s">
        <v>1159</v>
      </c>
      <c r="E475" s="286" t="s">
        <v>165</v>
      </c>
      <c r="F475" s="287">
        <v>45810</v>
      </c>
      <c r="G475" s="288" t="s">
        <v>103</v>
      </c>
      <c r="H475" s="290">
        <v>2957</v>
      </c>
      <c r="I475" s="289">
        <v>1028.3800000000001</v>
      </c>
      <c r="J475" s="289">
        <v>3040909.49</v>
      </c>
      <c r="K475" s="288" t="s">
        <v>103</v>
      </c>
      <c r="L475" s="292">
        <v>1.0999999999999999E-2</v>
      </c>
    </row>
    <row r="476" spans="1:12" ht="15.75" thickBot="1" x14ac:dyDescent="0.3">
      <c r="A476" s="291" t="s">
        <v>488</v>
      </c>
      <c r="B476" s="286" t="s">
        <v>1123</v>
      </c>
      <c r="C476" s="286" t="s">
        <v>108</v>
      </c>
      <c r="D476" s="138" t="s">
        <v>1125</v>
      </c>
      <c r="E476" s="286" t="s">
        <v>165</v>
      </c>
      <c r="F476" s="287">
        <v>45929</v>
      </c>
      <c r="G476" s="288" t="s">
        <v>103</v>
      </c>
      <c r="H476" s="290">
        <v>2300</v>
      </c>
      <c r="I476" s="289">
        <v>1051.06</v>
      </c>
      <c r="J476" s="289">
        <v>2417440.3199999998</v>
      </c>
      <c r="K476" s="288" t="s">
        <v>103</v>
      </c>
      <c r="L476" s="292">
        <v>8.6999999999999994E-3</v>
      </c>
    </row>
    <row r="477" spans="1:12" ht="15.75" thickBot="1" x14ac:dyDescent="0.3">
      <c r="A477" s="291" t="s">
        <v>488</v>
      </c>
      <c r="B477" s="286" t="s">
        <v>1062</v>
      </c>
      <c r="C477" s="286" t="s">
        <v>108</v>
      </c>
      <c r="D477" s="138" t="s">
        <v>1128</v>
      </c>
      <c r="E477" s="286" t="s">
        <v>165</v>
      </c>
      <c r="F477" s="287">
        <v>45869</v>
      </c>
      <c r="G477" s="288" t="s">
        <v>103</v>
      </c>
      <c r="H477" s="290">
        <v>1895</v>
      </c>
      <c r="I477" s="289">
        <v>1074.3</v>
      </c>
      <c r="J477" s="289">
        <v>2035805.81</v>
      </c>
      <c r="K477" s="288" t="s">
        <v>103</v>
      </c>
      <c r="L477" s="292">
        <v>7.3000000000000001E-3</v>
      </c>
    </row>
    <row r="478" spans="1:12" ht="15.75" thickBot="1" x14ac:dyDescent="0.3">
      <c r="A478" s="291" t="s">
        <v>488</v>
      </c>
      <c r="B478" s="286" t="s">
        <v>1062</v>
      </c>
      <c r="C478" s="286" t="s">
        <v>108</v>
      </c>
      <c r="D478" s="138" t="s">
        <v>1146</v>
      </c>
      <c r="E478" s="286" t="s">
        <v>165</v>
      </c>
      <c r="F478" s="287">
        <v>45943</v>
      </c>
      <c r="G478" s="288" t="s">
        <v>103</v>
      </c>
      <c r="H478" s="288">
        <v>652</v>
      </c>
      <c r="I478" s="289">
        <v>1047.6099999999999</v>
      </c>
      <c r="J478" s="289">
        <v>683042.71</v>
      </c>
      <c r="K478" s="288" t="s">
        <v>103</v>
      </c>
      <c r="L478" s="292">
        <v>2.5000000000000001E-3</v>
      </c>
    </row>
    <row r="479" spans="1:12" ht="15.75" thickBot="1" x14ac:dyDescent="0.3">
      <c r="A479" s="291" t="s">
        <v>144</v>
      </c>
      <c r="B479" s="286" t="s">
        <v>103</v>
      </c>
      <c r="C479" s="286" t="s">
        <v>108</v>
      </c>
      <c r="D479" s="138" t="s">
        <v>144</v>
      </c>
      <c r="E479" s="286" t="s">
        <v>165</v>
      </c>
      <c r="F479" s="288" t="s">
        <v>103</v>
      </c>
      <c r="G479" s="288" t="s">
        <v>103</v>
      </c>
      <c r="H479" s="288" t="s">
        <v>103</v>
      </c>
      <c r="I479" s="288" t="s">
        <v>103</v>
      </c>
      <c r="J479" s="289">
        <v>0</v>
      </c>
      <c r="K479" s="288" t="s">
        <v>103</v>
      </c>
      <c r="L479" s="292">
        <v>0</v>
      </c>
    </row>
    <row r="480" spans="1:12" ht="15.75" thickBot="1" x14ac:dyDescent="0.3">
      <c r="A480" s="291" t="s">
        <v>99</v>
      </c>
      <c r="B480" s="286" t="s">
        <v>140</v>
      </c>
      <c r="C480" s="286" t="s">
        <v>101</v>
      </c>
      <c r="D480" s="138" t="s">
        <v>188</v>
      </c>
      <c r="E480" s="286" t="s">
        <v>1381</v>
      </c>
      <c r="F480" s="287">
        <v>46266</v>
      </c>
      <c r="G480" s="288" t="s">
        <v>103</v>
      </c>
      <c r="H480" s="288">
        <v>197</v>
      </c>
      <c r="I480" s="289">
        <v>16113.97</v>
      </c>
      <c r="J480" s="289">
        <v>3174451.22</v>
      </c>
      <c r="K480" s="288" t="s">
        <v>103</v>
      </c>
      <c r="L480" s="292">
        <v>0.1079</v>
      </c>
    </row>
    <row r="481" spans="1:12" ht="15.75" thickBot="1" x14ac:dyDescent="0.3">
      <c r="A481" s="291" t="s">
        <v>105</v>
      </c>
      <c r="B481" s="286" t="s">
        <v>103</v>
      </c>
      <c r="C481" s="286" t="s">
        <v>101</v>
      </c>
      <c r="D481" s="138" t="s">
        <v>105</v>
      </c>
      <c r="E481" s="286" t="s">
        <v>165</v>
      </c>
      <c r="F481" s="288" t="s">
        <v>103</v>
      </c>
      <c r="G481" s="288" t="s">
        <v>103</v>
      </c>
      <c r="H481" s="288" t="s">
        <v>103</v>
      </c>
      <c r="I481" s="288" t="s">
        <v>103</v>
      </c>
      <c r="J481" s="289">
        <v>-13905.16</v>
      </c>
      <c r="K481" s="288" t="s">
        <v>103</v>
      </c>
      <c r="L481" s="292">
        <v>-5.0000000000000001E-4</v>
      </c>
    </row>
    <row r="482" spans="1:12" ht="15.75" thickBot="1" x14ac:dyDescent="0.3">
      <c r="A482" s="291" t="s">
        <v>113</v>
      </c>
      <c r="B482" s="286" t="s">
        <v>114</v>
      </c>
      <c r="C482" s="286" t="s">
        <v>101</v>
      </c>
      <c r="D482" s="138" t="s">
        <v>1163</v>
      </c>
      <c r="E482" s="286" t="s">
        <v>165</v>
      </c>
      <c r="F482" s="287">
        <v>45716</v>
      </c>
      <c r="G482" s="288" t="s">
        <v>103</v>
      </c>
      <c r="H482" s="288">
        <v>0</v>
      </c>
      <c r="I482" s="289">
        <v>110.52</v>
      </c>
      <c r="J482" s="289">
        <v>28889.5</v>
      </c>
      <c r="K482" s="289">
        <v>0</v>
      </c>
      <c r="L482" s="292">
        <v>0</v>
      </c>
    </row>
    <row r="483" spans="1:12" ht="15.75" thickBot="1" x14ac:dyDescent="0.3">
      <c r="A483" s="291" t="s">
        <v>113</v>
      </c>
      <c r="B483" s="286" t="s">
        <v>114</v>
      </c>
      <c r="C483" s="286" t="s">
        <v>101</v>
      </c>
      <c r="D483" s="138" t="s">
        <v>1478</v>
      </c>
      <c r="E483" s="286" t="s">
        <v>1393</v>
      </c>
      <c r="F483" s="287">
        <v>45807</v>
      </c>
      <c r="G483" s="288" t="s">
        <v>103</v>
      </c>
      <c r="H483" s="288">
        <v>10</v>
      </c>
      <c r="I483" s="289">
        <v>110.55</v>
      </c>
      <c r="J483" s="289">
        <v>8077.5</v>
      </c>
      <c r="K483" s="289">
        <v>6354451.1600000001</v>
      </c>
      <c r="L483" s="292">
        <v>0.21590000000000001</v>
      </c>
    </row>
    <row r="484" spans="1:12" ht="15.75" thickBot="1" x14ac:dyDescent="0.3">
      <c r="A484" s="291" t="s">
        <v>113</v>
      </c>
      <c r="B484" s="286" t="s">
        <v>114</v>
      </c>
      <c r="C484" s="286" t="s">
        <v>101</v>
      </c>
      <c r="D484" s="138" t="s">
        <v>1394</v>
      </c>
      <c r="E484" s="286" t="s">
        <v>1395</v>
      </c>
      <c r="F484" s="287">
        <v>45721</v>
      </c>
      <c r="G484" s="288" t="s">
        <v>103</v>
      </c>
      <c r="H484" s="288">
        <v>6</v>
      </c>
      <c r="I484" s="289">
        <v>57517.39</v>
      </c>
      <c r="J484" s="289">
        <v>100.92</v>
      </c>
      <c r="K484" s="289">
        <v>345104.34</v>
      </c>
      <c r="L484" s="292">
        <v>1.17E-2</v>
      </c>
    </row>
    <row r="485" spans="1:12" ht="15.75" thickBot="1" x14ac:dyDescent="0.3">
      <c r="A485" s="291" t="s">
        <v>113</v>
      </c>
      <c r="B485" s="286" t="s">
        <v>114</v>
      </c>
      <c r="C485" s="286" t="s">
        <v>101</v>
      </c>
      <c r="D485" s="138" t="s">
        <v>1396</v>
      </c>
      <c r="E485" s="286" t="s">
        <v>1397</v>
      </c>
      <c r="F485" s="287">
        <v>45721</v>
      </c>
      <c r="G485" s="288" t="s">
        <v>103</v>
      </c>
      <c r="H485" s="288">
        <v>-70</v>
      </c>
      <c r="I485" s="289">
        <v>287586.95</v>
      </c>
      <c r="J485" s="289">
        <v>-5887</v>
      </c>
      <c r="K485" s="289">
        <v>-20131086.5</v>
      </c>
      <c r="L485" s="292">
        <v>-0.68410000000000004</v>
      </c>
    </row>
    <row r="486" spans="1:12" ht="15.75" thickBot="1" x14ac:dyDescent="0.3">
      <c r="A486" s="291" t="s">
        <v>118</v>
      </c>
      <c r="B486" s="286" t="s">
        <v>25</v>
      </c>
      <c r="C486" s="286" t="s">
        <v>101</v>
      </c>
      <c r="D486" s="138" t="s">
        <v>119</v>
      </c>
      <c r="E486" s="286" t="s">
        <v>1398</v>
      </c>
      <c r="F486" s="288" t="s">
        <v>103</v>
      </c>
      <c r="G486" s="288" t="s">
        <v>103</v>
      </c>
      <c r="H486" s="290">
        <v>506233</v>
      </c>
      <c r="I486" s="289">
        <v>4.67</v>
      </c>
      <c r="J486" s="289">
        <v>2362936.58</v>
      </c>
      <c r="K486" s="288" t="s">
        <v>103</v>
      </c>
      <c r="L486" s="292">
        <v>8.0299999999999996E-2</v>
      </c>
    </row>
    <row r="487" spans="1:12" ht="15.75" thickBot="1" x14ac:dyDescent="0.3">
      <c r="A487" s="291" t="s">
        <v>124</v>
      </c>
      <c r="B487" s="286" t="s">
        <v>852</v>
      </c>
      <c r="C487" s="286" t="s">
        <v>101</v>
      </c>
      <c r="D487" s="138" t="s">
        <v>340</v>
      </c>
      <c r="E487" s="286" t="s">
        <v>584</v>
      </c>
      <c r="F487" s="288" t="s">
        <v>103</v>
      </c>
      <c r="G487" s="288" t="s">
        <v>103</v>
      </c>
      <c r="H487" s="290">
        <v>25666</v>
      </c>
      <c r="I487" s="289">
        <v>14.9</v>
      </c>
      <c r="J487" s="289">
        <v>382413.19</v>
      </c>
      <c r="K487" s="288" t="s">
        <v>103</v>
      </c>
      <c r="L487" s="292">
        <v>1.2999999999999999E-2</v>
      </c>
    </row>
    <row r="488" spans="1:12" ht="15.75" thickBot="1" x14ac:dyDescent="0.3">
      <c r="A488" s="291" t="s">
        <v>124</v>
      </c>
      <c r="B488" s="286" t="s">
        <v>853</v>
      </c>
      <c r="C488" s="286" t="s">
        <v>101</v>
      </c>
      <c r="D488" s="138" t="s">
        <v>125</v>
      </c>
      <c r="E488" s="286" t="s">
        <v>585</v>
      </c>
      <c r="F488" s="288" t="s">
        <v>103</v>
      </c>
      <c r="G488" s="288" t="s">
        <v>103</v>
      </c>
      <c r="H488" s="290">
        <v>698956</v>
      </c>
      <c r="I488" s="289">
        <v>3.84</v>
      </c>
      <c r="J488" s="289">
        <v>2682711.0099999998</v>
      </c>
      <c r="K488" s="288" t="s">
        <v>103</v>
      </c>
      <c r="L488" s="292">
        <v>9.1200000000000003E-2</v>
      </c>
    </row>
    <row r="489" spans="1:12" ht="15.75" thickBot="1" x14ac:dyDescent="0.3">
      <c r="A489" s="291" t="s">
        <v>127</v>
      </c>
      <c r="B489" s="286" t="s">
        <v>48</v>
      </c>
      <c r="C489" s="286" t="s">
        <v>101</v>
      </c>
      <c r="D489" s="138" t="s">
        <v>296</v>
      </c>
      <c r="E489" s="286" t="s">
        <v>1403</v>
      </c>
      <c r="F489" s="287">
        <v>73051</v>
      </c>
      <c r="G489" s="288" t="s">
        <v>103</v>
      </c>
      <c r="H489" s="290">
        <v>9224</v>
      </c>
      <c r="I489" s="289">
        <v>34.56</v>
      </c>
      <c r="J489" s="289">
        <v>318779.73</v>
      </c>
      <c r="K489" s="288" t="s">
        <v>103</v>
      </c>
      <c r="L489" s="292">
        <v>1.0800000000000001E-2</v>
      </c>
    </row>
    <row r="490" spans="1:12" ht="15.75" thickBot="1" x14ac:dyDescent="0.3">
      <c r="A490" s="291" t="s">
        <v>127</v>
      </c>
      <c r="B490" s="286" t="s">
        <v>473</v>
      </c>
      <c r="C490" s="286" t="s">
        <v>101</v>
      </c>
      <c r="D490" s="138" t="s">
        <v>1122</v>
      </c>
      <c r="E490" s="286" t="s">
        <v>165</v>
      </c>
      <c r="F490" s="287">
        <v>47325</v>
      </c>
      <c r="G490" s="288" t="s">
        <v>103</v>
      </c>
      <c r="H490" s="288">
        <v>725</v>
      </c>
      <c r="I490" s="289">
        <v>46.76</v>
      </c>
      <c r="J490" s="289">
        <v>33902.97</v>
      </c>
      <c r="K490" s="288" t="s">
        <v>103</v>
      </c>
      <c r="L490" s="292">
        <v>1.1999999999999999E-3</v>
      </c>
    </row>
    <row r="491" spans="1:12" ht="15.75" thickBot="1" x14ac:dyDescent="0.3">
      <c r="A491" s="291" t="s">
        <v>130</v>
      </c>
      <c r="B491" s="286" t="s">
        <v>396</v>
      </c>
      <c r="C491" s="286" t="s">
        <v>101</v>
      </c>
      <c r="D491" s="138" t="s">
        <v>1442</v>
      </c>
      <c r="E491" s="286" t="s">
        <v>165</v>
      </c>
      <c r="F491" s="287">
        <v>47118</v>
      </c>
      <c r="G491" s="288" t="s">
        <v>103</v>
      </c>
      <c r="H491" s="290">
        <v>102661</v>
      </c>
      <c r="I491" s="289">
        <v>2.4900000000000002</v>
      </c>
      <c r="J491" s="289">
        <v>255732.01</v>
      </c>
      <c r="K491" s="288" t="s">
        <v>103</v>
      </c>
      <c r="L491" s="292">
        <v>8.6999999999999994E-3</v>
      </c>
    </row>
    <row r="492" spans="1:12" ht="15.75" thickBot="1" x14ac:dyDescent="0.3">
      <c r="A492" s="291" t="s">
        <v>130</v>
      </c>
      <c r="B492" s="286" t="s">
        <v>396</v>
      </c>
      <c r="C492" s="286" t="s">
        <v>101</v>
      </c>
      <c r="D492" s="138" t="s">
        <v>1443</v>
      </c>
      <c r="E492" s="286" t="s">
        <v>165</v>
      </c>
      <c r="F492" s="287">
        <v>46752</v>
      </c>
      <c r="G492" s="288" t="s">
        <v>103</v>
      </c>
      <c r="H492" s="290">
        <v>29193</v>
      </c>
      <c r="I492" s="289">
        <v>5.39</v>
      </c>
      <c r="J492" s="289">
        <v>157214.35999999999</v>
      </c>
      <c r="K492" s="288" t="s">
        <v>103</v>
      </c>
      <c r="L492" s="292">
        <v>5.3E-3</v>
      </c>
    </row>
    <row r="493" spans="1:12" ht="15.75" thickBot="1" x14ac:dyDescent="0.3">
      <c r="A493" s="291" t="s">
        <v>130</v>
      </c>
      <c r="B493" s="286" t="s">
        <v>396</v>
      </c>
      <c r="C493" s="286" t="s">
        <v>101</v>
      </c>
      <c r="D493" s="138" t="s">
        <v>1444</v>
      </c>
      <c r="E493" s="286" t="s">
        <v>165</v>
      </c>
      <c r="F493" s="287">
        <v>52962</v>
      </c>
      <c r="G493" s="288" t="s">
        <v>103</v>
      </c>
      <c r="H493" s="290">
        <v>131402</v>
      </c>
      <c r="I493" s="289">
        <v>0.5</v>
      </c>
      <c r="J493" s="289">
        <v>66239.5</v>
      </c>
      <c r="K493" s="288" t="s">
        <v>103</v>
      </c>
      <c r="L493" s="292">
        <v>2.3E-3</v>
      </c>
    </row>
    <row r="494" spans="1:12" ht="15.75" thickBot="1" x14ac:dyDescent="0.3">
      <c r="A494" s="291" t="s">
        <v>130</v>
      </c>
      <c r="B494" s="286" t="s">
        <v>133</v>
      </c>
      <c r="C494" s="286" t="s">
        <v>101</v>
      </c>
      <c r="D494" s="138" t="s">
        <v>1445</v>
      </c>
      <c r="E494" s="286" t="s">
        <v>718</v>
      </c>
      <c r="F494" s="288" t="s">
        <v>103</v>
      </c>
      <c r="G494" s="288" t="s">
        <v>103</v>
      </c>
      <c r="H494" s="290">
        <v>250000</v>
      </c>
      <c r="I494" s="289">
        <v>4.95</v>
      </c>
      <c r="J494" s="289">
        <v>1237450.94</v>
      </c>
      <c r="K494" s="288" t="s">
        <v>103</v>
      </c>
      <c r="L494" s="292">
        <v>4.2099999999999999E-2</v>
      </c>
    </row>
    <row r="495" spans="1:12" ht="15.75" thickBot="1" x14ac:dyDescent="0.3">
      <c r="A495" s="291" t="s">
        <v>130</v>
      </c>
      <c r="B495" s="286" t="s">
        <v>1079</v>
      </c>
      <c r="C495" s="286" t="s">
        <v>101</v>
      </c>
      <c r="D495" s="138" t="s">
        <v>1446</v>
      </c>
      <c r="E495" s="286" t="s">
        <v>165</v>
      </c>
      <c r="F495" s="287">
        <v>46920</v>
      </c>
      <c r="G495" s="288" t="s">
        <v>103</v>
      </c>
      <c r="H495" s="290">
        <v>400000</v>
      </c>
      <c r="I495" s="289">
        <v>5.23</v>
      </c>
      <c r="J495" s="289">
        <v>2091357.94</v>
      </c>
      <c r="K495" s="288" t="s">
        <v>103</v>
      </c>
      <c r="L495" s="292">
        <v>7.1099999999999997E-2</v>
      </c>
    </row>
    <row r="496" spans="1:12" ht="15.75" thickBot="1" x14ac:dyDescent="0.3">
      <c r="A496" s="291" t="s">
        <v>130</v>
      </c>
      <c r="B496" s="286" t="s">
        <v>295</v>
      </c>
      <c r="C496" s="286" t="s">
        <v>101</v>
      </c>
      <c r="D496" s="138" t="s">
        <v>1447</v>
      </c>
      <c r="E496" s="286" t="s">
        <v>716</v>
      </c>
      <c r="F496" s="287">
        <v>47874</v>
      </c>
      <c r="G496" s="288" t="s">
        <v>103</v>
      </c>
      <c r="H496" s="290">
        <v>200000</v>
      </c>
      <c r="I496" s="289">
        <v>4.54</v>
      </c>
      <c r="J496" s="289">
        <v>907455.57</v>
      </c>
      <c r="K496" s="288" t="s">
        <v>103</v>
      </c>
      <c r="L496" s="292">
        <v>3.0800000000000001E-2</v>
      </c>
    </row>
    <row r="497" spans="1:12" ht="15.75" thickBot="1" x14ac:dyDescent="0.3">
      <c r="A497" s="291" t="s">
        <v>130</v>
      </c>
      <c r="B497" s="286" t="s">
        <v>1448</v>
      </c>
      <c r="C497" s="286" t="s">
        <v>101</v>
      </c>
      <c r="D497" s="138" t="s">
        <v>1449</v>
      </c>
      <c r="E497" s="286" t="s">
        <v>1450</v>
      </c>
      <c r="F497" s="287">
        <v>46182</v>
      </c>
      <c r="G497" s="288" t="s">
        <v>103</v>
      </c>
      <c r="H497" s="290">
        <v>400000</v>
      </c>
      <c r="I497" s="289">
        <v>5.85</v>
      </c>
      <c r="J497" s="289">
        <v>2340645.42</v>
      </c>
      <c r="K497" s="288" t="s">
        <v>103</v>
      </c>
      <c r="L497" s="292">
        <v>7.9500000000000001E-2</v>
      </c>
    </row>
    <row r="498" spans="1:12" ht="15.75" thickBot="1" x14ac:dyDescent="0.3">
      <c r="A498" s="291" t="s">
        <v>130</v>
      </c>
      <c r="B498" s="286" t="s">
        <v>1410</v>
      </c>
      <c r="C498" s="286" t="s">
        <v>101</v>
      </c>
      <c r="D498" s="138" t="s">
        <v>1451</v>
      </c>
      <c r="E498" s="286" t="s">
        <v>165</v>
      </c>
      <c r="F498" s="287">
        <v>47219</v>
      </c>
      <c r="G498" s="288" t="s">
        <v>103</v>
      </c>
      <c r="H498" s="290">
        <v>200000</v>
      </c>
      <c r="I498" s="289">
        <v>5.25</v>
      </c>
      <c r="J498" s="289">
        <v>1050183.95</v>
      </c>
      <c r="K498" s="288" t="s">
        <v>103</v>
      </c>
      <c r="L498" s="292">
        <v>3.5700000000000003E-2</v>
      </c>
    </row>
    <row r="499" spans="1:12" ht="15.75" thickBot="1" x14ac:dyDescent="0.3">
      <c r="A499" s="291" t="s">
        <v>130</v>
      </c>
      <c r="B499" s="286" t="s">
        <v>232</v>
      </c>
      <c r="C499" s="286" t="s">
        <v>101</v>
      </c>
      <c r="D499" s="138" t="s">
        <v>1452</v>
      </c>
      <c r="E499" s="286" t="s">
        <v>1450</v>
      </c>
      <c r="F499" s="287">
        <v>46880</v>
      </c>
      <c r="G499" s="288" t="s">
        <v>103</v>
      </c>
      <c r="H499" s="290">
        <v>400000</v>
      </c>
      <c r="I499" s="289">
        <v>5.56</v>
      </c>
      <c r="J499" s="289">
        <v>2223150.84</v>
      </c>
      <c r="K499" s="288" t="s">
        <v>103</v>
      </c>
      <c r="L499" s="292">
        <v>7.5600000000000001E-2</v>
      </c>
    </row>
    <row r="500" spans="1:12" ht="15.75" thickBot="1" x14ac:dyDescent="0.3">
      <c r="A500" s="291" t="s">
        <v>130</v>
      </c>
      <c r="B500" s="286" t="s">
        <v>1453</v>
      </c>
      <c r="C500" s="286" t="s">
        <v>101</v>
      </c>
      <c r="D500" s="138" t="s">
        <v>1454</v>
      </c>
      <c r="E500" s="286" t="s">
        <v>717</v>
      </c>
      <c r="F500" s="287">
        <v>52492</v>
      </c>
      <c r="G500" s="288" t="s">
        <v>103</v>
      </c>
      <c r="H500" s="290">
        <v>200000</v>
      </c>
      <c r="I500" s="289">
        <v>5.2</v>
      </c>
      <c r="J500" s="289">
        <v>1039531.16</v>
      </c>
      <c r="K500" s="288" t="s">
        <v>103</v>
      </c>
      <c r="L500" s="292">
        <v>3.5299999999999998E-2</v>
      </c>
    </row>
    <row r="501" spans="1:12" ht="15.75" thickBot="1" x14ac:dyDescent="0.3">
      <c r="A501" s="291" t="s">
        <v>130</v>
      </c>
      <c r="B501" s="286" t="s">
        <v>156</v>
      </c>
      <c r="C501" s="286" t="s">
        <v>101</v>
      </c>
      <c r="D501" s="138" t="s">
        <v>291</v>
      </c>
      <c r="E501" s="286" t="s">
        <v>718</v>
      </c>
      <c r="F501" s="288" t="s">
        <v>103</v>
      </c>
      <c r="G501" s="288" t="s">
        <v>103</v>
      </c>
      <c r="H501" s="290">
        <v>250000</v>
      </c>
      <c r="I501" s="289">
        <v>5.88</v>
      </c>
      <c r="J501" s="289">
        <v>1470552.35</v>
      </c>
      <c r="K501" s="288" t="s">
        <v>103</v>
      </c>
      <c r="L501" s="292">
        <v>0.05</v>
      </c>
    </row>
    <row r="502" spans="1:12" ht="15.75" thickBot="1" x14ac:dyDescent="0.3">
      <c r="A502" s="291" t="s">
        <v>130</v>
      </c>
      <c r="B502" s="286" t="s">
        <v>1455</v>
      </c>
      <c r="C502" s="286" t="s">
        <v>101</v>
      </c>
      <c r="D502" s="138" t="s">
        <v>1456</v>
      </c>
      <c r="E502" s="286" t="s">
        <v>718</v>
      </c>
      <c r="F502" s="288" t="s">
        <v>103</v>
      </c>
      <c r="G502" s="288" t="s">
        <v>103</v>
      </c>
      <c r="H502" s="290">
        <v>250000</v>
      </c>
      <c r="I502" s="289">
        <v>5.79</v>
      </c>
      <c r="J502" s="289">
        <v>1447595.76</v>
      </c>
      <c r="K502" s="288" t="s">
        <v>103</v>
      </c>
      <c r="L502" s="292">
        <v>4.9200000000000001E-2</v>
      </c>
    </row>
    <row r="503" spans="1:12" ht="15.75" thickBot="1" x14ac:dyDescent="0.3">
      <c r="A503" s="291" t="s">
        <v>130</v>
      </c>
      <c r="B503" s="286" t="s">
        <v>1457</v>
      </c>
      <c r="C503" s="286" t="s">
        <v>101</v>
      </c>
      <c r="D503" s="138" t="s">
        <v>1458</v>
      </c>
      <c r="E503" s="286" t="s">
        <v>718</v>
      </c>
      <c r="F503" s="287">
        <v>46678</v>
      </c>
      <c r="G503" s="288" t="s">
        <v>103</v>
      </c>
      <c r="H503" s="290">
        <v>250000</v>
      </c>
      <c r="I503" s="289">
        <v>6.02</v>
      </c>
      <c r="J503" s="289">
        <v>1504955.5</v>
      </c>
      <c r="K503" s="288" t="s">
        <v>103</v>
      </c>
      <c r="L503" s="292">
        <v>5.11E-2</v>
      </c>
    </row>
    <row r="504" spans="1:12" ht="15.75" thickBot="1" x14ac:dyDescent="0.3">
      <c r="A504" s="291" t="s">
        <v>144</v>
      </c>
      <c r="B504" s="286" t="s">
        <v>103</v>
      </c>
      <c r="C504" s="286" t="s">
        <v>101</v>
      </c>
      <c r="D504" s="138" t="s">
        <v>144</v>
      </c>
      <c r="E504" s="286" t="s">
        <v>165</v>
      </c>
      <c r="F504" s="288" t="s">
        <v>103</v>
      </c>
      <c r="G504" s="288" t="s">
        <v>103</v>
      </c>
      <c r="H504" s="288" t="s">
        <v>103</v>
      </c>
      <c r="I504" s="288" t="s">
        <v>103</v>
      </c>
      <c r="J504" s="289">
        <v>9111523.3499999996</v>
      </c>
      <c r="K504" s="288" t="s">
        <v>103</v>
      </c>
      <c r="L504" s="292">
        <v>0.30959999999999999</v>
      </c>
    </row>
    <row r="505" spans="1:12" ht="15.75" thickBot="1" x14ac:dyDescent="0.3">
      <c r="A505" s="291" t="s">
        <v>132</v>
      </c>
      <c r="B505" s="286" t="s">
        <v>292</v>
      </c>
      <c r="C505" s="286" t="s">
        <v>101</v>
      </c>
      <c r="D505" s="138" t="s">
        <v>293</v>
      </c>
      <c r="E505" s="286" t="s">
        <v>1459</v>
      </c>
      <c r="F505" s="288" t="s">
        <v>103</v>
      </c>
      <c r="G505" s="288" t="s">
        <v>103</v>
      </c>
      <c r="H505" s="290">
        <v>-7300</v>
      </c>
      <c r="I505" s="289">
        <v>628.62</v>
      </c>
      <c r="J505" s="289">
        <v>-4588949.01</v>
      </c>
      <c r="K505" s="288" t="s">
        <v>103</v>
      </c>
      <c r="L505" s="292">
        <v>-0.156</v>
      </c>
    </row>
    <row r="506" spans="1:12" ht="15.75" thickBot="1" x14ac:dyDescent="0.3">
      <c r="A506" s="291" t="s">
        <v>132</v>
      </c>
      <c r="B506" s="286" t="s">
        <v>114</v>
      </c>
      <c r="C506" s="286" t="s">
        <v>101</v>
      </c>
      <c r="D506" s="138" t="s">
        <v>1460</v>
      </c>
      <c r="E506" s="286" t="s">
        <v>165</v>
      </c>
      <c r="F506" s="288" t="s">
        <v>103</v>
      </c>
      <c r="G506" s="288" t="s">
        <v>103</v>
      </c>
      <c r="H506" s="288">
        <v>1</v>
      </c>
      <c r="I506" s="289">
        <v>0</v>
      </c>
      <c r="J506" s="289">
        <v>0</v>
      </c>
      <c r="K506" s="288" t="s">
        <v>103</v>
      </c>
      <c r="L506" s="292">
        <v>0</v>
      </c>
    </row>
    <row r="507" spans="1:12" ht="15.75" thickBot="1" x14ac:dyDescent="0.3">
      <c r="A507" s="291" t="s">
        <v>132</v>
      </c>
      <c r="B507" s="286" t="s">
        <v>473</v>
      </c>
      <c r="C507" s="286" t="s">
        <v>101</v>
      </c>
      <c r="D507" s="138" t="s">
        <v>1022</v>
      </c>
      <c r="E507" s="286" t="s">
        <v>165</v>
      </c>
      <c r="F507" s="288" t="s">
        <v>103</v>
      </c>
      <c r="G507" s="288" t="s">
        <v>103</v>
      </c>
      <c r="H507" s="290">
        <v>1217</v>
      </c>
      <c r="I507" s="289">
        <v>5.54</v>
      </c>
      <c r="J507" s="289">
        <v>6745.01</v>
      </c>
      <c r="K507" s="288" t="s">
        <v>103</v>
      </c>
      <c r="L507" s="292">
        <v>2.0000000000000001E-4</v>
      </c>
    </row>
    <row r="508" spans="1:12" ht="15.75" thickBot="1" x14ac:dyDescent="0.3">
      <c r="A508" s="291" t="s">
        <v>132</v>
      </c>
      <c r="B508" s="286" t="s">
        <v>103</v>
      </c>
      <c r="C508" s="286" t="s">
        <v>101</v>
      </c>
      <c r="D508" s="138" t="s">
        <v>804</v>
      </c>
      <c r="E508" s="286" t="s">
        <v>165</v>
      </c>
      <c r="F508" s="288" t="s">
        <v>103</v>
      </c>
      <c r="G508" s="288" t="s">
        <v>103</v>
      </c>
      <c r="H508" s="288">
        <v>114</v>
      </c>
      <c r="I508" s="289">
        <v>630.12</v>
      </c>
      <c r="J508" s="289">
        <v>71833.42</v>
      </c>
      <c r="K508" s="288" t="s">
        <v>103</v>
      </c>
      <c r="L508" s="292">
        <v>2.3999999999999998E-3</v>
      </c>
    </row>
    <row r="509" spans="1:12" ht="15.75" thickBot="1" x14ac:dyDescent="0.3">
      <c r="A509" s="291" t="s">
        <v>132</v>
      </c>
      <c r="B509" s="286" t="s">
        <v>103</v>
      </c>
      <c r="C509" s="286" t="s">
        <v>101</v>
      </c>
      <c r="D509" s="138" t="s">
        <v>1461</v>
      </c>
      <c r="E509" s="286" t="s">
        <v>165</v>
      </c>
      <c r="F509" s="288" t="s">
        <v>103</v>
      </c>
      <c r="G509" s="288" t="s">
        <v>103</v>
      </c>
      <c r="H509" s="288">
        <v>114</v>
      </c>
      <c r="I509" s="289">
        <v>525.5</v>
      </c>
      <c r="J509" s="289">
        <v>59907.05</v>
      </c>
      <c r="K509" s="288" t="s">
        <v>103</v>
      </c>
      <c r="L509" s="292">
        <v>2E-3</v>
      </c>
    </row>
    <row r="510" spans="1:12" ht="15.75" thickBot="1" x14ac:dyDescent="0.3">
      <c r="A510" s="291" t="s">
        <v>132</v>
      </c>
      <c r="B510" s="286" t="s">
        <v>103</v>
      </c>
      <c r="C510" s="286" t="s">
        <v>101</v>
      </c>
      <c r="D510" s="138" t="s">
        <v>1462</v>
      </c>
      <c r="E510" s="286" t="s">
        <v>165</v>
      </c>
      <c r="F510" s="288" t="s">
        <v>103</v>
      </c>
      <c r="G510" s="288" t="s">
        <v>103</v>
      </c>
      <c r="H510" s="288">
        <v>355</v>
      </c>
      <c r="I510" s="289">
        <v>0</v>
      </c>
      <c r="J510" s="289">
        <v>0</v>
      </c>
      <c r="K510" s="288" t="s">
        <v>103</v>
      </c>
      <c r="L510" s="292">
        <v>0</v>
      </c>
    </row>
    <row r="511" spans="1:12" ht="15.75" thickBot="1" x14ac:dyDescent="0.3">
      <c r="A511" s="291" t="s">
        <v>99</v>
      </c>
      <c r="B511" s="286" t="s">
        <v>140</v>
      </c>
      <c r="C511" s="286" t="s">
        <v>357</v>
      </c>
      <c r="D511" s="138" t="s">
        <v>274</v>
      </c>
      <c r="E511" s="286" t="s">
        <v>529</v>
      </c>
      <c r="F511" s="287">
        <v>45901</v>
      </c>
      <c r="G511" s="288" t="s">
        <v>103</v>
      </c>
      <c r="H511" s="288">
        <v>225</v>
      </c>
      <c r="I511" s="289">
        <v>16115.25</v>
      </c>
      <c r="J511" s="289">
        <v>3625932.33</v>
      </c>
      <c r="K511" s="288" t="s">
        <v>103</v>
      </c>
      <c r="L511" s="292">
        <v>1.4800000000000001E-2</v>
      </c>
    </row>
    <row r="512" spans="1:12" ht="15.75" thickBot="1" x14ac:dyDescent="0.3">
      <c r="A512" s="291" t="s">
        <v>99</v>
      </c>
      <c r="B512" s="286" t="s">
        <v>140</v>
      </c>
      <c r="C512" s="286" t="s">
        <v>357</v>
      </c>
      <c r="D512" s="138" t="s">
        <v>188</v>
      </c>
      <c r="E512" s="286" t="s">
        <v>530</v>
      </c>
      <c r="F512" s="287">
        <v>46266</v>
      </c>
      <c r="G512" s="288" t="s">
        <v>103</v>
      </c>
      <c r="H512" s="288">
        <v>90</v>
      </c>
      <c r="I512" s="289">
        <v>16113.97</v>
      </c>
      <c r="J512" s="289">
        <v>1450256.9</v>
      </c>
      <c r="K512" s="288" t="s">
        <v>103</v>
      </c>
      <c r="L512" s="292">
        <v>5.8999999999999999E-3</v>
      </c>
    </row>
    <row r="513" spans="1:12" ht="15.75" thickBot="1" x14ac:dyDescent="0.3">
      <c r="A513" s="291" t="s">
        <v>99</v>
      </c>
      <c r="B513" s="286" t="s">
        <v>140</v>
      </c>
      <c r="C513" s="286" t="s">
        <v>357</v>
      </c>
      <c r="D513" s="138" t="s">
        <v>247</v>
      </c>
      <c r="E513" s="286" t="s">
        <v>531</v>
      </c>
      <c r="F513" s="287">
        <v>46813</v>
      </c>
      <c r="G513" s="288" t="s">
        <v>103</v>
      </c>
      <c r="H513" s="288">
        <v>81</v>
      </c>
      <c r="I513" s="289">
        <v>16088.7</v>
      </c>
      <c r="J513" s="289">
        <v>1303184.52</v>
      </c>
      <c r="K513" s="288" t="s">
        <v>103</v>
      </c>
      <c r="L513" s="292">
        <v>5.3E-3</v>
      </c>
    </row>
    <row r="514" spans="1:12" ht="15.75" thickBot="1" x14ac:dyDescent="0.3">
      <c r="A514" s="291" t="s">
        <v>105</v>
      </c>
      <c r="B514" s="286" t="s">
        <v>103</v>
      </c>
      <c r="C514" s="286" t="s">
        <v>357</v>
      </c>
      <c r="D514" s="138" t="s">
        <v>105</v>
      </c>
      <c r="E514" s="286" t="s">
        <v>165</v>
      </c>
      <c r="F514" s="288" t="s">
        <v>103</v>
      </c>
      <c r="G514" s="288" t="s">
        <v>103</v>
      </c>
      <c r="H514" s="288" t="s">
        <v>103</v>
      </c>
      <c r="I514" s="288" t="s">
        <v>103</v>
      </c>
      <c r="J514" s="289">
        <v>-163110.47</v>
      </c>
      <c r="K514" s="288" t="s">
        <v>103</v>
      </c>
      <c r="L514" s="292">
        <v>-6.9999999999999999E-4</v>
      </c>
    </row>
    <row r="515" spans="1:12" ht="15.75" thickBot="1" x14ac:dyDescent="0.3">
      <c r="A515" s="291" t="s">
        <v>134</v>
      </c>
      <c r="B515" s="286" t="s">
        <v>191</v>
      </c>
      <c r="C515" s="286" t="s">
        <v>357</v>
      </c>
      <c r="D515" s="138" t="s">
        <v>517</v>
      </c>
      <c r="E515" s="286" t="s">
        <v>542</v>
      </c>
      <c r="F515" s="287">
        <v>46904</v>
      </c>
      <c r="G515" s="288" t="s">
        <v>103</v>
      </c>
      <c r="H515" s="288">
        <v>1</v>
      </c>
      <c r="I515" s="289">
        <v>534022.09</v>
      </c>
      <c r="J515" s="289">
        <v>534022.09</v>
      </c>
      <c r="K515" s="288" t="s">
        <v>103</v>
      </c>
      <c r="L515" s="292">
        <v>2.2000000000000001E-3</v>
      </c>
    </row>
    <row r="516" spans="1:12" ht="15.75" thickBot="1" x14ac:dyDescent="0.3">
      <c r="A516" s="291" t="s">
        <v>134</v>
      </c>
      <c r="B516" s="286" t="s">
        <v>191</v>
      </c>
      <c r="C516" s="286" t="s">
        <v>357</v>
      </c>
      <c r="D516" s="138" t="s">
        <v>320</v>
      </c>
      <c r="E516" s="286" t="s">
        <v>543</v>
      </c>
      <c r="F516" s="287">
        <v>48171</v>
      </c>
      <c r="G516" s="288" t="s">
        <v>103</v>
      </c>
      <c r="H516" s="288">
        <v>1</v>
      </c>
      <c r="I516" s="289">
        <v>431190.47</v>
      </c>
      <c r="J516" s="289">
        <v>431190.47</v>
      </c>
      <c r="K516" s="288" t="s">
        <v>103</v>
      </c>
      <c r="L516" s="292">
        <v>1.8E-3</v>
      </c>
    </row>
    <row r="517" spans="1:12" ht="15.75" thickBot="1" x14ac:dyDescent="0.3">
      <c r="A517" s="291" t="s">
        <v>134</v>
      </c>
      <c r="B517" s="286" t="s">
        <v>490</v>
      </c>
      <c r="C517" s="286" t="s">
        <v>357</v>
      </c>
      <c r="D517" s="138" t="s">
        <v>491</v>
      </c>
      <c r="E517" s="286" t="s">
        <v>547</v>
      </c>
      <c r="F517" s="287">
        <v>46720</v>
      </c>
      <c r="G517" s="288" t="s">
        <v>103</v>
      </c>
      <c r="H517" s="288">
        <v>4</v>
      </c>
      <c r="I517" s="289">
        <v>704805.05</v>
      </c>
      <c r="J517" s="289">
        <v>2819220.21</v>
      </c>
      <c r="K517" s="288" t="s">
        <v>103</v>
      </c>
      <c r="L517" s="292">
        <v>1.15E-2</v>
      </c>
    </row>
    <row r="518" spans="1:12" ht="15.75" thickBot="1" x14ac:dyDescent="0.3">
      <c r="A518" s="291" t="s">
        <v>134</v>
      </c>
      <c r="B518" s="286" t="s">
        <v>190</v>
      </c>
      <c r="C518" s="286" t="s">
        <v>357</v>
      </c>
      <c r="D518" s="138" t="s">
        <v>111</v>
      </c>
      <c r="E518" s="286" t="s">
        <v>537</v>
      </c>
      <c r="F518" s="287">
        <v>45887</v>
      </c>
      <c r="G518" s="288" t="s">
        <v>103</v>
      </c>
      <c r="H518" s="288">
        <v>1</v>
      </c>
      <c r="I518" s="289">
        <v>549943.69999999995</v>
      </c>
      <c r="J518" s="289">
        <v>549943.69999999995</v>
      </c>
      <c r="K518" s="288" t="s">
        <v>103</v>
      </c>
      <c r="L518" s="292">
        <v>2.2000000000000001E-3</v>
      </c>
    </row>
    <row r="519" spans="1:12" ht="15.75" thickBot="1" x14ac:dyDescent="0.3">
      <c r="A519" s="291" t="s">
        <v>134</v>
      </c>
      <c r="B519" s="286" t="s">
        <v>190</v>
      </c>
      <c r="C519" s="286" t="s">
        <v>357</v>
      </c>
      <c r="D519" s="138" t="s">
        <v>503</v>
      </c>
      <c r="E519" s="286" t="s">
        <v>540</v>
      </c>
      <c r="F519" s="287">
        <v>46742</v>
      </c>
      <c r="G519" s="288" t="s">
        <v>103</v>
      </c>
      <c r="H519" s="288">
        <v>1</v>
      </c>
      <c r="I519" s="289">
        <v>420855.89</v>
      </c>
      <c r="J519" s="289">
        <v>420855.89</v>
      </c>
      <c r="K519" s="288" t="s">
        <v>103</v>
      </c>
      <c r="L519" s="292">
        <v>1.6999999999999999E-3</v>
      </c>
    </row>
    <row r="520" spans="1:12" ht="15.75" thickBot="1" x14ac:dyDescent="0.3">
      <c r="A520" s="291" t="s">
        <v>134</v>
      </c>
      <c r="B520" s="286" t="s">
        <v>190</v>
      </c>
      <c r="C520" s="286" t="s">
        <v>357</v>
      </c>
      <c r="D520" s="138" t="s">
        <v>501</v>
      </c>
      <c r="E520" s="286" t="s">
        <v>540</v>
      </c>
      <c r="F520" s="287">
        <v>46742</v>
      </c>
      <c r="G520" s="288" t="s">
        <v>103</v>
      </c>
      <c r="H520" s="288">
        <v>1</v>
      </c>
      <c r="I520" s="289">
        <v>420855.89</v>
      </c>
      <c r="J520" s="289">
        <v>420855.89</v>
      </c>
      <c r="K520" s="288" t="s">
        <v>103</v>
      </c>
      <c r="L520" s="292">
        <v>1.6999999999999999E-3</v>
      </c>
    </row>
    <row r="521" spans="1:12" ht="15.75" thickBot="1" x14ac:dyDescent="0.3">
      <c r="A521" s="291" t="s">
        <v>135</v>
      </c>
      <c r="B521" s="286" t="s">
        <v>399</v>
      </c>
      <c r="C521" s="286" t="s">
        <v>357</v>
      </c>
      <c r="D521" s="138" t="s">
        <v>887</v>
      </c>
      <c r="E521" s="286" t="s">
        <v>552</v>
      </c>
      <c r="F521" s="287">
        <v>47172</v>
      </c>
      <c r="G521" s="288" t="s">
        <v>103</v>
      </c>
      <c r="H521" s="288">
        <v>7</v>
      </c>
      <c r="I521" s="289">
        <v>309657.90000000002</v>
      </c>
      <c r="J521" s="289">
        <v>2167605.2799999998</v>
      </c>
      <c r="K521" s="288" t="s">
        <v>103</v>
      </c>
      <c r="L521" s="292">
        <v>8.8000000000000005E-3</v>
      </c>
    </row>
    <row r="522" spans="1:12" ht="15.75" thickBot="1" x14ac:dyDescent="0.3">
      <c r="A522" s="291" t="s">
        <v>135</v>
      </c>
      <c r="B522" s="286" t="s">
        <v>196</v>
      </c>
      <c r="C522" s="286" t="s">
        <v>357</v>
      </c>
      <c r="D522" s="138" t="s">
        <v>321</v>
      </c>
      <c r="E522" s="286" t="s">
        <v>550</v>
      </c>
      <c r="F522" s="287">
        <v>47415</v>
      </c>
      <c r="G522" s="288" t="s">
        <v>103</v>
      </c>
      <c r="H522" s="288">
        <v>10</v>
      </c>
      <c r="I522" s="289">
        <v>304574.3</v>
      </c>
      <c r="J522" s="289">
        <v>3045743.05</v>
      </c>
      <c r="K522" s="288" t="s">
        <v>103</v>
      </c>
      <c r="L522" s="292">
        <v>1.24E-2</v>
      </c>
    </row>
    <row r="523" spans="1:12" ht="15.75" thickBot="1" x14ac:dyDescent="0.3">
      <c r="A523" s="291" t="s">
        <v>135</v>
      </c>
      <c r="B523" s="286" t="s">
        <v>196</v>
      </c>
      <c r="C523" s="286" t="s">
        <v>357</v>
      </c>
      <c r="D523" s="138" t="s">
        <v>285</v>
      </c>
      <c r="E523" s="286" t="s">
        <v>544</v>
      </c>
      <c r="F523" s="287">
        <v>47315</v>
      </c>
      <c r="G523" s="288" t="s">
        <v>103</v>
      </c>
      <c r="H523" s="288">
        <v>7</v>
      </c>
      <c r="I523" s="289">
        <v>303810.33</v>
      </c>
      <c r="J523" s="289">
        <v>2126672.2999999998</v>
      </c>
      <c r="K523" s="288" t="s">
        <v>103</v>
      </c>
      <c r="L523" s="292">
        <v>8.6999999999999994E-3</v>
      </c>
    </row>
    <row r="524" spans="1:12" ht="15.75" thickBot="1" x14ac:dyDescent="0.3">
      <c r="A524" s="291" t="s">
        <v>135</v>
      </c>
      <c r="B524" s="286" t="s">
        <v>196</v>
      </c>
      <c r="C524" s="286" t="s">
        <v>357</v>
      </c>
      <c r="D524" s="138" t="s">
        <v>197</v>
      </c>
      <c r="E524" s="286" t="s">
        <v>536</v>
      </c>
      <c r="F524" s="287">
        <v>47255</v>
      </c>
      <c r="G524" s="288" t="s">
        <v>103</v>
      </c>
      <c r="H524" s="288">
        <v>3</v>
      </c>
      <c r="I524" s="289">
        <v>304671.96000000002</v>
      </c>
      <c r="J524" s="289">
        <v>914015.89</v>
      </c>
      <c r="K524" s="288" t="s">
        <v>103</v>
      </c>
      <c r="L524" s="292">
        <v>3.7000000000000002E-3</v>
      </c>
    </row>
    <row r="525" spans="1:12" ht="15.75" thickBot="1" x14ac:dyDescent="0.3">
      <c r="A525" s="291" t="s">
        <v>135</v>
      </c>
      <c r="B525" s="286" t="s">
        <v>196</v>
      </c>
      <c r="C525" s="286" t="s">
        <v>357</v>
      </c>
      <c r="D525" s="138" t="s">
        <v>322</v>
      </c>
      <c r="E525" s="286" t="s">
        <v>542</v>
      </c>
      <c r="F525" s="287">
        <v>47407</v>
      </c>
      <c r="G525" s="288" t="s">
        <v>103</v>
      </c>
      <c r="H525" s="288">
        <v>2</v>
      </c>
      <c r="I525" s="289">
        <v>306953.19</v>
      </c>
      <c r="J525" s="289">
        <v>613906.38</v>
      </c>
      <c r="K525" s="288" t="s">
        <v>103</v>
      </c>
      <c r="L525" s="292">
        <v>2.5000000000000001E-3</v>
      </c>
    </row>
    <row r="526" spans="1:12" ht="15.75" thickBot="1" x14ac:dyDescent="0.3">
      <c r="A526" s="291" t="s">
        <v>135</v>
      </c>
      <c r="B526" s="286" t="s">
        <v>196</v>
      </c>
      <c r="C526" s="286" t="s">
        <v>357</v>
      </c>
      <c r="D526" s="138" t="s">
        <v>6</v>
      </c>
      <c r="E526" s="286" t="s">
        <v>537</v>
      </c>
      <c r="F526" s="287">
        <v>47254</v>
      </c>
      <c r="G526" s="288" t="s">
        <v>103</v>
      </c>
      <c r="H526" s="288">
        <v>1</v>
      </c>
      <c r="I526" s="289">
        <v>305936.78999999998</v>
      </c>
      <c r="J526" s="289">
        <v>305936.78999999998</v>
      </c>
      <c r="K526" s="288" t="s">
        <v>103</v>
      </c>
      <c r="L526" s="292">
        <v>1.1999999999999999E-3</v>
      </c>
    </row>
    <row r="527" spans="1:12" ht="15.75" thickBot="1" x14ac:dyDescent="0.3">
      <c r="A527" s="291" t="s">
        <v>135</v>
      </c>
      <c r="B527" s="286" t="s">
        <v>190</v>
      </c>
      <c r="C527" s="286" t="s">
        <v>357</v>
      </c>
      <c r="D527" s="138" t="s">
        <v>899</v>
      </c>
      <c r="E527" s="286" t="s">
        <v>165</v>
      </c>
      <c r="F527" s="287">
        <v>47224</v>
      </c>
      <c r="G527" s="288" t="s">
        <v>103</v>
      </c>
      <c r="H527" s="288">
        <v>14</v>
      </c>
      <c r="I527" s="289">
        <v>350793.71</v>
      </c>
      <c r="J527" s="289">
        <v>4911111.95</v>
      </c>
      <c r="K527" s="288" t="s">
        <v>103</v>
      </c>
      <c r="L527" s="292">
        <v>0.02</v>
      </c>
    </row>
    <row r="528" spans="1:12" ht="15.75" thickBot="1" x14ac:dyDescent="0.3">
      <c r="A528" s="291" t="s">
        <v>135</v>
      </c>
      <c r="B528" s="286" t="s">
        <v>190</v>
      </c>
      <c r="C528" s="286" t="s">
        <v>357</v>
      </c>
      <c r="D528" s="138" t="s">
        <v>199</v>
      </c>
      <c r="E528" s="286" t="s">
        <v>536</v>
      </c>
      <c r="F528" s="287">
        <v>47313</v>
      </c>
      <c r="G528" s="288" t="s">
        <v>103</v>
      </c>
      <c r="H528" s="288">
        <v>3</v>
      </c>
      <c r="I528" s="289">
        <v>546388.59</v>
      </c>
      <c r="J528" s="289">
        <v>1639165.78</v>
      </c>
      <c r="K528" s="288" t="s">
        <v>103</v>
      </c>
      <c r="L528" s="292">
        <v>6.7000000000000002E-3</v>
      </c>
    </row>
    <row r="529" spans="1:12" ht="15.75" thickBot="1" x14ac:dyDescent="0.3">
      <c r="A529" s="291" t="s">
        <v>135</v>
      </c>
      <c r="B529" s="286" t="s">
        <v>190</v>
      </c>
      <c r="C529" s="286" t="s">
        <v>357</v>
      </c>
      <c r="D529" s="138" t="s">
        <v>250</v>
      </c>
      <c r="E529" s="286" t="s">
        <v>537</v>
      </c>
      <c r="F529" s="287">
        <v>47408</v>
      </c>
      <c r="G529" s="288" t="s">
        <v>103</v>
      </c>
      <c r="H529" s="288">
        <v>1</v>
      </c>
      <c r="I529" s="289">
        <v>526517.56999999995</v>
      </c>
      <c r="J529" s="289">
        <v>526517.56999999995</v>
      </c>
      <c r="K529" s="288" t="s">
        <v>103</v>
      </c>
      <c r="L529" s="292">
        <v>2.0999999999999999E-3</v>
      </c>
    </row>
    <row r="530" spans="1:12" ht="15.75" thickBot="1" x14ac:dyDescent="0.3">
      <c r="A530" s="291" t="s">
        <v>112</v>
      </c>
      <c r="B530" s="286" t="s">
        <v>201</v>
      </c>
      <c r="C530" s="286" t="s">
        <v>357</v>
      </c>
      <c r="D530" s="138" t="s">
        <v>777</v>
      </c>
      <c r="E530" s="286" t="s">
        <v>165</v>
      </c>
      <c r="F530" s="287">
        <v>46238</v>
      </c>
      <c r="G530" s="288" t="s">
        <v>103</v>
      </c>
      <c r="H530" s="288">
        <v>7</v>
      </c>
      <c r="I530" s="289">
        <v>61292.85</v>
      </c>
      <c r="J530" s="289">
        <v>429049.96</v>
      </c>
      <c r="K530" s="288" t="s">
        <v>103</v>
      </c>
      <c r="L530" s="292">
        <v>1.6999999999999999E-3</v>
      </c>
    </row>
    <row r="531" spans="1:12" ht="15.75" thickBot="1" x14ac:dyDescent="0.3">
      <c r="A531" s="291" t="s">
        <v>112</v>
      </c>
      <c r="B531" s="286" t="s">
        <v>201</v>
      </c>
      <c r="C531" s="286" t="s">
        <v>357</v>
      </c>
      <c r="D531" s="138" t="s">
        <v>930</v>
      </c>
      <c r="E531" s="286" t="s">
        <v>838</v>
      </c>
      <c r="F531" s="287">
        <v>46119</v>
      </c>
      <c r="G531" s="288" t="s">
        <v>103</v>
      </c>
      <c r="H531" s="288">
        <v>5</v>
      </c>
      <c r="I531" s="289">
        <v>55650.05</v>
      </c>
      <c r="J531" s="289">
        <v>278250.25</v>
      </c>
      <c r="K531" s="288" t="s">
        <v>103</v>
      </c>
      <c r="L531" s="292">
        <v>1.1000000000000001E-3</v>
      </c>
    </row>
    <row r="532" spans="1:12" ht="15.75" thickBot="1" x14ac:dyDescent="0.3">
      <c r="A532" s="291" t="s">
        <v>112</v>
      </c>
      <c r="B532" s="286" t="s">
        <v>465</v>
      </c>
      <c r="C532" s="286" t="s">
        <v>357</v>
      </c>
      <c r="D532" s="138" t="s">
        <v>1053</v>
      </c>
      <c r="E532" s="286" t="s">
        <v>1055</v>
      </c>
      <c r="F532" s="287">
        <v>46093</v>
      </c>
      <c r="G532" s="288" t="s">
        <v>103</v>
      </c>
      <c r="H532" s="288">
        <v>56</v>
      </c>
      <c r="I532" s="289">
        <v>56445.54</v>
      </c>
      <c r="J532" s="289">
        <v>3160950.11</v>
      </c>
      <c r="K532" s="288" t="s">
        <v>103</v>
      </c>
      <c r="L532" s="292">
        <v>1.29E-2</v>
      </c>
    </row>
    <row r="533" spans="1:12" ht="15.75" thickBot="1" x14ac:dyDescent="0.3">
      <c r="A533" s="291" t="s">
        <v>112</v>
      </c>
      <c r="B533" s="286" t="s">
        <v>360</v>
      </c>
      <c r="C533" s="286" t="s">
        <v>357</v>
      </c>
      <c r="D533" s="138" t="s">
        <v>1051</v>
      </c>
      <c r="E533" s="286" t="s">
        <v>979</v>
      </c>
      <c r="F533" s="287">
        <v>46562</v>
      </c>
      <c r="G533" s="288" t="s">
        <v>103</v>
      </c>
      <c r="H533" s="288">
        <v>44</v>
      </c>
      <c r="I533" s="289">
        <v>54545.81</v>
      </c>
      <c r="J533" s="289">
        <v>2400015.69</v>
      </c>
      <c r="K533" s="288" t="s">
        <v>103</v>
      </c>
      <c r="L533" s="292">
        <v>9.7999999999999997E-3</v>
      </c>
    </row>
    <row r="534" spans="1:12" ht="15.75" thickBot="1" x14ac:dyDescent="0.3">
      <c r="A534" s="291" t="s">
        <v>112</v>
      </c>
      <c r="B534" s="286" t="s">
        <v>360</v>
      </c>
      <c r="C534" s="286" t="s">
        <v>357</v>
      </c>
      <c r="D534" s="138" t="s">
        <v>1050</v>
      </c>
      <c r="E534" s="286" t="s">
        <v>623</v>
      </c>
      <c r="F534" s="287">
        <v>46475</v>
      </c>
      <c r="G534" s="288" t="s">
        <v>103</v>
      </c>
      <c r="H534" s="288">
        <v>38</v>
      </c>
      <c r="I534" s="289">
        <v>55966.71</v>
      </c>
      <c r="J534" s="289">
        <v>2126734.9700000002</v>
      </c>
      <c r="K534" s="288" t="s">
        <v>103</v>
      </c>
      <c r="L534" s="292">
        <v>8.6999999999999994E-3</v>
      </c>
    </row>
    <row r="535" spans="1:12" ht="15.75" thickBot="1" x14ac:dyDescent="0.3">
      <c r="A535" s="291" t="s">
        <v>112</v>
      </c>
      <c r="B535" s="286" t="s">
        <v>368</v>
      </c>
      <c r="C535" s="286" t="s">
        <v>357</v>
      </c>
      <c r="D535" s="138" t="s">
        <v>954</v>
      </c>
      <c r="E535" s="286" t="s">
        <v>955</v>
      </c>
      <c r="F535" s="287">
        <v>46152</v>
      </c>
      <c r="G535" s="288" t="s">
        <v>103</v>
      </c>
      <c r="H535" s="288">
        <v>118</v>
      </c>
      <c r="I535" s="289">
        <v>111703.52</v>
      </c>
      <c r="J535" s="289">
        <v>13181015.4</v>
      </c>
      <c r="K535" s="288" t="s">
        <v>103</v>
      </c>
      <c r="L535" s="292">
        <v>5.3699999999999998E-2</v>
      </c>
    </row>
    <row r="536" spans="1:12" ht="15.75" thickBot="1" x14ac:dyDescent="0.3">
      <c r="A536" s="291" t="s">
        <v>112</v>
      </c>
      <c r="B536" s="286" t="s">
        <v>368</v>
      </c>
      <c r="C536" s="286" t="s">
        <v>357</v>
      </c>
      <c r="D536" s="138" t="s">
        <v>486</v>
      </c>
      <c r="E536" s="286" t="s">
        <v>553</v>
      </c>
      <c r="F536" s="287">
        <v>45984</v>
      </c>
      <c r="G536" s="288" t="s">
        <v>103</v>
      </c>
      <c r="H536" s="288">
        <v>41</v>
      </c>
      <c r="I536" s="289">
        <v>136495.19</v>
      </c>
      <c r="J536" s="289">
        <v>5596302.75</v>
      </c>
      <c r="K536" s="288" t="s">
        <v>103</v>
      </c>
      <c r="L536" s="292">
        <v>2.2800000000000001E-2</v>
      </c>
    </row>
    <row r="537" spans="1:12" ht="15.75" thickBot="1" x14ac:dyDescent="0.3">
      <c r="A537" s="291" t="s">
        <v>112</v>
      </c>
      <c r="B537" s="286" t="s">
        <v>368</v>
      </c>
      <c r="C537" s="286" t="s">
        <v>357</v>
      </c>
      <c r="D537" s="138" t="s">
        <v>1138</v>
      </c>
      <c r="E537" s="286" t="s">
        <v>165</v>
      </c>
      <c r="F537" s="287">
        <v>46333</v>
      </c>
      <c r="G537" s="288" t="s">
        <v>103</v>
      </c>
      <c r="H537" s="288">
        <v>21</v>
      </c>
      <c r="I537" s="289">
        <v>104519.78</v>
      </c>
      <c r="J537" s="289">
        <v>2194915.4500000002</v>
      </c>
      <c r="K537" s="288" t="s">
        <v>103</v>
      </c>
      <c r="L537" s="292">
        <v>8.8999999999999999E-3</v>
      </c>
    </row>
    <row r="538" spans="1:12" ht="15.75" thickBot="1" x14ac:dyDescent="0.3">
      <c r="A538" s="291" t="s">
        <v>112</v>
      </c>
      <c r="B538" s="286" t="s">
        <v>808</v>
      </c>
      <c r="C538" s="286" t="s">
        <v>357</v>
      </c>
      <c r="D538" s="138" t="s">
        <v>809</v>
      </c>
      <c r="E538" s="286" t="s">
        <v>561</v>
      </c>
      <c r="F538" s="287">
        <v>45939</v>
      </c>
      <c r="G538" s="288" t="s">
        <v>103</v>
      </c>
      <c r="H538" s="288">
        <v>34</v>
      </c>
      <c r="I538" s="289">
        <v>60475.12</v>
      </c>
      <c r="J538" s="289">
        <v>2056154.03</v>
      </c>
      <c r="K538" s="288" t="s">
        <v>103</v>
      </c>
      <c r="L538" s="292">
        <v>8.3999999999999995E-3</v>
      </c>
    </row>
    <row r="539" spans="1:12" ht="15.75" thickBot="1" x14ac:dyDescent="0.3">
      <c r="A539" s="291" t="s">
        <v>113</v>
      </c>
      <c r="B539" s="286" t="s">
        <v>114</v>
      </c>
      <c r="C539" s="286" t="s">
        <v>357</v>
      </c>
      <c r="D539" s="138" t="s">
        <v>1163</v>
      </c>
      <c r="E539" s="286" t="s">
        <v>1479</v>
      </c>
      <c r="F539" s="287">
        <v>45716</v>
      </c>
      <c r="G539" s="288" t="s">
        <v>103</v>
      </c>
      <c r="H539" s="288">
        <v>0</v>
      </c>
      <c r="I539" s="289">
        <v>110.52</v>
      </c>
      <c r="J539" s="289">
        <v>20084.830000000002</v>
      </c>
      <c r="K539" s="289">
        <v>0</v>
      </c>
      <c r="L539" s="292">
        <v>0</v>
      </c>
    </row>
    <row r="540" spans="1:12" ht="15.75" thickBot="1" x14ac:dyDescent="0.3">
      <c r="A540" s="291" t="s">
        <v>113</v>
      </c>
      <c r="B540" s="286" t="s">
        <v>114</v>
      </c>
      <c r="C540" s="286" t="s">
        <v>357</v>
      </c>
      <c r="D540" s="138" t="s">
        <v>1478</v>
      </c>
      <c r="E540" s="286" t="s">
        <v>165</v>
      </c>
      <c r="F540" s="287">
        <v>45807</v>
      </c>
      <c r="G540" s="288" t="s">
        <v>103</v>
      </c>
      <c r="H540" s="288">
        <v>8</v>
      </c>
      <c r="I540" s="289">
        <v>110.55</v>
      </c>
      <c r="J540" s="289">
        <v>6235.92</v>
      </c>
      <c r="K540" s="289">
        <v>5083560.93</v>
      </c>
      <c r="L540" s="292">
        <v>2.07E-2</v>
      </c>
    </row>
    <row r="541" spans="1:12" ht="15.75" thickBot="1" x14ac:dyDescent="0.3">
      <c r="A541" s="291" t="s">
        <v>113</v>
      </c>
      <c r="B541" s="286" t="s">
        <v>114</v>
      </c>
      <c r="C541" s="286" t="s">
        <v>357</v>
      </c>
      <c r="D541" s="138" t="s">
        <v>177</v>
      </c>
      <c r="E541" s="286" t="s">
        <v>1234</v>
      </c>
      <c r="F541" s="287">
        <v>45792</v>
      </c>
      <c r="G541" s="288" t="s">
        <v>103</v>
      </c>
      <c r="H541" s="288">
        <v>-9</v>
      </c>
      <c r="I541" s="289">
        <v>177502.21</v>
      </c>
      <c r="J541" s="289">
        <v>1728.09</v>
      </c>
      <c r="K541" s="289">
        <v>-1597519.85</v>
      </c>
      <c r="L541" s="292">
        <v>-6.4999999999999997E-3</v>
      </c>
    </row>
    <row r="542" spans="1:12" ht="15.75" thickBot="1" x14ac:dyDescent="0.3">
      <c r="A542" s="291" t="s">
        <v>113</v>
      </c>
      <c r="B542" s="286" t="s">
        <v>114</v>
      </c>
      <c r="C542" s="286" t="s">
        <v>357</v>
      </c>
      <c r="D542" s="138" t="s">
        <v>1480</v>
      </c>
      <c r="E542" s="286" t="s">
        <v>165</v>
      </c>
      <c r="F542" s="287">
        <v>45748</v>
      </c>
      <c r="G542" s="288" t="s">
        <v>103</v>
      </c>
      <c r="H542" s="288">
        <v>10</v>
      </c>
      <c r="I542" s="289">
        <v>99858.55</v>
      </c>
      <c r="J542" s="289">
        <v>967</v>
      </c>
      <c r="K542" s="289">
        <v>2870034.59</v>
      </c>
      <c r="L542" s="292">
        <v>1.17E-2</v>
      </c>
    </row>
    <row r="543" spans="1:12" ht="15.75" thickBot="1" x14ac:dyDescent="0.3">
      <c r="A543" s="291" t="s">
        <v>113</v>
      </c>
      <c r="B543" s="286" t="s">
        <v>114</v>
      </c>
      <c r="C543" s="286" t="s">
        <v>357</v>
      </c>
      <c r="D543" s="138" t="s">
        <v>241</v>
      </c>
      <c r="E543" s="286" t="s">
        <v>568</v>
      </c>
      <c r="F543" s="287">
        <v>46391</v>
      </c>
      <c r="G543" s="288" t="s">
        <v>103</v>
      </c>
      <c r="H543" s="288">
        <v>0</v>
      </c>
      <c r="I543" s="289">
        <v>91177.18</v>
      </c>
      <c r="J543" s="289">
        <v>0</v>
      </c>
      <c r="K543" s="289">
        <v>0</v>
      </c>
      <c r="L543" s="292">
        <v>0</v>
      </c>
    </row>
    <row r="544" spans="1:12" ht="15.75" thickBot="1" x14ac:dyDescent="0.3">
      <c r="A544" s="291" t="s">
        <v>113</v>
      </c>
      <c r="B544" s="286" t="s">
        <v>114</v>
      </c>
      <c r="C544" s="286" t="s">
        <v>357</v>
      </c>
      <c r="D544" s="138" t="s">
        <v>202</v>
      </c>
      <c r="E544" s="286" t="s">
        <v>1065</v>
      </c>
      <c r="F544" s="287">
        <v>47120</v>
      </c>
      <c r="G544" s="288" t="s">
        <v>103</v>
      </c>
      <c r="H544" s="288">
        <v>2</v>
      </c>
      <c r="I544" s="289">
        <v>59837.78</v>
      </c>
      <c r="J544" s="289">
        <v>-134.80000000000001</v>
      </c>
      <c r="K544" s="289">
        <v>119675.56</v>
      </c>
      <c r="L544" s="292">
        <v>5.0000000000000001E-4</v>
      </c>
    </row>
    <row r="545" spans="1:12" ht="15.75" thickBot="1" x14ac:dyDescent="0.3">
      <c r="A545" s="291" t="s">
        <v>113</v>
      </c>
      <c r="B545" s="286" t="s">
        <v>114</v>
      </c>
      <c r="C545" s="286" t="s">
        <v>357</v>
      </c>
      <c r="D545" s="138" t="s">
        <v>116</v>
      </c>
      <c r="E545" s="286" t="s">
        <v>569</v>
      </c>
      <c r="F545" s="287">
        <v>46251</v>
      </c>
      <c r="G545" s="288" t="s">
        <v>103</v>
      </c>
      <c r="H545" s="288">
        <v>4</v>
      </c>
      <c r="I545" s="289">
        <v>160200.82999999999</v>
      </c>
      <c r="J545" s="289">
        <v>-481.52</v>
      </c>
      <c r="K545" s="289">
        <v>640803.34</v>
      </c>
      <c r="L545" s="292">
        <v>2.5999999999999999E-3</v>
      </c>
    </row>
    <row r="546" spans="1:12" ht="15.75" thickBot="1" x14ac:dyDescent="0.3">
      <c r="A546" s="291" t="s">
        <v>113</v>
      </c>
      <c r="B546" s="286" t="s">
        <v>114</v>
      </c>
      <c r="C546" s="286" t="s">
        <v>357</v>
      </c>
      <c r="D546" s="138" t="s">
        <v>479</v>
      </c>
      <c r="E546" s="286" t="s">
        <v>1481</v>
      </c>
      <c r="F546" s="287">
        <v>46024</v>
      </c>
      <c r="G546" s="288" t="s">
        <v>103</v>
      </c>
      <c r="H546" s="288">
        <v>-25</v>
      </c>
      <c r="I546" s="289">
        <v>89079.679999999993</v>
      </c>
      <c r="J546" s="289">
        <v>-758</v>
      </c>
      <c r="K546" s="289">
        <v>-2226992</v>
      </c>
      <c r="L546" s="292">
        <v>-9.1000000000000004E-3</v>
      </c>
    </row>
    <row r="547" spans="1:12" ht="15.75" thickBot="1" x14ac:dyDescent="0.3">
      <c r="A547" s="291" t="s">
        <v>113</v>
      </c>
      <c r="B547" s="286" t="s">
        <v>114</v>
      </c>
      <c r="C547" s="286" t="s">
        <v>357</v>
      </c>
      <c r="D547" s="138" t="s">
        <v>1394</v>
      </c>
      <c r="E547" s="286" t="s">
        <v>1482</v>
      </c>
      <c r="F547" s="287">
        <v>45721</v>
      </c>
      <c r="G547" s="288" t="s">
        <v>103</v>
      </c>
      <c r="H547" s="288">
        <v>-13</v>
      </c>
      <c r="I547" s="289">
        <v>57517.39</v>
      </c>
      <c r="J547" s="289">
        <v>-825.09</v>
      </c>
      <c r="K547" s="289">
        <v>-747726.07</v>
      </c>
      <c r="L547" s="292">
        <v>-3.0000000000000001E-3</v>
      </c>
    </row>
    <row r="548" spans="1:12" ht="15.75" thickBot="1" x14ac:dyDescent="0.3">
      <c r="A548" s="291" t="s">
        <v>113</v>
      </c>
      <c r="B548" s="286" t="s">
        <v>114</v>
      </c>
      <c r="C548" s="286" t="s">
        <v>357</v>
      </c>
      <c r="D548" s="138" t="s">
        <v>179</v>
      </c>
      <c r="E548" s="286" t="s">
        <v>1483</v>
      </c>
      <c r="F548" s="287">
        <v>46980</v>
      </c>
      <c r="G548" s="288" t="s">
        <v>103</v>
      </c>
      <c r="H548" s="288">
        <v>-31</v>
      </c>
      <c r="I548" s="289">
        <v>139301.9</v>
      </c>
      <c r="J548" s="289">
        <v>-1622.54</v>
      </c>
      <c r="K548" s="289">
        <v>-4318358.9000000004</v>
      </c>
      <c r="L548" s="292">
        <v>-1.7600000000000001E-2</v>
      </c>
    </row>
    <row r="549" spans="1:12" ht="15.75" thickBot="1" x14ac:dyDescent="0.3">
      <c r="A549" s="291" t="s">
        <v>113</v>
      </c>
      <c r="B549" s="286" t="s">
        <v>114</v>
      </c>
      <c r="C549" s="286" t="s">
        <v>357</v>
      </c>
      <c r="D549" s="138" t="s">
        <v>1396</v>
      </c>
      <c r="E549" s="286" t="s">
        <v>874</v>
      </c>
      <c r="F549" s="287">
        <v>45721</v>
      </c>
      <c r="G549" s="288" t="s">
        <v>103</v>
      </c>
      <c r="H549" s="288">
        <v>-65</v>
      </c>
      <c r="I549" s="289">
        <v>287586.95</v>
      </c>
      <c r="J549" s="289">
        <v>-5466.5</v>
      </c>
      <c r="K549" s="289">
        <v>-18693151.75</v>
      </c>
      <c r="L549" s="292">
        <v>-7.6100000000000001E-2</v>
      </c>
    </row>
    <row r="550" spans="1:12" ht="15.75" thickBot="1" x14ac:dyDescent="0.3">
      <c r="A550" s="291" t="s">
        <v>113</v>
      </c>
      <c r="B550" s="286" t="s">
        <v>114</v>
      </c>
      <c r="C550" s="286" t="s">
        <v>357</v>
      </c>
      <c r="D550" s="138" t="s">
        <v>251</v>
      </c>
      <c r="E550" s="286" t="s">
        <v>1066</v>
      </c>
      <c r="F550" s="287">
        <v>47850</v>
      </c>
      <c r="G550" s="288" t="s">
        <v>103</v>
      </c>
      <c r="H550" s="288">
        <v>-10</v>
      </c>
      <c r="I550" s="289">
        <v>74914.45</v>
      </c>
      <c r="J550" s="289">
        <v>-10040.4</v>
      </c>
      <c r="K550" s="289">
        <v>-2153116.21</v>
      </c>
      <c r="L550" s="292">
        <v>-8.8000000000000005E-3</v>
      </c>
    </row>
    <row r="551" spans="1:12" ht="15.75" thickBot="1" x14ac:dyDescent="0.3">
      <c r="A551" s="291" t="s">
        <v>126</v>
      </c>
      <c r="B551" s="286" t="s">
        <v>1139</v>
      </c>
      <c r="C551" s="286" t="s">
        <v>357</v>
      </c>
      <c r="D551" s="138" t="s">
        <v>512</v>
      </c>
      <c r="E551" s="286" t="s">
        <v>165</v>
      </c>
      <c r="F551" s="288" t="s">
        <v>103</v>
      </c>
      <c r="G551" s="288" t="s">
        <v>103</v>
      </c>
      <c r="H551" s="288">
        <v>61</v>
      </c>
      <c r="I551" s="289">
        <v>66660.73</v>
      </c>
      <c r="J551" s="289">
        <v>4066304.49</v>
      </c>
      <c r="K551" s="288" t="s">
        <v>103</v>
      </c>
      <c r="L551" s="292">
        <v>1.66E-2</v>
      </c>
    </row>
    <row r="552" spans="1:12" ht="15.75" thickBot="1" x14ac:dyDescent="0.3">
      <c r="A552" s="291" t="s">
        <v>126</v>
      </c>
      <c r="B552" s="286" t="s">
        <v>252</v>
      </c>
      <c r="C552" s="286" t="s">
        <v>357</v>
      </c>
      <c r="D552" s="138" t="s">
        <v>253</v>
      </c>
      <c r="E552" s="286" t="s">
        <v>594</v>
      </c>
      <c r="F552" s="287">
        <v>45976</v>
      </c>
      <c r="G552" s="288" t="s">
        <v>103</v>
      </c>
      <c r="H552" s="288">
        <v>97</v>
      </c>
      <c r="I552" s="289">
        <v>600.39</v>
      </c>
      <c r="J552" s="289">
        <v>58237.96</v>
      </c>
      <c r="K552" s="288" t="s">
        <v>103</v>
      </c>
      <c r="L552" s="292">
        <v>2.0000000000000001E-4</v>
      </c>
    </row>
    <row r="553" spans="1:12" ht="15.75" thickBot="1" x14ac:dyDescent="0.3">
      <c r="A553" s="291" t="s">
        <v>126</v>
      </c>
      <c r="B553" s="286" t="s">
        <v>877</v>
      </c>
      <c r="C553" s="286" t="s">
        <v>357</v>
      </c>
      <c r="D553" s="138" t="s">
        <v>1140</v>
      </c>
      <c r="E553" s="286" t="s">
        <v>165</v>
      </c>
      <c r="F553" s="287">
        <v>45689</v>
      </c>
      <c r="G553" s="288" t="s">
        <v>103</v>
      </c>
      <c r="H553" s="290">
        <v>5021</v>
      </c>
      <c r="I553" s="289">
        <v>852.82</v>
      </c>
      <c r="J553" s="289">
        <v>4281991.1500000004</v>
      </c>
      <c r="K553" s="288" t="s">
        <v>103</v>
      </c>
      <c r="L553" s="292">
        <v>1.7399999999999999E-2</v>
      </c>
    </row>
    <row r="554" spans="1:12" ht="15.75" thickBot="1" x14ac:dyDescent="0.3">
      <c r="A554" s="291" t="s">
        <v>126</v>
      </c>
      <c r="B554" s="286" t="s">
        <v>1048</v>
      </c>
      <c r="C554" s="286" t="s">
        <v>357</v>
      </c>
      <c r="D554" s="138" t="s">
        <v>1095</v>
      </c>
      <c r="E554" s="286" t="s">
        <v>165</v>
      </c>
      <c r="F554" s="287">
        <v>49878</v>
      </c>
      <c r="G554" s="288" t="s">
        <v>103</v>
      </c>
      <c r="H554" s="290">
        <v>2300</v>
      </c>
      <c r="I554" s="289">
        <v>1093.03</v>
      </c>
      <c r="J554" s="289">
        <v>2513978.5699999998</v>
      </c>
      <c r="K554" s="288" t="s">
        <v>103</v>
      </c>
      <c r="L554" s="292">
        <v>1.0200000000000001E-2</v>
      </c>
    </row>
    <row r="555" spans="1:12" ht="15.75" thickBot="1" x14ac:dyDescent="0.3">
      <c r="A555" s="291" t="s">
        <v>126</v>
      </c>
      <c r="B555" s="286" t="s">
        <v>1141</v>
      </c>
      <c r="C555" s="286" t="s">
        <v>357</v>
      </c>
      <c r="D555" s="138" t="s">
        <v>1142</v>
      </c>
      <c r="E555" s="286" t="s">
        <v>165</v>
      </c>
      <c r="F555" s="287">
        <v>47911</v>
      </c>
      <c r="G555" s="288" t="s">
        <v>103</v>
      </c>
      <c r="H555" s="290">
        <v>1540</v>
      </c>
      <c r="I555" s="289">
        <v>1238.74</v>
      </c>
      <c r="J555" s="289">
        <v>1907660.39</v>
      </c>
      <c r="K555" s="288" t="s">
        <v>103</v>
      </c>
      <c r="L555" s="292">
        <v>7.7999999999999996E-3</v>
      </c>
    </row>
    <row r="556" spans="1:12" ht="15.75" thickBot="1" x14ac:dyDescent="0.3">
      <c r="A556" s="291" t="s">
        <v>126</v>
      </c>
      <c r="B556" s="286" t="s">
        <v>305</v>
      </c>
      <c r="C556" s="286" t="s">
        <v>357</v>
      </c>
      <c r="D556" s="138" t="s">
        <v>306</v>
      </c>
      <c r="E556" s="286" t="s">
        <v>595</v>
      </c>
      <c r="F556" s="287">
        <v>46126</v>
      </c>
      <c r="G556" s="288" t="s">
        <v>103</v>
      </c>
      <c r="H556" s="290">
        <v>2500</v>
      </c>
      <c r="I556" s="289">
        <v>545.53</v>
      </c>
      <c r="J556" s="289">
        <v>1363818.3</v>
      </c>
      <c r="K556" s="288" t="s">
        <v>103</v>
      </c>
      <c r="L556" s="292">
        <v>5.5999999999999999E-3</v>
      </c>
    </row>
    <row r="557" spans="1:12" ht="15.75" thickBot="1" x14ac:dyDescent="0.3">
      <c r="A557" s="291" t="s">
        <v>126</v>
      </c>
      <c r="B557" s="286" t="s">
        <v>254</v>
      </c>
      <c r="C557" s="286" t="s">
        <v>357</v>
      </c>
      <c r="D557" s="138" t="s">
        <v>255</v>
      </c>
      <c r="E557" s="286" t="s">
        <v>596</v>
      </c>
      <c r="F557" s="287">
        <v>45731</v>
      </c>
      <c r="G557" s="288" t="s">
        <v>103</v>
      </c>
      <c r="H557" s="290">
        <v>1000000</v>
      </c>
      <c r="I557" s="289">
        <v>0.08</v>
      </c>
      <c r="J557" s="289">
        <v>83671.22</v>
      </c>
      <c r="K557" s="288" t="s">
        <v>103</v>
      </c>
      <c r="L557" s="292">
        <v>2.9999999999999997E-4</v>
      </c>
    </row>
    <row r="558" spans="1:12" ht="15.75" thickBot="1" x14ac:dyDescent="0.3">
      <c r="A558" s="291" t="s">
        <v>126</v>
      </c>
      <c r="B558" s="286" t="s">
        <v>467</v>
      </c>
      <c r="C558" s="286" t="s">
        <v>357</v>
      </c>
      <c r="D558" s="138" t="s">
        <v>468</v>
      </c>
      <c r="E558" s="286" t="s">
        <v>599</v>
      </c>
      <c r="F558" s="287">
        <v>46198</v>
      </c>
      <c r="G558" s="288" t="s">
        <v>103</v>
      </c>
      <c r="H558" s="290">
        <v>2430</v>
      </c>
      <c r="I558" s="289">
        <v>1013.55</v>
      </c>
      <c r="J558" s="289">
        <v>2462924.14</v>
      </c>
      <c r="K558" s="288" t="s">
        <v>103</v>
      </c>
      <c r="L558" s="292">
        <v>0.01</v>
      </c>
    </row>
    <row r="559" spans="1:12" ht="15.75" thickBot="1" x14ac:dyDescent="0.3">
      <c r="A559" s="291" t="s">
        <v>126</v>
      </c>
      <c r="B559" s="286" t="s">
        <v>416</v>
      </c>
      <c r="C559" s="286" t="s">
        <v>357</v>
      </c>
      <c r="D559" s="138" t="s">
        <v>417</v>
      </c>
      <c r="E559" s="286" t="s">
        <v>602</v>
      </c>
      <c r="F559" s="287">
        <v>46260</v>
      </c>
      <c r="G559" s="288" t="s">
        <v>103</v>
      </c>
      <c r="H559" s="290">
        <v>2246</v>
      </c>
      <c r="I559" s="289">
        <v>1005.97</v>
      </c>
      <c r="J559" s="289">
        <v>2259403.83</v>
      </c>
      <c r="K559" s="288" t="s">
        <v>103</v>
      </c>
      <c r="L559" s="292">
        <v>9.1999999999999998E-3</v>
      </c>
    </row>
    <row r="560" spans="1:12" ht="15.75" thickBot="1" x14ac:dyDescent="0.3">
      <c r="A560" s="291" t="s">
        <v>126</v>
      </c>
      <c r="B560" s="286" t="s">
        <v>136</v>
      </c>
      <c r="C560" s="286" t="s">
        <v>357</v>
      </c>
      <c r="D560" s="138" t="s">
        <v>136</v>
      </c>
      <c r="E560" s="286" t="s">
        <v>589</v>
      </c>
      <c r="F560" s="287">
        <v>46020</v>
      </c>
      <c r="G560" s="288" t="s">
        <v>103</v>
      </c>
      <c r="H560" s="290">
        <v>2612</v>
      </c>
      <c r="I560" s="289">
        <v>341.53</v>
      </c>
      <c r="J560" s="289">
        <v>892079.67</v>
      </c>
      <c r="K560" s="288" t="s">
        <v>103</v>
      </c>
      <c r="L560" s="292">
        <v>3.5999999999999999E-3</v>
      </c>
    </row>
    <row r="561" spans="1:12" ht="15.75" thickBot="1" x14ac:dyDescent="0.3">
      <c r="A561" s="291" t="s">
        <v>126</v>
      </c>
      <c r="B561" s="286" t="s">
        <v>1143</v>
      </c>
      <c r="C561" s="286" t="s">
        <v>357</v>
      </c>
      <c r="D561" s="138" t="s">
        <v>1144</v>
      </c>
      <c r="E561" s="286" t="s">
        <v>165</v>
      </c>
      <c r="F561" s="287">
        <v>46314</v>
      </c>
      <c r="G561" s="288" t="s">
        <v>103</v>
      </c>
      <c r="H561" s="290">
        <v>2337</v>
      </c>
      <c r="I561" s="289">
        <v>1065.8</v>
      </c>
      <c r="J561" s="289">
        <v>2490781.7200000002</v>
      </c>
      <c r="K561" s="288" t="s">
        <v>103</v>
      </c>
      <c r="L561" s="292">
        <v>1.01E-2</v>
      </c>
    </row>
    <row r="562" spans="1:12" ht="15.75" thickBot="1" x14ac:dyDescent="0.3">
      <c r="A562" s="291" t="s">
        <v>126</v>
      </c>
      <c r="B562" s="286" t="s">
        <v>1237</v>
      </c>
      <c r="C562" s="286" t="s">
        <v>357</v>
      </c>
      <c r="D562" s="138" t="s">
        <v>1238</v>
      </c>
      <c r="E562" s="286" t="s">
        <v>165</v>
      </c>
      <c r="F562" s="287">
        <v>47834</v>
      </c>
      <c r="G562" s="288" t="s">
        <v>103</v>
      </c>
      <c r="H562" s="290">
        <v>1204</v>
      </c>
      <c r="I562" s="289">
        <v>1025.6300000000001</v>
      </c>
      <c r="J562" s="289">
        <v>1234863.6599999999</v>
      </c>
      <c r="K562" s="288" t="s">
        <v>103</v>
      </c>
      <c r="L562" s="292">
        <v>5.0000000000000001E-3</v>
      </c>
    </row>
    <row r="563" spans="1:12" ht="15.75" thickBot="1" x14ac:dyDescent="0.3">
      <c r="A563" s="291" t="s">
        <v>126</v>
      </c>
      <c r="B563" s="286" t="s">
        <v>1145</v>
      </c>
      <c r="C563" s="286" t="s">
        <v>357</v>
      </c>
      <c r="D563" s="138" t="s">
        <v>1094</v>
      </c>
      <c r="E563" s="286" t="s">
        <v>165</v>
      </c>
      <c r="F563" s="287">
        <v>46613</v>
      </c>
      <c r="G563" s="288" t="s">
        <v>103</v>
      </c>
      <c r="H563" s="290">
        <v>1908</v>
      </c>
      <c r="I563" s="289">
        <v>1004.1</v>
      </c>
      <c r="J563" s="289">
        <v>1915820.8</v>
      </c>
      <c r="K563" s="288" t="s">
        <v>103</v>
      </c>
      <c r="L563" s="292">
        <v>7.7999999999999996E-3</v>
      </c>
    </row>
    <row r="564" spans="1:12" ht="15.75" thickBot="1" x14ac:dyDescent="0.3">
      <c r="A564" s="291" t="s">
        <v>126</v>
      </c>
      <c r="B564" s="286" t="s">
        <v>256</v>
      </c>
      <c r="C564" s="286" t="s">
        <v>357</v>
      </c>
      <c r="D564" s="138" t="s">
        <v>257</v>
      </c>
      <c r="E564" s="286" t="s">
        <v>603</v>
      </c>
      <c r="F564" s="287">
        <v>46202</v>
      </c>
      <c r="G564" s="288" t="s">
        <v>103</v>
      </c>
      <c r="H564" s="290">
        <v>2000000</v>
      </c>
      <c r="I564" s="289">
        <v>0.02</v>
      </c>
      <c r="J564" s="289">
        <v>41544.32</v>
      </c>
      <c r="K564" s="288" t="s">
        <v>103</v>
      </c>
      <c r="L564" s="292">
        <v>2.0000000000000001E-4</v>
      </c>
    </row>
    <row r="565" spans="1:12" ht="15.75" thickBot="1" x14ac:dyDescent="0.3">
      <c r="A565" s="291" t="s">
        <v>126</v>
      </c>
      <c r="B565" s="286" t="s">
        <v>1096</v>
      </c>
      <c r="C565" s="286" t="s">
        <v>357</v>
      </c>
      <c r="D565" s="138" t="s">
        <v>1097</v>
      </c>
      <c r="E565" s="286" t="s">
        <v>165</v>
      </c>
      <c r="F565" s="288" t="s">
        <v>103</v>
      </c>
      <c r="G565" s="288" t="s">
        <v>103</v>
      </c>
      <c r="H565" s="288">
        <v>32</v>
      </c>
      <c r="I565" s="289">
        <v>38606.480000000003</v>
      </c>
      <c r="J565" s="289">
        <v>1235407.49</v>
      </c>
      <c r="K565" s="288" t="s">
        <v>103</v>
      </c>
      <c r="L565" s="292">
        <v>5.0000000000000001E-3</v>
      </c>
    </row>
    <row r="566" spans="1:12" ht="15.75" thickBot="1" x14ac:dyDescent="0.3">
      <c r="A566" s="291" t="s">
        <v>127</v>
      </c>
      <c r="B566" s="286" t="s">
        <v>1152</v>
      </c>
      <c r="C566" s="286" t="s">
        <v>357</v>
      </c>
      <c r="D566" s="138" t="s">
        <v>911</v>
      </c>
      <c r="E566" s="286" t="s">
        <v>913</v>
      </c>
      <c r="F566" s="287">
        <v>47257</v>
      </c>
      <c r="G566" s="288" t="s">
        <v>103</v>
      </c>
      <c r="H566" s="290">
        <v>1712</v>
      </c>
      <c r="I566" s="289">
        <v>1046.6099999999999</v>
      </c>
      <c r="J566" s="289">
        <v>1791789.54</v>
      </c>
      <c r="K566" s="288" t="s">
        <v>103</v>
      </c>
      <c r="L566" s="292">
        <v>7.3000000000000001E-3</v>
      </c>
    </row>
    <row r="567" spans="1:12" ht="15.75" thickBot="1" x14ac:dyDescent="0.3">
      <c r="A567" s="291" t="s">
        <v>127</v>
      </c>
      <c r="B567" s="286" t="s">
        <v>38</v>
      </c>
      <c r="C567" s="286" t="s">
        <v>357</v>
      </c>
      <c r="D567" s="138" t="s">
        <v>1063</v>
      </c>
      <c r="E567" s="286" t="s">
        <v>1067</v>
      </c>
      <c r="F567" s="287">
        <v>47645</v>
      </c>
      <c r="G567" s="288" t="s">
        <v>1485</v>
      </c>
      <c r="H567" s="290">
        <v>1357</v>
      </c>
      <c r="I567" s="289">
        <v>1032.24</v>
      </c>
      <c r="J567" s="289">
        <v>1400746.88</v>
      </c>
      <c r="K567" s="288" t="s">
        <v>103</v>
      </c>
      <c r="L567" s="292">
        <v>5.7000000000000002E-3</v>
      </c>
    </row>
    <row r="568" spans="1:12" ht="15.75" thickBot="1" x14ac:dyDescent="0.3">
      <c r="A568" s="291" t="s">
        <v>127</v>
      </c>
      <c r="B568" s="286" t="s">
        <v>38</v>
      </c>
      <c r="C568" s="286" t="s">
        <v>357</v>
      </c>
      <c r="D568" s="138" t="s">
        <v>238</v>
      </c>
      <c r="E568" s="286" t="s">
        <v>878</v>
      </c>
      <c r="F568" s="287">
        <v>46096</v>
      </c>
      <c r="G568" s="288" t="s">
        <v>1486</v>
      </c>
      <c r="H568" s="288">
        <v>663</v>
      </c>
      <c r="I568" s="289">
        <v>712.31</v>
      </c>
      <c r="J568" s="289">
        <v>472260.75</v>
      </c>
      <c r="K568" s="288" t="s">
        <v>103</v>
      </c>
      <c r="L568" s="292">
        <v>1.9E-3</v>
      </c>
    </row>
    <row r="569" spans="1:12" ht="15.75" thickBot="1" x14ac:dyDescent="0.3">
      <c r="A569" s="291" t="s">
        <v>127</v>
      </c>
      <c r="B569" s="286" t="s">
        <v>258</v>
      </c>
      <c r="C569" s="286" t="s">
        <v>357</v>
      </c>
      <c r="D569" s="138" t="s">
        <v>259</v>
      </c>
      <c r="E569" s="286" t="s">
        <v>812</v>
      </c>
      <c r="F569" s="287">
        <v>48168</v>
      </c>
      <c r="G569" s="288" t="s">
        <v>1401</v>
      </c>
      <c r="H569" s="288">
        <v>490</v>
      </c>
      <c r="I569" s="289">
        <v>1059.46</v>
      </c>
      <c r="J569" s="289">
        <v>519137.65</v>
      </c>
      <c r="K569" s="288" t="s">
        <v>103</v>
      </c>
      <c r="L569" s="292">
        <v>2.0999999999999999E-3</v>
      </c>
    </row>
    <row r="570" spans="1:12" ht="15.75" thickBot="1" x14ac:dyDescent="0.3">
      <c r="A570" s="291" t="s">
        <v>127</v>
      </c>
      <c r="B570" s="286" t="s">
        <v>354</v>
      </c>
      <c r="C570" s="286" t="s">
        <v>357</v>
      </c>
      <c r="D570" s="138" t="s">
        <v>957</v>
      </c>
      <c r="E570" s="286" t="s">
        <v>959</v>
      </c>
      <c r="F570" s="287">
        <v>47234</v>
      </c>
      <c r="G570" s="288" t="s">
        <v>103</v>
      </c>
      <c r="H570" s="290">
        <v>3078</v>
      </c>
      <c r="I570" s="289">
        <v>1059.28</v>
      </c>
      <c r="J570" s="289">
        <v>3260473.22</v>
      </c>
      <c r="K570" s="288" t="s">
        <v>103</v>
      </c>
      <c r="L570" s="292">
        <v>1.3299999999999999E-2</v>
      </c>
    </row>
    <row r="571" spans="1:12" ht="15.75" thickBot="1" x14ac:dyDescent="0.3">
      <c r="A571" s="291" t="s">
        <v>127</v>
      </c>
      <c r="B571" s="286" t="s">
        <v>48</v>
      </c>
      <c r="C571" s="286" t="s">
        <v>357</v>
      </c>
      <c r="D571" s="138" t="s">
        <v>296</v>
      </c>
      <c r="E571" s="286" t="s">
        <v>842</v>
      </c>
      <c r="F571" s="287">
        <v>73051</v>
      </c>
      <c r="G571" s="288" t="s">
        <v>103</v>
      </c>
      <c r="H571" s="290">
        <v>29528</v>
      </c>
      <c r="I571" s="289">
        <v>34.56</v>
      </c>
      <c r="J571" s="289">
        <v>1020482.22</v>
      </c>
      <c r="K571" s="288" t="s">
        <v>103</v>
      </c>
      <c r="L571" s="292">
        <v>4.1999999999999997E-3</v>
      </c>
    </row>
    <row r="572" spans="1:12" ht="15.75" thickBot="1" x14ac:dyDescent="0.3">
      <c r="A572" s="291" t="s">
        <v>127</v>
      </c>
      <c r="B572" s="286" t="s">
        <v>759</v>
      </c>
      <c r="C572" s="286" t="s">
        <v>357</v>
      </c>
      <c r="D572" s="138" t="s">
        <v>760</v>
      </c>
      <c r="E572" s="286" t="s">
        <v>763</v>
      </c>
      <c r="F572" s="287">
        <v>46959</v>
      </c>
      <c r="G572" s="288" t="s">
        <v>1496</v>
      </c>
      <c r="H572" s="290">
        <v>1080</v>
      </c>
      <c r="I572" s="289">
        <v>849.88</v>
      </c>
      <c r="J572" s="289">
        <v>917868.38</v>
      </c>
      <c r="K572" s="288" t="s">
        <v>103</v>
      </c>
      <c r="L572" s="292">
        <v>3.7000000000000002E-3</v>
      </c>
    </row>
    <row r="573" spans="1:12" ht="15.75" thickBot="1" x14ac:dyDescent="0.3">
      <c r="A573" s="291" t="s">
        <v>127</v>
      </c>
      <c r="B573" s="286" t="s">
        <v>37</v>
      </c>
      <c r="C573" s="286" t="s">
        <v>357</v>
      </c>
      <c r="D573" s="138" t="s">
        <v>260</v>
      </c>
      <c r="E573" s="286" t="s">
        <v>1002</v>
      </c>
      <c r="F573" s="287">
        <v>47065</v>
      </c>
      <c r="G573" s="288" t="s">
        <v>1415</v>
      </c>
      <c r="H573" s="290">
        <v>2949</v>
      </c>
      <c r="I573" s="289">
        <v>1058.49</v>
      </c>
      <c r="J573" s="289">
        <v>3121488.26</v>
      </c>
      <c r="K573" s="288" t="s">
        <v>103</v>
      </c>
      <c r="L573" s="292">
        <v>1.2699999999999999E-2</v>
      </c>
    </row>
    <row r="574" spans="1:12" ht="15.75" thickBot="1" x14ac:dyDescent="0.3">
      <c r="A574" s="291" t="s">
        <v>127</v>
      </c>
      <c r="B574" s="286" t="s">
        <v>295</v>
      </c>
      <c r="C574" s="286" t="s">
        <v>357</v>
      </c>
      <c r="D574" s="138" t="s">
        <v>300</v>
      </c>
      <c r="E574" s="286" t="s">
        <v>1164</v>
      </c>
      <c r="F574" s="287">
        <v>47863</v>
      </c>
      <c r="G574" s="288" t="s">
        <v>1501</v>
      </c>
      <c r="H574" s="290">
        <v>2847</v>
      </c>
      <c r="I574" s="289">
        <v>940.12</v>
      </c>
      <c r="J574" s="289">
        <v>2676519.63</v>
      </c>
      <c r="K574" s="288" t="s">
        <v>103</v>
      </c>
      <c r="L574" s="292">
        <v>1.09E-2</v>
      </c>
    </row>
    <row r="575" spans="1:12" ht="15.75" thickBot="1" x14ac:dyDescent="0.3">
      <c r="A575" s="291" t="s">
        <v>127</v>
      </c>
      <c r="B575" s="286" t="s">
        <v>295</v>
      </c>
      <c r="C575" s="286" t="s">
        <v>357</v>
      </c>
      <c r="D575" s="138" t="s">
        <v>508</v>
      </c>
      <c r="E575" s="286" t="s">
        <v>1047</v>
      </c>
      <c r="F575" s="287">
        <v>47472</v>
      </c>
      <c r="G575" s="288" t="s">
        <v>1406</v>
      </c>
      <c r="H575" s="288">
        <v>583</v>
      </c>
      <c r="I575" s="289">
        <v>941.28</v>
      </c>
      <c r="J575" s="289">
        <v>548768.5</v>
      </c>
      <c r="K575" s="288" t="s">
        <v>103</v>
      </c>
      <c r="L575" s="292">
        <v>2.2000000000000001E-3</v>
      </c>
    </row>
    <row r="576" spans="1:12" ht="15.75" thickBot="1" x14ac:dyDescent="0.3">
      <c r="A576" s="291" t="s">
        <v>127</v>
      </c>
      <c r="B576" s="286" t="s">
        <v>208</v>
      </c>
      <c r="C576" s="286" t="s">
        <v>357</v>
      </c>
      <c r="D576" s="138" t="s">
        <v>185</v>
      </c>
      <c r="E576" s="286" t="s">
        <v>1104</v>
      </c>
      <c r="F576" s="287">
        <v>46893</v>
      </c>
      <c r="G576" s="288" t="s">
        <v>1502</v>
      </c>
      <c r="H576" s="290">
        <v>2138</v>
      </c>
      <c r="I576" s="289">
        <v>1044.05</v>
      </c>
      <c r="J576" s="289">
        <v>2232189.1800000002</v>
      </c>
      <c r="K576" s="288" t="s">
        <v>103</v>
      </c>
      <c r="L576" s="292">
        <v>9.1000000000000004E-3</v>
      </c>
    </row>
    <row r="577" spans="1:12" ht="15.75" thickBot="1" x14ac:dyDescent="0.3">
      <c r="A577" s="291" t="s">
        <v>127</v>
      </c>
      <c r="B577" s="286" t="s">
        <v>208</v>
      </c>
      <c r="C577" s="286" t="s">
        <v>357</v>
      </c>
      <c r="D577" s="138" t="s">
        <v>1003</v>
      </c>
      <c r="E577" s="286" t="s">
        <v>1005</v>
      </c>
      <c r="F577" s="287">
        <v>47289</v>
      </c>
      <c r="G577" s="288" t="s">
        <v>1407</v>
      </c>
      <c r="H577" s="288">
        <v>251</v>
      </c>
      <c r="I577" s="289">
        <v>1010.88</v>
      </c>
      <c r="J577" s="289">
        <v>253731.79</v>
      </c>
      <c r="K577" s="288" t="s">
        <v>103</v>
      </c>
      <c r="L577" s="292">
        <v>1E-3</v>
      </c>
    </row>
    <row r="578" spans="1:12" ht="15.75" thickBot="1" x14ac:dyDescent="0.3">
      <c r="A578" s="291" t="s">
        <v>127</v>
      </c>
      <c r="B578" s="286" t="s">
        <v>230</v>
      </c>
      <c r="C578" s="286" t="s">
        <v>357</v>
      </c>
      <c r="D578" s="138" t="s">
        <v>327</v>
      </c>
      <c r="E578" s="286" t="s">
        <v>638</v>
      </c>
      <c r="F578" s="287">
        <v>46506</v>
      </c>
      <c r="G578" s="288" t="s">
        <v>1503</v>
      </c>
      <c r="H578" s="290">
        <v>1522</v>
      </c>
      <c r="I578" s="289">
        <v>1051.98</v>
      </c>
      <c r="J578" s="289">
        <v>1601120.59</v>
      </c>
      <c r="K578" s="288" t="s">
        <v>103</v>
      </c>
      <c r="L578" s="292">
        <v>6.4999999999999997E-3</v>
      </c>
    </row>
    <row r="579" spans="1:12" ht="15.75" thickBot="1" x14ac:dyDescent="0.3">
      <c r="A579" s="291" t="s">
        <v>127</v>
      </c>
      <c r="B579" s="286" t="s">
        <v>8</v>
      </c>
      <c r="C579" s="286" t="s">
        <v>357</v>
      </c>
      <c r="D579" s="138" t="s">
        <v>137</v>
      </c>
      <c r="E579" s="286" t="s">
        <v>642</v>
      </c>
      <c r="F579" s="287">
        <v>46371</v>
      </c>
      <c r="G579" s="288" t="s">
        <v>1506</v>
      </c>
      <c r="H579" s="290">
        <v>3249</v>
      </c>
      <c r="I579" s="289">
        <v>694.57</v>
      </c>
      <c r="J579" s="289">
        <v>2256657.9300000002</v>
      </c>
      <c r="K579" s="288" t="s">
        <v>103</v>
      </c>
      <c r="L579" s="292">
        <v>9.1999999999999998E-3</v>
      </c>
    </row>
    <row r="580" spans="1:12" ht="15.75" thickBot="1" x14ac:dyDescent="0.3">
      <c r="A580" s="291" t="s">
        <v>127</v>
      </c>
      <c r="B580" s="286" t="s">
        <v>231</v>
      </c>
      <c r="C580" s="286" t="s">
        <v>357</v>
      </c>
      <c r="D580" s="138" t="s">
        <v>221</v>
      </c>
      <c r="E580" s="286" t="s">
        <v>643</v>
      </c>
      <c r="F580" s="287">
        <v>48080</v>
      </c>
      <c r="G580" s="288" t="s">
        <v>1438</v>
      </c>
      <c r="H580" s="290">
        <v>1822</v>
      </c>
      <c r="I580" s="289">
        <v>1026.3</v>
      </c>
      <c r="J580" s="289">
        <v>1869921.83</v>
      </c>
      <c r="K580" s="288" t="s">
        <v>103</v>
      </c>
      <c r="L580" s="292">
        <v>7.6E-3</v>
      </c>
    </row>
    <row r="581" spans="1:12" ht="15.75" thickBot="1" x14ac:dyDescent="0.3">
      <c r="A581" s="291" t="s">
        <v>127</v>
      </c>
      <c r="B581" s="286" t="s">
        <v>231</v>
      </c>
      <c r="C581" s="286" t="s">
        <v>357</v>
      </c>
      <c r="D581" s="138" t="s">
        <v>261</v>
      </c>
      <c r="E581" s="286" t="s">
        <v>644</v>
      </c>
      <c r="F581" s="287">
        <v>48080</v>
      </c>
      <c r="G581" s="288" t="s">
        <v>1438</v>
      </c>
      <c r="H581" s="290">
        <v>1447</v>
      </c>
      <c r="I581" s="289">
        <v>1024.9000000000001</v>
      </c>
      <c r="J581" s="289">
        <v>1483036.94</v>
      </c>
      <c r="K581" s="288" t="s">
        <v>103</v>
      </c>
      <c r="L581" s="292">
        <v>6.0000000000000001E-3</v>
      </c>
    </row>
    <row r="582" spans="1:12" ht="15.75" thickBot="1" x14ac:dyDescent="0.3">
      <c r="A582" s="291" t="s">
        <v>127</v>
      </c>
      <c r="B582" s="286" t="s">
        <v>428</v>
      </c>
      <c r="C582" s="286" t="s">
        <v>357</v>
      </c>
      <c r="D582" s="138" t="s">
        <v>349</v>
      </c>
      <c r="E582" s="286" t="s">
        <v>1108</v>
      </c>
      <c r="F582" s="287">
        <v>46541</v>
      </c>
      <c r="G582" s="288" t="s">
        <v>1507</v>
      </c>
      <c r="H582" s="290">
        <v>4766</v>
      </c>
      <c r="I582" s="289">
        <v>747.71</v>
      </c>
      <c r="J582" s="289">
        <v>3563564.56</v>
      </c>
      <c r="K582" s="288" t="s">
        <v>103</v>
      </c>
      <c r="L582" s="292">
        <v>1.4500000000000001E-2</v>
      </c>
    </row>
    <row r="583" spans="1:12" ht="15.75" thickBot="1" x14ac:dyDescent="0.3">
      <c r="A583" s="291" t="s">
        <v>127</v>
      </c>
      <c r="B583" s="286" t="s">
        <v>505</v>
      </c>
      <c r="C583" s="286" t="s">
        <v>357</v>
      </c>
      <c r="D583" s="138" t="s">
        <v>764</v>
      </c>
      <c r="E583" s="286" t="s">
        <v>766</v>
      </c>
      <c r="F583" s="287">
        <v>46614</v>
      </c>
      <c r="G583" s="288" t="s">
        <v>1431</v>
      </c>
      <c r="H583" s="290">
        <v>1373</v>
      </c>
      <c r="I583" s="289">
        <v>1023.98</v>
      </c>
      <c r="J583" s="289">
        <v>1405928.18</v>
      </c>
      <c r="K583" s="288" t="s">
        <v>103</v>
      </c>
      <c r="L583" s="292">
        <v>5.7000000000000002E-3</v>
      </c>
    </row>
    <row r="584" spans="1:12" ht="15.75" thickBot="1" x14ac:dyDescent="0.3">
      <c r="A584" s="291" t="s">
        <v>127</v>
      </c>
      <c r="B584" s="286" t="s">
        <v>372</v>
      </c>
      <c r="C584" s="286" t="s">
        <v>357</v>
      </c>
      <c r="D584" s="138" t="s">
        <v>373</v>
      </c>
      <c r="E584" s="286" t="s">
        <v>1247</v>
      </c>
      <c r="F584" s="287">
        <v>45823</v>
      </c>
      <c r="G584" s="288" t="s">
        <v>1511</v>
      </c>
      <c r="H584" s="290">
        <v>1617</v>
      </c>
      <c r="I584" s="289">
        <v>1029.58</v>
      </c>
      <c r="J584" s="289">
        <v>1664822.88</v>
      </c>
      <c r="K584" s="288" t="s">
        <v>103</v>
      </c>
      <c r="L584" s="292">
        <v>6.7999999999999996E-3</v>
      </c>
    </row>
    <row r="585" spans="1:12" ht="15.75" thickBot="1" x14ac:dyDescent="0.3">
      <c r="A585" s="291" t="s">
        <v>127</v>
      </c>
      <c r="B585" s="286" t="s">
        <v>778</v>
      </c>
      <c r="C585" s="286" t="s">
        <v>357</v>
      </c>
      <c r="D585" s="138" t="s">
        <v>440</v>
      </c>
      <c r="E585" s="286" t="s">
        <v>658</v>
      </c>
      <c r="F585" s="287">
        <v>48470</v>
      </c>
      <c r="G585" s="288" t="s">
        <v>1401</v>
      </c>
      <c r="H585" s="290">
        <v>3809</v>
      </c>
      <c r="I585" s="289">
        <v>1095.9000000000001</v>
      </c>
      <c r="J585" s="289">
        <v>4174278.29</v>
      </c>
      <c r="K585" s="288" t="s">
        <v>103</v>
      </c>
      <c r="L585" s="292">
        <v>1.7000000000000001E-2</v>
      </c>
    </row>
    <row r="586" spans="1:12" ht="15.75" thickBot="1" x14ac:dyDescent="0.3">
      <c r="A586" s="291" t="s">
        <v>127</v>
      </c>
      <c r="B586" s="286" t="s">
        <v>1410</v>
      </c>
      <c r="C586" s="286" t="s">
        <v>357</v>
      </c>
      <c r="D586" s="138" t="s">
        <v>7</v>
      </c>
      <c r="E586" s="286" t="s">
        <v>661</v>
      </c>
      <c r="F586" s="287">
        <v>46595</v>
      </c>
      <c r="G586" s="288" t="s">
        <v>1516</v>
      </c>
      <c r="H586" s="290">
        <v>2016</v>
      </c>
      <c r="I586" s="289">
        <v>956.99</v>
      </c>
      <c r="J586" s="289">
        <v>1929298.61</v>
      </c>
      <c r="K586" s="288" t="s">
        <v>103</v>
      </c>
      <c r="L586" s="292">
        <v>7.9000000000000008E-3</v>
      </c>
    </row>
    <row r="587" spans="1:12" ht="15.75" thickBot="1" x14ac:dyDescent="0.3">
      <c r="A587" s="291" t="s">
        <v>127</v>
      </c>
      <c r="B587" s="286" t="s">
        <v>513</v>
      </c>
      <c r="C587" s="286" t="s">
        <v>357</v>
      </c>
      <c r="D587" s="138" t="s">
        <v>514</v>
      </c>
      <c r="E587" s="286" t="s">
        <v>753</v>
      </c>
      <c r="F587" s="287">
        <v>46310</v>
      </c>
      <c r="G587" s="288" t="s">
        <v>1517</v>
      </c>
      <c r="H587" s="288">
        <v>985</v>
      </c>
      <c r="I587" s="289">
        <v>1044.98</v>
      </c>
      <c r="J587" s="289">
        <v>1029305.69</v>
      </c>
      <c r="K587" s="288" t="s">
        <v>103</v>
      </c>
      <c r="L587" s="292">
        <v>4.1999999999999997E-3</v>
      </c>
    </row>
    <row r="588" spans="1:12" ht="15.75" thickBot="1" x14ac:dyDescent="0.3">
      <c r="A588" s="291" t="s">
        <v>127</v>
      </c>
      <c r="B588" s="286" t="s">
        <v>1358</v>
      </c>
      <c r="C588" s="286" t="s">
        <v>357</v>
      </c>
      <c r="D588" s="138" t="s">
        <v>331</v>
      </c>
      <c r="E588" s="286" t="s">
        <v>619</v>
      </c>
      <c r="F588" s="287">
        <v>46893</v>
      </c>
      <c r="G588" s="288" t="s">
        <v>1502</v>
      </c>
      <c r="H588" s="290">
        <v>5000</v>
      </c>
      <c r="I588" s="289">
        <v>1044.81</v>
      </c>
      <c r="J588" s="289">
        <v>5224026.46</v>
      </c>
      <c r="K588" s="288" t="s">
        <v>103</v>
      </c>
      <c r="L588" s="292">
        <v>2.1299999999999999E-2</v>
      </c>
    </row>
    <row r="589" spans="1:12" ht="15.75" thickBot="1" x14ac:dyDescent="0.3">
      <c r="A589" s="291" t="s">
        <v>127</v>
      </c>
      <c r="B589" s="286" t="s">
        <v>1358</v>
      </c>
      <c r="C589" s="286" t="s">
        <v>357</v>
      </c>
      <c r="D589" s="138" t="s">
        <v>326</v>
      </c>
      <c r="E589" s="286" t="s">
        <v>165</v>
      </c>
      <c r="F589" s="287">
        <v>46492</v>
      </c>
      <c r="G589" s="288" t="s">
        <v>103</v>
      </c>
      <c r="H589" s="290">
        <v>2088</v>
      </c>
      <c r="I589" s="289">
        <v>1057.8599999999999</v>
      </c>
      <c r="J589" s="289">
        <v>2208807.62</v>
      </c>
      <c r="K589" s="288" t="s">
        <v>103</v>
      </c>
      <c r="L589" s="292">
        <v>8.9999999999999993E-3</v>
      </c>
    </row>
    <row r="590" spans="1:12" ht="15.75" thickBot="1" x14ac:dyDescent="0.3">
      <c r="A590" s="291" t="s">
        <v>127</v>
      </c>
      <c r="B590" s="286" t="s">
        <v>1358</v>
      </c>
      <c r="C590" s="286" t="s">
        <v>357</v>
      </c>
      <c r="D590" s="138" t="s">
        <v>288</v>
      </c>
      <c r="E590" s="286" t="s">
        <v>666</v>
      </c>
      <c r="F590" s="287">
        <v>47174</v>
      </c>
      <c r="G590" s="288" t="s">
        <v>1519</v>
      </c>
      <c r="H590" s="290">
        <v>1627</v>
      </c>
      <c r="I590" s="289">
        <v>1014.39</v>
      </c>
      <c r="J590" s="289">
        <v>1650410.41</v>
      </c>
      <c r="K590" s="288" t="s">
        <v>103</v>
      </c>
      <c r="L590" s="292">
        <v>6.7000000000000002E-3</v>
      </c>
    </row>
    <row r="591" spans="1:12" ht="15.75" thickBot="1" x14ac:dyDescent="0.3">
      <c r="A591" s="291" t="s">
        <v>127</v>
      </c>
      <c r="B591" s="286" t="s">
        <v>1359</v>
      </c>
      <c r="C591" s="286" t="s">
        <v>357</v>
      </c>
      <c r="D591" s="138" t="s">
        <v>210</v>
      </c>
      <c r="E591" s="286" t="s">
        <v>165</v>
      </c>
      <c r="F591" s="287">
        <v>48531</v>
      </c>
      <c r="G591" s="288" t="s">
        <v>103</v>
      </c>
      <c r="H591" s="290">
        <v>21752</v>
      </c>
      <c r="I591" s="289">
        <v>56.46</v>
      </c>
      <c r="J591" s="289">
        <v>1228197.1200000001</v>
      </c>
      <c r="K591" s="288" t="s">
        <v>103</v>
      </c>
      <c r="L591" s="292">
        <v>5.0000000000000001E-3</v>
      </c>
    </row>
    <row r="592" spans="1:12" ht="15.75" thickBot="1" x14ac:dyDescent="0.3">
      <c r="A592" s="291" t="s">
        <v>127</v>
      </c>
      <c r="B592" s="286" t="s">
        <v>1359</v>
      </c>
      <c r="C592" s="286" t="s">
        <v>357</v>
      </c>
      <c r="D592" s="138" t="s">
        <v>1181</v>
      </c>
      <c r="E592" s="286" t="s">
        <v>165</v>
      </c>
      <c r="F592" s="287">
        <v>46630</v>
      </c>
      <c r="G592" s="288" t="s">
        <v>103</v>
      </c>
      <c r="H592" s="290">
        <v>75934</v>
      </c>
      <c r="I592" s="289">
        <v>7.96</v>
      </c>
      <c r="J592" s="289">
        <v>604434.64</v>
      </c>
      <c r="K592" s="288" t="s">
        <v>103</v>
      </c>
      <c r="L592" s="292">
        <v>2.5000000000000001E-3</v>
      </c>
    </row>
    <row r="593" spans="1:12" ht="15.75" thickBot="1" x14ac:dyDescent="0.3">
      <c r="A593" s="291" t="s">
        <v>127</v>
      </c>
      <c r="B593" s="286" t="s">
        <v>1359</v>
      </c>
      <c r="C593" s="286" t="s">
        <v>357</v>
      </c>
      <c r="D593" s="138" t="s">
        <v>1182</v>
      </c>
      <c r="E593" s="286" t="s">
        <v>165</v>
      </c>
      <c r="F593" s="287">
        <v>50357</v>
      </c>
      <c r="G593" s="288" t="s">
        <v>103</v>
      </c>
      <c r="H593" s="290">
        <v>9128</v>
      </c>
      <c r="I593" s="289">
        <v>26.66</v>
      </c>
      <c r="J593" s="289">
        <v>243353.39</v>
      </c>
      <c r="K593" s="288" t="s">
        <v>103</v>
      </c>
      <c r="L593" s="292">
        <v>1E-3</v>
      </c>
    </row>
    <row r="594" spans="1:12" ht="15.75" thickBot="1" x14ac:dyDescent="0.3">
      <c r="A594" s="291" t="s">
        <v>127</v>
      </c>
      <c r="B594" s="286" t="s">
        <v>35</v>
      </c>
      <c r="C594" s="286" t="s">
        <v>357</v>
      </c>
      <c r="D594" s="138" t="s">
        <v>3</v>
      </c>
      <c r="E594" s="286" t="s">
        <v>669</v>
      </c>
      <c r="F594" s="287">
        <v>47196</v>
      </c>
      <c r="G594" s="288" t="s">
        <v>1520</v>
      </c>
      <c r="H594" s="288">
        <v>222</v>
      </c>
      <c r="I594" s="289">
        <v>10895.87</v>
      </c>
      <c r="J594" s="289">
        <v>2418883.4900000002</v>
      </c>
      <c r="K594" s="288" t="s">
        <v>103</v>
      </c>
      <c r="L594" s="292">
        <v>9.9000000000000008E-3</v>
      </c>
    </row>
    <row r="595" spans="1:12" ht="15.75" thickBot="1" x14ac:dyDescent="0.3">
      <c r="A595" s="291" t="s">
        <v>127</v>
      </c>
      <c r="B595" s="286" t="s">
        <v>309</v>
      </c>
      <c r="C595" s="286" t="s">
        <v>357</v>
      </c>
      <c r="D595" s="138" t="s">
        <v>310</v>
      </c>
      <c r="E595" s="286" t="s">
        <v>670</v>
      </c>
      <c r="F595" s="287">
        <v>48014</v>
      </c>
      <c r="G595" s="288" t="s">
        <v>1522</v>
      </c>
      <c r="H595" s="290">
        <v>2305</v>
      </c>
      <c r="I595" s="289">
        <v>1056.77</v>
      </c>
      <c r="J595" s="289">
        <v>2435853.38</v>
      </c>
      <c r="K595" s="288" t="s">
        <v>103</v>
      </c>
      <c r="L595" s="292">
        <v>9.9000000000000008E-3</v>
      </c>
    </row>
    <row r="596" spans="1:12" ht="15.75" thickBot="1" x14ac:dyDescent="0.3">
      <c r="A596" s="291" t="s">
        <v>127</v>
      </c>
      <c r="B596" s="286" t="s">
        <v>427</v>
      </c>
      <c r="C596" s="286" t="s">
        <v>357</v>
      </c>
      <c r="D596" s="138" t="s">
        <v>469</v>
      </c>
      <c r="E596" s="286" t="s">
        <v>835</v>
      </c>
      <c r="F596" s="287">
        <v>46588</v>
      </c>
      <c r="G596" s="288" t="s">
        <v>1524</v>
      </c>
      <c r="H596" s="290">
        <v>2385</v>
      </c>
      <c r="I596" s="289">
        <v>1024.76</v>
      </c>
      <c r="J596" s="289">
        <v>2444058.89</v>
      </c>
      <c r="K596" s="288" t="s">
        <v>103</v>
      </c>
      <c r="L596" s="292">
        <v>0.01</v>
      </c>
    </row>
    <row r="597" spans="1:12" ht="15.75" thickBot="1" x14ac:dyDescent="0.3">
      <c r="A597" s="291" t="s">
        <v>127</v>
      </c>
      <c r="B597" s="286" t="s">
        <v>267</v>
      </c>
      <c r="C597" s="286" t="s">
        <v>357</v>
      </c>
      <c r="D597" s="138" t="s">
        <v>268</v>
      </c>
      <c r="E597" s="286" t="s">
        <v>675</v>
      </c>
      <c r="F597" s="287">
        <v>47238</v>
      </c>
      <c r="G597" s="288" t="s">
        <v>1525</v>
      </c>
      <c r="H597" s="290">
        <v>5544</v>
      </c>
      <c r="I597" s="289">
        <v>1049.1099999999999</v>
      </c>
      <c r="J597" s="289">
        <v>5816289.21</v>
      </c>
      <c r="K597" s="288" t="s">
        <v>103</v>
      </c>
      <c r="L597" s="292">
        <v>2.3699999999999999E-2</v>
      </c>
    </row>
    <row r="598" spans="1:12" ht="15.75" thickBot="1" x14ac:dyDescent="0.3">
      <c r="A598" s="291" t="s">
        <v>127</v>
      </c>
      <c r="B598" s="286" t="s">
        <v>1166</v>
      </c>
      <c r="C598" s="286" t="s">
        <v>357</v>
      </c>
      <c r="D598" s="138" t="s">
        <v>1167</v>
      </c>
      <c r="E598" s="286" t="s">
        <v>1169</v>
      </c>
      <c r="F598" s="287">
        <v>49475</v>
      </c>
      <c r="G598" s="288" t="s">
        <v>1529</v>
      </c>
      <c r="H598" s="290">
        <v>2375</v>
      </c>
      <c r="I598" s="289">
        <v>1028.8</v>
      </c>
      <c r="J598" s="289">
        <v>2443401.9700000002</v>
      </c>
      <c r="K598" s="288" t="s">
        <v>103</v>
      </c>
      <c r="L598" s="292">
        <v>9.9000000000000008E-3</v>
      </c>
    </row>
    <row r="599" spans="1:12" ht="15.75" thickBot="1" x14ac:dyDescent="0.3">
      <c r="A599" s="291" t="s">
        <v>127</v>
      </c>
      <c r="B599" s="286" t="s">
        <v>758</v>
      </c>
      <c r="C599" s="286" t="s">
        <v>357</v>
      </c>
      <c r="D599" s="138" t="s">
        <v>1113</v>
      </c>
      <c r="E599" s="286" t="s">
        <v>1118</v>
      </c>
      <c r="F599" s="287">
        <v>47741</v>
      </c>
      <c r="G599" s="288" t="s">
        <v>1421</v>
      </c>
      <c r="H599" s="288">
        <v>821</v>
      </c>
      <c r="I599" s="289">
        <v>1049.78</v>
      </c>
      <c r="J599" s="289">
        <v>861868.93</v>
      </c>
      <c r="K599" s="288" t="s">
        <v>103</v>
      </c>
      <c r="L599" s="292">
        <v>3.5000000000000001E-3</v>
      </c>
    </row>
    <row r="600" spans="1:12" ht="15.75" thickBot="1" x14ac:dyDescent="0.3">
      <c r="A600" s="291" t="s">
        <v>127</v>
      </c>
      <c r="B600" s="286" t="s">
        <v>758</v>
      </c>
      <c r="C600" s="286" t="s">
        <v>357</v>
      </c>
      <c r="D600" s="138" t="s">
        <v>837</v>
      </c>
      <c r="E600" s="286" t="s">
        <v>1119</v>
      </c>
      <c r="F600" s="287">
        <v>47406</v>
      </c>
      <c r="G600" s="288" t="s">
        <v>1429</v>
      </c>
      <c r="H600" s="290">
        <v>8000</v>
      </c>
      <c r="I600" s="289">
        <v>1.07</v>
      </c>
      <c r="J600" s="289">
        <v>8563.06</v>
      </c>
      <c r="K600" s="288" t="s">
        <v>103</v>
      </c>
      <c r="L600" s="292">
        <v>0</v>
      </c>
    </row>
    <row r="601" spans="1:12" ht="15.75" thickBot="1" x14ac:dyDescent="0.3">
      <c r="A601" s="291" t="s">
        <v>127</v>
      </c>
      <c r="B601" s="286" t="s">
        <v>33</v>
      </c>
      <c r="C601" s="286" t="s">
        <v>357</v>
      </c>
      <c r="D601" s="138" t="s">
        <v>822</v>
      </c>
      <c r="E601" s="286" t="s">
        <v>824</v>
      </c>
      <c r="F601" s="287">
        <v>47771</v>
      </c>
      <c r="G601" s="288" t="s">
        <v>1536</v>
      </c>
      <c r="H601" s="288">
        <v>641</v>
      </c>
      <c r="I601" s="289">
        <v>1087.77</v>
      </c>
      <c r="J601" s="289">
        <v>697263.1</v>
      </c>
      <c r="K601" s="288" t="s">
        <v>103</v>
      </c>
      <c r="L601" s="292">
        <v>2.8E-3</v>
      </c>
    </row>
    <row r="602" spans="1:12" ht="15.75" thickBot="1" x14ac:dyDescent="0.3">
      <c r="A602" s="291" t="s">
        <v>127</v>
      </c>
      <c r="B602" s="286" t="s">
        <v>33</v>
      </c>
      <c r="C602" s="286" t="s">
        <v>357</v>
      </c>
      <c r="D602" s="138" t="s">
        <v>751</v>
      </c>
      <c r="E602" s="286" t="s">
        <v>875</v>
      </c>
      <c r="F602" s="287">
        <v>46193</v>
      </c>
      <c r="G602" s="288" t="s">
        <v>1537</v>
      </c>
      <c r="H602" s="288">
        <v>309</v>
      </c>
      <c r="I602" s="289">
        <v>1041.82</v>
      </c>
      <c r="J602" s="289">
        <v>321922.46999999997</v>
      </c>
      <c r="K602" s="288" t="s">
        <v>103</v>
      </c>
      <c r="L602" s="292">
        <v>1.2999999999999999E-3</v>
      </c>
    </row>
    <row r="603" spans="1:12" ht="15.75" thickBot="1" x14ac:dyDescent="0.3">
      <c r="A603" s="291" t="s">
        <v>127</v>
      </c>
      <c r="B603" s="286" t="s">
        <v>975</v>
      </c>
      <c r="C603" s="286" t="s">
        <v>357</v>
      </c>
      <c r="D603" s="138" t="s">
        <v>976</v>
      </c>
      <c r="E603" s="286" t="s">
        <v>978</v>
      </c>
      <c r="F603" s="287">
        <v>45950</v>
      </c>
      <c r="G603" s="288" t="s">
        <v>1539</v>
      </c>
      <c r="H603" s="290">
        <v>1083</v>
      </c>
      <c r="I603" s="289">
        <v>515.12</v>
      </c>
      <c r="J603" s="289">
        <v>557880.21</v>
      </c>
      <c r="K603" s="288" t="s">
        <v>103</v>
      </c>
      <c r="L603" s="292">
        <v>2.3E-3</v>
      </c>
    </row>
    <row r="604" spans="1:12" ht="15.75" thickBot="1" x14ac:dyDescent="0.3">
      <c r="A604" s="291" t="s">
        <v>127</v>
      </c>
      <c r="B604" s="286" t="s">
        <v>156</v>
      </c>
      <c r="C604" s="286" t="s">
        <v>357</v>
      </c>
      <c r="D604" s="138" t="s">
        <v>212</v>
      </c>
      <c r="E604" s="286" t="s">
        <v>688</v>
      </c>
      <c r="F604" s="287">
        <v>48075</v>
      </c>
      <c r="G604" s="288" t="s">
        <v>1542</v>
      </c>
      <c r="H604" s="290">
        <v>3527</v>
      </c>
      <c r="I604" s="289">
        <v>1024.4100000000001</v>
      </c>
      <c r="J604" s="289">
        <v>3613097.05</v>
      </c>
      <c r="K604" s="288" t="s">
        <v>103</v>
      </c>
      <c r="L604" s="292">
        <v>1.47E-2</v>
      </c>
    </row>
    <row r="605" spans="1:12" ht="15.75" thickBot="1" x14ac:dyDescent="0.3">
      <c r="A605" s="291" t="s">
        <v>127</v>
      </c>
      <c r="B605" s="286" t="s">
        <v>156</v>
      </c>
      <c r="C605" s="286" t="s">
        <v>357</v>
      </c>
      <c r="D605" s="138" t="s">
        <v>328</v>
      </c>
      <c r="E605" s="286" t="s">
        <v>689</v>
      </c>
      <c r="F605" s="287">
        <v>48339</v>
      </c>
      <c r="G605" s="288" t="s">
        <v>1401</v>
      </c>
      <c r="H605" s="290">
        <v>2567</v>
      </c>
      <c r="I605" s="289">
        <v>1056.8900000000001</v>
      </c>
      <c r="J605" s="289">
        <v>2713030.65</v>
      </c>
      <c r="K605" s="288" t="s">
        <v>103</v>
      </c>
      <c r="L605" s="292">
        <v>1.0999999999999999E-2</v>
      </c>
    </row>
    <row r="606" spans="1:12" ht="15.75" thickBot="1" x14ac:dyDescent="0.3">
      <c r="A606" s="291" t="s">
        <v>127</v>
      </c>
      <c r="B606" s="286" t="s">
        <v>863</v>
      </c>
      <c r="C606" s="286" t="s">
        <v>357</v>
      </c>
      <c r="D606" s="138" t="s">
        <v>864</v>
      </c>
      <c r="E606" s="286" t="s">
        <v>865</v>
      </c>
      <c r="F606" s="287">
        <v>45930</v>
      </c>
      <c r="G606" s="288" t="s">
        <v>1545</v>
      </c>
      <c r="H606" s="290">
        <v>2277</v>
      </c>
      <c r="I606" s="289">
        <v>1055.3900000000001</v>
      </c>
      <c r="J606" s="289">
        <v>2403133.81</v>
      </c>
      <c r="K606" s="288" t="s">
        <v>103</v>
      </c>
      <c r="L606" s="292">
        <v>9.7999999999999997E-3</v>
      </c>
    </row>
    <row r="607" spans="1:12" ht="15.75" thickBot="1" x14ac:dyDescent="0.3">
      <c r="A607" s="291" t="s">
        <v>127</v>
      </c>
      <c r="B607" s="286" t="s">
        <v>825</v>
      </c>
      <c r="C607" s="286" t="s">
        <v>357</v>
      </c>
      <c r="D607" s="138" t="s">
        <v>826</v>
      </c>
      <c r="E607" s="286" t="s">
        <v>828</v>
      </c>
      <c r="F607" s="287">
        <v>47788</v>
      </c>
      <c r="G607" s="288" t="s">
        <v>1298</v>
      </c>
      <c r="H607" s="290">
        <v>1941</v>
      </c>
      <c r="I607" s="289">
        <v>1064.3499999999999</v>
      </c>
      <c r="J607" s="289">
        <v>2065910.81</v>
      </c>
      <c r="K607" s="288" t="s">
        <v>103</v>
      </c>
      <c r="L607" s="292">
        <v>8.3999999999999995E-3</v>
      </c>
    </row>
    <row r="608" spans="1:12" ht="15.75" thickBot="1" x14ac:dyDescent="0.3">
      <c r="A608" s="291" t="s">
        <v>127</v>
      </c>
      <c r="B608" s="286" t="s">
        <v>476</v>
      </c>
      <c r="C608" s="286" t="s">
        <v>357</v>
      </c>
      <c r="D608" s="138" t="s">
        <v>477</v>
      </c>
      <c r="E608" s="286" t="s">
        <v>710</v>
      </c>
      <c r="F608" s="287">
        <v>47067</v>
      </c>
      <c r="G608" s="288" t="s">
        <v>1546</v>
      </c>
      <c r="H608" s="290">
        <v>1991</v>
      </c>
      <c r="I608" s="289">
        <v>969.97</v>
      </c>
      <c r="J608" s="289">
        <v>1931212.03</v>
      </c>
      <c r="K608" s="288" t="s">
        <v>103</v>
      </c>
      <c r="L608" s="292">
        <v>7.9000000000000008E-3</v>
      </c>
    </row>
    <row r="609" spans="1:12" ht="15.75" thickBot="1" x14ac:dyDescent="0.3">
      <c r="A609" s="291" t="s">
        <v>127</v>
      </c>
      <c r="B609" s="286" t="s">
        <v>476</v>
      </c>
      <c r="C609" s="286" t="s">
        <v>357</v>
      </c>
      <c r="D609" s="138" t="s">
        <v>470</v>
      </c>
      <c r="E609" s="286" t="s">
        <v>693</v>
      </c>
      <c r="F609" s="287">
        <v>46741</v>
      </c>
      <c r="G609" s="288" t="s">
        <v>1439</v>
      </c>
      <c r="H609" s="290">
        <v>1590</v>
      </c>
      <c r="I609" s="289">
        <v>990.12</v>
      </c>
      <c r="J609" s="289">
        <v>1574286.63</v>
      </c>
      <c r="K609" s="288" t="s">
        <v>103</v>
      </c>
      <c r="L609" s="292">
        <v>6.4000000000000003E-3</v>
      </c>
    </row>
    <row r="610" spans="1:12" ht="15.75" thickBot="1" x14ac:dyDescent="0.3">
      <c r="A610" s="291" t="s">
        <v>127</v>
      </c>
      <c r="B610" s="286" t="s">
        <v>405</v>
      </c>
      <c r="C610" s="286" t="s">
        <v>357</v>
      </c>
      <c r="D610" s="138" t="s">
        <v>406</v>
      </c>
      <c r="E610" s="286" t="s">
        <v>696</v>
      </c>
      <c r="F610" s="287">
        <v>46611</v>
      </c>
      <c r="G610" s="288" t="s">
        <v>103</v>
      </c>
      <c r="H610" s="290">
        <v>1360</v>
      </c>
      <c r="I610" s="289">
        <v>765.82</v>
      </c>
      <c r="J610" s="289">
        <v>1041514.43</v>
      </c>
      <c r="K610" s="288" t="s">
        <v>103</v>
      </c>
      <c r="L610" s="292">
        <v>4.1999999999999997E-3</v>
      </c>
    </row>
    <row r="611" spans="1:12" ht="15.75" thickBot="1" x14ac:dyDescent="0.3">
      <c r="A611" s="291" t="s">
        <v>127</v>
      </c>
      <c r="B611" s="286" t="s">
        <v>329</v>
      </c>
      <c r="C611" s="286" t="s">
        <v>357</v>
      </c>
      <c r="D611" s="138" t="s">
        <v>330</v>
      </c>
      <c r="E611" s="286" t="s">
        <v>700</v>
      </c>
      <c r="F611" s="287">
        <v>46502</v>
      </c>
      <c r="G611" s="288" t="s">
        <v>1548</v>
      </c>
      <c r="H611" s="290">
        <v>2854</v>
      </c>
      <c r="I611" s="289">
        <v>641.41</v>
      </c>
      <c r="J611" s="289">
        <v>1830580.83</v>
      </c>
      <c r="K611" s="288" t="s">
        <v>103</v>
      </c>
      <c r="L611" s="292">
        <v>7.4999999999999997E-3</v>
      </c>
    </row>
    <row r="612" spans="1:12" ht="15.75" thickBot="1" x14ac:dyDescent="0.3">
      <c r="A612" s="291" t="s">
        <v>127</v>
      </c>
      <c r="B612" s="286" t="s">
        <v>1034</v>
      </c>
      <c r="C612" s="286" t="s">
        <v>357</v>
      </c>
      <c r="D612" s="138" t="s">
        <v>1033</v>
      </c>
      <c r="E612" s="286" t="s">
        <v>1035</v>
      </c>
      <c r="F612" s="287">
        <v>47284</v>
      </c>
      <c r="G612" s="288" t="s">
        <v>1550</v>
      </c>
      <c r="H612" s="288">
        <v>810</v>
      </c>
      <c r="I612" s="289">
        <v>1036.99</v>
      </c>
      <c r="J612" s="289">
        <v>839963.06</v>
      </c>
      <c r="K612" s="288" t="s">
        <v>103</v>
      </c>
      <c r="L612" s="292">
        <v>3.3999999999999998E-3</v>
      </c>
    </row>
    <row r="613" spans="1:12" ht="15.75" thickBot="1" x14ac:dyDescent="0.3">
      <c r="A613" s="291" t="s">
        <v>127</v>
      </c>
      <c r="B613" s="286" t="s">
        <v>234</v>
      </c>
      <c r="C613" s="286" t="s">
        <v>357</v>
      </c>
      <c r="D613" s="138" t="s">
        <v>471</v>
      </c>
      <c r="E613" s="286" t="s">
        <v>649</v>
      </c>
      <c r="F613" s="287">
        <v>46152</v>
      </c>
      <c r="G613" s="288" t="s">
        <v>1422</v>
      </c>
      <c r="H613" s="290">
        <v>2769</v>
      </c>
      <c r="I613" s="289">
        <v>989.51</v>
      </c>
      <c r="J613" s="289">
        <v>2739952.32</v>
      </c>
      <c r="K613" s="288" t="s">
        <v>103</v>
      </c>
      <c r="L613" s="292">
        <v>1.12E-2</v>
      </c>
    </row>
    <row r="614" spans="1:12" ht="15.75" thickBot="1" x14ac:dyDescent="0.3">
      <c r="A614" s="291" t="s">
        <v>127</v>
      </c>
      <c r="B614" s="286" t="s">
        <v>234</v>
      </c>
      <c r="C614" s="286" t="s">
        <v>357</v>
      </c>
      <c r="D614" s="138" t="s">
        <v>509</v>
      </c>
      <c r="E614" s="286" t="s">
        <v>1433</v>
      </c>
      <c r="F614" s="287">
        <v>46883</v>
      </c>
      <c r="G614" s="288" t="s">
        <v>1413</v>
      </c>
      <c r="H614" s="290">
        <v>2011</v>
      </c>
      <c r="I614" s="289">
        <v>841.56</v>
      </c>
      <c r="J614" s="289">
        <v>1692377.68</v>
      </c>
      <c r="K614" s="288" t="s">
        <v>103</v>
      </c>
      <c r="L614" s="292">
        <v>6.8999999999999999E-3</v>
      </c>
    </row>
    <row r="615" spans="1:12" ht="15.75" thickBot="1" x14ac:dyDescent="0.3">
      <c r="A615" s="291" t="s">
        <v>127</v>
      </c>
      <c r="B615" s="286" t="s">
        <v>1032</v>
      </c>
      <c r="C615" s="286" t="s">
        <v>357</v>
      </c>
      <c r="D615" s="138" t="s">
        <v>1031</v>
      </c>
      <c r="E615" s="286" t="s">
        <v>914</v>
      </c>
      <c r="F615" s="287">
        <v>47311</v>
      </c>
      <c r="G615" s="288" t="s">
        <v>103</v>
      </c>
      <c r="H615" s="290">
        <v>3300</v>
      </c>
      <c r="I615" s="289">
        <v>994.1</v>
      </c>
      <c r="J615" s="289">
        <v>3280521.88</v>
      </c>
      <c r="K615" s="288" t="s">
        <v>103</v>
      </c>
      <c r="L615" s="292">
        <v>1.34E-2</v>
      </c>
    </row>
    <row r="616" spans="1:12" ht="15.75" thickBot="1" x14ac:dyDescent="0.3">
      <c r="A616" s="291" t="s">
        <v>127</v>
      </c>
      <c r="B616" s="286" t="s">
        <v>891</v>
      </c>
      <c r="C616" s="286" t="s">
        <v>357</v>
      </c>
      <c r="D616" s="138" t="s">
        <v>472</v>
      </c>
      <c r="E616" s="286" t="s">
        <v>1149</v>
      </c>
      <c r="F616" s="287">
        <v>46664</v>
      </c>
      <c r="G616" s="288" t="s">
        <v>1552</v>
      </c>
      <c r="H616" s="290">
        <v>4261</v>
      </c>
      <c r="I616" s="289">
        <v>841.9</v>
      </c>
      <c r="J616" s="289">
        <v>3587340.69</v>
      </c>
      <c r="K616" s="288" t="s">
        <v>103</v>
      </c>
      <c r="L616" s="292">
        <v>1.46E-2</v>
      </c>
    </row>
    <row r="617" spans="1:12" ht="15.75" thickBot="1" x14ac:dyDescent="0.3">
      <c r="A617" s="291" t="s">
        <v>127</v>
      </c>
      <c r="B617" s="286" t="s">
        <v>213</v>
      </c>
      <c r="C617" s="286" t="s">
        <v>357</v>
      </c>
      <c r="D617" s="138" t="s">
        <v>332</v>
      </c>
      <c r="E617" s="286" t="s">
        <v>705</v>
      </c>
      <c r="F617" s="287">
        <v>46492</v>
      </c>
      <c r="G617" s="288" t="s">
        <v>1555</v>
      </c>
      <c r="H617" s="290">
        <v>5071</v>
      </c>
      <c r="I617" s="289">
        <v>1054.58</v>
      </c>
      <c r="J617" s="289">
        <v>5347784.6100000003</v>
      </c>
      <c r="K617" s="288" t="s">
        <v>103</v>
      </c>
      <c r="L617" s="292">
        <v>2.18E-2</v>
      </c>
    </row>
    <row r="618" spans="1:12" ht="15.75" thickBot="1" x14ac:dyDescent="0.3">
      <c r="A618" s="291" t="s">
        <v>127</v>
      </c>
      <c r="B618" s="286" t="s">
        <v>203</v>
      </c>
      <c r="C618" s="286" t="s">
        <v>357</v>
      </c>
      <c r="D618" s="138" t="s">
        <v>750</v>
      </c>
      <c r="E618" s="286" t="s">
        <v>1255</v>
      </c>
      <c r="F618" s="287">
        <v>46142</v>
      </c>
      <c r="G618" s="288" t="s">
        <v>103</v>
      </c>
      <c r="H618" s="290">
        <v>2856</v>
      </c>
      <c r="I618" s="289">
        <v>1371.84</v>
      </c>
      <c r="J618" s="289">
        <v>3917974.05</v>
      </c>
      <c r="K618" s="288" t="s">
        <v>103</v>
      </c>
      <c r="L618" s="292">
        <v>1.6E-2</v>
      </c>
    </row>
    <row r="619" spans="1:12" ht="15.75" thickBot="1" x14ac:dyDescent="0.3">
      <c r="A619" s="291" t="s">
        <v>127</v>
      </c>
      <c r="B619" s="286" t="s">
        <v>429</v>
      </c>
      <c r="C619" s="286" t="s">
        <v>357</v>
      </c>
      <c r="D619" s="138" t="s">
        <v>347</v>
      </c>
      <c r="E619" s="286" t="s">
        <v>708</v>
      </c>
      <c r="F619" s="287">
        <v>47250</v>
      </c>
      <c r="G619" s="288" t="s">
        <v>1557</v>
      </c>
      <c r="H619" s="288">
        <v>883</v>
      </c>
      <c r="I619" s="289">
        <v>996.46</v>
      </c>
      <c r="J619" s="289">
        <v>879873.43</v>
      </c>
      <c r="K619" s="288" t="s">
        <v>103</v>
      </c>
      <c r="L619" s="292">
        <v>3.5999999999999999E-3</v>
      </c>
    </row>
    <row r="620" spans="1:12" ht="15.75" thickBot="1" x14ac:dyDescent="0.3">
      <c r="A620" s="291" t="s">
        <v>127</v>
      </c>
      <c r="B620" s="286" t="s">
        <v>429</v>
      </c>
      <c r="C620" s="286" t="s">
        <v>357</v>
      </c>
      <c r="D620" s="138" t="s">
        <v>892</v>
      </c>
      <c r="E620" s="286" t="s">
        <v>893</v>
      </c>
      <c r="F620" s="287">
        <v>48527</v>
      </c>
      <c r="G620" s="288" t="s">
        <v>1370</v>
      </c>
      <c r="H620" s="288">
        <v>655</v>
      </c>
      <c r="I620" s="289">
        <v>993.6</v>
      </c>
      <c r="J620" s="289">
        <v>650807.44999999995</v>
      </c>
      <c r="K620" s="288" t="s">
        <v>103</v>
      </c>
      <c r="L620" s="292">
        <v>2.7000000000000001E-3</v>
      </c>
    </row>
    <row r="621" spans="1:12" ht="15.75" thickBot="1" x14ac:dyDescent="0.3">
      <c r="A621" s="291" t="s">
        <v>127</v>
      </c>
      <c r="B621" s="286" t="s">
        <v>473</v>
      </c>
      <c r="C621" s="286" t="s">
        <v>357</v>
      </c>
      <c r="D621" s="138" t="s">
        <v>1122</v>
      </c>
      <c r="E621" s="286" t="s">
        <v>165</v>
      </c>
      <c r="F621" s="287">
        <v>47325</v>
      </c>
      <c r="G621" s="288" t="s">
        <v>103</v>
      </c>
      <c r="H621" s="288">
        <v>816</v>
      </c>
      <c r="I621" s="289">
        <v>48.24</v>
      </c>
      <c r="J621" s="289">
        <v>39365.46</v>
      </c>
      <c r="K621" s="288" t="s">
        <v>103</v>
      </c>
      <c r="L621" s="292">
        <v>2.0000000000000001E-4</v>
      </c>
    </row>
    <row r="622" spans="1:12" ht="15.75" thickBot="1" x14ac:dyDescent="0.3">
      <c r="A622" s="291" t="s">
        <v>127</v>
      </c>
      <c r="B622" s="286" t="s">
        <v>473</v>
      </c>
      <c r="C622" s="286" t="s">
        <v>357</v>
      </c>
      <c r="D622" s="138" t="s">
        <v>1121</v>
      </c>
      <c r="E622" s="286" t="s">
        <v>165</v>
      </c>
      <c r="F622" s="287">
        <v>47325</v>
      </c>
      <c r="G622" s="288" t="s">
        <v>103</v>
      </c>
      <c r="H622" s="288">
        <v>70</v>
      </c>
      <c r="I622" s="289">
        <v>43.35</v>
      </c>
      <c r="J622" s="289">
        <v>3034.57</v>
      </c>
      <c r="K622" s="288" t="s">
        <v>103</v>
      </c>
      <c r="L622" s="292">
        <v>0</v>
      </c>
    </row>
    <row r="623" spans="1:12" ht="15.75" thickBot="1" x14ac:dyDescent="0.3">
      <c r="A623" s="291" t="s">
        <v>127</v>
      </c>
      <c r="B623" s="286" t="s">
        <v>10</v>
      </c>
      <c r="C623" s="286" t="s">
        <v>357</v>
      </c>
      <c r="D623" s="138" t="s">
        <v>1330</v>
      </c>
      <c r="E623" s="286" t="s">
        <v>1333</v>
      </c>
      <c r="F623" s="287">
        <v>45716</v>
      </c>
      <c r="G623" s="288" t="s">
        <v>1562</v>
      </c>
      <c r="H623" s="290">
        <v>1279</v>
      </c>
      <c r="I623" s="289">
        <v>672.93</v>
      </c>
      <c r="J623" s="289">
        <v>860677.78</v>
      </c>
      <c r="K623" s="288" t="s">
        <v>103</v>
      </c>
      <c r="L623" s="292">
        <v>3.5000000000000001E-3</v>
      </c>
    </row>
    <row r="624" spans="1:12" ht="15.75" thickBot="1" x14ac:dyDescent="0.3">
      <c r="A624" s="291" t="s">
        <v>127</v>
      </c>
      <c r="B624" s="286" t="s">
        <v>46</v>
      </c>
      <c r="C624" s="286" t="s">
        <v>357</v>
      </c>
      <c r="D624" s="138" t="s">
        <v>4</v>
      </c>
      <c r="E624" s="286" t="s">
        <v>612</v>
      </c>
      <c r="F624" s="287">
        <v>46461</v>
      </c>
      <c r="G624" s="288" t="s">
        <v>1564</v>
      </c>
      <c r="H624" s="290">
        <v>1000</v>
      </c>
      <c r="I624" s="289">
        <v>1059.5899999999999</v>
      </c>
      <c r="J624" s="289">
        <v>1059590.45</v>
      </c>
      <c r="K624" s="288" t="s">
        <v>103</v>
      </c>
      <c r="L624" s="292">
        <v>4.3E-3</v>
      </c>
    </row>
    <row r="625" spans="1:12" ht="15.75" thickBot="1" x14ac:dyDescent="0.3">
      <c r="A625" s="291" t="s">
        <v>236</v>
      </c>
      <c r="B625" s="286" t="s">
        <v>270</v>
      </c>
      <c r="C625" s="286" t="s">
        <v>357</v>
      </c>
      <c r="D625" s="138" t="s">
        <v>439</v>
      </c>
      <c r="E625" s="286" t="s">
        <v>165</v>
      </c>
      <c r="F625" s="287">
        <v>46196</v>
      </c>
      <c r="G625" s="288" t="s">
        <v>103</v>
      </c>
      <c r="H625" s="290">
        <v>5344</v>
      </c>
      <c r="I625" s="289">
        <v>460.48</v>
      </c>
      <c r="J625" s="289">
        <v>2460792.94</v>
      </c>
      <c r="K625" s="288" t="s">
        <v>103</v>
      </c>
      <c r="L625" s="292">
        <v>0.01</v>
      </c>
    </row>
    <row r="626" spans="1:12" ht="15.75" thickBot="1" x14ac:dyDescent="0.3">
      <c r="A626" s="291" t="s">
        <v>236</v>
      </c>
      <c r="B626" s="286" t="s">
        <v>270</v>
      </c>
      <c r="C626" s="286" t="s">
        <v>357</v>
      </c>
      <c r="D626" s="138" t="s">
        <v>1016</v>
      </c>
      <c r="E626" s="286" t="s">
        <v>1018</v>
      </c>
      <c r="F626" s="287">
        <v>46001</v>
      </c>
      <c r="G626" s="288" t="s">
        <v>103</v>
      </c>
      <c r="H626" s="290">
        <v>3482</v>
      </c>
      <c r="I626" s="289">
        <v>446.83</v>
      </c>
      <c r="J626" s="289">
        <v>1555854.06</v>
      </c>
      <c r="K626" s="288" t="s">
        <v>103</v>
      </c>
      <c r="L626" s="292">
        <v>6.3E-3</v>
      </c>
    </row>
    <row r="627" spans="1:12" ht="15.75" thickBot="1" x14ac:dyDescent="0.3">
      <c r="A627" s="291" t="s">
        <v>236</v>
      </c>
      <c r="B627" s="286" t="s">
        <v>740</v>
      </c>
      <c r="C627" s="286" t="s">
        <v>357</v>
      </c>
      <c r="D627" s="138" t="s">
        <v>438</v>
      </c>
      <c r="E627" s="286" t="s">
        <v>1258</v>
      </c>
      <c r="F627" s="287">
        <v>46658</v>
      </c>
      <c r="G627" s="288" t="s">
        <v>103</v>
      </c>
      <c r="H627" s="290">
        <v>4775</v>
      </c>
      <c r="I627" s="289">
        <v>667.79</v>
      </c>
      <c r="J627" s="289">
        <v>3188676.04</v>
      </c>
      <c r="K627" s="288" t="s">
        <v>103</v>
      </c>
      <c r="L627" s="292">
        <v>1.2999999999999999E-2</v>
      </c>
    </row>
    <row r="628" spans="1:12" ht="15.75" thickBot="1" x14ac:dyDescent="0.3">
      <c r="A628" s="291" t="s">
        <v>186</v>
      </c>
      <c r="B628" s="286" t="s">
        <v>189</v>
      </c>
      <c r="C628" s="286" t="s">
        <v>357</v>
      </c>
      <c r="D628" s="138" t="s">
        <v>271</v>
      </c>
      <c r="E628" s="286" t="s">
        <v>883</v>
      </c>
      <c r="F628" s="287">
        <v>47953</v>
      </c>
      <c r="G628" s="288" t="s">
        <v>103</v>
      </c>
      <c r="H628" s="290">
        <v>3549</v>
      </c>
      <c r="I628" s="289">
        <v>1105.3599999999999</v>
      </c>
      <c r="J628" s="289">
        <v>3922912.64</v>
      </c>
      <c r="K628" s="288" t="s">
        <v>103</v>
      </c>
      <c r="L628" s="292">
        <v>1.6E-2</v>
      </c>
    </row>
    <row r="629" spans="1:12" ht="15.75" thickBot="1" x14ac:dyDescent="0.3">
      <c r="A629" s="291" t="s">
        <v>186</v>
      </c>
      <c r="B629" s="286" t="s">
        <v>189</v>
      </c>
      <c r="C629" s="286" t="s">
        <v>357</v>
      </c>
      <c r="D629" s="138" t="s">
        <v>272</v>
      </c>
      <c r="E629" s="286" t="s">
        <v>884</v>
      </c>
      <c r="F629" s="287">
        <v>45762</v>
      </c>
      <c r="G629" s="288" t="s">
        <v>103</v>
      </c>
      <c r="H629" s="290">
        <v>2054</v>
      </c>
      <c r="I629" s="289">
        <v>84.84</v>
      </c>
      <c r="J629" s="289">
        <v>174265.29</v>
      </c>
      <c r="K629" s="288" t="s">
        <v>103</v>
      </c>
      <c r="L629" s="292">
        <v>6.9999999999999999E-4</v>
      </c>
    </row>
    <row r="630" spans="1:12" ht="15.75" thickBot="1" x14ac:dyDescent="0.3">
      <c r="A630" s="291" t="s">
        <v>130</v>
      </c>
      <c r="B630" s="286" t="s">
        <v>348</v>
      </c>
      <c r="C630" s="286" t="s">
        <v>357</v>
      </c>
      <c r="D630" s="138" t="s">
        <v>276</v>
      </c>
      <c r="E630" s="286" t="s">
        <v>716</v>
      </c>
      <c r="F630" s="287">
        <v>46428</v>
      </c>
      <c r="G630" s="288" t="s">
        <v>103</v>
      </c>
      <c r="H630" s="290">
        <v>100000</v>
      </c>
      <c r="I630" s="289">
        <v>5.83</v>
      </c>
      <c r="J630" s="289">
        <v>582801.75</v>
      </c>
      <c r="K630" s="288" t="s">
        <v>103</v>
      </c>
      <c r="L630" s="292">
        <v>2.3999999999999998E-3</v>
      </c>
    </row>
    <row r="631" spans="1:12" ht="15.75" thickBot="1" x14ac:dyDescent="0.3">
      <c r="A631" s="291" t="s">
        <v>130</v>
      </c>
      <c r="B631" s="286" t="s">
        <v>396</v>
      </c>
      <c r="C631" s="286" t="s">
        <v>357</v>
      </c>
      <c r="D631" s="138" t="s">
        <v>1443</v>
      </c>
      <c r="E631" s="286" t="s">
        <v>165</v>
      </c>
      <c r="F631" s="287">
        <v>46752</v>
      </c>
      <c r="G631" s="288" t="s">
        <v>103</v>
      </c>
      <c r="H631" s="290">
        <v>178840</v>
      </c>
      <c r="I631" s="289">
        <v>5.39</v>
      </c>
      <c r="J631" s="289">
        <v>964437.99</v>
      </c>
      <c r="K631" s="288" t="s">
        <v>103</v>
      </c>
      <c r="L631" s="292">
        <v>3.8999999999999998E-3</v>
      </c>
    </row>
    <row r="632" spans="1:12" ht="15.75" thickBot="1" x14ac:dyDescent="0.3">
      <c r="A632" s="291" t="s">
        <v>130</v>
      </c>
      <c r="B632" s="286" t="s">
        <v>396</v>
      </c>
      <c r="C632" s="286" t="s">
        <v>357</v>
      </c>
      <c r="D632" s="138" t="s">
        <v>1442</v>
      </c>
      <c r="E632" s="286" t="s">
        <v>165</v>
      </c>
      <c r="F632" s="287">
        <v>47118</v>
      </c>
      <c r="G632" s="288" t="s">
        <v>103</v>
      </c>
      <c r="H632" s="290">
        <v>345137</v>
      </c>
      <c r="I632" s="289">
        <v>2.4700000000000002</v>
      </c>
      <c r="J632" s="289">
        <v>851266.41</v>
      </c>
      <c r="K632" s="288" t="s">
        <v>103</v>
      </c>
      <c r="L632" s="292">
        <v>3.5000000000000001E-3</v>
      </c>
    </row>
    <row r="633" spans="1:12" ht="15.75" thickBot="1" x14ac:dyDescent="0.3">
      <c r="A633" s="291" t="s">
        <v>130</v>
      </c>
      <c r="B633" s="286" t="s">
        <v>396</v>
      </c>
      <c r="C633" s="286" t="s">
        <v>357</v>
      </c>
      <c r="D633" s="138" t="s">
        <v>1444</v>
      </c>
      <c r="E633" s="286" t="s">
        <v>165</v>
      </c>
      <c r="F633" s="287">
        <v>52962</v>
      </c>
      <c r="G633" s="288" t="s">
        <v>103</v>
      </c>
      <c r="H633" s="290">
        <v>457247</v>
      </c>
      <c r="I633" s="289">
        <v>0.43</v>
      </c>
      <c r="J633" s="289">
        <v>198355.85</v>
      </c>
      <c r="K633" s="288" t="s">
        <v>103</v>
      </c>
      <c r="L633" s="292">
        <v>8.0000000000000004E-4</v>
      </c>
    </row>
    <row r="634" spans="1:12" ht="15.75" thickBot="1" x14ac:dyDescent="0.3">
      <c r="A634" s="291" t="s">
        <v>130</v>
      </c>
      <c r="B634" s="286" t="s">
        <v>1079</v>
      </c>
      <c r="C634" s="286" t="s">
        <v>357</v>
      </c>
      <c r="D634" s="138" t="s">
        <v>1080</v>
      </c>
      <c r="E634" s="286" t="s">
        <v>165</v>
      </c>
      <c r="F634" s="287">
        <v>46920</v>
      </c>
      <c r="G634" s="288" t="s">
        <v>103</v>
      </c>
      <c r="H634" s="290">
        <v>250000</v>
      </c>
      <c r="I634" s="289">
        <v>5.23</v>
      </c>
      <c r="J634" s="289">
        <v>1307573.3400000001</v>
      </c>
      <c r="K634" s="288" t="s">
        <v>103</v>
      </c>
      <c r="L634" s="292">
        <v>5.3E-3</v>
      </c>
    </row>
    <row r="635" spans="1:12" ht="15.75" thickBot="1" x14ac:dyDescent="0.3">
      <c r="A635" s="291" t="s">
        <v>130</v>
      </c>
      <c r="B635" s="286" t="s">
        <v>36</v>
      </c>
      <c r="C635" s="286" t="s">
        <v>357</v>
      </c>
      <c r="D635" s="138" t="s">
        <v>312</v>
      </c>
      <c r="E635" s="286" t="s">
        <v>718</v>
      </c>
      <c r="F635" s="287">
        <v>47227</v>
      </c>
      <c r="G635" s="288" t="s">
        <v>103</v>
      </c>
      <c r="H635" s="290">
        <v>250000</v>
      </c>
      <c r="I635" s="289">
        <v>5.8</v>
      </c>
      <c r="J635" s="289">
        <v>1450524.1</v>
      </c>
      <c r="K635" s="288" t="s">
        <v>103</v>
      </c>
      <c r="L635" s="292">
        <v>5.8999999999999999E-3</v>
      </c>
    </row>
    <row r="636" spans="1:12" ht="15.75" thickBot="1" x14ac:dyDescent="0.3">
      <c r="A636" s="291" t="s">
        <v>130</v>
      </c>
      <c r="B636" s="286" t="s">
        <v>1410</v>
      </c>
      <c r="C636" s="286" t="s">
        <v>357</v>
      </c>
      <c r="D636" s="138" t="s">
        <v>1058</v>
      </c>
      <c r="E636" s="286" t="s">
        <v>165</v>
      </c>
      <c r="F636" s="287">
        <v>47219</v>
      </c>
      <c r="G636" s="288" t="s">
        <v>103</v>
      </c>
      <c r="H636" s="290">
        <v>400000</v>
      </c>
      <c r="I636" s="289">
        <v>5.23</v>
      </c>
      <c r="J636" s="289">
        <v>2090634.74</v>
      </c>
      <c r="K636" s="288" t="s">
        <v>103</v>
      </c>
      <c r="L636" s="292">
        <v>8.5000000000000006E-3</v>
      </c>
    </row>
    <row r="637" spans="1:12" ht="15.75" thickBot="1" x14ac:dyDescent="0.3">
      <c r="A637" s="291" t="s">
        <v>130</v>
      </c>
      <c r="B637" s="286" t="s">
        <v>156</v>
      </c>
      <c r="C637" s="286" t="s">
        <v>357</v>
      </c>
      <c r="D637" s="138" t="s">
        <v>291</v>
      </c>
      <c r="E637" s="286" t="s">
        <v>716</v>
      </c>
      <c r="F637" s="288" t="s">
        <v>103</v>
      </c>
      <c r="G637" s="288" t="s">
        <v>103</v>
      </c>
      <c r="H637" s="290">
        <v>500000</v>
      </c>
      <c r="I637" s="289">
        <v>5.89</v>
      </c>
      <c r="J637" s="289">
        <v>2942780.45</v>
      </c>
      <c r="K637" s="288" t="s">
        <v>103</v>
      </c>
      <c r="L637" s="292">
        <v>1.2E-2</v>
      </c>
    </row>
    <row r="638" spans="1:12" ht="15.75" thickBot="1" x14ac:dyDescent="0.3">
      <c r="A638" s="291" t="s">
        <v>131</v>
      </c>
      <c r="B638" s="286" t="s">
        <v>140</v>
      </c>
      <c r="C638" s="286" t="s">
        <v>357</v>
      </c>
      <c r="D638" s="138">
        <v>760199</v>
      </c>
      <c r="E638" s="286" t="s">
        <v>165</v>
      </c>
      <c r="F638" s="287">
        <v>49444</v>
      </c>
      <c r="G638" s="288" t="s">
        <v>103</v>
      </c>
      <c r="H638" s="290">
        <v>4498</v>
      </c>
      <c r="I638" s="289">
        <v>3892.56</v>
      </c>
      <c r="J638" s="289">
        <v>17508754.399999999</v>
      </c>
      <c r="K638" s="288" t="s">
        <v>103</v>
      </c>
      <c r="L638" s="292">
        <v>7.1300000000000002E-2</v>
      </c>
    </row>
    <row r="639" spans="1:12" ht="15.75" thickBot="1" x14ac:dyDescent="0.3">
      <c r="A639" s="291" t="s">
        <v>488</v>
      </c>
      <c r="B639" s="286" t="s">
        <v>767</v>
      </c>
      <c r="C639" s="286" t="s">
        <v>357</v>
      </c>
      <c r="D639" s="138" t="s">
        <v>768</v>
      </c>
      <c r="E639" s="286" t="s">
        <v>769</v>
      </c>
      <c r="F639" s="287">
        <v>45870</v>
      </c>
      <c r="G639" s="288" t="s">
        <v>103</v>
      </c>
      <c r="H639" s="288">
        <v>568</v>
      </c>
      <c r="I639" s="289">
        <v>1211.97</v>
      </c>
      <c r="J639" s="289">
        <v>688397.29</v>
      </c>
      <c r="K639" s="288" t="s">
        <v>103</v>
      </c>
      <c r="L639" s="292">
        <v>2.8E-3</v>
      </c>
    </row>
    <row r="640" spans="1:12" ht="15.75" thickBot="1" x14ac:dyDescent="0.3">
      <c r="A640" s="291" t="s">
        <v>144</v>
      </c>
      <c r="B640" s="286" t="s">
        <v>103</v>
      </c>
      <c r="C640" s="286" t="s">
        <v>357</v>
      </c>
      <c r="D640" s="138" t="s">
        <v>144</v>
      </c>
      <c r="E640" s="286" t="s">
        <v>165</v>
      </c>
      <c r="F640" s="288" t="s">
        <v>103</v>
      </c>
      <c r="G640" s="288" t="s">
        <v>103</v>
      </c>
      <c r="H640" s="288" t="s">
        <v>103</v>
      </c>
      <c r="I640" s="288" t="s">
        <v>103</v>
      </c>
      <c r="J640" s="289">
        <v>11277261.68</v>
      </c>
      <c r="K640" s="288" t="s">
        <v>103</v>
      </c>
      <c r="L640" s="292">
        <v>4.5900000000000003E-2</v>
      </c>
    </row>
    <row r="641" spans="1:12" ht="15.75" thickBot="1" x14ac:dyDescent="0.3">
      <c r="A641" s="291" t="s">
        <v>132</v>
      </c>
      <c r="B641" s="286" t="s">
        <v>1024</v>
      </c>
      <c r="C641" s="286" t="s">
        <v>357</v>
      </c>
      <c r="D641" s="138" t="s">
        <v>1023</v>
      </c>
      <c r="E641" s="286" t="s">
        <v>165</v>
      </c>
      <c r="F641" s="288" t="s">
        <v>103</v>
      </c>
      <c r="G641" s="288" t="s">
        <v>103</v>
      </c>
      <c r="H641" s="288">
        <v>892</v>
      </c>
      <c r="I641" s="289">
        <v>5.55</v>
      </c>
      <c r="J641" s="289">
        <v>4950.6000000000004</v>
      </c>
      <c r="K641" s="288" t="s">
        <v>103</v>
      </c>
      <c r="L641" s="292">
        <v>0</v>
      </c>
    </row>
    <row r="642" spans="1:12" ht="15.75" thickBot="1" x14ac:dyDescent="0.3">
      <c r="A642" s="293" t="s">
        <v>132</v>
      </c>
      <c r="B642" s="294" t="s">
        <v>292</v>
      </c>
      <c r="C642" s="294" t="s">
        <v>357</v>
      </c>
      <c r="D642" s="139" t="s">
        <v>293</v>
      </c>
      <c r="E642" s="294" t="s">
        <v>719</v>
      </c>
      <c r="F642" s="295" t="s">
        <v>103</v>
      </c>
      <c r="G642" s="295" t="s">
        <v>103</v>
      </c>
      <c r="H642" s="335">
        <v>-4750</v>
      </c>
      <c r="I642" s="296">
        <v>628.70000000000005</v>
      </c>
      <c r="J642" s="296">
        <v>-2986323.59</v>
      </c>
      <c r="K642" s="295" t="s">
        <v>103</v>
      </c>
      <c r="L642" s="297">
        <v>-1.2200000000000001E-2</v>
      </c>
    </row>
    <row r="643" spans="1:12" ht="15.75" thickBot="1" x14ac:dyDescent="0.3">
      <c r="A643" s="317" t="s">
        <v>132</v>
      </c>
      <c r="B643" s="311" t="s">
        <v>158</v>
      </c>
      <c r="C643" s="311" t="s">
        <v>357</v>
      </c>
      <c r="D643" s="312" t="s">
        <v>229</v>
      </c>
      <c r="E643" s="311" t="s">
        <v>720</v>
      </c>
      <c r="F643" s="314" t="s">
        <v>103</v>
      </c>
      <c r="G643" s="314" t="s">
        <v>103</v>
      </c>
      <c r="H643" s="336">
        <v>50839</v>
      </c>
      <c r="I643" s="315">
        <v>17.559999999999999</v>
      </c>
      <c r="J643" s="315">
        <v>892732.84</v>
      </c>
      <c r="K643" s="314" t="s">
        <v>103</v>
      </c>
      <c r="L643" s="318">
        <v>3.5999999999999999E-3</v>
      </c>
    </row>
    <row r="644" spans="1:12" ht="15.75" thickBot="1" x14ac:dyDescent="0.3">
      <c r="A644" s="291" t="s">
        <v>132</v>
      </c>
      <c r="B644" s="286" t="s">
        <v>473</v>
      </c>
      <c r="C644" s="286" t="s">
        <v>357</v>
      </c>
      <c r="D644" s="138" t="s">
        <v>1022</v>
      </c>
      <c r="E644" s="286" t="s">
        <v>165</v>
      </c>
      <c r="F644" s="288" t="s">
        <v>103</v>
      </c>
      <c r="G644" s="288" t="s">
        <v>103</v>
      </c>
      <c r="H644" s="290">
        <v>1487</v>
      </c>
      <c r="I644" s="289">
        <v>5.54</v>
      </c>
      <c r="J644" s="289">
        <v>8241.68</v>
      </c>
      <c r="K644" s="288" t="s">
        <v>103</v>
      </c>
      <c r="L644" s="292">
        <v>0</v>
      </c>
    </row>
    <row r="645" spans="1:12" ht="15.75" thickBot="1" x14ac:dyDescent="0.3">
      <c r="A645" s="291" t="s">
        <v>132</v>
      </c>
      <c r="B645" s="286" t="s">
        <v>103</v>
      </c>
      <c r="C645" s="286" t="s">
        <v>357</v>
      </c>
      <c r="D645" s="138" t="s">
        <v>804</v>
      </c>
      <c r="E645" s="286" t="s">
        <v>165</v>
      </c>
      <c r="F645" s="288" t="s">
        <v>103</v>
      </c>
      <c r="G645" s="288" t="s">
        <v>103</v>
      </c>
      <c r="H645" s="288">
        <v>270</v>
      </c>
      <c r="I645" s="289">
        <v>630.19000000000005</v>
      </c>
      <c r="J645" s="289">
        <v>170152.49</v>
      </c>
      <c r="K645" s="288" t="s">
        <v>103</v>
      </c>
      <c r="L645" s="292">
        <v>6.9999999999999999E-4</v>
      </c>
    </row>
    <row r="646" spans="1:12" ht="15.75" thickBot="1" x14ac:dyDescent="0.3">
      <c r="A646" s="291" t="s">
        <v>132</v>
      </c>
      <c r="B646" s="286" t="s">
        <v>103</v>
      </c>
      <c r="C646" s="286" t="s">
        <v>357</v>
      </c>
      <c r="D646" s="138" t="s">
        <v>1462</v>
      </c>
      <c r="E646" s="286" t="s">
        <v>165</v>
      </c>
      <c r="F646" s="288" t="s">
        <v>103</v>
      </c>
      <c r="G646" s="288" t="s">
        <v>103</v>
      </c>
      <c r="H646" s="290">
        <v>2171</v>
      </c>
      <c r="I646" s="289">
        <v>0</v>
      </c>
      <c r="J646" s="289">
        <v>1.25</v>
      </c>
      <c r="K646" s="288" t="s">
        <v>103</v>
      </c>
      <c r="L646" s="292">
        <v>0</v>
      </c>
    </row>
    <row r="647" spans="1:12" ht="15.75" thickBot="1" x14ac:dyDescent="0.3">
      <c r="A647" s="291" t="s">
        <v>99</v>
      </c>
      <c r="B647" s="286" t="s">
        <v>140</v>
      </c>
      <c r="C647" s="286" t="s">
        <v>284</v>
      </c>
      <c r="D647" s="138" t="s">
        <v>1227</v>
      </c>
      <c r="E647" s="286" t="s">
        <v>1382</v>
      </c>
      <c r="F647" s="287">
        <v>47635</v>
      </c>
      <c r="G647" s="288" t="s">
        <v>103</v>
      </c>
      <c r="H647" s="288">
        <v>426</v>
      </c>
      <c r="I647" s="289">
        <v>16005.32</v>
      </c>
      <c r="J647" s="289">
        <v>6818266.1399999997</v>
      </c>
      <c r="K647" s="288" t="s">
        <v>103</v>
      </c>
      <c r="L647" s="292">
        <v>3.49E-2</v>
      </c>
    </row>
    <row r="648" spans="1:12" ht="15.75" thickBot="1" x14ac:dyDescent="0.3">
      <c r="A648" s="291" t="s">
        <v>99</v>
      </c>
      <c r="B648" s="286" t="s">
        <v>140</v>
      </c>
      <c r="C648" s="286" t="s">
        <v>284</v>
      </c>
      <c r="D648" s="138" t="s">
        <v>247</v>
      </c>
      <c r="E648" s="286" t="s">
        <v>532</v>
      </c>
      <c r="F648" s="287">
        <v>46813</v>
      </c>
      <c r="G648" s="288" t="s">
        <v>103</v>
      </c>
      <c r="H648" s="288">
        <v>249</v>
      </c>
      <c r="I648" s="289">
        <v>16080.76</v>
      </c>
      <c r="J648" s="289">
        <v>4004110.2</v>
      </c>
      <c r="K648" s="288" t="s">
        <v>103</v>
      </c>
      <c r="L648" s="292">
        <v>2.0500000000000001E-2</v>
      </c>
    </row>
    <row r="649" spans="1:12" ht="15.75" thickBot="1" x14ac:dyDescent="0.3">
      <c r="A649" s="291" t="s">
        <v>99</v>
      </c>
      <c r="B649" s="286" t="s">
        <v>140</v>
      </c>
      <c r="C649" s="286" t="s">
        <v>284</v>
      </c>
      <c r="D649" s="138" t="s">
        <v>187</v>
      </c>
      <c r="E649" s="286" t="s">
        <v>815</v>
      </c>
      <c r="F649" s="287">
        <v>45717</v>
      </c>
      <c r="G649" s="288" t="s">
        <v>103</v>
      </c>
      <c r="H649" s="288">
        <v>20</v>
      </c>
      <c r="I649" s="289">
        <v>16106.78</v>
      </c>
      <c r="J649" s="289">
        <v>322135.53000000003</v>
      </c>
      <c r="K649" s="288" t="s">
        <v>103</v>
      </c>
      <c r="L649" s="292">
        <v>1.6000000000000001E-3</v>
      </c>
    </row>
    <row r="650" spans="1:12" ht="15.75" thickBot="1" x14ac:dyDescent="0.3">
      <c r="A650" s="291" t="s">
        <v>105</v>
      </c>
      <c r="B650" s="286" t="s">
        <v>103</v>
      </c>
      <c r="C650" s="286" t="s">
        <v>284</v>
      </c>
      <c r="D650" s="138" t="s">
        <v>105</v>
      </c>
      <c r="E650" s="286" t="s">
        <v>165</v>
      </c>
      <c r="F650" s="288" t="s">
        <v>103</v>
      </c>
      <c r="G650" s="288" t="s">
        <v>103</v>
      </c>
      <c r="H650" s="288" t="s">
        <v>103</v>
      </c>
      <c r="I650" s="288" t="s">
        <v>103</v>
      </c>
      <c r="J650" s="289">
        <v>-32918.51</v>
      </c>
      <c r="K650" s="288" t="s">
        <v>103</v>
      </c>
      <c r="L650" s="292">
        <v>-2.0000000000000001E-4</v>
      </c>
    </row>
    <row r="651" spans="1:12" ht="15.75" thickBot="1" x14ac:dyDescent="0.3">
      <c r="A651" s="291" t="s">
        <v>134</v>
      </c>
      <c r="B651" s="286" t="s">
        <v>219</v>
      </c>
      <c r="C651" s="286" t="s">
        <v>284</v>
      </c>
      <c r="D651" s="138" t="s">
        <v>249</v>
      </c>
      <c r="E651" s="286" t="s">
        <v>542</v>
      </c>
      <c r="F651" s="287">
        <v>46251</v>
      </c>
      <c r="G651" s="288" t="s">
        <v>103</v>
      </c>
      <c r="H651" s="288">
        <v>2</v>
      </c>
      <c r="I651" s="289">
        <v>894580.8</v>
      </c>
      <c r="J651" s="289">
        <v>1789161.61</v>
      </c>
      <c r="K651" s="288" t="s">
        <v>103</v>
      </c>
      <c r="L651" s="292">
        <v>9.1999999999999998E-3</v>
      </c>
    </row>
    <row r="652" spans="1:12" ht="15.75" thickBot="1" x14ac:dyDescent="0.3">
      <c r="A652" s="291" t="s">
        <v>134</v>
      </c>
      <c r="B652" s="286" t="s">
        <v>219</v>
      </c>
      <c r="C652" s="286" t="s">
        <v>284</v>
      </c>
      <c r="D652" s="138" t="s">
        <v>971</v>
      </c>
      <c r="E652" s="286" t="s">
        <v>165</v>
      </c>
      <c r="F652" s="287">
        <v>46181</v>
      </c>
      <c r="G652" s="288" t="s">
        <v>103</v>
      </c>
      <c r="H652" s="288">
        <v>2</v>
      </c>
      <c r="I652" s="289">
        <v>666834.86</v>
      </c>
      <c r="J652" s="289">
        <v>1333669.72</v>
      </c>
      <c r="K652" s="288" t="s">
        <v>103</v>
      </c>
      <c r="L652" s="292">
        <v>6.7999999999999996E-3</v>
      </c>
    </row>
    <row r="653" spans="1:12" ht="15.75" thickBot="1" x14ac:dyDescent="0.3">
      <c r="A653" s="291" t="s">
        <v>134</v>
      </c>
      <c r="B653" s="286" t="s">
        <v>193</v>
      </c>
      <c r="C653" s="286" t="s">
        <v>284</v>
      </c>
      <c r="D653" s="138" t="s">
        <v>1057</v>
      </c>
      <c r="E653" s="286" t="s">
        <v>542</v>
      </c>
      <c r="F653" s="287">
        <v>46237</v>
      </c>
      <c r="G653" s="288" t="s">
        <v>103</v>
      </c>
      <c r="H653" s="288">
        <v>2</v>
      </c>
      <c r="I653" s="289">
        <v>529989.43999999994</v>
      </c>
      <c r="J653" s="289">
        <v>1059978.8799999999</v>
      </c>
      <c r="K653" s="288" t="s">
        <v>103</v>
      </c>
      <c r="L653" s="292">
        <v>5.4000000000000003E-3</v>
      </c>
    </row>
    <row r="654" spans="1:12" ht="15.75" thickBot="1" x14ac:dyDescent="0.3">
      <c r="A654" s="291" t="s">
        <v>134</v>
      </c>
      <c r="B654" s="286" t="s">
        <v>193</v>
      </c>
      <c r="C654" s="286" t="s">
        <v>284</v>
      </c>
      <c r="D654" s="138" t="s">
        <v>1056</v>
      </c>
      <c r="E654" s="286" t="s">
        <v>537</v>
      </c>
      <c r="F654" s="287">
        <v>45870</v>
      </c>
      <c r="G654" s="288" t="s">
        <v>103</v>
      </c>
      <c r="H654" s="288">
        <v>1</v>
      </c>
      <c r="I654" s="289">
        <v>526844.12</v>
      </c>
      <c r="J654" s="289">
        <v>526844.12</v>
      </c>
      <c r="K654" s="288" t="s">
        <v>103</v>
      </c>
      <c r="L654" s="292">
        <v>2.7000000000000001E-3</v>
      </c>
    </row>
    <row r="655" spans="1:12" ht="15.75" thickBot="1" x14ac:dyDescent="0.3">
      <c r="A655" s="291" t="s">
        <v>134</v>
      </c>
      <c r="B655" s="286" t="s">
        <v>190</v>
      </c>
      <c r="C655" s="286" t="s">
        <v>284</v>
      </c>
      <c r="D655" s="138" t="s">
        <v>195</v>
      </c>
      <c r="E655" s="286" t="s">
        <v>668</v>
      </c>
      <c r="F655" s="287">
        <v>45828</v>
      </c>
      <c r="G655" s="288" t="s">
        <v>103</v>
      </c>
      <c r="H655" s="288">
        <v>12</v>
      </c>
      <c r="I655" s="289">
        <v>555354.27</v>
      </c>
      <c r="J655" s="289">
        <v>6664251.2300000004</v>
      </c>
      <c r="K655" s="288" t="s">
        <v>103</v>
      </c>
      <c r="L655" s="292">
        <v>3.4099999999999998E-2</v>
      </c>
    </row>
    <row r="656" spans="1:12" ht="15.75" thickBot="1" x14ac:dyDescent="0.3">
      <c r="A656" s="291" t="s">
        <v>134</v>
      </c>
      <c r="B656" s="286" t="s">
        <v>190</v>
      </c>
      <c r="C656" s="286" t="s">
        <v>284</v>
      </c>
      <c r="D656" s="138" t="s">
        <v>194</v>
      </c>
      <c r="E656" s="286" t="s">
        <v>537</v>
      </c>
      <c r="F656" s="287">
        <v>45803</v>
      </c>
      <c r="G656" s="288" t="s">
        <v>103</v>
      </c>
      <c r="H656" s="288">
        <v>1</v>
      </c>
      <c r="I656" s="289">
        <v>928640.76</v>
      </c>
      <c r="J656" s="289">
        <v>928640.76</v>
      </c>
      <c r="K656" s="288" t="s">
        <v>103</v>
      </c>
      <c r="L656" s="292">
        <v>4.7999999999999996E-3</v>
      </c>
    </row>
    <row r="657" spans="1:12" ht="15.75" thickBot="1" x14ac:dyDescent="0.3">
      <c r="A657" s="291" t="s">
        <v>112</v>
      </c>
      <c r="B657" s="286" t="s">
        <v>201</v>
      </c>
      <c r="C657" s="286" t="s">
        <v>284</v>
      </c>
      <c r="D657" s="138" t="s">
        <v>930</v>
      </c>
      <c r="E657" s="286" t="s">
        <v>623</v>
      </c>
      <c r="F657" s="287">
        <v>46119</v>
      </c>
      <c r="G657" s="288" t="s">
        <v>103</v>
      </c>
      <c r="H657" s="288">
        <v>38</v>
      </c>
      <c r="I657" s="289">
        <v>55646.38</v>
      </c>
      <c r="J657" s="289">
        <v>2114562.42</v>
      </c>
      <c r="K657" s="288" t="s">
        <v>103</v>
      </c>
      <c r="L657" s="292">
        <v>1.0800000000000001E-2</v>
      </c>
    </row>
    <row r="658" spans="1:12" ht="15.75" thickBot="1" x14ac:dyDescent="0.3">
      <c r="A658" s="291" t="s">
        <v>112</v>
      </c>
      <c r="B658" s="286" t="s">
        <v>201</v>
      </c>
      <c r="C658" s="286" t="s">
        <v>284</v>
      </c>
      <c r="D658" s="138" t="s">
        <v>771</v>
      </c>
      <c r="E658" s="286" t="s">
        <v>165</v>
      </c>
      <c r="F658" s="287">
        <v>46238</v>
      </c>
      <c r="G658" s="288" t="s">
        <v>103</v>
      </c>
      <c r="H658" s="288">
        <v>11</v>
      </c>
      <c r="I658" s="289">
        <v>61297.77</v>
      </c>
      <c r="J658" s="289">
        <v>674275.52</v>
      </c>
      <c r="K658" s="288" t="s">
        <v>103</v>
      </c>
      <c r="L658" s="292">
        <v>3.3999999999999998E-3</v>
      </c>
    </row>
    <row r="659" spans="1:12" ht="15.75" thickBot="1" x14ac:dyDescent="0.3">
      <c r="A659" s="291" t="s">
        <v>112</v>
      </c>
      <c r="B659" s="286" t="s">
        <v>201</v>
      </c>
      <c r="C659" s="286" t="s">
        <v>284</v>
      </c>
      <c r="D659" s="138" t="s">
        <v>774</v>
      </c>
      <c r="E659" s="286" t="s">
        <v>541</v>
      </c>
      <c r="F659" s="287">
        <v>46238</v>
      </c>
      <c r="G659" s="288" t="s">
        <v>103</v>
      </c>
      <c r="H659" s="288">
        <v>1</v>
      </c>
      <c r="I659" s="289">
        <v>61297.77</v>
      </c>
      <c r="J659" s="289">
        <v>61297.77</v>
      </c>
      <c r="K659" s="288" t="s">
        <v>103</v>
      </c>
      <c r="L659" s="292">
        <v>2.9999999999999997E-4</v>
      </c>
    </row>
    <row r="660" spans="1:12" ht="15.75" thickBot="1" x14ac:dyDescent="0.3">
      <c r="A660" s="291" t="s">
        <v>112</v>
      </c>
      <c r="B660" s="286" t="s">
        <v>201</v>
      </c>
      <c r="C660" s="286" t="s">
        <v>284</v>
      </c>
      <c r="D660" s="138" t="s">
        <v>775</v>
      </c>
      <c r="E660" s="286" t="s">
        <v>541</v>
      </c>
      <c r="F660" s="287">
        <v>45883</v>
      </c>
      <c r="G660" s="288" t="s">
        <v>103</v>
      </c>
      <c r="H660" s="288">
        <v>1</v>
      </c>
      <c r="I660" s="289">
        <v>60640.87</v>
      </c>
      <c r="J660" s="289">
        <v>60640.87</v>
      </c>
      <c r="K660" s="288" t="s">
        <v>103</v>
      </c>
      <c r="L660" s="292">
        <v>2.9999999999999997E-4</v>
      </c>
    </row>
    <row r="661" spans="1:12" ht="15.75" thickBot="1" x14ac:dyDescent="0.3">
      <c r="A661" s="291" t="s">
        <v>112</v>
      </c>
      <c r="B661" s="286" t="s">
        <v>1383</v>
      </c>
      <c r="C661" s="286" t="s">
        <v>284</v>
      </c>
      <c r="D661" s="138" t="s">
        <v>1384</v>
      </c>
      <c r="E661" s="286" t="s">
        <v>1386</v>
      </c>
      <c r="F661" s="287">
        <v>46146</v>
      </c>
      <c r="G661" s="288" t="s">
        <v>103</v>
      </c>
      <c r="H661" s="288">
        <v>28</v>
      </c>
      <c r="I661" s="289">
        <v>55337.16</v>
      </c>
      <c r="J661" s="289">
        <v>1549440.59</v>
      </c>
      <c r="K661" s="288" t="s">
        <v>103</v>
      </c>
      <c r="L661" s="292">
        <v>7.9000000000000008E-3</v>
      </c>
    </row>
    <row r="662" spans="1:12" ht="15.75" thickBot="1" x14ac:dyDescent="0.3">
      <c r="A662" s="291" t="s">
        <v>112</v>
      </c>
      <c r="B662" s="286" t="s">
        <v>409</v>
      </c>
      <c r="C662" s="286" t="s">
        <v>284</v>
      </c>
      <c r="D662" s="138" t="s">
        <v>510</v>
      </c>
      <c r="E662" s="286" t="s">
        <v>551</v>
      </c>
      <c r="F662" s="287">
        <v>45740</v>
      </c>
      <c r="G662" s="288" t="s">
        <v>103</v>
      </c>
      <c r="H662" s="288">
        <v>17</v>
      </c>
      <c r="I662" s="289">
        <v>147906.14000000001</v>
      </c>
      <c r="J662" s="289">
        <v>2514404.44</v>
      </c>
      <c r="K662" s="288" t="s">
        <v>103</v>
      </c>
      <c r="L662" s="292">
        <v>1.29E-2</v>
      </c>
    </row>
    <row r="663" spans="1:12" ht="15.75" thickBot="1" x14ac:dyDescent="0.3">
      <c r="A663" s="291" t="s">
        <v>112</v>
      </c>
      <c r="B663" s="286" t="s">
        <v>409</v>
      </c>
      <c r="C663" s="286" t="s">
        <v>284</v>
      </c>
      <c r="D663" s="138" t="s">
        <v>511</v>
      </c>
      <c r="E663" s="286" t="s">
        <v>555</v>
      </c>
      <c r="F663" s="287">
        <v>45884</v>
      </c>
      <c r="G663" s="288" t="s">
        <v>103</v>
      </c>
      <c r="H663" s="288">
        <v>13</v>
      </c>
      <c r="I663" s="289">
        <v>70610.009999999995</v>
      </c>
      <c r="J663" s="289">
        <v>917930.17</v>
      </c>
      <c r="K663" s="288" t="s">
        <v>103</v>
      </c>
      <c r="L663" s="292">
        <v>4.7000000000000002E-3</v>
      </c>
    </row>
    <row r="664" spans="1:12" ht="15.75" thickBot="1" x14ac:dyDescent="0.3">
      <c r="A664" s="291" t="s">
        <v>112</v>
      </c>
      <c r="B664" s="286" t="s">
        <v>465</v>
      </c>
      <c r="C664" s="286" t="s">
        <v>284</v>
      </c>
      <c r="D664" s="138" t="s">
        <v>1054</v>
      </c>
      <c r="E664" s="286" t="s">
        <v>1052</v>
      </c>
      <c r="F664" s="287">
        <v>46195</v>
      </c>
      <c r="G664" s="288" t="s">
        <v>103</v>
      </c>
      <c r="H664" s="288">
        <v>42</v>
      </c>
      <c r="I664" s="289">
        <v>54329.45</v>
      </c>
      <c r="J664" s="289">
        <v>2281836.98</v>
      </c>
      <c r="K664" s="288" t="s">
        <v>103</v>
      </c>
      <c r="L664" s="292">
        <v>1.17E-2</v>
      </c>
    </row>
    <row r="665" spans="1:12" ht="15.75" thickBot="1" x14ac:dyDescent="0.3">
      <c r="A665" s="291" t="s">
        <v>112</v>
      </c>
      <c r="B665" s="286" t="s">
        <v>465</v>
      </c>
      <c r="C665" s="286" t="s">
        <v>284</v>
      </c>
      <c r="D665" s="138" t="s">
        <v>1053</v>
      </c>
      <c r="E665" s="286" t="s">
        <v>838</v>
      </c>
      <c r="F665" s="287">
        <v>46093</v>
      </c>
      <c r="G665" s="288" t="s">
        <v>103</v>
      </c>
      <c r="H665" s="288">
        <v>5</v>
      </c>
      <c r="I665" s="289">
        <v>56367.72</v>
      </c>
      <c r="J665" s="289">
        <v>281838.62</v>
      </c>
      <c r="K665" s="288" t="s">
        <v>103</v>
      </c>
      <c r="L665" s="292">
        <v>1.4E-3</v>
      </c>
    </row>
    <row r="666" spans="1:12" ht="15.75" thickBot="1" x14ac:dyDescent="0.3">
      <c r="A666" s="291" t="s">
        <v>112</v>
      </c>
      <c r="B666" s="286" t="s">
        <v>141</v>
      </c>
      <c r="C666" s="286" t="s">
        <v>284</v>
      </c>
      <c r="D666" s="138" t="s">
        <v>950</v>
      </c>
      <c r="E666" s="286" t="s">
        <v>165</v>
      </c>
      <c r="F666" s="287">
        <v>45853</v>
      </c>
      <c r="G666" s="288" t="s">
        <v>103</v>
      </c>
      <c r="H666" s="288">
        <v>1</v>
      </c>
      <c r="I666" s="289">
        <v>70334.2</v>
      </c>
      <c r="J666" s="289">
        <v>70334.2</v>
      </c>
      <c r="K666" s="288" t="s">
        <v>103</v>
      </c>
      <c r="L666" s="292">
        <v>4.0000000000000002E-4</v>
      </c>
    </row>
    <row r="667" spans="1:12" ht="15.75" thickBot="1" x14ac:dyDescent="0.3">
      <c r="A667" s="291" t="s">
        <v>112</v>
      </c>
      <c r="B667" s="286" t="s">
        <v>141</v>
      </c>
      <c r="C667" s="286" t="s">
        <v>284</v>
      </c>
      <c r="D667" s="138" t="s">
        <v>951</v>
      </c>
      <c r="E667" s="286" t="s">
        <v>165</v>
      </c>
      <c r="F667" s="287">
        <v>45716</v>
      </c>
      <c r="G667" s="288" t="s">
        <v>103</v>
      </c>
      <c r="H667" s="288">
        <v>1</v>
      </c>
      <c r="I667" s="289">
        <v>69881.94</v>
      </c>
      <c r="J667" s="289">
        <v>69881.94</v>
      </c>
      <c r="K667" s="288" t="s">
        <v>103</v>
      </c>
      <c r="L667" s="292">
        <v>4.0000000000000002E-4</v>
      </c>
    </row>
    <row r="668" spans="1:12" ht="15.75" thickBot="1" x14ac:dyDescent="0.3">
      <c r="A668" s="291" t="s">
        <v>112</v>
      </c>
      <c r="B668" s="286" t="s">
        <v>141</v>
      </c>
      <c r="C668" s="286" t="s">
        <v>284</v>
      </c>
      <c r="D668" s="138" t="s">
        <v>952</v>
      </c>
      <c r="E668" s="286" t="s">
        <v>165</v>
      </c>
      <c r="F668" s="287">
        <v>45859</v>
      </c>
      <c r="G668" s="288" t="s">
        <v>103</v>
      </c>
      <c r="H668" s="288">
        <v>1</v>
      </c>
      <c r="I668" s="289">
        <v>68747.27</v>
      </c>
      <c r="J668" s="289">
        <v>68747.27</v>
      </c>
      <c r="K668" s="288" t="s">
        <v>103</v>
      </c>
      <c r="L668" s="292">
        <v>4.0000000000000002E-4</v>
      </c>
    </row>
    <row r="669" spans="1:12" ht="15.75" thickBot="1" x14ac:dyDescent="0.3">
      <c r="A669" s="291" t="s">
        <v>112</v>
      </c>
      <c r="B669" s="286" t="s">
        <v>141</v>
      </c>
      <c r="C669" s="286" t="s">
        <v>284</v>
      </c>
      <c r="D669" s="138" t="s">
        <v>953</v>
      </c>
      <c r="E669" s="286" t="s">
        <v>165</v>
      </c>
      <c r="F669" s="287">
        <v>45875</v>
      </c>
      <c r="G669" s="288" t="s">
        <v>103</v>
      </c>
      <c r="H669" s="288">
        <v>1</v>
      </c>
      <c r="I669" s="289">
        <v>67315.570000000007</v>
      </c>
      <c r="J669" s="289">
        <v>67315.570000000007</v>
      </c>
      <c r="K669" s="288" t="s">
        <v>103</v>
      </c>
      <c r="L669" s="292">
        <v>2.9999999999999997E-4</v>
      </c>
    </row>
    <row r="670" spans="1:12" ht="15.75" thickBot="1" x14ac:dyDescent="0.3">
      <c r="A670" s="291" t="s">
        <v>112</v>
      </c>
      <c r="B670" s="286" t="s">
        <v>341</v>
      </c>
      <c r="C670" s="286" t="s">
        <v>284</v>
      </c>
      <c r="D670" s="138" t="s">
        <v>342</v>
      </c>
      <c r="E670" s="286" t="s">
        <v>557</v>
      </c>
      <c r="F670" s="287">
        <v>46182</v>
      </c>
      <c r="G670" s="288" t="s">
        <v>103</v>
      </c>
      <c r="H670" s="288">
        <v>54</v>
      </c>
      <c r="I670" s="289">
        <v>71527.490000000005</v>
      </c>
      <c r="J670" s="289">
        <v>3862484.5</v>
      </c>
      <c r="K670" s="288" t="s">
        <v>103</v>
      </c>
      <c r="L670" s="292">
        <v>1.9800000000000002E-2</v>
      </c>
    </row>
    <row r="671" spans="1:12" ht="15.75" thickBot="1" x14ac:dyDescent="0.3">
      <c r="A671" s="291" t="s">
        <v>112</v>
      </c>
      <c r="B671" s="286" t="s">
        <v>805</v>
      </c>
      <c r="C671" s="286" t="s">
        <v>284</v>
      </c>
      <c r="D671" s="138" t="s">
        <v>997</v>
      </c>
      <c r="E671" s="286" t="s">
        <v>165</v>
      </c>
      <c r="F671" s="287">
        <v>46181</v>
      </c>
      <c r="G671" s="288" t="s">
        <v>103</v>
      </c>
      <c r="H671" s="288">
        <v>57</v>
      </c>
      <c r="I671" s="289">
        <v>54507.87</v>
      </c>
      <c r="J671" s="289">
        <v>3106948.87</v>
      </c>
      <c r="K671" s="288" t="s">
        <v>103</v>
      </c>
      <c r="L671" s="292">
        <v>1.5900000000000001E-2</v>
      </c>
    </row>
    <row r="672" spans="1:12" ht="15.75" thickBot="1" x14ac:dyDescent="0.3">
      <c r="A672" s="291" t="s">
        <v>112</v>
      </c>
      <c r="B672" s="286" t="s">
        <v>1062</v>
      </c>
      <c r="C672" s="286" t="s">
        <v>284</v>
      </c>
      <c r="D672" s="138" t="s">
        <v>1568</v>
      </c>
      <c r="E672" s="286" t="s">
        <v>165</v>
      </c>
      <c r="F672" s="287">
        <v>46234</v>
      </c>
      <c r="G672" s="288" t="s">
        <v>103</v>
      </c>
      <c r="H672" s="288">
        <v>17</v>
      </c>
      <c r="I672" s="289">
        <v>54127.33</v>
      </c>
      <c r="J672" s="289">
        <v>920164.57</v>
      </c>
      <c r="K672" s="288" t="s">
        <v>103</v>
      </c>
      <c r="L672" s="292">
        <v>4.7000000000000002E-3</v>
      </c>
    </row>
    <row r="673" spans="1:12" ht="15.75" thickBot="1" x14ac:dyDescent="0.3">
      <c r="A673" s="291" t="s">
        <v>112</v>
      </c>
      <c r="B673" s="286" t="s">
        <v>370</v>
      </c>
      <c r="C673" s="286" t="s">
        <v>284</v>
      </c>
      <c r="D673" s="138" t="s">
        <v>371</v>
      </c>
      <c r="E673" s="286" t="s">
        <v>561</v>
      </c>
      <c r="F673" s="287">
        <v>45835</v>
      </c>
      <c r="G673" s="288" t="s">
        <v>103</v>
      </c>
      <c r="H673" s="288">
        <v>34</v>
      </c>
      <c r="I673" s="289">
        <v>70301.33</v>
      </c>
      <c r="J673" s="289">
        <v>2390245.23</v>
      </c>
      <c r="K673" s="288" t="s">
        <v>103</v>
      </c>
      <c r="L673" s="292">
        <v>1.2200000000000001E-2</v>
      </c>
    </row>
    <row r="674" spans="1:12" ht="15.75" thickBot="1" x14ac:dyDescent="0.3">
      <c r="A674" s="291" t="s">
        <v>112</v>
      </c>
      <c r="B674" s="286" t="s">
        <v>324</v>
      </c>
      <c r="C674" s="286" t="s">
        <v>284</v>
      </c>
      <c r="D674" s="138" t="s">
        <v>325</v>
      </c>
      <c r="E674" s="286" t="s">
        <v>560</v>
      </c>
      <c r="F674" s="287">
        <v>45780</v>
      </c>
      <c r="G674" s="288" t="s">
        <v>103</v>
      </c>
      <c r="H674" s="288">
        <v>16</v>
      </c>
      <c r="I674" s="289">
        <v>71943.039999999994</v>
      </c>
      <c r="J674" s="289">
        <v>1151088.6000000001</v>
      </c>
      <c r="K674" s="288" t="s">
        <v>103</v>
      </c>
      <c r="L674" s="292">
        <v>5.8999999999999999E-3</v>
      </c>
    </row>
    <row r="675" spans="1:12" ht="15.75" thickBot="1" x14ac:dyDescent="0.3">
      <c r="A675" s="291" t="s">
        <v>112</v>
      </c>
      <c r="B675" s="286" t="s">
        <v>360</v>
      </c>
      <c r="C675" s="286" t="s">
        <v>284</v>
      </c>
      <c r="D675" s="138" t="s">
        <v>353</v>
      </c>
      <c r="E675" s="286" t="s">
        <v>563</v>
      </c>
      <c r="F675" s="287">
        <v>45830</v>
      </c>
      <c r="G675" s="288" t="s">
        <v>103</v>
      </c>
      <c r="H675" s="288">
        <v>15</v>
      </c>
      <c r="I675" s="289">
        <v>212779.82</v>
      </c>
      <c r="J675" s="289">
        <v>3191697.28</v>
      </c>
      <c r="K675" s="288" t="s">
        <v>103</v>
      </c>
      <c r="L675" s="292">
        <v>1.6299999999999999E-2</v>
      </c>
    </row>
    <row r="676" spans="1:12" ht="15.75" thickBot="1" x14ac:dyDescent="0.3">
      <c r="A676" s="291" t="s">
        <v>112</v>
      </c>
      <c r="B676" s="286" t="s">
        <v>360</v>
      </c>
      <c r="C676" s="286" t="s">
        <v>284</v>
      </c>
      <c r="D676" s="138" t="s">
        <v>936</v>
      </c>
      <c r="E676" s="286" t="s">
        <v>165</v>
      </c>
      <c r="F676" s="287">
        <v>46127</v>
      </c>
      <c r="G676" s="288" t="s">
        <v>103</v>
      </c>
      <c r="H676" s="288">
        <v>15</v>
      </c>
      <c r="I676" s="289">
        <v>55351.82</v>
      </c>
      <c r="J676" s="289">
        <v>830277.24</v>
      </c>
      <c r="K676" s="288" t="s">
        <v>103</v>
      </c>
      <c r="L676" s="292">
        <v>4.1999999999999997E-3</v>
      </c>
    </row>
    <row r="677" spans="1:12" ht="15.75" thickBot="1" x14ac:dyDescent="0.3">
      <c r="A677" s="291" t="s">
        <v>112</v>
      </c>
      <c r="B677" s="286" t="s">
        <v>191</v>
      </c>
      <c r="C677" s="286" t="s">
        <v>284</v>
      </c>
      <c r="D677" s="138" t="s">
        <v>839</v>
      </c>
      <c r="E677" s="286" t="s">
        <v>165</v>
      </c>
      <c r="F677" s="287">
        <v>45996</v>
      </c>
      <c r="G677" s="288" t="s">
        <v>103</v>
      </c>
      <c r="H677" s="288">
        <v>60</v>
      </c>
      <c r="I677" s="289">
        <v>57744.55</v>
      </c>
      <c r="J677" s="289">
        <v>3464673.17</v>
      </c>
      <c r="K677" s="288" t="s">
        <v>103</v>
      </c>
      <c r="L677" s="292">
        <v>1.77E-2</v>
      </c>
    </row>
    <row r="678" spans="1:12" ht="15.75" thickBot="1" x14ac:dyDescent="0.3">
      <c r="A678" s="291" t="s">
        <v>112</v>
      </c>
      <c r="B678" s="286" t="s">
        <v>808</v>
      </c>
      <c r="C678" s="286" t="s">
        <v>284</v>
      </c>
      <c r="D678" s="138" t="s">
        <v>809</v>
      </c>
      <c r="E678" s="286" t="s">
        <v>614</v>
      </c>
      <c r="F678" s="287">
        <v>45939</v>
      </c>
      <c r="G678" s="288" t="s">
        <v>103</v>
      </c>
      <c r="H678" s="288">
        <v>35</v>
      </c>
      <c r="I678" s="289">
        <v>60495.8</v>
      </c>
      <c r="J678" s="289">
        <v>2117353.0699999998</v>
      </c>
      <c r="K678" s="288" t="s">
        <v>103</v>
      </c>
      <c r="L678" s="292">
        <v>1.0800000000000001E-2</v>
      </c>
    </row>
    <row r="679" spans="1:12" ht="15.75" thickBot="1" x14ac:dyDescent="0.3">
      <c r="A679" s="291" t="s">
        <v>113</v>
      </c>
      <c r="B679" s="286" t="s">
        <v>114</v>
      </c>
      <c r="C679" s="286" t="s">
        <v>284</v>
      </c>
      <c r="D679" s="138" t="s">
        <v>972</v>
      </c>
      <c r="E679" s="286" t="s">
        <v>974</v>
      </c>
      <c r="F679" s="287">
        <v>46204</v>
      </c>
      <c r="G679" s="288" t="s">
        <v>103</v>
      </c>
      <c r="H679" s="288">
        <v>-4</v>
      </c>
      <c r="I679" s="289">
        <v>83289.23</v>
      </c>
      <c r="J679" s="289">
        <v>544.55999999999995</v>
      </c>
      <c r="K679" s="289">
        <v>-333156.92</v>
      </c>
      <c r="L679" s="292">
        <v>-1.6999999999999999E-3</v>
      </c>
    </row>
    <row r="680" spans="1:12" ht="15.75" thickBot="1" x14ac:dyDescent="0.3">
      <c r="A680" s="291" t="s">
        <v>113</v>
      </c>
      <c r="B680" s="286" t="s">
        <v>114</v>
      </c>
      <c r="C680" s="286" t="s">
        <v>284</v>
      </c>
      <c r="D680" s="138" t="s">
        <v>177</v>
      </c>
      <c r="E680" s="286" t="s">
        <v>868</v>
      </c>
      <c r="F680" s="287">
        <v>45792</v>
      </c>
      <c r="G680" s="288" t="s">
        <v>103</v>
      </c>
      <c r="H680" s="288">
        <v>-42</v>
      </c>
      <c r="I680" s="289">
        <v>177636.46</v>
      </c>
      <c r="J680" s="289">
        <v>473.34</v>
      </c>
      <c r="K680" s="289">
        <v>-7460731.4299999997</v>
      </c>
      <c r="L680" s="292">
        <v>-3.8199999999999998E-2</v>
      </c>
    </row>
    <row r="681" spans="1:12" ht="15.75" thickBot="1" x14ac:dyDescent="0.3">
      <c r="A681" s="291" t="s">
        <v>113</v>
      </c>
      <c r="B681" s="286" t="s">
        <v>114</v>
      </c>
      <c r="C681" s="286" t="s">
        <v>284</v>
      </c>
      <c r="D681" s="138" t="s">
        <v>479</v>
      </c>
      <c r="E681" s="286" t="s">
        <v>820</v>
      </c>
      <c r="F681" s="287">
        <v>46024</v>
      </c>
      <c r="G681" s="288" t="s">
        <v>103</v>
      </c>
      <c r="H681" s="288">
        <v>1</v>
      </c>
      <c r="I681" s="289">
        <v>89005.72</v>
      </c>
      <c r="J681" s="289">
        <v>-82.02</v>
      </c>
      <c r="K681" s="289">
        <v>89005.72</v>
      </c>
      <c r="L681" s="292">
        <v>5.0000000000000001E-4</v>
      </c>
    </row>
    <row r="682" spans="1:12" ht="15.75" thickBot="1" x14ac:dyDescent="0.3">
      <c r="A682" s="291" t="s">
        <v>113</v>
      </c>
      <c r="B682" s="286" t="s">
        <v>114</v>
      </c>
      <c r="C682" s="286" t="s">
        <v>284</v>
      </c>
      <c r="D682" s="138" t="s">
        <v>1163</v>
      </c>
      <c r="E682" s="286" t="s">
        <v>1353</v>
      </c>
      <c r="F682" s="287">
        <v>45716</v>
      </c>
      <c r="G682" s="288" t="s">
        <v>103</v>
      </c>
      <c r="H682" s="288">
        <v>-1</v>
      </c>
      <c r="I682" s="289">
        <v>109.88</v>
      </c>
      <c r="J682" s="289">
        <v>-1073.58</v>
      </c>
      <c r="K682" s="289">
        <v>-630858.30000000005</v>
      </c>
      <c r="L682" s="292">
        <v>-3.2000000000000002E-3</v>
      </c>
    </row>
    <row r="683" spans="1:12" ht="15.75" thickBot="1" x14ac:dyDescent="0.3">
      <c r="A683" s="291" t="s">
        <v>113</v>
      </c>
      <c r="B683" s="286" t="s">
        <v>114</v>
      </c>
      <c r="C683" s="286" t="s">
        <v>284</v>
      </c>
      <c r="D683" s="138" t="s">
        <v>116</v>
      </c>
      <c r="E683" s="286" t="s">
        <v>1354</v>
      </c>
      <c r="F683" s="287">
        <v>46251</v>
      </c>
      <c r="G683" s="288" t="s">
        <v>103</v>
      </c>
      <c r="H683" s="288">
        <v>15</v>
      </c>
      <c r="I683" s="289">
        <v>160269.10999999999</v>
      </c>
      <c r="J683" s="289">
        <v>-1501.95</v>
      </c>
      <c r="K683" s="289">
        <v>2404036.7200000002</v>
      </c>
      <c r="L683" s="292">
        <v>1.23E-2</v>
      </c>
    </row>
    <row r="684" spans="1:12" ht="15.75" thickBot="1" x14ac:dyDescent="0.3">
      <c r="A684" s="291" t="s">
        <v>113</v>
      </c>
      <c r="B684" s="286" t="s">
        <v>114</v>
      </c>
      <c r="C684" s="286" t="s">
        <v>284</v>
      </c>
      <c r="D684" s="138" t="s">
        <v>143</v>
      </c>
      <c r="E684" s="286" t="s">
        <v>1262</v>
      </c>
      <c r="F684" s="287">
        <v>46391</v>
      </c>
      <c r="G684" s="288" t="s">
        <v>103</v>
      </c>
      <c r="H684" s="288">
        <v>9</v>
      </c>
      <c r="I684" s="289">
        <v>77918.289999999994</v>
      </c>
      <c r="J684" s="289">
        <v>-1574.01</v>
      </c>
      <c r="K684" s="289">
        <v>701264.61</v>
      </c>
      <c r="L684" s="292">
        <v>3.5999999999999999E-3</v>
      </c>
    </row>
    <row r="685" spans="1:12" ht="15.75" thickBot="1" x14ac:dyDescent="0.3">
      <c r="A685" s="291" t="s">
        <v>113</v>
      </c>
      <c r="B685" s="286" t="s">
        <v>114</v>
      </c>
      <c r="C685" s="286" t="s">
        <v>284</v>
      </c>
      <c r="D685" s="138" t="s">
        <v>319</v>
      </c>
      <c r="E685" s="286" t="s">
        <v>1263</v>
      </c>
      <c r="F685" s="287">
        <v>46524</v>
      </c>
      <c r="G685" s="288" t="s">
        <v>103</v>
      </c>
      <c r="H685" s="288">
        <v>20</v>
      </c>
      <c r="I685" s="289">
        <v>152647.91</v>
      </c>
      <c r="J685" s="289">
        <v>-5292.6</v>
      </c>
      <c r="K685" s="289">
        <v>3052958.17</v>
      </c>
      <c r="L685" s="292">
        <v>1.5599999999999999E-2</v>
      </c>
    </row>
    <row r="686" spans="1:12" ht="15.75" thickBot="1" x14ac:dyDescent="0.3">
      <c r="A686" s="291" t="s">
        <v>337</v>
      </c>
      <c r="B686" s="286" t="s">
        <v>338</v>
      </c>
      <c r="C686" s="286" t="s">
        <v>284</v>
      </c>
      <c r="D686" s="138" t="s">
        <v>339</v>
      </c>
      <c r="E686" s="286" t="s">
        <v>165</v>
      </c>
      <c r="F686" s="288" t="s">
        <v>103</v>
      </c>
      <c r="G686" s="288" t="s">
        <v>103</v>
      </c>
      <c r="H686" s="290">
        <v>14563</v>
      </c>
      <c r="I686" s="289">
        <v>89.4</v>
      </c>
      <c r="J686" s="289">
        <v>1301932.2</v>
      </c>
      <c r="K686" s="288" t="s">
        <v>103</v>
      </c>
      <c r="L686" s="292">
        <v>6.7000000000000002E-3</v>
      </c>
    </row>
    <row r="687" spans="1:12" ht="15.75" thickBot="1" x14ac:dyDescent="0.3">
      <c r="A687" s="291" t="s">
        <v>117</v>
      </c>
      <c r="B687" s="286" t="s">
        <v>375</v>
      </c>
      <c r="C687" s="286" t="s">
        <v>284</v>
      </c>
      <c r="D687" s="138" t="s">
        <v>286</v>
      </c>
      <c r="E687" s="286" t="s">
        <v>571</v>
      </c>
      <c r="F687" s="288" t="s">
        <v>103</v>
      </c>
      <c r="G687" s="288" t="s">
        <v>103</v>
      </c>
      <c r="H687" s="290">
        <v>838254</v>
      </c>
      <c r="I687" s="289">
        <v>2.06</v>
      </c>
      <c r="J687" s="289">
        <v>1723509.36</v>
      </c>
      <c r="K687" s="288" t="s">
        <v>103</v>
      </c>
      <c r="L687" s="292">
        <v>8.8000000000000005E-3</v>
      </c>
    </row>
    <row r="688" spans="1:12" ht="15.75" thickBot="1" x14ac:dyDescent="0.3">
      <c r="A688" s="291" t="s">
        <v>117</v>
      </c>
      <c r="B688" s="286" t="s">
        <v>851</v>
      </c>
      <c r="C688" s="286" t="s">
        <v>284</v>
      </c>
      <c r="D688" s="138" t="s">
        <v>244</v>
      </c>
      <c r="E688" s="286" t="s">
        <v>572</v>
      </c>
      <c r="F688" s="288" t="s">
        <v>103</v>
      </c>
      <c r="G688" s="288" t="s">
        <v>103</v>
      </c>
      <c r="H688" s="290">
        <v>10187885</v>
      </c>
      <c r="I688" s="289">
        <v>1.49</v>
      </c>
      <c r="J688" s="289">
        <v>15170598.949999999</v>
      </c>
      <c r="K688" s="288" t="s">
        <v>103</v>
      </c>
      <c r="L688" s="292">
        <v>7.7600000000000002E-2</v>
      </c>
    </row>
    <row r="689" spans="1:12" ht="15.75" thickBot="1" x14ac:dyDescent="0.3">
      <c r="A689" s="291" t="s">
        <v>117</v>
      </c>
      <c r="B689" s="286" t="s">
        <v>287</v>
      </c>
      <c r="C689" s="286" t="s">
        <v>284</v>
      </c>
      <c r="D689" s="138" t="s">
        <v>287</v>
      </c>
      <c r="E689" s="286" t="s">
        <v>574</v>
      </c>
      <c r="F689" s="288" t="s">
        <v>103</v>
      </c>
      <c r="G689" s="288" t="s">
        <v>103</v>
      </c>
      <c r="H689" s="290">
        <v>666223</v>
      </c>
      <c r="I689" s="289">
        <v>1.94</v>
      </c>
      <c r="J689" s="289">
        <v>1292196.8400000001</v>
      </c>
      <c r="K689" s="288" t="s">
        <v>103</v>
      </c>
      <c r="L689" s="292">
        <v>6.6E-3</v>
      </c>
    </row>
    <row r="690" spans="1:12" ht="15.75" thickBot="1" x14ac:dyDescent="0.3">
      <c r="A690" s="291" t="s">
        <v>118</v>
      </c>
      <c r="B690" s="286" t="s">
        <v>496</v>
      </c>
      <c r="C690" s="286" t="s">
        <v>284</v>
      </c>
      <c r="D690" s="138" t="s">
        <v>496</v>
      </c>
      <c r="E690" s="286" t="s">
        <v>165</v>
      </c>
      <c r="F690" s="288" t="s">
        <v>103</v>
      </c>
      <c r="G690" s="288" t="s">
        <v>103</v>
      </c>
      <c r="H690" s="290">
        <v>4638652</v>
      </c>
      <c r="I690" s="289">
        <v>1.55</v>
      </c>
      <c r="J690" s="289">
        <v>7182207.7800000003</v>
      </c>
      <c r="K690" s="288" t="s">
        <v>103</v>
      </c>
      <c r="L690" s="292">
        <v>3.6700000000000003E-2</v>
      </c>
    </row>
    <row r="691" spans="1:12" ht="15.75" thickBot="1" x14ac:dyDescent="0.3">
      <c r="A691" s="291" t="s">
        <v>118</v>
      </c>
      <c r="B691" s="286" t="s">
        <v>26</v>
      </c>
      <c r="C691" s="286" t="s">
        <v>284</v>
      </c>
      <c r="D691" s="138" t="s">
        <v>120</v>
      </c>
      <c r="E691" s="286" t="s">
        <v>577</v>
      </c>
      <c r="F691" s="288" t="s">
        <v>103</v>
      </c>
      <c r="G691" s="288" t="s">
        <v>103</v>
      </c>
      <c r="H691" s="290">
        <v>8608267</v>
      </c>
      <c r="I691" s="289">
        <v>1.75</v>
      </c>
      <c r="J691" s="289">
        <v>15085817.51</v>
      </c>
      <c r="K691" s="288" t="s">
        <v>103</v>
      </c>
      <c r="L691" s="292">
        <v>7.7200000000000005E-2</v>
      </c>
    </row>
    <row r="692" spans="1:12" ht="15.75" thickBot="1" x14ac:dyDescent="0.3">
      <c r="A692" s="291" t="s">
        <v>118</v>
      </c>
      <c r="B692" s="286" t="s">
        <v>25</v>
      </c>
      <c r="C692" s="286" t="s">
        <v>284</v>
      </c>
      <c r="D692" s="138" t="s">
        <v>119</v>
      </c>
      <c r="E692" s="286" t="s">
        <v>578</v>
      </c>
      <c r="F692" s="288" t="s">
        <v>103</v>
      </c>
      <c r="G692" s="288" t="s">
        <v>103</v>
      </c>
      <c r="H692" s="290">
        <v>3240699</v>
      </c>
      <c r="I692" s="289">
        <v>4.67</v>
      </c>
      <c r="J692" s="289">
        <v>15126577.210000001</v>
      </c>
      <c r="K692" s="288" t="s">
        <v>103</v>
      </c>
      <c r="L692" s="292">
        <v>7.7399999999999997E-2</v>
      </c>
    </row>
    <row r="693" spans="1:12" ht="15.75" thickBot="1" x14ac:dyDescent="0.3">
      <c r="A693" s="291" t="s">
        <v>118</v>
      </c>
      <c r="B693" s="286" t="s">
        <v>145</v>
      </c>
      <c r="C693" s="286" t="s">
        <v>284</v>
      </c>
      <c r="D693" s="138" t="s">
        <v>121</v>
      </c>
      <c r="E693" s="286" t="s">
        <v>579</v>
      </c>
      <c r="F693" s="288" t="s">
        <v>103</v>
      </c>
      <c r="G693" s="288" t="s">
        <v>103</v>
      </c>
      <c r="H693" s="290">
        <v>3772553</v>
      </c>
      <c r="I693" s="289">
        <v>1.49</v>
      </c>
      <c r="J693" s="289">
        <v>5638189.2699999996</v>
      </c>
      <c r="K693" s="288" t="s">
        <v>103</v>
      </c>
      <c r="L693" s="292">
        <v>2.8799999999999999E-2</v>
      </c>
    </row>
    <row r="694" spans="1:12" ht="15.75" thickBot="1" x14ac:dyDescent="0.3">
      <c r="A694" s="291" t="s">
        <v>122</v>
      </c>
      <c r="B694" s="286" t="s">
        <v>862</v>
      </c>
      <c r="C694" s="286" t="s">
        <v>284</v>
      </c>
      <c r="D694" s="138" t="s">
        <v>123</v>
      </c>
      <c r="E694" s="286" t="s">
        <v>583</v>
      </c>
      <c r="F694" s="288" t="s">
        <v>103</v>
      </c>
      <c r="G694" s="288" t="s">
        <v>103</v>
      </c>
      <c r="H694" s="290">
        <v>991120</v>
      </c>
      <c r="I694" s="289">
        <v>1.99</v>
      </c>
      <c r="J694" s="289">
        <v>1974180.3</v>
      </c>
      <c r="K694" s="288" t="s">
        <v>103</v>
      </c>
      <c r="L694" s="292">
        <v>1.01E-2</v>
      </c>
    </row>
    <row r="695" spans="1:12" ht="15.75" thickBot="1" x14ac:dyDescent="0.3">
      <c r="A695" s="291" t="s">
        <v>124</v>
      </c>
      <c r="B695" s="286" t="s">
        <v>861</v>
      </c>
      <c r="C695" s="286" t="s">
        <v>284</v>
      </c>
      <c r="D695" s="138" t="s">
        <v>226</v>
      </c>
      <c r="E695" s="286" t="s">
        <v>586</v>
      </c>
      <c r="F695" s="288" t="s">
        <v>103</v>
      </c>
      <c r="G695" s="288" t="s">
        <v>103</v>
      </c>
      <c r="H695" s="290">
        <v>353384</v>
      </c>
      <c r="I695" s="289">
        <v>14.74</v>
      </c>
      <c r="J695" s="289">
        <v>5207370</v>
      </c>
      <c r="K695" s="288" t="s">
        <v>103</v>
      </c>
      <c r="L695" s="292">
        <v>2.6599999999999999E-2</v>
      </c>
    </row>
    <row r="696" spans="1:12" ht="15.75" thickBot="1" x14ac:dyDescent="0.3">
      <c r="A696" s="291" t="s">
        <v>124</v>
      </c>
      <c r="B696" s="286" t="s">
        <v>900</v>
      </c>
      <c r="C696" s="286" t="s">
        <v>284</v>
      </c>
      <c r="D696" s="138" t="s">
        <v>904</v>
      </c>
      <c r="E696" s="286" t="s">
        <v>165</v>
      </c>
      <c r="F696" s="288" t="s">
        <v>103</v>
      </c>
      <c r="G696" s="288" t="s">
        <v>103</v>
      </c>
      <c r="H696" s="290">
        <v>332596</v>
      </c>
      <c r="I696" s="289">
        <v>11.09</v>
      </c>
      <c r="J696" s="289">
        <v>3688714.47</v>
      </c>
      <c r="K696" s="288" t="s">
        <v>103</v>
      </c>
      <c r="L696" s="292">
        <v>1.89E-2</v>
      </c>
    </row>
    <row r="697" spans="1:12" ht="15.75" thickBot="1" x14ac:dyDescent="0.3">
      <c r="A697" s="291" t="s">
        <v>124</v>
      </c>
      <c r="B697" s="286" t="s">
        <v>900</v>
      </c>
      <c r="C697" s="286" t="s">
        <v>284</v>
      </c>
      <c r="D697" s="138" t="s">
        <v>901</v>
      </c>
      <c r="E697" s="286" t="s">
        <v>165</v>
      </c>
      <c r="F697" s="288" t="s">
        <v>103</v>
      </c>
      <c r="G697" s="288" t="s">
        <v>103</v>
      </c>
      <c r="H697" s="290">
        <v>332596</v>
      </c>
      <c r="I697" s="289">
        <v>11.09</v>
      </c>
      <c r="J697" s="289">
        <v>3688701.62</v>
      </c>
      <c r="K697" s="288" t="s">
        <v>103</v>
      </c>
      <c r="L697" s="292">
        <v>1.89E-2</v>
      </c>
    </row>
    <row r="698" spans="1:12" ht="15.75" thickBot="1" x14ac:dyDescent="0.3">
      <c r="A698" s="291" t="s">
        <v>124</v>
      </c>
      <c r="B698" s="286" t="s">
        <v>900</v>
      </c>
      <c r="C698" s="286" t="s">
        <v>284</v>
      </c>
      <c r="D698" s="138" t="s">
        <v>903</v>
      </c>
      <c r="E698" s="286" t="s">
        <v>165</v>
      </c>
      <c r="F698" s="288" t="s">
        <v>103</v>
      </c>
      <c r="G698" s="288" t="s">
        <v>103</v>
      </c>
      <c r="H698" s="290">
        <v>332597</v>
      </c>
      <c r="I698" s="289">
        <v>11.09</v>
      </c>
      <c r="J698" s="289">
        <v>3688694.93</v>
      </c>
      <c r="K698" s="288" t="s">
        <v>103</v>
      </c>
      <c r="L698" s="292">
        <v>1.89E-2</v>
      </c>
    </row>
    <row r="699" spans="1:12" ht="15.75" thickBot="1" x14ac:dyDescent="0.3">
      <c r="A699" s="291" t="s">
        <v>124</v>
      </c>
      <c r="B699" s="286" t="s">
        <v>900</v>
      </c>
      <c r="C699" s="286" t="s">
        <v>284</v>
      </c>
      <c r="D699" s="138" t="s">
        <v>902</v>
      </c>
      <c r="E699" s="286" t="s">
        <v>165</v>
      </c>
      <c r="F699" s="288" t="s">
        <v>103</v>
      </c>
      <c r="G699" s="288" t="s">
        <v>103</v>
      </c>
      <c r="H699" s="290">
        <v>332597</v>
      </c>
      <c r="I699" s="289">
        <v>11.09</v>
      </c>
      <c r="J699" s="289">
        <v>3688693.8</v>
      </c>
      <c r="K699" s="288" t="s">
        <v>103</v>
      </c>
      <c r="L699" s="292">
        <v>1.89E-2</v>
      </c>
    </row>
    <row r="700" spans="1:12" ht="15.75" thickBot="1" x14ac:dyDescent="0.3">
      <c r="A700" s="291" t="s">
        <v>124</v>
      </c>
      <c r="B700" s="286" t="s">
        <v>900</v>
      </c>
      <c r="C700" s="286" t="s">
        <v>284</v>
      </c>
      <c r="D700" s="138" t="s">
        <v>908</v>
      </c>
      <c r="E700" s="286" t="s">
        <v>165</v>
      </c>
      <c r="F700" s="288" t="s">
        <v>103</v>
      </c>
      <c r="G700" s="288" t="s">
        <v>103</v>
      </c>
      <c r="H700" s="290">
        <v>332597</v>
      </c>
      <c r="I700" s="289">
        <v>11.09</v>
      </c>
      <c r="J700" s="289">
        <v>3688692.75</v>
      </c>
      <c r="K700" s="288" t="s">
        <v>103</v>
      </c>
      <c r="L700" s="292">
        <v>1.89E-2</v>
      </c>
    </row>
    <row r="701" spans="1:12" ht="15.75" thickBot="1" x14ac:dyDescent="0.3">
      <c r="A701" s="291" t="s">
        <v>124</v>
      </c>
      <c r="B701" s="286" t="s">
        <v>900</v>
      </c>
      <c r="C701" s="286" t="s">
        <v>284</v>
      </c>
      <c r="D701" s="138" t="s">
        <v>909</v>
      </c>
      <c r="E701" s="286" t="s">
        <v>165</v>
      </c>
      <c r="F701" s="288" t="s">
        <v>103</v>
      </c>
      <c r="G701" s="288" t="s">
        <v>103</v>
      </c>
      <c r="H701" s="290">
        <v>332597</v>
      </c>
      <c r="I701" s="289">
        <v>11.09</v>
      </c>
      <c r="J701" s="289">
        <v>3688660.68</v>
      </c>
      <c r="K701" s="288" t="s">
        <v>103</v>
      </c>
      <c r="L701" s="292">
        <v>1.89E-2</v>
      </c>
    </row>
    <row r="702" spans="1:12" ht="15.75" thickBot="1" x14ac:dyDescent="0.3">
      <c r="A702" s="291" t="s">
        <v>124</v>
      </c>
      <c r="B702" s="286" t="s">
        <v>900</v>
      </c>
      <c r="C702" s="286" t="s">
        <v>284</v>
      </c>
      <c r="D702" s="138" t="s">
        <v>907</v>
      </c>
      <c r="E702" s="286" t="s">
        <v>165</v>
      </c>
      <c r="F702" s="288" t="s">
        <v>103</v>
      </c>
      <c r="G702" s="288" t="s">
        <v>103</v>
      </c>
      <c r="H702" s="290">
        <v>332596</v>
      </c>
      <c r="I702" s="289">
        <v>11.09</v>
      </c>
      <c r="J702" s="289">
        <v>3688601.98</v>
      </c>
      <c r="K702" s="288" t="s">
        <v>103</v>
      </c>
      <c r="L702" s="292">
        <v>1.89E-2</v>
      </c>
    </row>
    <row r="703" spans="1:12" ht="15.75" thickBot="1" x14ac:dyDescent="0.3">
      <c r="A703" s="291" t="s">
        <v>124</v>
      </c>
      <c r="B703" s="286" t="s">
        <v>900</v>
      </c>
      <c r="C703" s="286" t="s">
        <v>284</v>
      </c>
      <c r="D703" s="138" t="s">
        <v>906</v>
      </c>
      <c r="E703" s="286" t="s">
        <v>165</v>
      </c>
      <c r="F703" s="288" t="s">
        <v>103</v>
      </c>
      <c r="G703" s="288" t="s">
        <v>103</v>
      </c>
      <c r="H703" s="290">
        <v>332597</v>
      </c>
      <c r="I703" s="289">
        <v>11.09</v>
      </c>
      <c r="J703" s="289">
        <v>3688600.44</v>
      </c>
      <c r="K703" s="288" t="s">
        <v>103</v>
      </c>
      <c r="L703" s="292">
        <v>1.89E-2</v>
      </c>
    </row>
    <row r="704" spans="1:12" ht="15.75" thickBot="1" x14ac:dyDescent="0.3">
      <c r="A704" s="291" t="s">
        <v>124</v>
      </c>
      <c r="B704" s="286" t="s">
        <v>900</v>
      </c>
      <c r="C704" s="286" t="s">
        <v>284</v>
      </c>
      <c r="D704" s="138" t="s">
        <v>905</v>
      </c>
      <c r="E704" s="286" t="s">
        <v>165</v>
      </c>
      <c r="F704" s="288" t="s">
        <v>103</v>
      </c>
      <c r="G704" s="288" t="s">
        <v>103</v>
      </c>
      <c r="H704" s="290">
        <v>332600</v>
      </c>
      <c r="I704" s="289">
        <v>11.09</v>
      </c>
      <c r="J704" s="289">
        <v>3688487.46</v>
      </c>
      <c r="K704" s="288" t="s">
        <v>103</v>
      </c>
      <c r="L704" s="292">
        <v>1.89E-2</v>
      </c>
    </row>
    <row r="705" spans="1:12" ht="15.75" thickBot="1" x14ac:dyDescent="0.3">
      <c r="A705" s="291" t="s">
        <v>126</v>
      </c>
      <c r="B705" s="286" t="s">
        <v>1139</v>
      </c>
      <c r="C705" s="286" t="s">
        <v>284</v>
      </c>
      <c r="D705" s="138" t="s">
        <v>512</v>
      </c>
      <c r="E705" s="286" t="s">
        <v>165</v>
      </c>
      <c r="F705" s="288" t="s">
        <v>103</v>
      </c>
      <c r="G705" s="288" t="s">
        <v>103</v>
      </c>
      <c r="H705" s="288">
        <v>61</v>
      </c>
      <c r="I705" s="289">
        <v>66619.990000000005</v>
      </c>
      <c r="J705" s="289">
        <v>4063819.1</v>
      </c>
      <c r="K705" s="288" t="s">
        <v>103</v>
      </c>
      <c r="L705" s="292">
        <v>2.0799999999999999E-2</v>
      </c>
    </row>
    <row r="706" spans="1:12" ht="15.75" thickBot="1" x14ac:dyDescent="0.3">
      <c r="A706" s="291" t="s">
        <v>126</v>
      </c>
      <c r="B706" s="286" t="s">
        <v>877</v>
      </c>
      <c r="C706" s="286" t="s">
        <v>284</v>
      </c>
      <c r="D706" s="138" t="s">
        <v>1140</v>
      </c>
      <c r="E706" s="286" t="s">
        <v>165</v>
      </c>
      <c r="F706" s="287">
        <v>45689</v>
      </c>
      <c r="G706" s="288" t="s">
        <v>103</v>
      </c>
      <c r="H706" s="290">
        <v>3918</v>
      </c>
      <c r="I706" s="289">
        <v>855.35</v>
      </c>
      <c r="J706" s="289">
        <v>3351258.73</v>
      </c>
      <c r="K706" s="288" t="s">
        <v>103</v>
      </c>
      <c r="L706" s="292">
        <v>1.7100000000000001E-2</v>
      </c>
    </row>
    <row r="707" spans="1:12" ht="15.75" thickBot="1" x14ac:dyDescent="0.3">
      <c r="A707" s="291" t="s">
        <v>126</v>
      </c>
      <c r="B707" s="286" t="s">
        <v>778</v>
      </c>
      <c r="C707" s="286" t="s">
        <v>284</v>
      </c>
      <c r="D707" s="138" t="s">
        <v>910</v>
      </c>
      <c r="E707" s="286" t="s">
        <v>165</v>
      </c>
      <c r="F707" s="288" t="s">
        <v>103</v>
      </c>
      <c r="G707" s="288" t="s">
        <v>103</v>
      </c>
      <c r="H707" s="290">
        <v>1799</v>
      </c>
      <c r="I707" s="289">
        <v>1201.4000000000001</v>
      </c>
      <c r="J707" s="289">
        <v>2161324.1800000002</v>
      </c>
      <c r="K707" s="288" t="s">
        <v>103</v>
      </c>
      <c r="L707" s="292">
        <v>1.11E-2</v>
      </c>
    </row>
    <row r="708" spans="1:12" ht="15.75" thickBot="1" x14ac:dyDescent="0.3">
      <c r="A708" s="291" t="s">
        <v>126</v>
      </c>
      <c r="B708" s="286" t="s">
        <v>136</v>
      </c>
      <c r="C708" s="286" t="s">
        <v>284</v>
      </c>
      <c r="D708" s="138" t="s">
        <v>136</v>
      </c>
      <c r="E708" s="286" t="s">
        <v>590</v>
      </c>
      <c r="F708" s="287">
        <v>46020</v>
      </c>
      <c r="G708" s="288" t="s">
        <v>103</v>
      </c>
      <c r="H708" s="290">
        <v>1081</v>
      </c>
      <c r="I708" s="289">
        <v>341.32</v>
      </c>
      <c r="J708" s="289">
        <v>368963.97</v>
      </c>
      <c r="K708" s="288" t="s">
        <v>103</v>
      </c>
      <c r="L708" s="292">
        <v>1.9E-3</v>
      </c>
    </row>
    <row r="709" spans="1:12" ht="15.75" thickBot="1" x14ac:dyDescent="0.3">
      <c r="A709" s="291" t="s">
        <v>126</v>
      </c>
      <c r="B709" s="286" t="s">
        <v>1096</v>
      </c>
      <c r="C709" s="286" t="s">
        <v>284</v>
      </c>
      <c r="D709" s="138" t="s">
        <v>1097</v>
      </c>
      <c r="E709" s="286" t="s">
        <v>165</v>
      </c>
      <c r="F709" s="288" t="s">
        <v>103</v>
      </c>
      <c r="G709" s="288" t="s">
        <v>103</v>
      </c>
      <c r="H709" s="288">
        <v>12</v>
      </c>
      <c r="I709" s="289">
        <v>39441.870000000003</v>
      </c>
      <c r="J709" s="289">
        <v>473302.39</v>
      </c>
      <c r="K709" s="288" t="s">
        <v>103</v>
      </c>
      <c r="L709" s="292">
        <v>2.3999999999999998E-3</v>
      </c>
    </row>
    <row r="710" spans="1:12" ht="15.75" thickBot="1" x14ac:dyDescent="0.3">
      <c r="A710" s="291" t="s">
        <v>127</v>
      </c>
      <c r="B710" s="286" t="s">
        <v>38</v>
      </c>
      <c r="C710" s="286" t="s">
        <v>284</v>
      </c>
      <c r="D710" s="138" t="s">
        <v>238</v>
      </c>
      <c r="E710" s="286" t="s">
        <v>1085</v>
      </c>
      <c r="F710" s="287">
        <v>46096</v>
      </c>
      <c r="G710" s="288" t="s">
        <v>1486</v>
      </c>
      <c r="H710" s="290">
        <v>1886</v>
      </c>
      <c r="I710" s="289">
        <v>711.9</v>
      </c>
      <c r="J710" s="289">
        <v>1342642.18</v>
      </c>
      <c r="K710" s="288" t="s">
        <v>103</v>
      </c>
      <c r="L710" s="292">
        <v>6.8999999999999999E-3</v>
      </c>
    </row>
    <row r="711" spans="1:12" ht="15.75" thickBot="1" x14ac:dyDescent="0.3">
      <c r="A711" s="291" t="s">
        <v>127</v>
      </c>
      <c r="B711" s="286" t="s">
        <v>258</v>
      </c>
      <c r="C711" s="286" t="s">
        <v>284</v>
      </c>
      <c r="D711" s="138" t="s">
        <v>923</v>
      </c>
      <c r="E711" s="286" t="s">
        <v>926</v>
      </c>
      <c r="F711" s="287">
        <v>45762</v>
      </c>
      <c r="G711" s="288" t="s">
        <v>103</v>
      </c>
      <c r="H711" s="288">
        <v>744</v>
      </c>
      <c r="I711" s="289">
        <v>445.31</v>
      </c>
      <c r="J711" s="289">
        <v>331311.94</v>
      </c>
      <c r="K711" s="288" t="s">
        <v>103</v>
      </c>
      <c r="L711" s="292">
        <v>1.6999999999999999E-3</v>
      </c>
    </row>
    <row r="712" spans="1:12" ht="15.75" thickBot="1" x14ac:dyDescent="0.3">
      <c r="A712" s="291" t="s">
        <v>127</v>
      </c>
      <c r="B712" s="286" t="s">
        <v>397</v>
      </c>
      <c r="C712" s="286" t="s">
        <v>284</v>
      </c>
      <c r="D712" s="138" t="s">
        <v>398</v>
      </c>
      <c r="E712" s="286" t="s">
        <v>1183</v>
      </c>
      <c r="F712" s="287">
        <v>45856</v>
      </c>
      <c r="G712" s="288" t="s">
        <v>1571</v>
      </c>
      <c r="H712" s="290">
        <v>6297</v>
      </c>
      <c r="I712" s="289">
        <v>1015.34</v>
      </c>
      <c r="J712" s="289">
        <v>6393576.4199999999</v>
      </c>
      <c r="K712" s="288" t="s">
        <v>103</v>
      </c>
      <c r="L712" s="292">
        <v>3.27E-2</v>
      </c>
    </row>
    <row r="713" spans="1:12" ht="15.75" thickBot="1" x14ac:dyDescent="0.3">
      <c r="A713" s="291" t="s">
        <v>127</v>
      </c>
      <c r="B713" s="286" t="s">
        <v>204</v>
      </c>
      <c r="C713" s="286" t="s">
        <v>284</v>
      </c>
      <c r="D713" s="138" t="s">
        <v>410</v>
      </c>
      <c r="E713" s="286" t="s">
        <v>611</v>
      </c>
      <c r="F713" s="287">
        <v>46254</v>
      </c>
      <c r="G713" s="288" t="s">
        <v>1572</v>
      </c>
      <c r="H713" s="290">
        <v>1340</v>
      </c>
      <c r="I713" s="289">
        <v>658.42</v>
      </c>
      <c r="J713" s="289">
        <v>882281.89</v>
      </c>
      <c r="K713" s="288" t="s">
        <v>103</v>
      </c>
      <c r="L713" s="292">
        <v>4.4999999999999997E-3</v>
      </c>
    </row>
    <row r="714" spans="1:12" ht="15.75" thickBot="1" x14ac:dyDescent="0.3">
      <c r="A714" s="291" t="s">
        <v>127</v>
      </c>
      <c r="B714" s="286" t="s">
        <v>230</v>
      </c>
      <c r="C714" s="286" t="s">
        <v>284</v>
      </c>
      <c r="D714" s="138" t="s">
        <v>211</v>
      </c>
      <c r="E714" s="286" t="s">
        <v>797</v>
      </c>
      <c r="F714" s="287">
        <v>45802</v>
      </c>
      <c r="G714" s="288" t="s">
        <v>1575</v>
      </c>
      <c r="H714" s="288">
        <v>507</v>
      </c>
      <c r="I714" s="289">
        <v>346.56</v>
      </c>
      <c r="J714" s="289">
        <v>175704.11</v>
      </c>
      <c r="K714" s="288" t="s">
        <v>103</v>
      </c>
      <c r="L714" s="292">
        <v>8.9999999999999998E-4</v>
      </c>
    </row>
    <row r="715" spans="1:12" ht="15.75" thickBot="1" x14ac:dyDescent="0.3">
      <c r="A715" s="291" t="s">
        <v>127</v>
      </c>
      <c r="B715" s="286" t="s">
        <v>45</v>
      </c>
      <c r="C715" s="286" t="s">
        <v>284</v>
      </c>
      <c r="D715" s="138" t="s">
        <v>437</v>
      </c>
      <c r="E715" s="286" t="s">
        <v>703</v>
      </c>
      <c r="F715" s="287">
        <v>47192</v>
      </c>
      <c r="G715" s="288" t="s">
        <v>1578</v>
      </c>
      <c r="H715" s="288">
        <v>240</v>
      </c>
      <c r="I715" s="289">
        <v>911.61</v>
      </c>
      <c r="J715" s="289">
        <v>218785.51</v>
      </c>
      <c r="K715" s="288" t="s">
        <v>103</v>
      </c>
      <c r="L715" s="292">
        <v>1.1000000000000001E-3</v>
      </c>
    </row>
    <row r="716" spans="1:12" ht="15.75" thickBot="1" x14ac:dyDescent="0.3">
      <c r="A716" s="291" t="s">
        <v>127</v>
      </c>
      <c r="B716" s="286" t="s">
        <v>372</v>
      </c>
      <c r="C716" s="286" t="s">
        <v>284</v>
      </c>
      <c r="D716" s="138" t="s">
        <v>373</v>
      </c>
      <c r="E716" s="286" t="s">
        <v>662</v>
      </c>
      <c r="F716" s="287">
        <v>45823</v>
      </c>
      <c r="G716" s="288" t="s">
        <v>1579</v>
      </c>
      <c r="H716" s="290">
        <v>1330</v>
      </c>
      <c r="I716" s="289">
        <v>1029.1400000000001</v>
      </c>
      <c r="J716" s="289">
        <v>1368762.69</v>
      </c>
      <c r="K716" s="288" t="s">
        <v>103</v>
      </c>
      <c r="L716" s="292">
        <v>7.0000000000000001E-3</v>
      </c>
    </row>
    <row r="717" spans="1:12" ht="15.75" thickBot="1" x14ac:dyDescent="0.3">
      <c r="A717" s="291" t="s">
        <v>127</v>
      </c>
      <c r="B717" s="286" t="s">
        <v>1359</v>
      </c>
      <c r="C717" s="286" t="s">
        <v>284</v>
      </c>
      <c r="D717" s="138" t="s">
        <v>12</v>
      </c>
      <c r="E717" s="286" t="s">
        <v>165</v>
      </c>
      <c r="F717" s="287">
        <v>48531</v>
      </c>
      <c r="G717" s="288" t="s">
        <v>103</v>
      </c>
      <c r="H717" s="290">
        <v>4887</v>
      </c>
      <c r="I717" s="289">
        <v>56.41</v>
      </c>
      <c r="J717" s="289">
        <v>275680.45</v>
      </c>
      <c r="K717" s="288" t="s">
        <v>103</v>
      </c>
      <c r="L717" s="292">
        <v>1.4E-3</v>
      </c>
    </row>
    <row r="718" spans="1:12" ht="15.75" thickBot="1" x14ac:dyDescent="0.3">
      <c r="A718" s="291" t="s">
        <v>127</v>
      </c>
      <c r="B718" s="286" t="s">
        <v>1359</v>
      </c>
      <c r="C718" s="286" t="s">
        <v>284</v>
      </c>
      <c r="D718" s="138" t="s">
        <v>1181</v>
      </c>
      <c r="E718" s="286" t="s">
        <v>165</v>
      </c>
      <c r="F718" s="287">
        <v>46630</v>
      </c>
      <c r="G718" s="288" t="s">
        <v>103</v>
      </c>
      <c r="H718" s="290">
        <v>32414</v>
      </c>
      <c r="I718" s="289">
        <v>7.72</v>
      </c>
      <c r="J718" s="289">
        <v>250236.08</v>
      </c>
      <c r="K718" s="288" t="s">
        <v>103</v>
      </c>
      <c r="L718" s="292">
        <v>1.2999999999999999E-3</v>
      </c>
    </row>
    <row r="719" spans="1:12" ht="15.75" thickBot="1" x14ac:dyDescent="0.3">
      <c r="A719" s="291" t="s">
        <v>127</v>
      </c>
      <c r="B719" s="286" t="s">
        <v>1359</v>
      </c>
      <c r="C719" s="286" t="s">
        <v>284</v>
      </c>
      <c r="D719" s="138" t="s">
        <v>210</v>
      </c>
      <c r="E719" s="286" t="s">
        <v>165</v>
      </c>
      <c r="F719" s="287">
        <v>48531</v>
      </c>
      <c r="G719" s="288" t="s">
        <v>103</v>
      </c>
      <c r="H719" s="290">
        <v>4412</v>
      </c>
      <c r="I719" s="289">
        <v>56.41</v>
      </c>
      <c r="J719" s="289">
        <v>248885.23</v>
      </c>
      <c r="K719" s="288" t="s">
        <v>103</v>
      </c>
      <c r="L719" s="292">
        <v>1.2999999999999999E-3</v>
      </c>
    </row>
    <row r="720" spans="1:12" ht="15.75" thickBot="1" x14ac:dyDescent="0.3">
      <c r="A720" s="291" t="s">
        <v>127</v>
      </c>
      <c r="B720" s="286" t="s">
        <v>1359</v>
      </c>
      <c r="C720" s="286" t="s">
        <v>284</v>
      </c>
      <c r="D720" s="138" t="s">
        <v>1248</v>
      </c>
      <c r="E720" s="286" t="s">
        <v>165</v>
      </c>
      <c r="F720" s="287">
        <v>50357</v>
      </c>
      <c r="G720" s="288" t="s">
        <v>103</v>
      </c>
      <c r="H720" s="290">
        <v>2067</v>
      </c>
      <c r="I720" s="289">
        <v>26.64</v>
      </c>
      <c r="J720" s="289">
        <v>55059.23</v>
      </c>
      <c r="K720" s="288" t="s">
        <v>103</v>
      </c>
      <c r="L720" s="292">
        <v>2.9999999999999997E-4</v>
      </c>
    </row>
    <row r="721" spans="1:12" ht="15.75" thickBot="1" x14ac:dyDescent="0.3">
      <c r="A721" s="291" t="s">
        <v>127</v>
      </c>
      <c r="B721" s="286" t="s">
        <v>1359</v>
      </c>
      <c r="C721" s="286" t="s">
        <v>284</v>
      </c>
      <c r="D721" s="138" t="s">
        <v>1182</v>
      </c>
      <c r="E721" s="286" t="s">
        <v>165</v>
      </c>
      <c r="F721" s="287">
        <v>50357</v>
      </c>
      <c r="G721" s="288" t="s">
        <v>103</v>
      </c>
      <c r="H721" s="290">
        <v>1859</v>
      </c>
      <c r="I721" s="289">
        <v>26.64</v>
      </c>
      <c r="J721" s="289">
        <v>49518.68</v>
      </c>
      <c r="K721" s="288" t="s">
        <v>103</v>
      </c>
      <c r="L721" s="292">
        <v>2.9999999999999997E-4</v>
      </c>
    </row>
    <row r="722" spans="1:12" ht="15.75" thickBot="1" x14ac:dyDescent="0.3">
      <c r="A722" s="291" t="s">
        <v>127</v>
      </c>
      <c r="B722" s="286" t="s">
        <v>267</v>
      </c>
      <c r="C722" s="286" t="s">
        <v>284</v>
      </c>
      <c r="D722" s="138" t="s">
        <v>746</v>
      </c>
      <c r="E722" s="286" t="s">
        <v>747</v>
      </c>
      <c r="F722" s="287">
        <v>46213</v>
      </c>
      <c r="G722" s="288" t="s">
        <v>1581</v>
      </c>
      <c r="H722" s="290">
        <v>1377</v>
      </c>
      <c r="I722" s="289">
        <v>1017.66</v>
      </c>
      <c r="J722" s="289">
        <v>1401321.6</v>
      </c>
      <c r="K722" s="288" t="s">
        <v>103</v>
      </c>
      <c r="L722" s="292">
        <v>7.1999999999999998E-3</v>
      </c>
    </row>
    <row r="723" spans="1:12" ht="15.75" thickBot="1" x14ac:dyDescent="0.3">
      <c r="A723" s="291" t="s">
        <v>127</v>
      </c>
      <c r="B723" s="286" t="s">
        <v>975</v>
      </c>
      <c r="C723" s="286" t="s">
        <v>284</v>
      </c>
      <c r="D723" s="138" t="s">
        <v>976</v>
      </c>
      <c r="E723" s="286" t="s">
        <v>647</v>
      </c>
      <c r="F723" s="287">
        <v>45950</v>
      </c>
      <c r="G723" s="288" t="s">
        <v>1582</v>
      </c>
      <c r="H723" s="288">
        <v>868</v>
      </c>
      <c r="I723" s="289">
        <v>514.34</v>
      </c>
      <c r="J723" s="289">
        <v>446445.31</v>
      </c>
      <c r="K723" s="288" t="s">
        <v>103</v>
      </c>
      <c r="L723" s="292">
        <v>2.3E-3</v>
      </c>
    </row>
    <row r="724" spans="1:12" ht="15.75" thickBot="1" x14ac:dyDescent="0.3">
      <c r="A724" s="291" t="s">
        <v>127</v>
      </c>
      <c r="B724" s="286" t="s">
        <v>863</v>
      </c>
      <c r="C724" s="286" t="s">
        <v>284</v>
      </c>
      <c r="D724" s="138" t="s">
        <v>864</v>
      </c>
      <c r="E724" s="286" t="s">
        <v>866</v>
      </c>
      <c r="F724" s="287">
        <v>45930</v>
      </c>
      <c r="G724" s="288" t="s">
        <v>1545</v>
      </c>
      <c r="H724" s="290">
        <v>1274</v>
      </c>
      <c r="I724" s="289">
        <v>1054.98</v>
      </c>
      <c r="J724" s="289">
        <v>1344040.28</v>
      </c>
      <c r="K724" s="288" t="s">
        <v>103</v>
      </c>
      <c r="L724" s="292">
        <v>6.8999999999999999E-3</v>
      </c>
    </row>
    <row r="725" spans="1:12" ht="15.75" thickBot="1" x14ac:dyDescent="0.3">
      <c r="A725" s="291" t="s">
        <v>127</v>
      </c>
      <c r="B725" s="286" t="s">
        <v>234</v>
      </c>
      <c r="C725" s="286" t="s">
        <v>284</v>
      </c>
      <c r="D725" s="138" t="s">
        <v>471</v>
      </c>
      <c r="E725" s="286" t="s">
        <v>702</v>
      </c>
      <c r="F725" s="287">
        <v>46152</v>
      </c>
      <c r="G725" s="288" t="s">
        <v>1422</v>
      </c>
      <c r="H725" s="288">
        <v>531</v>
      </c>
      <c r="I725" s="289">
        <v>988.52</v>
      </c>
      <c r="J725" s="289">
        <v>524904.63</v>
      </c>
      <c r="K725" s="288" t="s">
        <v>103</v>
      </c>
      <c r="L725" s="292">
        <v>2.7000000000000001E-3</v>
      </c>
    </row>
    <row r="726" spans="1:12" ht="15.75" thickBot="1" x14ac:dyDescent="0.3">
      <c r="A726" s="291" t="s">
        <v>127</v>
      </c>
      <c r="B726" s="286" t="s">
        <v>203</v>
      </c>
      <c r="C726" s="286" t="s">
        <v>284</v>
      </c>
      <c r="D726" s="138" t="s">
        <v>750</v>
      </c>
      <c r="E726" s="286" t="s">
        <v>871</v>
      </c>
      <c r="F726" s="287">
        <v>46142</v>
      </c>
      <c r="G726" s="288" t="s">
        <v>103</v>
      </c>
      <c r="H726" s="290">
        <v>1674</v>
      </c>
      <c r="I726" s="289">
        <v>1375.06</v>
      </c>
      <c r="J726" s="289">
        <v>2301854.2799999998</v>
      </c>
      <c r="K726" s="288" t="s">
        <v>103</v>
      </c>
      <c r="L726" s="292">
        <v>1.18E-2</v>
      </c>
    </row>
    <row r="727" spans="1:12" ht="15.75" thickBot="1" x14ac:dyDescent="0.3">
      <c r="A727" s="291" t="s">
        <v>236</v>
      </c>
      <c r="B727" s="286" t="s">
        <v>270</v>
      </c>
      <c r="C727" s="286" t="s">
        <v>284</v>
      </c>
      <c r="D727" s="138" t="s">
        <v>1016</v>
      </c>
      <c r="E727" s="286" t="s">
        <v>1019</v>
      </c>
      <c r="F727" s="287">
        <v>46001</v>
      </c>
      <c r="G727" s="288" t="s">
        <v>103</v>
      </c>
      <c r="H727" s="290">
        <v>1650</v>
      </c>
      <c r="I727" s="289">
        <v>446.99</v>
      </c>
      <c r="J727" s="289">
        <v>737531.97</v>
      </c>
      <c r="K727" s="288" t="s">
        <v>103</v>
      </c>
      <c r="L727" s="292">
        <v>3.8E-3</v>
      </c>
    </row>
    <row r="728" spans="1:12" ht="15.75" thickBot="1" x14ac:dyDescent="0.3">
      <c r="A728" s="291" t="s">
        <v>186</v>
      </c>
      <c r="B728" s="286" t="s">
        <v>189</v>
      </c>
      <c r="C728" s="286" t="s">
        <v>284</v>
      </c>
      <c r="D728" s="138" t="s">
        <v>272</v>
      </c>
      <c r="E728" s="286" t="s">
        <v>885</v>
      </c>
      <c r="F728" s="287">
        <v>45762</v>
      </c>
      <c r="G728" s="288" t="s">
        <v>103</v>
      </c>
      <c r="H728" s="290">
        <v>7454</v>
      </c>
      <c r="I728" s="289">
        <v>84.8</v>
      </c>
      <c r="J728" s="289">
        <v>632103.35</v>
      </c>
      <c r="K728" s="288" t="s">
        <v>103</v>
      </c>
      <c r="L728" s="292">
        <v>3.2000000000000002E-3</v>
      </c>
    </row>
    <row r="729" spans="1:12" ht="15.75" thickBot="1" x14ac:dyDescent="0.3">
      <c r="A729" s="291" t="s">
        <v>488</v>
      </c>
      <c r="B729" s="286" t="s">
        <v>767</v>
      </c>
      <c r="C729" s="286" t="s">
        <v>284</v>
      </c>
      <c r="D729" s="138" t="s">
        <v>768</v>
      </c>
      <c r="E729" s="286" t="s">
        <v>1030</v>
      </c>
      <c r="F729" s="287">
        <v>45870</v>
      </c>
      <c r="G729" s="288" t="s">
        <v>103</v>
      </c>
      <c r="H729" s="288">
        <v>988</v>
      </c>
      <c r="I729" s="289">
        <v>1211.44</v>
      </c>
      <c r="J729" s="289">
        <v>1196903.6599999999</v>
      </c>
      <c r="K729" s="288" t="s">
        <v>103</v>
      </c>
      <c r="L729" s="292">
        <v>6.1000000000000004E-3</v>
      </c>
    </row>
    <row r="730" spans="1:12" ht="15.75" thickBot="1" x14ac:dyDescent="0.3">
      <c r="A730" s="291" t="s">
        <v>488</v>
      </c>
      <c r="B730" s="286" t="s">
        <v>1027</v>
      </c>
      <c r="C730" s="286" t="s">
        <v>284</v>
      </c>
      <c r="D730" s="138" t="s">
        <v>1083</v>
      </c>
      <c r="E730" s="286" t="s">
        <v>165</v>
      </c>
      <c r="F730" s="287">
        <v>45897</v>
      </c>
      <c r="G730" s="288" t="s">
        <v>103</v>
      </c>
      <c r="H730" s="288">
        <v>890</v>
      </c>
      <c r="I730" s="289">
        <v>1058.5</v>
      </c>
      <c r="J730" s="289">
        <v>942066.26</v>
      </c>
      <c r="K730" s="288" t="s">
        <v>103</v>
      </c>
      <c r="L730" s="292">
        <v>4.7999999999999996E-3</v>
      </c>
    </row>
    <row r="731" spans="1:12" ht="15.75" thickBot="1" x14ac:dyDescent="0.3">
      <c r="A731" s="291" t="s">
        <v>488</v>
      </c>
      <c r="B731" s="286" t="s">
        <v>1123</v>
      </c>
      <c r="C731" s="286" t="s">
        <v>284</v>
      </c>
      <c r="D731" s="138" t="s">
        <v>1126</v>
      </c>
      <c r="E731" s="286" t="s">
        <v>165</v>
      </c>
      <c r="F731" s="287">
        <v>45929</v>
      </c>
      <c r="G731" s="288" t="s">
        <v>103</v>
      </c>
      <c r="H731" s="290">
        <v>2870</v>
      </c>
      <c r="I731" s="289">
        <v>1049.54</v>
      </c>
      <c r="J731" s="289">
        <v>3012176.42</v>
      </c>
      <c r="K731" s="288" t="s">
        <v>103</v>
      </c>
      <c r="L731" s="292">
        <v>1.54E-2</v>
      </c>
    </row>
    <row r="732" spans="1:12" ht="15.75" thickBot="1" x14ac:dyDescent="0.3">
      <c r="A732" s="291" t="s">
        <v>488</v>
      </c>
      <c r="B732" s="286" t="s">
        <v>1123</v>
      </c>
      <c r="C732" s="286" t="s">
        <v>284</v>
      </c>
      <c r="D732" s="138" t="s">
        <v>1160</v>
      </c>
      <c r="E732" s="286" t="s">
        <v>165</v>
      </c>
      <c r="F732" s="287">
        <v>45810</v>
      </c>
      <c r="G732" s="288" t="s">
        <v>103</v>
      </c>
      <c r="H732" s="290">
        <v>1495</v>
      </c>
      <c r="I732" s="289">
        <v>1028.24</v>
      </c>
      <c r="J732" s="289">
        <v>1537222.17</v>
      </c>
      <c r="K732" s="288" t="s">
        <v>103</v>
      </c>
      <c r="L732" s="292">
        <v>7.9000000000000008E-3</v>
      </c>
    </row>
    <row r="733" spans="1:12" ht="15.75" thickBot="1" x14ac:dyDescent="0.3">
      <c r="A733" s="291" t="s">
        <v>488</v>
      </c>
      <c r="B733" s="286" t="s">
        <v>1062</v>
      </c>
      <c r="C733" s="286" t="s">
        <v>284</v>
      </c>
      <c r="D733" s="138" t="s">
        <v>1128</v>
      </c>
      <c r="E733" s="286" t="s">
        <v>165</v>
      </c>
      <c r="F733" s="287">
        <v>45869</v>
      </c>
      <c r="G733" s="288" t="s">
        <v>103</v>
      </c>
      <c r="H733" s="288">
        <v>886</v>
      </c>
      <c r="I733" s="289">
        <v>1073.21</v>
      </c>
      <c r="J733" s="289">
        <v>950864.66</v>
      </c>
      <c r="K733" s="288" t="s">
        <v>103</v>
      </c>
      <c r="L733" s="292">
        <v>4.8999999999999998E-3</v>
      </c>
    </row>
    <row r="734" spans="1:12" ht="15.75" thickBot="1" x14ac:dyDescent="0.3">
      <c r="A734" s="291" t="s">
        <v>144</v>
      </c>
      <c r="B734" s="286" t="s">
        <v>103</v>
      </c>
      <c r="C734" s="286" t="s">
        <v>284</v>
      </c>
      <c r="D734" s="138" t="s">
        <v>144</v>
      </c>
      <c r="E734" s="286" t="s">
        <v>165</v>
      </c>
      <c r="F734" s="288" t="s">
        <v>103</v>
      </c>
      <c r="G734" s="288" t="s">
        <v>103</v>
      </c>
      <c r="H734" s="288" t="s">
        <v>103</v>
      </c>
      <c r="I734" s="288" t="s">
        <v>103</v>
      </c>
      <c r="J734" s="289">
        <v>2965.78</v>
      </c>
      <c r="K734" s="288" t="s">
        <v>103</v>
      </c>
      <c r="L734" s="292">
        <v>0</v>
      </c>
    </row>
    <row r="735" spans="1:12" ht="15.75" thickBot="1" x14ac:dyDescent="0.3">
      <c r="A735" s="291" t="s">
        <v>132</v>
      </c>
      <c r="B735" s="286" t="s">
        <v>158</v>
      </c>
      <c r="C735" s="286" t="s">
        <v>284</v>
      </c>
      <c r="D735" s="138" t="s">
        <v>229</v>
      </c>
      <c r="E735" s="286" t="s">
        <v>721</v>
      </c>
      <c r="F735" s="288" t="s">
        <v>103</v>
      </c>
      <c r="G735" s="288" t="s">
        <v>103</v>
      </c>
      <c r="H735" s="290">
        <v>21411</v>
      </c>
      <c r="I735" s="289">
        <v>17.850000000000001</v>
      </c>
      <c r="J735" s="289">
        <v>382186.35</v>
      </c>
      <c r="K735" s="288" t="s">
        <v>103</v>
      </c>
      <c r="L735" s="292">
        <v>2E-3</v>
      </c>
    </row>
    <row r="736" spans="1:12" ht="15.75" thickBot="1" x14ac:dyDescent="0.3">
      <c r="A736" s="291" t="s">
        <v>99</v>
      </c>
      <c r="B736" s="286" t="s">
        <v>140</v>
      </c>
      <c r="C736" s="286" t="s">
        <v>1150</v>
      </c>
      <c r="D736" s="138" t="s">
        <v>1227</v>
      </c>
      <c r="E736" s="286" t="s">
        <v>1284</v>
      </c>
      <c r="F736" s="287">
        <v>47635</v>
      </c>
      <c r="G736" s="288" t="s">
        <v>103</v>
      </c>
      <c r="H736" s="288">
        <v>27</v>
      </c>
      <c r="I736" s="289">
        <v>16013.83</v>
      </c>
      <c r="J736" s="289">
        <v>432373.38</v>
      </c>
      <c r="K736" s="288" t="s">
        <v>103</v>
      </c>
      <c r="L736" s="292">
        <v>1.0500000000000001E-2</v>
      </c>
    </row>
    <row r="737" spans="1:12" ht="15.75" thickBot="1" x14ac:dyDescent="0.3">
      <c r="A737" s="291" t="s">
        <v>99</v>
      </c>
      <c r="B737" s="286" t="s">
        <v>140</v>
      </c>
      <c r="C737" s="286" t="s">
        <v>1150</v>
      </c>
      <c r="D737" s="138" t="s">
        <v>187</v>
      </c>
      <c r="E737" s="286" t="s">
        <v>1285</v>
      </c>
      <c r="F737" s="287">
        <v>45717</v>
      </c>
      <c r="G737" s="288" t="s">
        <v>103</v>
      </c>
      <c r="H737" s="288">
        <v>14</v>
      </c>
      <c r="I737" s="289">
        <v>16114.68</v>
      </c>
      <c r="J737" s="289">
        <v>225605.45</v>
      </c>
      <c r="K737" s="288" t="s">
        <v>103</v>
      </c>
      <c r="L737" s="292">
        <v>5.4999999999999997E-3</v>
      </c>
    </row>
    <row r="738" spans="1:12" ht="15.75" thickBot="1" x14ac:dyDescent="0.3">
      <c r="A738" s="291" t="s">
        <v>99</v>
      </c>
      <c r="B738" s="286" t="s">
        <v>140</v>
      </c>
      <c r="C738" s="286" t="s">
        <v>1150</v>
      </c>
      <c r="D738" s="138" t="s">
        <v>283</v>
      </c>
      <c r="E738" s="286" t="s">
        <v>1286</v>
      </c>
      <c r="F738" s="287">
        <v>46447</v>
      </c>
      <c r="G738" s="288" t="s">
        <v>103</v>
      </c>
      <c r="H738" s="288">
        <v>5</v>
      </c>
      <c r="I738" s="289">
        <v>16101.54</v>
      </c>
      <c r="J738" s="289">
        <v>80507.710000000006</v>
      </c>
      <c r="K738" s="288" t="s">
        <v>103</v>
      </c>
      <c r="L738" s="292">
        <v>2E-3</v>
      </c>
    </row>
    <row r="739" spans="1:12" ht="15.75" thickBot="1" x14ac:dyDescent="0.3">
      <c r="A739" s="291" t="s">
        <v>105</v>
      </c>
      <c r="B739" s="286" t="s">
        <v>103</v>
      </c>
      <c r="C739" s="286" t="s">
        <v>1150</v>
      </c>
      <c r="D739" s="138" t="s">
        <v>105</v>
      </c>
      <c r="E739" s="286" t="s">
        <v>165</v>
      </c>
      <c r="F739" s="288" t="s">
        <v>103</v>
      </c>
      <c r="G739" s="288" t="s">
        <v>103</v>
      </c>
      <c r="H739" s="288" t="s">
        <v>103</v>
      </c>
      <c r="I739" s="288" t="s">
        <v>103</v>
      </c>
      <c r="J739" s="289">
        <v>-12087.53</v>
      </c>
      <c r="K739" s="288" t="s">
        <v>103</v>
      </c>
      <c r="L739" s="292">
        <v>-2.9999999999999997E-4</v>
      </c>
    </row>
    <row r="740" spans="1:12" ht="15.75" thickBot="1" x14ac:dyDescent="0.3">
      <c r="A740" s="291" t="s">
        <v>134</v>
      </c>
      <c r="B740" s="286" t="s">
        <v>191</v>
      </c>
      <c r="C740" s="286" t="s">
        <v>1150</v>
      </c>
      <c r="D740" s="138" t="s">
        <v>517</v>
      </c>
      <c r="E740" s="286" t="s">
        <v>542</v>
      </c>
      <c r="F740" s="287">
        <v>46904</v>
      </c>
      <c r="G740" s="288" t="s">
        <v>103</v>
      </c>
      <c r="H740" s="288">
        <v>1</v>
      </c>
      <c r="I740" s="289">
        <v>534022.09</v>
      </c>
      <c r="J740" s="289">
        <v>534022.09</v>
      </c>
      <c r="K740" s="288" t="s">
        <v>103</v>
      </c>
      <c r="L740" s="292">
        <v>1.29E-2</v>
      </c>
    </row>
    <row r="741" spans="1:12" ht="15.75" thickBot="1" x14ac:dyDescent="0.3">
      <c r="A741" s="291" t="s">
        <v>134</v>
      </c>
      <c r="B741" s="286" t="s">
        <v>490</v>
      </c>
      <c r="C741" s="286" t="s">
        <v>1150</v>
      </c>
      <c r="D741" s="138" t="s">
        <v>491</v>
      </c>
      <c r="E741" s="286" t="s">
        <v>1288</v>
      </c>
      <c r="F741" s="287">
        <v>46720</v>
      </c>
      <c r="G741" s="288" t="s">
        <v>103</v>
      </c>
      <c r="H741" s="288">
        <v>1</v>
      </c>
      <c r="I741" s="289">
        <v>704805.05</v>
      </c>
      <c r="J741" s="289">
        <v>704805.05</v>
      </c>
      <c r="K741" s="288" t="s">
        <v>103</v>
      </c>
      <c r="L741" s="292">
        <v>1.7100000000000001E-2</v>
      </c>
    </row>
    <row r="742" spans="1:12" ht="15.75" thickBot="1" x14ac:dyDescent="0.3">
      <c r="A742" s="291" t="s">
        <v>134</v>
      </c>
      <c r="B742" s="286" t="s">
        <v>190</v>
      </c>
      <c r="C742" s="286" t="s">
        <v>1150</v>
      </c>
      <c r="D742" s="138" t="s">
        <v>501</v>
      </c>
      <c r="E742" s="286" t="s">
        <v>1289</v>
      </c>
      <c r="F742" s="287">
        <v>46742</v>
      </c>
      <c r="G742" s="288" t="s">
        <v>103</v>
      </c>
      <c r="H742" s="288">
        <v>1</v>
      </c>
      <c r="I742" s="289">
        <v>420855.89</v>
      </c>
      <c r="J742" s="289">
        <v>420855.89</v>
      </c>
      <c r="K742" s="288" t="s">
        <v>103</v>
      </c>
      <c r="L742" s="292">
        <v>1.0200000000000001E-2</v>
      </c>
    </row>
    <row r="743" spans="1:12" ht="15.75" thickBot="1" x14ac:dyDescent="0.3">
      <c r="A743" s="291" t="s">
        <v>135</v>
      </c>
      <c r="B743" s="286" t="s">
        <v>399</v>
      </c>
      <c r="C743" s="286" t="s">
        <v>1150</v>
      </c>
      <c r="D743" s="138" t="s">
        <v>887</v>
      </c>
      <c r="E743" s="286" t="s">
        <v>1288</v>
      </c>
      <c r="F743" s="287">
        <v>47172</v>
      </c>
      <c r="G743" s="288" t="s">
        <v>103</v>
      </c>
      <c r="H743" s="288">
        <v>1</v>
      </c>
      <c r="I743" s="289">
        <v>309657.90000000002</v>
      </c>
      <c r="J743" s="289">
        <v>309657.90000000002</v>
      </c>
      <c r="K743" s="288" t="s">
        <v>103</v>
      </c>
      <c r="L743" s="292">
        <v>7.4999999999999997E-3</v>
      </c>
    </row>
    <row r="744" spans="1:12" ht="15.75" thickBot="1" x14ac:dyDescent="0.3">
      <c r="A744" s="291" t="s">
        <v>135</v>
      </c>
      <c r="B744" s="286" t="s">
        <v>190</v>
      </c>
      <c r="C744" s="286" t="s">
        <v>1150</v>
      </c>
      <c r="D744" s="138" t="s">
        <v>198</v>
      </c>
      <c r="E744" s="286" t="s">
        <v>542</v>
      </c>
      <c r="F744" s="287">
        <v>47313</v>
      </c>
      <c r="G744" s="288" t="s">
        <v>103</v>
      </c>
      <c r="H744" s="288">
        <v>1</v>
      </c>
      <c r="I744" s="289">
        <v>546388.59</v>
      </c>
      <c r="J744" s="289">
        <v>546388.59</v>
      </c>
      <c r="K744" s="288" t="s">
        <v>103</v>
      </c>
      <c r="L744" s="292">
        <v>1.32E-2</v>
      </c>
    </row>
    <row r="745" spans="1:12" ht="15.75" thickBot="1" x14ac:dyDescent="0.3">
      <c r="A745" s="291" t="s">
        <v>135</v>
      </c>
      <c r="B745" s="286" t="s">
        <v>190</v>
      </c>
      <c r="C745" s="286" t="s">
        <v>1150</v>
      </c>
      <c r="D745" s="138" t="s">
        <v>1292</v>
      </c>
      <c r="E745" s="286" t="s">
        <v>1288</v>
      </c>
      <c r="F745" s="287">
        <v>47224</v>
      </c>
      <c r="G745" s="288" t="s">
        <v>103</v>
      </c>
      <c r="H745" s="288">
        <v>1</v>
      </c>
      <c r="I745" s="289">
        <v>350793.71</v>
      </c>
      <c r="J745" s="289">
        <v>350793.71</v>
      </c>
      <c r="K745" s="288" t="s">
        <v>103</v>
      </c>
      <c r="L745" s="292">
        <v>8.5000000000000006E-3</v>
      </c>
    </row>
    <row r="746" spans="1:12" ht="15.75" thickBot="1" x14ac:dyDescent="0.3">
      <c r="A746" s="291" t="s">
        <v>112</v>
      </c>
      <c r="B746" s="286" t="s">
        <v>201</v>
      </c>
      <c r="C746" s="286" t="s">
        <v>1150</v>
      </c>
      <c r="D746" s="138" t="s">
        <v>1293</v>
      </c>
      <c r="E746" s="286" t="s">
        <v>540</v>
      </c>
      <c r="F746" s="287">
        <v>46238</v>
      </c>
      <c r="G746" s="288" t="s">
        <v>103</v>
      </c>
      <c r="H746" s="288">
        <v>2</v>
      </c>
      <c r="I746" s="289">
        <v>61292.85</v>
      </c>
      <c r="J746" s="289">
        <v>122585.7</v>
      </c>
      <c r="K746" s="288" t="s">
        <v>103</v>
      </c>
      <c r="L746" s="292">
        <v>3.0000000000000001E-3</v>
      </c>
    </row>
    <row r="747" spans="1:12" ht="15.75" thickBot="1" x14ac:dyDescent="0.3">
      <c r="A747" s="291" t="s">
        <v>112</v>
      </c>
      <c r="B747" s="286" t="s">
        <v>201</v>
      </c>
      <c r="C747" s="286" t="s">
        <v>1150</v>
      </c>
      <c r="D747" s="138" t="s">
        <v>930</v>
      </c>
      <c r="E747" s="286" t="s">
        <v>540</v>
      </c>
      <c r="F747" s="287">
        <v>46119</v>
      </c>
      <c r="G747" s="288" t="s">
        <v>103</v>
      </c>
      <c r="H747" s="288">
        <v>2</v>
      </c>
      <c r="I747" s="289">
        <v>55650.05</v>
      </c>
      <c r="J747" s="289">
        <v>111300.1</v>
      </c>
      <c r="K747" s="288" t="s">
        <v>103</v>
      </c>
      <c r="L747" s="292">
        <v>2.7000000000000001E-3</v>
      </c>
    </row>
    <row r="748" spans="1:12" ht="15.75" thickBot="1" x14ac:dyDescent="0.3">
      <c r="A748" s="291" t="s">
        <v>112</v>
      </c>
      <c r="B748" s="286" t="s">
        <v>805</v>
      </c>
      <c r="C748" s="286" t="s">
        <v>1150</v>
      </c>
      <c r="D748" s="138" t="s">
        <v>997</v>
      </c>
      <c r="E748" s="286" t="s">
        <v>541</v>
      </c>
      <c r="F748" s="287">
        <v>46181</v>
      </c>
      <c r="G748" s="288" t="s">
        <v>103</v>
      </c>
      <c r="H748" s="288">
        <v>1</v>
      </c>
      <c r="I748" s="289">
        <v>54586.67</v>
      </c>
      <c r="J748" s="289">
        <v>54586.67</v>
      </c>
      <c r="K748" s="288" t="s">
        <v>103</v>
      </c>
      <c r="L748" s="292">
        <v>1.2999999999999999E-3</v>
      </c>
    </row>
    <row r="749" spans="1:12" ht="15.75" thickBot="1" x14ac:dyDescent="0.3">
      <c r="A749" s="291" t="s">
        <v>112</v>
      </c>
      <c r="B749" s="286" t="s">
        <v>360</v>
      </c>
      <c r="C749" s="286" t="s">
        <v>1150</v>
      </c>
      <c r="D749" s="138" t="s">
        <v>1295</v>
      </c>
      <c r="E749" s="286" t="s">
        <v>540</v>
      </c>
      <c r="F749" s="287">
        <v>46127</v>
      </c>
      <c r="G749" s="288" t="s">
        <v>103</v>
      </c>
      <c r="H749" s="288">
        <v>2</v>
      </c>
      <c r="I749" s="289">
        <v>55371.08</v>
      </c>
      <c r="J749" s="289">
        <v>110742.16</v>
      </c>
      <c r="K749" s="288" t="s">
        <v>103</v>
      </c>
      <c r="L749" s="292">
        <v>2.7000000000000001E-3</v>
      </c>
    </row>
    <row r="750" spans="1:12" ht="15.75" thickBot="1" x14ac:dyDescent="0.3">
      <c r="A750" s="291" t="s">
        <v>112</v>
      </c>
      <c r="B750" s="286" t="s">
        <v>368</v>
      </c>
      <c r="C750" s="286" t="s">
        <v>1150</v>
      </c>
      <c r="D750" s="138" t="s">
        <v>954</v>
      </c>
      <c r="E750" s="286" t="s">
        <v>807</v>
      </c>
      <c r="F750" s="287">
        <v>46152</v>
      </c>
      <c r="G750" s="288" t="s">
        <v>103</v>
      </c>
      <c r="H750" s="288">
        <v>9</v>
      </c>
      <c r="I750" s="289">
        <v>111703.52</v>
      </c>
      <c r="J750" s="289">
        <v>1005331.68</v>
      </c>
      <c r="K750" s="288" t="s">
        <v>103</v>
      </c>
      <c r="L750" s="292">
        <v>2.4400000000000002E-2</v>
      </c>
    </row>
    <row r="751" spans="1:12" ht="15.75" thickBot="1" x14ac:dyDescent="0.3">
      <c r="A751" s="291" t="s">
        <v>112</v>
      </c>
      <c r="B751" s="286" t="s">
        <v>368</v>
      </c>
      <c r="C751" s="286" t="s">
        <v>1150</v>
      </c>
      <c r="D751" s="138" t="s">
        <v>486</v>
      </c>
      <c r="E751" s="286" t="s">
        <v>541</v>
      </c>
      <c r="F751" s="287">
        <v>45984</v>
      </c>
      <c r="G751" s="288" t="s">
        <v>103</v>
      </c>
      <c r="H751" s="288">
        <v>1</v>
      </c>
      <c r="I751" s="289">
        <v>136495.19</v>
      </c>
      <c r="J751" s="289">
        <v>136495.19</v>
      </c>
      <c r="K751" s="288" t="s">
        <v>103</v>
      </c>
      <c r="L751" s="292">
        <v>3.3E-3</v>
      </c>
    </row>
    <row r="752" spans="1:12" ht="15.75" thickBot="1" x14ac:dyDescent="0.3">
      <c r="A752" s="291" t="s">
        <v>113</v>
      </c>
      <c r="B752" s="286" t="s">
        <v>114</v>
      </c>
      <c r="C752" s="286" t="s">
        <v>1150</v>
      </c>
      <c r="D752" s="138" t="s">
        <v>202</v>
      </c>
      <c r="E752" s="286" t="s">
        <v>820</v>
      </c>
      <c r="F752" s="287">
        <v>47120</v>
      </c>
      <c r="G752" s="288" t="s">
        <v>103</v>
      </c>
      <c r="H752" s="288">
        <v>1</v>
      </c>
      <c r="I752" s="289">
        <v>59837.78</v>
      </c>
      <c r="J752" s="289">
        <v>-67.400000000000006</v>
      </c>
      <c r="K752" s="289">
        <v>59837.78</v>
      </c>
      <c r="L752" s="292">
        <v>1.4E-3</v>
      </c>
    </row>
    <row r="753" spans="1:12" ht="15.75" thickBot="1" x14ac:dyDescent="0.3">
      <c r="A753" s="291" t="s">
        <v>126</v>
      </c>
      <c r="B753" s="286" t="s">
        <v>877</v>
      </c>
      <c r="C753" s="286" t="s">
        <v>1150</v>
      </c>
      <c r="D753" s="138" t="s">
        <v>1140</v>
      </c>
      <c r="E753" s="286" t="s">
        <v>165</v>
      </c>
      <c r="F753" s="287">
        <v>45689</v>
      </c>
      <c r="G753" s="288" t="s">
        <v>103</v>
      </c>
      <c r="H753" s="288">
        <v>261</v>
      </c>
      <c r="I753" s="289">
        <v>917.27</v>
      </c>
      <c r="J753" s="289">
        <v>239406.92</v>
      </c>
      <c r="K753" s="288" t="s">
        <v>103</v>
      </c>
      <c r="L753" s="292">
        <v>5.7999999999999996E-3</v>
      </c>
    </row>
    <row r="754" spans="1:12" ht="15.75" thickBot="1" x14ac:dyDescent="0.3">
      <c r="A754" s="291" t="s">
        <v>126</v>
      </c>
      <c r="B754" s="286" t="s">
        <v>1141</v>
      </c>
      <c r="C754" s="286" t="s">
        <v>1150</v>
      </c>
      <c r="D754" s="138" t="s">
        <v>1142</v>
      </c>
      <c r="E754" s="286" t="s">
        <v>165</v>
      </c>
      <c r="F754" s="287">
        <v>47911</v>
      </c>
      <c r="G754" s="288" t="s">
        <v>103</v>
      </c>
      <c r="H754" s="288">
        <v>43</v>
      </c>
      <c r="I754" s="289">
        <v>1238.74</v>
      </c>
      <c r="J754" s="289">
        <v>53265.84</v>
      </c>
      <c r="K754" s="288" t="s">
        <v>103</v>
      </c>
      <c r="L754" s="292">
        <v>1.2999999999999999E-3</v>
      </c>
    </row>
    <row r="755" spans="1:12" ht="15.75" thickBot="1" x14ac:dyDescent="0.3">
      <c r="A755" s="291" t="s">
        <v>126</v>
      </c>
      <c r="B755" s="286" t="s">
        <v>467</v>
      </c>
      <c r="C755" s="286" t="s">
        <v>1150</v>
      </c>
      <c r="D755" s="138" t="s">
        <v>468</v>
      </c>
      <c r="E755" s="286" t="s">
        <v>165</v>
      </c>
      <c r="F755" s="287">
        <v>46198</v>
      </c>
      <c r="G755" s="288" t="s">
        <v>103</v>
      </c>
      <c r="H755" s="288">
        <v>124</v>
      </c>
      <c r="I755" s="289">
        <v>1013.55</v>
      </c>
      <c r="J755" s="289">
        <v>125680.08</v>
      </c>
      <c r="K755" s="288" t="s">
        <v>103</v>
      </c>
      <c r="L755" s="292">
        <v>3.0000000000000001E-3</v>
      </c>
    </row>
    <row r="756" spans="1:12" ht="15.75" thickBot="1" x14ac:dyDescent="0.3">
      <c r="A756" s="291" t="s">
        <v>126</v>
      </c>
      <c r="B756" s="286" t="s">
        <v>416</v>
      </c>
      <c r="C756" s="286" t="s">
        <v>1150</v>
      </c>
      <c r="D756" s="138" t="s">
        <v>417</v>
      </c>
      <c r="E756" s="286" t="s">
        <v>165</v>
      </c>
      <c r="F756" s="287">
        <v>46260</v>
      </c>
      <c r="G756" s="288" t="s">
        <v>103</v>
      </c>
      <c r="H756" s="288">
        <v>85</v>
      </c>
      <c r="I756" s="289">
        <v>1005.97</v>
      </c>
      <c r="J756" s="289">
        <v>85507.27</v>
      </c>
      <c r="K756" s="288" t="s">
        <v>103</v>
      </c>
      <c r="L756" s="292">
        <v>2.0999999999999999E-3</v>
      </c>
    </row>
    <row r="757" spans="1:12" ht="15.75" thickBot="1" x14ac:dyDescent="0.3">
      <c r="A757" s="291" t="s">
        <v>126</v>
      </c>
      <c r="B757" s="286" t="s">
        <v>1237</v>
      </c>
      <c r="C757" s="286" t="s">
        <v>1150</v>
      </c>
      <c r="D757" s="138" t="s">
        <v>1238</v>
      </c>
      <c r="E757" s="286" t="s">
        <v>165</v>
      </c>
      <c r="F757" s="287">
        <v>47834</v>
      </c>
      <c r="G757" s="288" t="s">
        <v>103</v>
      </c>
      <c r="H757" s="288">
        <v>598</v>
      </c>
      <c r="I757" s="289">
        <v>1025.6300000000001</v>
      </c>
      <c r="J757" s="289">
        <v>613329.29</v>
      </c>
      <c r="K757" s="288" t="s">
        <v>103</v>
      </c>
      <c r="L757" s="292">
        <v>1.49E-2</v>
      </c>
    </row>
    <row r="758" spans="1:12" ht="15.75" thickBot="1" x14ac:dyDescent="0.3">
      <c r="A758" s="291" t="s">
        <v>126</v>
      </c>
      <c r="B758" s="286" t="s">
        <v>1399</v>
      </c>
      <c r="C758" s="286" t="s">
        <v>1150</v>
      </c>
      <c r="D758" s="138" t="s">
        <v>1400</v>
      </c>
      <c r="E758" s="286" t="s">
        <v>165</v>
      </c>
      <c r="F758" s="288" t="s">
        <v>103</v>
      </c>
      <c r="G758" s="288" t="s">
        <v>103</v>
      </c>
      <c r="H758" s="288">
        <v>98</v>
      </c>
      <c r="I758" s="289">
        <v>1007.12</v>
      </c>
      <c r="J758" s="289">
        <v>98697.34</v>
      </c>
      <c r="K758" s="288" t="s">
        <v>103</v>
      </c>
      <c r="L758" s="292">
        <v>2.3999999999999998E-3</v>
      </c>
    </row>
    <row r="759" spans="1:12" ht="15.75" thickBot="1" x14ac:dyDescent="0.3">
      <c r="A759" s="291" t="s">
        <v>126</v>
      </c>
      <c r="B759" s="286" t="s">
        <v>941</v>
      </c>
      <c r="C759" s="286" t="s">
        <v>1150</v>
      </c>
      <c r="D759" s="138" t="s">
        <v>942</v>
      </c>
      <c r="E759" s="286" t="s">
        <v>165</v>
      </c>
      <c r="F759" s="287">
        <v>46496</v>
      </c>
      <c r="G759" s="288" t="s">
        <v>103</v>
      </c>
      <c r="H759" s="288">
        <v>51</v>
      </c>
      <c r="I759" s="289">
        <v>1002.2</v>
      </c>
      <c r="J759" s="289">
        <v>51112.19</v>
      </c>
      <c r="K759" s="288" t="s">
        <v>103</v>
      </c>
      <c r="L759" s="292">
        <v>1.1999999999999999E-3</v>
      </c>
    </row>
    <row r="760" spans="1:12" ht="15.75" thickBot="1" x14ac:dyDescent="0.3">
      <c r="A760" s="291" t="s">
        <v>127</v>
      </c>
      <c r="B760" s="286" t="s">
        <v>397</v>
      </c>
      <c r="C760" s="286" t="s">
        <v>1150</v>
      </c>
      <c r="D760" s="138" t="s">
        <v>398</v>
      </c>
      <c r="E760" s="286" t="s">
        <v>1296</v>
      </c>
      <c r="F760" s="287">
        <v>45856</v>
      </c>
      <c r="G760" s="288" t="s">
        <v>1487</v>
      </c>
      <c r="H760" s="290">
        <v>1102</v>
      </c>
      <c r="I760" s="289">
        <v>1015.91</v>
      </c>
      <c r="J760" s="289">
        <v>1119527.71</v>
      </c>
      <c r="K760" s="288" t="s">
        <v>103</v>
      </c>
      <c r="L760" s="292">
        <v>2.7099999999999999E-2</v>
      </c>
    </row>
    <row r="761" spans="1:12" ht="15.75" thickBot="1" x14ac:dyDescent="0.3">
      <c r="A761" s="291" t="s">
        <v>127</v>
      </c>
      <c r="B761" s="286" t="s">
        <v>204</v>
      </c>
      <c r="C761" s="286" t="s">
        <v>1150</v>
      </c>
      <c r="D761" s="138" t="s">
        <v>206</v>
      </c>
      <c r="E761" s="286" t="s">
        <v>607</v>
      </c>
      <c r="F761" s="287">
        <v>48014</v>
      </c>
      <c r="G761" s="288" t="s">
        <v>1493</v>
      </c>
      <c r="H761" s="288">
        <v>82</v>
      </c>
      <c r="I761" s="289">
        <v>980.16</v>
      </c>
      <c r="J761" s="289">
        <v>80373.42</v>
      </c>
      <c r="K761" s="288" t="s">
        <v>103</v>
      </c>
      <c r="L761" s="292">
        <v>1.9E-3</v>
      </c>
    </row>
    <row r="762" spans="1:12" ht="15.75" thickBot="1" x14ac:dyDescent="0.3">
      <c r="A762" s="291" t="s">
        <v>127</v>
      </c>
      <c r="B762" s="286" t="s">
        <v>204</v>
      </c>
      <c r="C762" s="286" t="s">
        <v>1150</v>
      </c>
      <c r="D762" s="138" t="s">
        <v>207</v>
      </c>
      <c r="E762" s="286" t="s">
        <v>1299</v>
      </c>
      <c r="F762" s="287">
        <v>47284</v>
      </c>
      <c r="G762" s="288" t="s">
        <v>1430</v>
      </c>
      <c r="H762" s="288">
        <v>32</v>
      </c>
      <c r="I762" s="289">
        <v>985.8</v>
      </c>
      <c r="J762" s="289">
        <v>31545.64</v>
      </c>
      <c r="K762" s="288" t="s">
        <v>103</v>
      </c>
      <c r="L762" s="292">
        <v>8.0000000000000004E-4</v>
      </c>
    </row>
    <row r="763" spans="1:12" ht="15.75" thickBot="1" x14ac:dyDescent="0.3">
      <c r="A763" s="291" t="s">
        <v>127</v>
      </c>
      <c r="B763" s="286" t="s">
        <v>354</v>
      </c>
      <c r="C763" s="286" t="s">
        <v>1150</v>
      </c>
      <c r="D763" s="138" t="s">
        <v>957</v>
      </c>
      <c r="E763" s="286" t="s">
        <v>1300</v>
      </c>
      <c r="F763" s="287">
        <v>47234</v>
      </c>
      <c r="G763" s="288" t="s">
        <v>103</v>
      </c>
      <c r="H763" s="288">
        <v>177</v>
      </c>
      <c r="I763" s="289">
        <v>1059.28</v>
      </c>
      <c r="J763" s="289">
        <v>187493.1</v>
      </c>
      <c r="K763" s="288" t="s">
        <v>103</v>
      </c>
      <c r="L763" s="292">
        <v>4.4999999999999997E-3</v>
      </c>
    </row>
    <row r="764" spans="1:12" ht="15.75" thickBot="1" x14ac:dyDescent="0.3">
      <c r="A764" s="291" t="s">
        <v>127</v>
      </c>
      <c r="B764" s="286" t="s">
        <v>759</v>
      </c>
      <c r="C764" s="286" t="s">
        <v>1150</v>
      </c>
      <c r="D764" s="138" t="s">
        <v>760</v>
      </c>
      <c r="E764" s="286" t="s">
        <v>1301</v>
      </c>
      <c r="F764" s="287">
        <v>46959</v>
      </c>
      <c r="G764" s="288" t="s">
        <v>1496</v>
      </c>
      <c r="H764" s="288">
        <v>80</v>
      </c>
      <c r="I764" s="289">
        <v>849.88</v>
      </c>
      <c r="J764" s="289">
        <v>67990.25</v>
      </c>
      <c r="K764" s="288" t="s">
        <v>103</v>
      </c>
      <c r="L764" s="292">
        <v>1.6000000000000001E-3</v>
      </c>
    </row>
    <row r="765" spans="1:12" ht="15.75" thickBot="1" x14ac:dyDescent="0.3">
      <c r="A765" s="291" t="s">
        <v>127</v>
      </c>
      <c r="B765" s="286" t="s">
        <v>37</v>
      </c>
      <c r="C765" s="286" t="s">
        <v>1150</v>
      </c>
      <c r="D765" s="138" t="s">
        <v>260</v>
      </c>
      <c r="E765" s="286" t="s">
        <v>616</v>
      </c>
      <c r="F765" s="287">
        <v>47065</v>
      </c>
      <c r="G765" s="288" t="s">
        <v>1415</v>
      </c>
      <c r="H765" s="288">
        <v>67</v>
      </c>
      <c r="I765" s="289">
        <v>1058.49</v>
      </c>
      <c r="J765" s="289">
        <v>70918.86</v>
      </c>
      <c r="K765" s="288" t="s">
        <v>103</v>
      </c>
      <c r="L765" s="292">
        <v>1.6999999999999999E-3</v>
      </c>
    </row>
    <row r="766" spans="1:12" ht="15.75" thickBot="1" x14ac:dyDescent="0.3">
      <c r="A766" s="291" t="s">
        <v>127</v>
      </c>
      <c r="B766" s="286" t="s">
        <v>208</v>
      </c>
      <c r="C766" s="286" t="s">
        <v>1150</v>
      </c>
      <c r="D766" s="138" t="s">
        <v>185</v>
      </c>
      <c r="E766" s="286" t="s">
        <v>1303</v>
      </c>
      <c r="F766" s="287">
        <v>46893</v>
      </c>
      <c r="G766" s="288" t="s">
        <v>1502</v>
      </c>
      <c r="H766" s="288">
        <v>619</v>
      </c>
      <c r="I766" s="289">
        <v>1044.05</v>
      </c>
      <c r="J766" s="289">
        <v>646269.93000000005</v>
      </c>
      <c r="K766" s="288" t="s">
        <v>103</v>
      </c>
      <c r="L766" s="292">
        <v>1.5699999999999999E-2</v>
      </c>
    </row>
    <row r="767" spans="1:12" ht="15.75" thickBot="1" x14ac:dyDescent="0.3">
      <c r="A767" s="291" t="s">
        <v>127</v>
      </c>
      <c r="B767" s="286" t="s">
        <v>208</v>
      </c>
      <c r="C767" s="286" t="s">
        <v>1150</v>
      </c>
      <c r="D767" s="138" t="s">
        <v>1003</v>
      </c>
      <c r="E767" s="286" t="s">
        <v>1304</v>
      </c>
      <c r="F767" s="287">
        <v>47289</v>
      </c>
      <c r="G767" s="288" t="s">
        <v>1407</v>
      </c>
      <c r="H767" s="288">
        <v>313</v>
      </c>
      <c r="I767" s="289">
        <v>1010.88</v>
      </c>
      <c r="J767" s="289">
        <v>316406.58</v>
      </c>
      <c r="K767" s="288" t="s">
        <v>103</v>
      </c>
      <c r="L767" s="292">
        <v>7.7000000000000002E-3</v>
      </c>
    </row>
    <row r="768" spans="1:12" ht="15.75" thickBot="1" x14ac:dyDescent="0.3">
      <c r="A768" s="291" t="s">
        <v>127</v>
      </c>
      <c r="B768" s="286" t="s">
        <v>230</v>
      </c>
      <c r="C768" s="286" t="s">
        <v>1150</v>
      </c>
      <c r="D768" s="138" t="s">
        <v>327</v>
      </c>
      <c r="E768" s="286" t="s">
        <v>1305</v>
      </c>
      <c r="F768" s="287">
        <v>46506</v>
      </c>
      <c r="G768" s="288" t="s">
        <v>1503</v>
      </c>
      <c r="H768" s="288">
        <v>142</v>
      </c>
      <c r="I768" s="289">
        <v>1051.98</v>
      </c>
      <c r="J768" s="289">
        <v>149381.82</v>
      </c>
      <c r="K768" s="288" t="s">
        <v>103</v>
      </c>
      <c r="L768" s="292">
        <v>3.5999999999999999E-3</v>
      </c>
    </row>
    <row r="769" spans="1:12" ht="15.75" thickBot="1" x14ac:dyDescent="0.3">
      <c r="A769" s="291" t="s">
        <v>127</v>
      </c>
      <c r="B769" s="286" t="s">
        <v>8</v>
      </c>
      <c r="C769" s="286" t="s">
        <v>1150</v>
      </c>
      <c r="D769" s="138" t="s">
        <v>137</v>
      </c>
      <c r="E769" s="286" t="s">
        <v>1306</v>
      </c>
      <c r="F769" s="287">
        <v>46371</v>
      </c>
      <c r="G769" s="288" t="s">
        <v>1506</v>
      </c>
      <c r="H769" s="288">
        <v>136</v>
      </c>
      <c r="I769" s="289">
        <v>694.57</v>
      </c>
      <c r="J769" s="289">
        <v>94461.52</v>
      </c>
      <c r="K769" s="288" t="s">
        <v>103</v>
      </c>
      <c r="L769" s="292">
        <v>2.3E-3</v>
      </c>
    </row>
    <row r="770" spans="1:12" ht="15.75" thickBot="1" x14ac:dyDescent="0.3">
      <c r="A770" s="291" t="s">
        <v>127</v>
      </c>
      <c r="B770" s="286" t="s">
        <v>231</v>
      </c>
      <c r="C770" s="286" t="s">
        <v>1150</v>
      </c>
      <c r="D770" s="138" t="s">
        <v>221</v>
      </c>
      <c r="E770" s="286" t="s">
        <v>1308</v>
      </c>
      <c r="F770" s="287">
        <v>48080</v>
      </c>
      <c r="G770" s="288" t="s">
        <v>1438</v>
      </c>
      <c r="H770" s="290">
        <v>1055</v>
      </c>
      <c r="I770" s="289">
        <v>1026.3</v>
      </c>
      <c r="J770" s="289">
        <v>1082748.3700000001</v>
      </c>
      <c r="K770" s="288" t="s">
        <v>103</v>
      </c>
      <c r="L770" s="292">
        <v>2.6200000000000001E-2</v>
      </c>
    </row>
    <row r="771" spans="1:12" ht="15.75" thickBot="1" x14ac:dyDescent="0.3">
      <c r="A771" s="291" t="s">
        <v>127</v>
      </c>
      <c r="B771" s="286" t="s">
        <v>45</v>
      </c>
      <c r="C771" s="286" t="s">
        <v>1150</v>
      </c>
      <c r="D771" s="138" t="s">
        <v>437</v>
      </c>
      <c r="E771" s="286" t="s">
        <v>1311</v>
      </c>
      <c r="F771" s="287">
        <v>47192</v>
      </c>
      <c r="G771" s="288" t="s">
        <v>1510</v>
      </c>
      <c r="H771" s="288">
        <v>176</v>
      </c>
      <c r="I771" s="289">
        <v>912.22</v>
      </c>
      <c r="J771" s="289">
        <v>160551.51</v>
      </c>
      <c r="K771" s="288" t="s">
        <v>103</v>
      </c>
      <c r="L771" s="292">
        <v>3.8999999999999998E-3</v>
      </c>
    </row>
    <row r="772" spans="1:12" ht="15.75" thickBot="1" x14ac:dyDescent="0.3">
      <c r="A772" s="291" t="s">
        <v>127</v>
      </c>
      <c r="B772" s="286" t="s">
        <v>513</v>
      </c>
      <c r="C772" s="286" t="s">
        <v>1150</v>
      </c>
      <c r="D772" s="138" t="s">
        <v>514</v>
      </c>
      <c r="E772" s="286" t="s">
        <v>1313</v>
      </c>
      <c r="F772" s="287">
        <v>46310</v>
      </c>
      <c r="G772" s="288" t="s">
        <v>1517</v>
      </c>
      <c r="H772" s="288">
        <v>115</v>
      </c>
      <c r="I772" s="289">
        <v>1044.98</v>
      </c>
      <c r="J772" s="289">
        <v>120172.75</v>
      </c>
      <c r="K772" s="288" t="s">
        <v>103</v>
      </c>
      <c r="L772" s="292">
        <v>2.8999999999999998E-3</v>
      </c>
    </row>
    <row r="773" spans="1:12" ht="15.75" thickBot="1" x14ac:dyDescent="0.3">
      <c r="A773" s="291" t="s">
        <v>127</v>
      </c>
      <c r="B773" s="286" t="s">
        <v>855</v>
      </c>
      <c r="C773" s="286" t="s">
        <v>1150</v>
      </c>
      <c r="D773" s="138" t="s">
        <v>265</v>
      </c>
      <c r="E773" s="286" t="s">
        <v>812</v>
      </c>
      <c r="F773" s="287">
        <v>47046</v>
      </c>
      <c r="G773" s="288" t="s">
        <v>1441</v>
      </c>
      <c r="H773" s="288">
        <v>490</v>
      </c>
      <c r="I773" s="289">
        <v>1033.5899999999999</v>
      </c>
      <c r="J773" s="289">
        <v>506456.69</v>
      </c>
      <c r="K773" s="288" t="s">
        <v>103</v>
      </c>
      <c r="L773" s="292">
        <v>1.23E-2</v>
      </c>
    </row>
    <row r="774" spans="1:12" ht="15.75" thickBot="1" x14ac:dyDescent="0.3">
      <c r="A774" s="291" t="s">
        <v>127</v>
      </c>
      <c r="B774" s="286" t="s">
        <v>309</v>
      </c>
      <c r="C774" s="286" t="s">
        <v>1150</v>
      </c>
      <c r="D774" s="138" t="s">
        <v>310</v>
      </c>
      <c r="E774" s="286" t="s">
        <v>1314</v>
      </c>
      <c r="F774" s="287">
        <v>48014</v>
      </c>
      <c r="G774" s="288" t="s">
        <v>1522</v>
      </c>
      <c r="H774" s="288">
        <v>380</v>
      </c>
      <c r="I774" s="289">
        <v>1056.77</v>
      </c>
      <c r="J774" s="289">
        <v>401572.36</v>
      </c>
      <c r="K774" s="288" t="s">
        <v>103</v>
      </c>
      <c r="L774" s="292">
        <v>9.7000000000000003E-3</v>
      </c>
    </row>
    <row r="775" spans="1:12" ht="15.75" thickBot="1" x14ac:dyDescent="0.3">
      <c r="A775" s="291" t="s">
        <v>127</v>
      </c>
      <c r="B775" s="286" t="s">
        <v>427</v>
      </c>
      <c r="C775" s="286" t="s">
        <v>1150</v>
      </c>
      <c r="D775" s="138" t="s">
        <v>469</v>
      </c>
      <c r="E775" s="286" t="s">
        <v>1301</v>
      </c>
      <c r="F775" s="287">
        <v>46588</v>
      </c>
      <c r="G775" s="288" t="s">
        <v>1524</v>
      </c>
      <c r="H775" s="288">
        <v>80</v>
      </c>
      <c r="I775" s="289">
        <v>1024.76</v>
      </c>
      <c r="J775" s="289">
        <v>81981.009999999995</v>
      </c>
      <c r="K775" s="288" t="s">
        <v>103</v>
      </c>
      <c r="L775" s="292">
        <v>2E-3</v>
      </c>
    </row>
    <row r="776" spans="1:12" ht="15.75" thickBot="1" x14ac:dyDescent="0.3">
      <c r="A776" s="291" t="s">
        <v>127</v>
      </c>
      <c r="B776" s="286" t="s">
        <v>267</v>
      </c>
      <c r="C776" s="286" t="s">
        <v>1150</v>
      </c>
      <c r="D776" s="138" t="s">
        <v>268</v>
      </c>
      <c r="E776" s="286" t="s">
        <v>611</v>
      </c>
      <c r="F776" s="287">
        <v>47238</v>
      </c>
      <c r="G776" s="288" t="s">
        <v>1525</v>
      </c>
      <c r="H776" s="290">
        <v>1340</v>
      </c>
      <c r="I776" s="289">
        <v>1049.1099999999999</v>
      </c>
      <c r="J776" s="289">
        <v>1405813.05</v>
      </c>
      <c r="K776" s="288" t="s">
        <v>103</v>
      </c>
      <c r="L776" s="292">
        <v>3.4099999999999998E-2</v>
      </c>
    </row>
    <row r="777" spans="1:12" ht="15.75" thickBot="1" x14ac:dyDescent="0.3">
      <c r="A777" s="291" t="s">
        <v>127</v>
      </c>
      <c r="B777" s="286" t="s">
        <v>1166</v>
      </c>
      <c r="C777" s="286" t="s">
        <v>1150</v>
      </c>
      <c r="D777" s="138" t="s">
        <v>1167</v>
      </c>
      <c r="E777" s="286" t="s">
        <v>1315</v>
      </c>
      <c r="F777" s="287">
        <v>49475</v>
      </c>
      <c r="G777" s="288" t="s">
        <v>1529</v>
      </c>
      <c r="H777" s="288">
        <v>220</v>
      </c>
      <c r="I777" s="289">
        <v>1028.8</v>
      </c>
      <c r="J777" s="289">
        <v>226336.18</v>
      </c>
      <c r="K777" s="288" t="s">
        <v>103</v>
      </c>
      <c r="L777" s="292">
        <v>5.4999999999999997E-3</v>
      </c>
    </row>
    <row r="778" spans="1:12" ht="15.75" thickBot="1" x14ac:dyDescent="0.3">
      <c r="A778" s="291" t="s">
        <v>127</v>
      </c>
      <c r="B778" s="286" t="s">
        <v>758</v>
      </c>
      <c r="C778" s="286" t="s">
        <v>1150</v>
      </c>
      <c r="D778" s="138" t="s">
        <v>837</v>
      </c>
      <c r="E778" s="286" t="s">
        <v>1317</v>
      </c>
      <c r="F778" s="287">
        <v>47406</v>
      </c>
      <c r="G778" s="288" t="s">
        <v>1429</v>
      </c>
      <c r="H778" s="290">
        <v>190000</v>
      </c>
      <c r="I778" s="289">
        <v>1.07</v>
      </c>
      <c r="J778" s="289">
        <v>203372.58</v>
      </c>
      <c r="K778" s="288" t="s">
        <v>103</v>
      </c>
      <c r="L778" s="292">
        <v>4.8999999999999998E-3</v>
      </c>
    </row>
    <row r="779" spans="1:12" ht="15.75" thickBot="1" x14ac:dyDescent="0.3">
      <c r="A779" s="291" t="s">
        <v>127</v>
      </c>
      <c r="B779" s="286" t="s">
        <v>33</v>
      </c>
      <c r="C779" s="286" t="s">
        <v>1150</v>
      </c>
      <c r="D779" s="138" t="s">
        <v>822</v>
      </c>
      <c r="E779" s="286" t="s">
        <v>549</v>
      </c>
      <c r="F779" s="287">
        <v>47771</v>
      </c>
      <c r="G779" s="288" t="s">
        <v>1536</v>
      </c>
      <c r="H779" s="288">
        <v>19</v>
      </c>
      <c r="I779" s="289">
        <v>1087.77</v>
      </c>
      <c r="J779" s="289">
        <v>20667.7</v>
      </c>
      <c r="K779" s="288" t="s">
        <v>103</v>
      </c>
      <c r="L779" s="292">
        <v>5.0000000000000001E-4</v>
      </c>
    </row>
    <row r="780" spans="1:12" ht="15.75" thickBot="1" x14ac:dyDescent="0.3">
      <c r="A780" s="291" t="s">
        <v>127</v>
      </c>
      <c r="B780" s="286" t="s">
        <v>156</v>
      </c>
      <c r="C780" s="286" t="s">
        <v>1150</v>
      </c>
      <c r="D780" s="138" t="s">
        <v>1040</v>
      </c>
      <c r="E780" s="286" t="s">
        <v>797</v>
      </c>
      <c r="F780" s="287">
        <v>49123</v>
      </c>
      <c r="G780" s="288" t="s">
        <v>1540</v>
      </c>
      <c r="H780" s="288">
        <v>507</v>
      </c>
      <c r="I780" s="289">
        <v>1017.27</v>
      </c>
      <c r="J780" s="289">
        <v>515755.64</v>
      </c>
      <c r="K780" s="288" t="s">
        <v>103</v>
      </c>
      <c r="L780" s="292">
        <v>1.2500000000000001E-2</v>
      </c>
    </row>
    <row r="781" spans="1:12" ht="15.75" thickBot="1" x14ac:dyDescent="0.3">
      <c r="A781" s="291" t="s">
        <v>127</v>
      </c>
      <c r="B781" s="286" t="s">
        <v>156</v>
      </c>
      <c r="C781" s="286" t="s">
        <v>1150</v>
      </c>
      <c r="D781" s="138" t="s">
        <v>1039</v>
      </c>
      <c r="E781" s="286" t="s">
        <v>1010</v>
      </c>
      <c r="F781" s="287">
        <v>47297</v>
      </c>
      <c r="G781" s="288" t="s">
        <v>1541</v>
      </c>
      <c r="H781" s="288">
        <v>310</v>
      </c>
      <c r="I781" s="289">
        <v>1016.5</v>
      </c>
      <c r="J781" s="289">
        <v>315114.64</v>
      </c>
      <c r="K781" s="288" t="s">
        <v>103</v>
      </c>
      <c r="L781" s="292">
        <v>7.6E-3</v>
      </c>
    </row>
    <row r="782" spans="1:12" ht="15.75" thickBot="1" x14ac:dyDescent="0.3">
      <c r="A782" s="291" t="s">
        <v>127</v>
      </c>
      <c r="B782" s="286" t="s">
        <v>290</v>
      </c>
      <c r="C782" s="286" t="s">
        <v>1150</v>
      </c>
      <c r="D782" s="138" t="s">
        <v>240</v>
      </c>
      <c r="E782" s="286" t="s">
        <v>1320</v>
      </c>
      <c r="F782" s="287">
        <v>47406</v>
      </c>
      <c r="G782" s="288" t="s">
        <v>1431</v>
      </c>
      <c r="H782" s="290">
        <v>1290</v>
      </c>
      <c r="I782" s="289">
        <v>839.92</v>
      </c>
      <c r="J782" s="289">
        <v>1083500.49</v>
      </c>
      <c r="K782" s="288" t="s">
        <v>103</v>
      </c>
      <c r="L782" s="292">
        <v>2.6200000000000001E-2</v>
      </c>
    </row>
    <row r="783" spans="1:12" ht="15.75" thickBot="1" x14ac:dyDescent="0.3">
      <c r="A783" s="291" t="s">
        <v>127</v>
      </c>
      <c r="B783" s="286" t="s">
        <v>825</v>
      </c>
      <c r="C783" s="286" t="s">
        <v>1150</v>
      </c>
      <c r="D783" s="138" t="s">
        <v>826</v>
      </c>
      <c r="E783" s="286" t="s">
        <v>1322</v>
      </c>
      <c r="F783" s="287">
        <v>47788</v>
      </c>
      <c r="G783" s="288" t="s">
        <v>1298</v>
      </c>
      <c r="H783" s="288">
        <v>57</v>
      </c>
      <c r="I783" s="289">
        <v>1064.3499999999999</v>
      </c>
      <c r="J783" s="289">
        <v>60668.17</v>
      </c>
      <c r="K783" s="288" t="s">
        <v>103</v>
      </c>
      <c r="L783" s="292">
        <v>1.5E-3</v>
      </c>
    </row>
    <row r="784" spans="1:12" ht="15.75" thickBot="1" x14ac:dyDescent="0.3">
      <c r="A784" s="291" t="s">
        <v>127</v>
      </c>
      <c r="B784" s="286" t="s">
        <v>476</v>
      </c>
      <c r="C784" s="286" t="s">
        <v>1150</v>
      </c>
      <c r="D784" s="138" t="s">
        <v>470</v>
      </c>
      <c r="E784" s="286" t="s">
        <v>1323</v>
      </c>
      <c r="F784" s="287">
        <v>46741</v>
      </c>
      <c r="G784" s="288" t="s">
        <v>1439</v>
      </c>
      <c r="H784" s="288">
        <v>663</v>
      </c>
      <c r="I784" s="289">
        <v>990.12</v>
      </c>
      <c r="J784" s="289">
        <v>656447.81999999995</v>
      </c>
      <c r="K784" s="288" t="s">
        <v>103</v>
      </c>
      <c r="L784" s="292">
        <v>1.5900000000000001E-2</v>
      </c>
    </row>
    <row r="785" spans="1:12" ht="15.75" thickBot="1" x14ac:dyDescent="0.3">
      <c r="A785" s="291" t="s">
        <v>127</v>
      </c>
      <c r="B785" s="286" t="s">
        <v>418</v>
      </c>
      <c r="C785" s="286" t="s">
        <v>1150</v>
      </c>
      <c r="D785" s="138" t="s">
        <v>419</v>
      </c>
      <c r="E785" s="286" t="s">
        <v>1307</v>
      </c>
      <c r="F785" s="287">
        <v>46609</v>
      </c>
      <c r="G785" s="288" t="s">
        <v>103</v>
      </c>
      <c r="H785" s="288">
        <v>53</v>
      </c>
      <c r="I785" s="289">
        <v>630.55999999999995</v>
      </c>
      <c r="J785" s="289">
        <v>33419.620000000003</v>
      </c>
      <c r="K785" s="288" t="s">
        <v>103</v>
      </c>
      <c r="L785" s="292">
        <v>8.0000000000000004E-4</v>
      </c>
    </row>
    <row r="786" spans="1:12" ht="15.75" thickBot="1" x14ac:dyDescent="0.3">
      <c r="A786" s="291" t="s">
        <v>127</v>
      </c>
      <c r="B786" s="286" t="s">
        <v>944</v>
      </c>
      <c r="C786" s="286" t="s">
        <v>1150</v>
      </c>
      <c r="D786" s="138" t="s">
        <v>945</v>
      </c>
      <c r="E786" s="286" t="s">
        <v>1324</v>
      </c>
      <c r="F786" s="287">
        <v>47223</v>
      </c>
      <c r="G786" s="288" t="s">
        <v>103</v>
      </c>
      <c r="H786" s="288">
        <v>151</v>
      </c>
      <c r="I786" s="289">
        <v>1044.33</v>
      </c>
      <c r="J786" s="289">
        <v>157693.29</v>
      </c>
      <c r="K786" s="288" t="s">
        <v>103</v>
      </c>
      <c r="L786" s="292">
        <v>3.8E-3</v>
      </c>
    </row>
    <row r="787" spans="1:12" ht="15.75" thickBot="1" x14ac:dyDescent="0.3">
      <c r="A787" s="291" t="s">
        <v>127</v>
      </c>
      <c r="B787" s="286" t="s">
        <v>1034</v>
      </c>
      <c r="C787" s="286" t="s">
        <v>1150</v>
      </c>
      <c r="D787" s="138" t="s">
        <v>1033</v>
      </c>
      <c r="E787" s="286" t="s">
        <v>1325</v>
      </c>
      <c r="F787" s="287">
        <v>47284</v>
      </c>
      <c r="G787" s="288" t="s">
        <v>1550</v>
      </c>
      <c r="H787" s="288">
        <v>64</v>
      </c>
      <c r="I787" s="289">
        <v>1036.99</v>
      </c>
      <c r="J787" s="289">
        <v>66367.45</v>
      </c>
      <c r="K787" s="288" t="s">
        <v>103</v>
      </c>
      <c r="L787" s="292">
        <v>1.6000000000000001E-3</v>
      </c>
    </row>
    <row r="788" spans="1:12" ht="15.75" thickBot="1" x14ac:dyDescent="0.3">
      <c r="A788" s="291" t="s">
        <v>127</v>
      </c>
      <c r="B788" s="286" t="s">
        <v>234</v>
      </c>
      <c r="C788" s="286" t="s">
        <v>1150</v>
      </c>
      <c r="D788" s="138" t="s">
        <v>471</v>
      </c>
      <c r="E788" s="286" t="s">
        <v>1326</v>
      </c>
      <c r="F788" s="287">
        <v>46152</v>
      </c>
      <c r="G788" s="288" t="s">
        <v>1422</v>
      </c>
      <c r="H788" s="288">
        <v>147</v>
      </c>
      <c r="I788" s="289">
        <v>989.51</v>
      </c>
      <c r="J788" s="289">
        <v>145457.92000000001</v>
      </c>
      <c r="K788" s="288" t="s">
        <v>103</v>
      </c>
      <c r="L788" s="292">
        <v>3.5000000000000001E-3</v>
      </c>
    </row>
    <row r="789" spans="1:12" ht="15.75" thickBot="1" x14ac:dyDescent="0.3">
      <c r="A789" s="291" t="s">
        <v>127</v>
      </c>
      <c r="B789" s="286" t="s">
        <v>234</v>
      </c>
      <c r="C789" s="286" t="s">
        <v>1150</v>
      </c>
      <c r="D789" s="138" t="s">
        <v>509</v>
      </c>
      <c r="E789" s="286" t="s">
        <v>1325</v>
      </c>
      <c r="F789" s="287">
        <v>46883</v>
      </c>
      <c r="G789" s="288" t="s">
        <v>1413</v>
      </c>
      <c r="H789" s="288">
        <v>64</v>
      </c>
      <c r="I789" s="289">
        <v>841.56</v>
      </c>
      <c r="J789" s="289">
        <v>53859.86</v>
      </c>
      <c r="K789" s="288" t="s">
        <v>103</v>
      </c>
      <c r="L789" s="292">
        <v>1.2999999999999999E-3</v>
      </c>
    </row>
    <row r="790" spans="1:12" ht="15.75" thickBot="1" x14ac:dyDescent="0.3">
      <c r="A790" s="291" t="s">
        <v>127</v>
      </c>
      <c r="B790" s="286" t="s">
        <v>429</v>
      </c>
      <c r="C790" s="286" t="s">
        <v>1150</v>
      </c>
      <c r="D790" s="138" t="s">
        <v>1172</v>
      </c>
      <c r="E790" s="286" t="s">
        <v>1329</v>
      </c>
      <c r="F790" s="287">
        <v>48346</v>
      </c>
      <c r="G790" s="288" t="s">
        <v>1558</v>
      </c>
      <c r="H790" s="288">
        <v>100</v>
      </c>
      <c r="I790" s="289">
        <v>1005.02</v>
      </c>
      <c r="J790" s="289">
        <v>100501.72</v>
      </c>
      <c r="K790" s="288" t="s">
        <v>103</v>
      </c>
      <c r="L790" s="292">
        <v>2.3999999999999998E-3</v>
      </c>
    </row>
    <row r="791" spans="1:12" ht="15.75" thickBot="1" x14ac:dyDescent="0.3">
      <c r="A791" s="291" t="s">
        <v>127</v>
      </c>
      <c r="B791" s="286" t="s">
        <v>10</v>
      </c>
      <c r="C791" s="286" t="s">
        <v>1150</v>
      </c>
      <c r="D791" s="138" t="s">
        <v>1330</v>
      </c>
      <c r="E791" s="286" t="s">
        <v>1279</v>
      </c>
      <c r="F791" s="287">
        <v>45716</v>
      </c>
      <c r="G791" s="288" t="s">
        <v>1562</v>
      </c>
      <c r="H791" s="288">
        <v>214</v>
      </c>
      <c r="I791" s="289">
        <v>672.93</v>
      </c>
      <c r="J791" s="289">
        <v>144007.07</v>
      </c>
      <c r="K791" s="288" t="s">
        <v>103</v>
      </c>
      <c r="L791" s="292">
        <v>3.5000000000000001E-3</v>
      </c>
    </row>
    <row r="792" spans="1:12" ht="15.75" thickBot="1" x14ac:dyDescent="0.3">
      <c r="A792" s="291" t="s">
        <v>127</v>
      </c>
      <c r="B792" s="286" t="s">
        <v>233</v>
      </c>
      <c r="C792" s="286" t="s">
        <v>1150</v>
      </c>
      <c r="D792" s="138" t="s">
        <v>239</v>
      </c>
      <c r="E792" s="286" t="s">
        <v>1336</v>
      </c>
      <c r="F792" s="287">
        <v>47030</v>
      </c>
      <c r="G792" s="288" t="s">
        <v>1565</v>
      </c>
      <c r="H792" s="290">
        <v>1773</v>
      </c>
      <c r="I792" s="289">
        <v>1055.98</v>
      </c>
      <c r="J792" s="289">
        <v>1872254.01</v>
      </c>
      <c r="K792" s="288" t="s">
        <v>103</v>
      </c>
      <c r="L792" s="292">
        <v>4.5400000000000003E-2</v>
      </c>
    </row>
    <row r="793" spans="1:12" ht="15.75" thickBot="1" x14ac:dyDescent="0.3">
      <c r="A793" s="291" t="s">
        <v>127</v>
      </c>
      <c r="B793" s="286" t="s">
        <v>506</v>
      </c>
      <c r="C793" s="286" t="s">
        <v>1150</v>
      </c>
      <c r="D793" s="138" t="s">
        <v>879</v>
      </c>
      <c r="E793" s="286" t="s">
        <v>632</v>
      </c>
      <c r="F793" s="287">
        <v>47157</v>
      </c>
      <c r="G793" s="288" t="s">
        <v>1412</v>
      </c>
      <c r="H793" s="288">
        <v>83</v>
      </c>
      <c r="I793" s="289">
        <v>1021.7</v>
      </c>
      <c r="J793" s="289">
        <v>84800.72</v>
      </c>
      <c r="K793" s="288" t="s">
        <v>103</v>
      </c>
      <c r="L793" s="292">
        <v>2.0999999999999999E-3</v>
      </c>
    </row>
    <row r="794" spans="1:12" ht="15.75" thickBot="1" x14ac:dyDescent="0.3">
      <c r="A794" s="291" t="s">
        <v>131</v>
      </c>
      <c r="B794" s="286" t="s">
        <v>140</v>
      </c>
      <c r="C794" s="286" t="s">
        <v>1150</v>
      </c>
      <c r="D794" s="138">
        <v>760199</v>
      </c>
      <c r="E794" s="286" t="s">
        <v>165</v>
      </c>
      <c r="F794" s="287">
        <v>47253</v>
      </c>
      <c r="G794" s="288" t="s">
        <v>103</v>
      </c>
      <c r="H794" s="290">
        <v>4792</v>
      </c>
      <c r="I794" s="289">
        <v>4205.88</v>
      </c>
      <c r="J794" s="289">
        <v>20154560.289999999</v>
      </c>
      <c r="K794" s="288" t="s">
        <v>103</v>
      </c>
      <c r="L794" s="292">
        <v>0.48820000000000002</v>
      </c>
    </row>
    <row r="795" spans="1:12" ht="15.75" thickBot="1" x14ac:dyDescent="0.3">
      <c r="A795" s="291" t="s">
        <v>488</v>
      </c>
      <c r="B795" s="286" t="s">
        <v>201</v>
      </c>
      <c r="C795" s="286" t="s">
        <v>1150</v>
      </c>
      <c r="D795" s="138" t="s">
        <v>1362</v>
      </c>
      <c r="E795" s="286" t="s">
        <v>1363</v>
      </c>
      <c r="F795" s="287">
        <v>46042</v>
      </c>
      <c r="G795" s="288" t="s">
        <v>103</v>
      </c>
      <c r="H795" s="288">
        <v>253</v>
      </c>
      <c r="I795" s="289">
        <v>1013.42</v>
      </c>
      <c r="J795" s="289">
        <v>256395.24</v>
      </c>
      <c r="K795" s="288" t="s">
        <v>103</v>
      </c>
      <c r="L795" s="292">
        <v>6.1999999999999998E-3</v>
      </c>
    </row>
    <row r="796" spans="1:12" ht="15.75" thickBot="1" x14ac:dyDescent="0.3">
      <c r="A796" s="291" t="s">
        <v>488</v>
      </c>
      <c r="B796" s="286" t="s">
        <v>767</v>
      </c>
      <c r="C796" s="286" t="s">
        <v>1150</v>
      </c>
      <c r="D796" s="138" t="s">
        <v>768</v>
      </c>
      <c r="E796" s="286" t="s">
        <v>1339</v>
      </c>
      <c r="F796" s="287">
        <v>45870</v>
      </c>
      <c r="G796" s="288" t="s">
        <v>103</v>
      </c>
      <c r="H796" s="288">
        <v>461</v>
      </c>
      <c r="I796" s="289">
        <v>1211.97</v>
      </c>
      <c r="J796" s="289">
        <v>558716.81000000006</v>
      </c>
      <c r="K796" s="288" t="s">
        <v>103</v>
      </c>
      <c r="L796" s="292">
        <v>1.35E-2</v>
      </c>
    </row>
    <row r="797" spans="1:12" ht="15.75" thickBot="1" x14ac:dyDescent="0.3">
      <c r="A797" s="291" t="s">
        <v>488</v>
      </c>
      <c r="B797" s="286" t="s">
        <v>1027</v>
      </c>
      <c r="C797" s="286" t="s">
        <v>1150</v>
      </c>
      <c r="D797" s="138" t="s">
        <v>1340</v>
      </c>
      <c r="E797" s="286" t="s">
        <v>1013</v>
      </c>
      <c r="F797" s="287">
        <v>45897</v>
      </c>
      <c r="G797" s="288" t="s">
        <v>103</v>
      </c>
      <c r="H797" s="288">
        <v>360</v>
      </c>
      <c r="I797" s="289">
        <v>1059.03</v>
      </c>
      <c r="J797" s="289">
        <v>381251.31</v>
      </c>
      <c r="K797" s="288" t="s">
        <v>103</v>
      </c>
      <c r="L797" s="292">
        <v>9.1999999999999998E-3</v>
      </c>
    </row>
    <row r="798" spans="1:12" ht="15.75" thickBot="1" x14ac:dyDescent="0.3">
      <c r="A798" s="291" t="s">
        <v>488</v>
      </c>
      <c r="B798" s="286" t="s">
        <v>1123</v>
      </c>
      <c r="C798" s="286" t="s">
        <v>1150</v>
      </c>
      <c r="D798" s="138" t="s">
        <v>1287</v>
      </c>
      <c r="E798" s="286" t="s">
        <v>165</v>
      </c>
      <c r="F798" s="287">
        <v>45810</v>
      </c>
      <c r="G798" s="288" t="s">
        <v>103</v>
      </c>
      <c r="H798" s="288">
        <v>369</v>
      </c>
      <c r="I798" s="289">
        <v>1028.3800000000001</v>
      </c>
      <c r="J798" s="289">
        <v>379470.95</v>
      </c>
      <c r="K798" s="288" t="s">
        <v>103</v>
      </c>
      <c r="L798" s="292">
        <v>9.1999999999999998E-3</v>
      </c>
    </row>
    <row r="799" spans="1:12" ht="15.75" thickBot="1" x14ac:dyDescent="0.3">
      <c r="A799" s="291" t="s">
        <v>488</v>
      </c>
      <c r="B799" s="286" t="s">
        <v>1123</v>
      </c>
      <c r="C799" s="286" t="s">
        <v>1150</v>
      </c>
      <c r="D799" s="138" t="s">
        <v>1342</v>
      </c>
      <c r="E799" s="286" t="s">
        <v>1343</v>
      </c>
      <c r="F799" s="287">
        <v>45929</v>
      </c>
      <c r="G799" s="288" t="s">
        <v>103</v>
      </c>
      <c r="H799" s="288">
        <v>298</v>
      </c>
      <c r="I799" s="289">
        <v>1051.06</v>
      </c>
      <c r="J799" s="289">
        <v>313216.18</v>
      </c>
      <c r="K799" s="288" t="s">
        <v>103</v>
      </c>
      <c r="L799" s="292">
        <v>7.6E-3</v>
      </c>
    </row>
    <row r="800" spans="1:12" ht="15.75" thickBot="1" x14ac:dyDescent="0.3">
      <c r="A800" s="291" t="s">
        <v>488</v>
      </c>
      <c r="B800" s="286" t="s">
        <v>1062</v>
      </c>
      <c r="C800" s="286" t="s">
        <v>1150</v>
      </c>
      <c r="D800" s="138" t="s">
        <v>1128</v>
      </c>
      <c r="E800" s="286" t="s">
        <v>1344</v>
      </c>
      <c r="F800" s="287">
        <v>45869</v>
      </c>
      <c r="G800" s="288" t="s">
        <v>103</v>
      </c>
      <c r="H800" s="288">
        <v>368</v>
      </c>
      <c r="I800" s="289">
        <v>1074.3</v>
      </c>
      <c r="J800" s="289">
        <v>395343.82</v>
      </c>
      <c r="K800" s="288" t="s">
        <v>103</v>
      </c>
      <c r="L800" s="292">
        <v>9.5999999999999992E-3</v>
      </c>
    </row>
    <row r="801" spans="1:12" ht="15.75" thickBot="1" x14ac:dyDescent="0.3">
      <c r="A801" s="291" t="s">
        <v>488</v>
      </c>
      <c r="B801" s="286" t="s">
        <v>1062</v>
      </c>
      <c r="C801" s="286" t="s">
        <v>1150</v>
      </c>
      <c r="D801" s="138" t="s">
        <v>1146</v>
      </c>
      <c r="E801" s="286" t="s">
        <v>1345</v>
      </c>
      <c r="F801" s="287">
        <v>45943</v>
      </c>
      <c r="G801" s="288" t="s">
        <v>103</v>
      </c>
      <c r="H801" s="288">
        <v>170</v>
      </c>
      <c r="I801" s="289">
        <v>1047.6099999999999</v>
      </c>
      <c r="J801" s="289">
        <v>178093.96</v>
      </c>
      <c r="K801" s="288" t="s">
        <v>103</v>
      </c>
      <c r="L801" s="292">
        <v>4.3E-3</v>
      </c>
    </row>
    <row r="802" spans="1:12" ht="15.75" thickBot="1" x14ac:dyDescent="0.3">
      <c r="A802" s="291" t="s">
        <v>144</v>
      </c>
      <c r="B802" s="286" t="s">
        <v>103</v>
      </c>
      <c r="C802" s="286" t="s">
        <v>1150</v>
      </c>
      <c r="D802" s="138" t="s">
        <v>144</v>
      </c>
      <c r="E802" s="286" t="s">
        <v>165</v>
      </c>
      <c r="F802" s="288" t="s">
        <v>103</v>
      </c>
      <c r="G802" s="288" t="s">
        <v>103</v>
      </c>
      <c r="H802" s="288" t="s">
        <v>103</v>
      </c>
      <c r="I802" s="288" t="s">
        <v>103</v>
      </c>
      <c r="J802" s="289">
        <v>0</v>
      </c>
      <c r="K802" s="288" t="s">
        <v>103</v>
      </c>
      <c r="L802" s="292">
        <v>0</v>
      </c>
    </row>
    <row r="803" spans="1:12" ht="15.75" thickBot="1" x14ac:dyDescent="0.3">
      <c r="A803" s="291" t="s">
        <v>105</v>
      </c>
      <c r="B803" s="286" t="s">
        <v>103</v>
      </c>
      <c r="C803" s="286" t="s">
        <v>793</v>
      </c>
      <c r="D803" s="138" t="s">
        <v>105</v>
      </c>
      <c r="E803" s="286" t="s">
        <v>165</v>
      </c>
      <c r="F803" s="288" t="s">
        <v>103</v>
      </c>
      <c r="G803" s="288" t="s">
        <v>103</v>
      </c>
      <c r="H803" s="288" t="s">
        <v>103</v>
      </c>
      <c r="I803" s="288" t="s">
        <v>103</v>
      </c>
      <c r="J803" s="289">
        <v>1337.78</v>
      </c>
      <c r="K803" s="288" t="s">
        <v>103</v>
      </c>
      <c r="L803" s="292">
        <v>6.9999999999999999E-4</v>
      </c>
    </row>
    <row r="804" spans="1:12" ht="15.75" thickBot="1" x14ac:dyDescent="0.3">
      <c r="A804" s="291" t="s">
        <v>131</v>
      </c>
      <c r="B804" s="286" t="s">
        <v>140</v>
      </c>
      <c r="C804" s="286" t="s">
        <v>793</v>
      </c>
      <c r="D804" s="138">
        <v>760199</v>
      </c>
      <c r="E804" s="286" t="s">
        <v>165</v>
      </c>
      <c r="F804" s="287">
        <v>48441</v>
      </c>
      <c r="G804" s="288" t="s">
        <v>103</v>
      </c>
      <c r="H804" s="288">
        <v>8</v>
      </c>
      <c r="I804" s="289">
        <v>3474.91</v>
      </c>
      <c r="J804" s="289">
        <v>27799.26</v>
      </c>
      <c r="K804" s="288" t="s">
        <v>103</v>
      </c>
      <c r="L804" s="292">
        <v>1.3899999999999999E-2</v>
      </c>
    </row>
    <row r="805" spans="1:12" ht="15.75" thickBot="1" x14ac:dyDescent="0.3">
      <c r="A805" s="291" t="s">
        <v>144</v>
      </c>
      <c r="B805" s="286" t="s">
        <v>103</v>
      </c>
      <c r="C805" s="286" t="s">
        <v>793</v>
      </c>
      <c r="D805" s="138" t="s">
        <v>144</v>
      </c>
      <c r="E805" s="286" t="s">
        <v>165</v>
      </c>
      <c r="F805" s="288" t="s">
        <v>103</v>
      </c>
      <c r="G805" s="288" t="s">
        <v>103</v>
      </c>
      <c r="H805" s="288" t="s">
        <v>103</v>
      </c>
      <c r="I805" s="288" t="s">
        <v>103</v>
      </c>
      <c r="J805" s="289">
        <v>0</v>
      </c>
      <c r="K805" s="288" t="s">
        <v>103</v>
      </c>
      <c r="L805" s="292">
        <v>0</v>
      </c>
    </row>
    <row r="806" spans="1:12" ht="15.75" thickBot="1" x14ac:dyDescent="0.3">
      <c r="A806" s="291" t="s">
        <v>132</v>
      </c>
      <c r="B806" s="286" t="s">
        <v>295</v>
      </c>
      <c r="C806" s="286" t="s">
        <v>793</v>
      </c>
      <c r="D806" s="138" t="s">
        <v>273</v>
      </c>
      <c r="E806" s="286" t="s">
        <v>165</v>
      </c>
      <c r="F806" s="288" t="s">
        <v>103</v>
      </c>
      <c r="G806" s="288" t="s">
        <v>103</v>
      </c>
      <c r="H806" s="290">
        <v>280000</v>
      </c>
      <c r="I806" s="289">
        <v>3.4</v>
      </c>
      <c r="J806" s="289">
        <v>952000</v>
      </c>
      <c r="K806" s="288" t="s">
        <v>103</v>
      </c>
      <c r="L806" s="292">
        <v>0.47460000000000002</v>
      </c>
    </row>
    <row r="807" spans="1:12" ht="15.75" thickBot="1" x14ac:dyDescent="0.3">
      <c r="A807" s="291" t="s">
        <v>132</v>
      </c>
      <c r="B807" s="286" t="s">
        <v>1410</v>
      </c>
      <c r="C807" s="286" t="s">
        <v>793</v>
      </c>
      <c r="D807" s="138" t="s">
        <v>965</v>
      </c>
      <c r="E807" s="286" t="s">
        <v>165</v>
      </c>
      <c r="F807" s="288" t="s">
        <v>103</v>
      </c>
      <c r="G807" s="288" t="s">
        <v>103</v>
      </c>
      <c r="H807" s="290">
        <v>280000</v>
      </c>
      <c r="I807" s="289">
        <v>3.66</v>
      </c>
      <c r="J807" s="289">
        <v>1024800</v>
      </c>
      <c r="K807" s="288" t="s">
        <v>103</v>
      </c>
      <c r="L807" s="292">
        <v>0.51090000000000002</v>
      </c>
    </row>
    <row r="808" spans="1:12" ht="15.75" thickBot="1" x14ac:dyDescent="0.3">
      <c r="A808" s="291" t="s">
        <v>99</v>
      </c>
      <c r="B808" s="286" t="s">
        <v>140</v>
      </c>
      <c r="C808" s="286" t="s">
        <v>358</v>
      </c>
      <c r="D808" s="138" t="s">
        <v>297</v>
      </c>
      <c r="E808" s="286" t="s">
        <v>533</v>
      </c>
      <c r="F808" s="287">
        <v>46631</v>
      </c>
      <c r="G808" s="288" t="s">
        <v>103</v>
      </c>
      <c r="H808" s="288">
        <v>80</v>
      </c>
      <c r="I808" s="289">
        <v>16087.25</v>
      </c>
      <c r="J808" s="289">
        <v>1286980.3899999999</v>
      </c>
      <c r="K808" s="288" t="s">
        <v>103</v>
      </c>
      <c r="L808" s="292">
        <v>3.4500000000000003E-2</v>
      </c>
    </row>
    <row r="809" spans="1:12" ht="15.75" thickBot="1" x14ac:dyDescent="0.3">
      <c r="A809" s="291" t="s">
        <v>1131</v>
      </c>
      <c r="B809" s="286" t="s">
        <v>201</v>
      </c>
      <c r="C809" s="286" t="s">
        <v>358</v>
      </c>
      <c r="D809" s="138" t="s">
        <v>1352</v>
      </c>
      <c r="E809" s="286" t="s">
        <v>165</v>
      </c>
      <c r="F809" s="287">
        <v>46042</v>
      </c>
      <c r="G809" s="288" t="s">
        <v>103</v>
      </c>
      <c r="H809" s="288">
        <v>256</v>
      </c>
      <c r="I809" s="289">
        <v>1013.39</v>
      </c>
      <c r="J809" s="289">
        <v>259428.24</v>
      </c>
      <c r="K809" s="288" t="s">
        <v>103</v>
      </c>
      <c r="L809" s="292">
        <v>7.0000000000000001E-3</v>
      </c>
    </row>
    <row r="810" spans="1:12" ht="15.75" thickBot="1" x14ac:dyDescent="0.3">
      <c r="A810" s="291" t="s">
        <v>105</v>
      </c>
      <c r="B810" s="286" t="s">
        <v>103</v>
      </c>
      <c r="C810" s="286" t="s">
        <v>358</v>
      </c>
      <c r="D810" s="138" t="s">
        <v>105</v>
      </c>
      <c r="E810" s="286" t="s">
        <v>165</v>
      </c>
      <c r="F810" s="288" t="s">
        <v>103</v>
      </c>
      <c r="G810" s="288" t="s">
        <v>103</v>
      </c>
      <c r="H810" s="288" t="s">
        <v>103</v>
      </c>
      <c r="I810" s="288" t="s">
        <v>103</v>
      </c>
      <c r="J810" s="289">
        <v>-12728.87</v>
      </c>
      <c r="K810" s="288" t="s">
        <v>103</v>
      </c>
      <c r="L810" s="292">
        <v>-2.9999999999999997E-4</v>
      </c>
    </row>
    <row r="811" spans="1:12" ht="15.75" thickBot="1" x14ac:dyDescent="0.3">
      <c r="A811" s="291" t="s">
        <v>134</v>
      </c>
      <c r="B811" s="286" t="s">
        <v>191</v>
      </c>
      <c r="C811" s="286" t="s">
        <v>358</v>
      </c>
      <c r="D811" s="138" t="s">
        <v>517</v>
      </c>
      <c r="E811" s="286" t="s">
        <v>537</v>
      </c>
      <c r="F811" s="287">
        <v>46904</v>
      </c>
      <c r="G811" s="288" t="s">
        <v>103</v>
      </c>
      <c r="H811" s="288">
        <v>1</v>
      </c>
      <c r="I811" s="289">
        <v>534430.55000000005</v>
      </c>
      <c r="J811" s="289">
        <v>534430.55000000005</v>
      </c>
      <c r="K811" s="288" t="s">
        <v>103</v>
      </c>
      <c r="L811" s="292">
        <v>1.43E-2</v>
      </c>
    </row>
    <row r="812" spans="1:12" ht="15.75" thickBot="1" x14ac:dyDescent="0.3">
      <c r="A812" s="291" t="s">
        <v>134</v>
      </c>
      <c r="B812" s="286" t="s">
        <v>490</v>
      </c>
      <c r="C812" s="286" t="s">
        <v>358</v>
      </c>
      <c r="D812" s="138" t="s">
        <v>491</v>
      </c>
      <c r="E812" s="286" t="s">
        <v>541</v>
      </c>
      <c r="F812" s="287">
        <v>46720</v>
      </c>
      <c r="G812" s="288" t="s">
        <v>103</v>
      </c>
      <c r="H812" s="288">
        <v>1</v>
      </c>
      <c r="I812" s="289">
        <v>707623.1</v>
      </c>
      <c r="J812" s="289">
        <v>707623.1</v>
      </c>
      <c r="K812" s="288" t="s">
        <v>103</v>
      </c>
      <c r="L812" s="292">
        <v>1.9E-2</v>
      </c>
    </row>
    <row r="813" spans="1:12" ht="15.75" thickBot="1" x14ac:dyDescent="0.3">
      <c r="A813" s="291" t="s">
        <v>134</v>
      </c>
      <c r="B813" s="286" t="s">
        <v>190</v>
      </c>
      <c r="C813" s="286" t="s">
        <v>358</v>
      </c>
      <c r="D813" s="138" t="s">
        <v>503</v>
      </c>
      <c r="E813" s="286" t="s">
        <v>896</v>
      </c>
      <c r="F813" s="287">
        <v>46742</v>
      </c>
      <c r="G813" s="288" t="s">
        <v>103</v>
      </c>
      <c r="H813" s="288">
        <v>1</v>
      </c>
      <c r="I813" s="289">
        <v>419790.94</v>
      </c>
      <c r="J813" s="289">
        <v>419790.94</v>
      </c>
      <c r="K813" s="288" t="s">
        <v>103</v>
      </c>
      <c r="L813" s="292">
        <v>1.1299999999999999E-2</v>
      </c>
    </row>
    <row r="814" spans="1:12" ht="15.75" thickBot="1" x14ac:dyDescent="0.3">
      <c r="A814" s="291" t="s">
        <v>135</v>
      </c>
      <c r="B814" s="286" t="s">
        <v>399</v>
      </c>
      <c r="C814" s="286" t="s">
        <v>358</v>
      </c>
      <c r="D814" s="138" t="s">
        <v>887</v>
      </c>
      <c r="E814" s="286" t="s">
        <v>541</v>
      </c>
      <c r="F814" s="287">
        <v>47172</v>
      </c>
      <c r="G814" s="288" t="s">
        <v>103</v>
      </c>
      <c r="H814" s="288">
        <v>1</v>
      </c>
      <c r="I814" s="289">
        <v>309810.53999999998</v>
      </c>
      <c r="J814" s="289">
        <v>309810.53999999998</v>
      </c>
      <c r="K814" s="288" t="s">
        <v>103</v>
      </c>
      <c r="L814" s="292">
        <v>8.3000000000000001E-3</v>
      </c>
    </row>
    <row r="815" spans="1:12" ht="15.75" thickBot="1" x14ac:dyDescent="0.3">
      <c r="A815" s="291" t="s">
        <v>135</v>
      </c>
      <c r="B815" s="286" t="s">
        <v>193</v>
      </c>
      <c r="C815" s="286" t="s">
        <v>358</v>
      </c>
      <c r="D815" s="138" t="s">
        <v>401</v>
      </c>
      <c r="E815" s="286" t="s">
        <v>535</v>
      </c>
      <c r="F815" s="287">
        <v>46827</v>
      </c>
      <c r="G815" s="288" t="s">
        <v>103</v>
      </c>
      <c r="H815" s="288">
        <v>2</v>
      </c>
      <c r="I815" s="289">
        <v>338183.85</v>
      </c>
      <c r="J815" s="289">
        <v>676367.7</v>
      </c>
      <c r="K815" s="288" t="s">
        <v>103</v>
      </c>
      <c r="L815" s="292">
        <v>1.8200000000000001E-2</v>
      </c>
    </row>
    <row r="816" spans="1:12" ht="15.75" thickBot="1" x14ac:dyDescent="0.3">
      <c r="A816" s="291" t="s">
        <v>135</v>
      </c>
      <c r="B816" s="286" t="s">
        <v>193</v>
      </c>
      <c r="C816" s="286" t="s">
        <v>358</v>
      </c>
      <c r="D816" s="138" t="s">
        <v>402</v>
      </c>
      <c r="E816" s="286" t="s">
        <v>535</v>
      </c>
      <c r="F816" s="287">
        <v>46827</v>
      </c>
      <c r="G816" s="288" t="s">
        <v>103</v>
      </c>
      <c r="H816" s="288">
        <v>1</v>
      </c>
      <c r="I816" s="289">
        <v>338183.85</v>
      </c>
      <c r="J816" s="289">
        <v>338183.85</v>
      </c>
      <c r="K816" s="288" t="s">
        <v>103</v>
      </c>
      <c r="L816" s="292">
        <v>9.1000000000000004E-3</v>
      </c>
    </row>
    <row r="817" spans="1:12" ht="15.75" thickBot="1" x14ac:dyDescent="0.3">
      <c r="A817" s="291" t="s">
        <v>135</v>
      </c>
      <c r="B817" s="286" t="s">
        <v>193</v>
      </c>
      <c r="C817" s="286" t="s">
        <v>358</v>
      </c>
      <c r="D817" s="138" t="s">
        <v>403</v>
      </c>
      <c r="E817" s="286" t="s">
        <v>535</v>
      </c>
      <c r="F817" s="287">
        <v>46827</v>
      </c>
      <c r="G817" s="288" t="s">
        <v>103</v>
      </c>
      <c r="H817" s="288">
        <v>1</v>
      </c>
      <c r="I817" s="289">
        <v>338183.85</v>
      </c>
      <c r="J817" s="289">
        <v>338183.85</v>
      </c>
      <c r="K817" s="288" t="s">
        <v>103</v>
      </c>
      <c r="L817" s="292">
        <v>9.1000000000000004E-3</v>
      </c>
    </row>
    <row r="818" spans="1:12" ht="15.75" thickBot="1" x14ac:dyDescent="0.3">
      <c r="A818" s="291" t="s">
        <v>135</v>
      </c>
      <c r="B818" s="286" t="s">
        <v>190</v>
      </c>
      <c r="C818" s="286" t="s">
        <v>358</v>
      </c>
      <c r="D818" s="138" t="s">
        <v>925</v>
      </c>
      <c r="E818" s="286" t="s">
        <v>165</v>
      </c>
      <c r="F818" s="287">
        <v>47224</v>
      </c>
      <c r="G818" s="288" t="s">
        <v>103</v>
      </c>
      <c r="H818" s="288">
        <v>3</v>
      </c>
      <c r="I818" s="289">
        <v>350229.31</v>
      </c>
      <c r="J818" s="289">
        <v>1050687.92</v>
      </c>
      <c r="K818" s="288" t="s">
        <v>103</v>
      </c>
      <c r="L818" s="292">
        <v>2.8199999999999999E-2</v>
      </c>
    </row>
    <row r="819" spans="1:12" ht="15.75" thickBot="1" x14ac:dyDescent="0.3">
      <c r="A819" s="291" t="s">
        <v>135</v>
      </c>
      <c r="B819" s="286" t="s">
        <v>190</v>
      </c>
      <c r="C819" s="286" t="s">
        <v>358</v>
      </c>
      <c r="D819" s="138" t="s">
        <v>200</v>
      </c>
      <c r="E819" s="286" t="s">
        <v>537</v>
      </c>
      <c r="F819" s="287">
        <v>47313</v>
      </c>
      <c r="G819" s="288" t="s">
        <v>103</v>
      </c>
      <c r="H819" s="288">
        <v>1</v>
      </c>
      <c r="I819" s="289">
        <v>546076.49</v>
      </c>
      <c r="J819" s="289">
        <v>546076.49</v>
      </c>
      <c r="K819" s="288" t="s">
        <v>103</v>
      </c>
      <c r="L819" s="292">
        <v>1.47E-2</v>
      </c>
    </row>
    <row r="820" spans="1:12" ht="15.75" thickBot="1" x14ac:dyDescent="0.3">
      <c r="A820" s="291" t="s">
        <v>112</v>
      </c>
      <c r="B820" s="286" t="s">
        <v>201</v>
      </c>
      <c r="C820" s="286" t="s">
        <v>358</v>
      </c>
      <c r="D820" s="138" t="s">
        <v>772</v>
      </c>
      <c r="E820" s="286" t="s">
        <v>165</v>
      </c>
      <c r="F820" s="287">
        <v>45883</v>
      </c>
      <c r="G820" s="288" t="s">
        <v>103</v>
      </c>
      <c r="H820" s="288">
        <v>2</v>
      </c>
      <c r="I820" s="289">
        <v>60640.87</v>
      </c>
      <c r="J820" s="289">
        <v>121281.74</v>
      </c>
      <c r="K820" s="288" t="s">
        <v>103</v>
      </c>
      <c r="L820" s="292">
        <v>3.3E-3</v>
      </c>
    </row>
    <row r="821" spans="1:12" ht="15.75" thickBot="1" x14ac:dyDescent="0.3">
      <c r="A821" s="291" t="s">
        <v>112</v>
      </c>
      <c r="B821" s="286" t="s">
        <v>201</v>
      </c>
      <c r="C821" s="286" t="s">
        <v>358</v>
      </c>
      <c r="D821" s="138" t="s">
        <v>773</v>
      </c>
      <c r="E821" s="286" t="s">
        <v>165</v>
      </c>
      <c r="F821" s="287">
        <v>46238</v>
      </c>
      <c r="G821" s="288" t="s">
        <v>103</v>
      </c>
      <c r="H821" s="288">
        <v>1</v>
      </c>
      <c r="I821" s="289">
        <v>61297.77</v>
      </c>
      <c r="J821" s="289">
        <v>61297.77</v>
      </c>
      <c r="K821" s="288" t="s">
        <v>103</v>
      </c>
      <c r="L821" s="292">
        <v>1.6000000000000001E-3</v>
      </c>
    </row>
    <row r="822" spans="1:12" ht="15.75" thickBot="1" x14ac:dyDescent="0.3">
      <c r="A822" s="291" t="s">
        <v>112</v>
      </c>
      <c r="B822" s="286" t="s">
        <v>1383</v>
      </c>
      <c r="C822" s="286" t="s">
        <v>358</v>
      </c>
      <c r="D822" s="138" t="s">
        <v>1384</v>
      </c>
      <c r="E822" s="286" t="s">
        <v>838</v>
      </c>
      <c r="F822" s="287">
        <v>46146</v>
      </c>
      <c r="G822" s="288" t="s">
        <v>103</v>
      </c>
      <c r="H822" s="288">
        <v>5</v>
      </c>
      <c r="I822" s="289">
        <v>55337.16</v>
      </c>
      <c r="J822" s="289">
        <v>276685.82</v>
      </c>
      <c r="K822" s="288" t="s">
        <v>103</v>
      </c>
      <c r="L822" s="292">
        <v>7.4000000000000003E-3</v>
      </c>
    </row>
    <row r="823" spans="1:12" ht="15.75" thickBot="1" x14ac:dyDescent="0.3">
      <c r="A823" s="291" t="s">
        <v>112</v>
      </c>
      <c r="B823" s="286" t="s">
        <v>465</v>
      </c>
      <c r="C823" s="286" t="s">
        <v>358</v>
      </c>
      <c r="D823" s="138" t="s">
        <v>1053</v>
      </c>
      <c r="E823" s="286" t="s">
        <v>838</v>
      </c>
      <c r="F823" s="287">
        <v>46093</v>
      </c>
      <c r="G823" s="288" t="s">
        <v>103</v>
      </c>
      <c r="H823" s="288">
        <v>5</v>
      </c>
      <c r="I823" s="289">
        <v>56367.72</v>
      </c>
      <c r="J823" s="289">
        <v>281838.62</v>
      </c>
      <c r="K823" s="288" t="s">
        <v>103</v>
      </c>
      <c r="L823" s="292">
        <v>7.6E-3</v>
      </c>
    </row>
    <row r="824" spans="1:12" ht="15.75" thickBot="1" x14ac:dyDescent="0.3">
      <c r="A824" s="291" t="s">
        <v>112</v>
      </c>
      <c r="B824" s="286" t="s">
        <v>1088</v>
      </c>
      <c r="C824" s="286" t="s">
        <v>358</v>
      </c>
      <c r="D824" s="138" t="s">
        <v>1092</v>
      </c>
      <c r="E824" s="286" t="s">
        <v>165</v>
      </c>
      <c r="F824" s="287">
        <v>46290</v>
      </c>
      <c r="G824" s="288" t="s">
        <v>103</v>
      </c>
      <c r="H824" s="288">
        <v>3</v>
      </c>
      <c r="I824" s="289">
        <v>52715.31</v>
      </c>
      <c r="J824" s="289">
        <v>158145.94</v>
      </c>
      <c r="K824" s="288" t="s">
        <v>103</v>
      </c>
      <c r="L824" s="292">
        <v>4.1999999999999997E-3</v>
      </c>
    </row>
    <row r="825" spans="1:12" ht="15.75" thickBot="1" x14ac:dyDescent="0.3">
      <c r="A825" s="291" t="s">
        <v>112</v>
      </c>
      <c r="B825" s="286" t="s">
        <v>805</v>
      </c>
      <c r="C825" s="286" t="s">
        <v>358</v>
      </c>
      <c r="D825" s="138" t="s">
        <v>997</v>
      </c>
      <c r="E825" s="286" t="s">
        <v>165</v>
      </c>
      <c r="F825" s="287">
        <v>46181</v>
      </c>
      <c r="G825" s="288" t="s">
        <v>103</v>
      </c>
      <c r="H825" s="288">
        <v>5</v>
      </c>
      <c r="I825" s="289">
        <v>54507.87</v>
      </c>
      <c r="J825" s="289">
        <v>272539.37</v>
      </c>
      <c r="K825" s="288" t="s">
        <v>103</v>
      </c>
      <c r="L825" s="292">
        <v>7.3000000000000001E-3</v>
      </c>
    </row>
    <row r="826" spans="1:12" ht="15.75" thickBot="1" x14ac:dyDescent="0.3">
      <c r="A826" s="291" t="s">
        <v>112</v>
      </c>
      <c r="B826" s="286" t="s">
        <v>1062</v>
      </c>
      <c r="C826" s="286" t="s">
        <v>358</v>
      </c>
      <c r="D826" s="138" t="s">
        <v>1569</v>
      </c>
      <c r="E826" s="286" t="s">
        <v>165</v>
      </c>
      <c r="F826" s="287">
        <v>46234</v>
      </c>
      <c r="G826" s="288" t="s">
        <v>103</v>
      </c>
      <c r="H826" s="288">
        <v>3</v>
      </c>
      <c r="I826" s="289">
        <v>54127.33</v>
      </c>
      <c r="J826" s="289">
        <v>162381.98000000001</v>
      </c>
      <c r="K826" s="288" t="s">
        <v>103</v>
      </c>
      <c r="L826" s="292">
        <v>4.4000000000000003E-3</v>
      </c>
    </row>
    <row r="827" spans="1:12" ht="15.75" thickBot="1" x14ac:dyDescent="0.3">
      <c r="A827" s="291" t="s">
        <v>112</v>
      </c>
      <c r="B827" s="286" t="s">
        <v>324</v>
      </c>
      <c r="C827" s="286" t="s">
        <v>358</v>
      </c>
      <c r="D827" s="138" t="s">
        <v>325</v>
      </c>
      <c r="E827" s="286" t="s">
        <v>541</v>
      </c>
      <c r="F827" s="287">
        <v>45780</v>
      </c>
      <c r="G827" s="288" t="s">
        <v>103</v>
      </c>
      <c r="H827" s="288">
        <v>1</v>
      </c>
      <c r="I827" s="289">
        <v>71943.039999999994</v>
      </c>
      <c r="J827" s="289">
        <v>71943.039999999994</v>
      </c>
      <c r="K827" s="288" t="s">
        <v>103</v>
      </c>
      <c r="L827" s="292">
        <v>1.9E-3</v>
      </c>
    </row>
    <row r="828" spans="1:12" ht="15.75" thickBot="1" x14ac:dyDescent="0.3">
      <c r="A828" s="291" t="s">
        <v>112</v>
      </c>
      <c r="B828" s="286" t="s">
        <v>360</v>
      </c>
      <c r="C828" s="286" t="s">
        <v>358</v>
      </c>
      <c r="D828" s="138" t="s">
        <v>1050</v>
      </c>
      <c r="E828" s="286" t="s">
        <v>546</v>
      </c>
      <c r="F828" s="287">
        <v>46475</v>
      </c>
      <c r="G828" s="288" t="s">
        <v>103</v>
      </c>
      <c r="H828" s="288">
        <v>10</v>
      </c>
      <c r="I828" s="289">
        <v>55943.360000000001</v>
      </c>
      <c r="J828" s="289">
        <v>559433.56999999995</v>
      </c>
      <c r="K828" s="288" t="s">
        <v>103</v>
      </c>
      <c r="L828" s="292">
        <v>1.4999999999999999E-2</v>
      </c>
    </row>
    <row r="829" spans="1:12" ht="15.75" thickBot="1" x14ac:dyDescent="0.3">
      <c r="A829" s="291" t="s">
        <v>112</v>
      </c>
      <c r="B829" s="286" t="s">
        <v>360</v>
      </c>
      <c r="C829" s="286" t="s">
        <v>358</v>
      </c>
      <c r="D829" s="138" t="s">
        <v>937</v>
      </c>
      <c r="E829" s="286" t="s">
        <v>165</v>
      </c>
      <c r="F829" s="287">
        <v>46127</v>
      </c>
      <c r="G829" s="288" t="s">
        <v>103</v>
      </c>
      <c r="H829" s="288">
        <v>2</v>
      </c>
      <c r="I829" s="289">
        <v>55351.82</v>
      </c>
      <c r="J829" s="289">
        <v>110703.63</v>
      </c>
      <c r="K829" s="288" t="s">
        <v>103</v>
      </c>
      <c r="L829" s="292">
        <v>3.0000000000000001E-3</v>
      </c>
    </row>
    <row r="830" spans="1:12" ht="15.75" thickBot="1" x14ac:dyDescent="0.3">
      <c r="A830" s="291" t="s">
        <v>112</v>
      </c>
      <c r="B830" s="286" t="s">
        <v>1151</v>
      </c>
      <c r="C830" s="286" t="s">
        <v>358</v>
      </c>
      <c r="D830" s="138" t="s">
        <v>1135</v>
      </c>
      <c r="E830" s="286" t="s">
        <v>165</v>
      </c>
      <c r="F830" s="287">
        <v>46332</v>
      </c>
      <c r="G830" s="288" t="s">
        <v>103</v>
      </c>
      <c r="H830" s="288">
        <v>3</v>
      </c>
      <c r="I830" s="289">
        <v>51907.44</v>
      </c>
      <c r="J830" s="289">
        <v>155722.32999999999</v>
      </c>
      <c r="K830" s="288" t="s">
        <v>103</v>
      </c>
      <c r="L830" s="292">
        <v>4.1999999999999997E-3</v>
      </c>
    </row>
    <row r="831" spans="1:12" ht="15.75" thickBot="1" x14ac:dyDescent="0.3">
      <c r="A831" s="291" t="s">
        <v>112</v>
      </c>
      <c r="B831" s="286" t="s">
        <v>368</v>
      </c>
      <c r="C831" s="286" t="s">
        <v>358</v>
      </c>
      <c r="D831" s="138" t="s">
        <v>1138</v>
      </c>
      <c r="E831" s="286" t="s">
        <v>165</v>
      </c>
      <c r="F831" s="287">
        <v>46333</v>
      </c>
      <c r="G831" s="288" t="s">
        <v>103</v>
      </c>
      <c r="H831" s="288">
        <v>4</v>
      </c>
      <c r="I831" s="289">
        <v>104364.7</v>
      </c>
      <c r="J831" s="289">
        <v>417458.8</v>
      </c>
      <c r="K831" s="288" t="s">
        <v>103</v>
      </c>
      <c r="L831" s="292">
        <v>1.12E-2</v>
      </c>
    </row>
    <row r="832" spans="1:12" ht="15.75" thickBot="1" x14ac:dyDescent="0.3">
      <c r="A832" s="291" t="s">
        <v>112</v>
      </c>
      <c r="B832" s="286" t="s">
        <v>368</v>
      </c>
      <c r="C832" s="286" t="s">
        <v>358</v>
      </c>
      <c r="D832" s="138" t="s">
        <v>954</v>
      </c>
      <c r="E832" s="286" t="s">
        <v>165</v>
      </c>
      <c r="F832" s="287">
        <v>46152</v>
      </c>
      <c r="G832" s="288" t="s">
        <v>103</v>
      </c>
      <c r="H832" s="288">
        <v>3</v>
      </c>
      <c r="I832" s="289">
        <v>111624.09</v>
      </c>
      <c r="J832" s="289">
        <v>334872.28000000003</v>
      </c>
      <c r="K832" s="288" t="s">
        <v>103</v>
      </c>
      <c r="L832" s="292">
        <v>8.9999999999999993E-3</v>
      </c>
    </row>
    <row r="833" spans="1:12" ht="15.75" thickBot="1" x14ac:dyDescent="0.3">
      <c r="A833" s="291" t="s">
        <v>112</v>
      </c>
      <c r="B833" s="286" t="s">
        <v>368</v>
      </c>
      <c r="C833" s="286" t="s">
        <v>358</v>
      </c>
      <c r="D833" s="138" t="s">
        <v>486</v>
      </c>
      <c r="E833" s="286" t="s">
        <v>165</v>
      </c>
      <c r="F833" s="287">
        <v>45984</v>
      </c>
      <c r="G833" s="288" t="s">
        <v>103</v>
      </c>
      <c r="H833" s="288">
        <v>2</v>
      </c>
      <c r="I833" s="289">
        <v>136396.73000000001</v>
      </c>
      <c r="J833" s="289">
        <v>272793.46999999997</v>
      </c>
      <c r="K833" s="288" t="s">
        <v>103</v>
      </c>
      <c r="L833" s="292">
        <v>7.3000000000000001E-3</v>
      </c>
    </row>
    <row r="834" spans="1:12" ht="15.75" thickBot="1" x14ac:dyDescent="0.3">
      <c r="A834" s="291" t="s">
        <v>112</v>
      </c>
      <c r="B834" s="286" t="s">
        <v>808</v>
      </c>
      <c r="C834" s="286" t="s">
        <v>358</v>
      </c>
      <c r="D834" s="138" t="s">
        <v>809</v>
      </c>
      <c r="E834" s="286" t="s">
        <v>540</v>
      </c>
      <c r="F834" s="287">
        <v>45939</v>
      </c>
      <c r="G834" s="288" t="s">
        <v>103</v>
      </c>
      <c r="H834" s="288">
        <v>2</v>
      </c>
      <c r="I834" s="289">
        <v>60495.8</v>
      </c>
      <c r="J834" s="289">
        <v>120991.6</v>
      </c>
      <c r="K834" s="288" t="s">
        <v>103</v>
      </c>
      <c r="L834" s="292">
        <v>3.2000000000000002E-3</v>
      </c>
    </row>
    <row r="835" spans="1:12" ht="15.75" thickBot="1" x14ac:dyDescent="0.3">
      <c r="A835" s="291" t="s">
        <v>113</v>
      </c>
      <c r="B835" s="286" t="s">
        <v>114</v>
      </c>
      <c r="C835" s="286" t="s">
        <v>358</v>
      </c>
      <c r="D835" s="138" t="s">
        <v>179</v>
      </c>
      <c r="E835" s="286" t="s">
        <v>566</v>
      </c>
      <c r="F835" s="287">
        <v>46980</v>
      </c>
      <c r="G835" s="288" t="s">
        <v>103</v>
      </c>
      <c r="H835" s="288">
        <v>-3</v>
      </c>
      <c r="I835" s="289">
        <v>139204.32</v>
      </c>
      <c r="J835" s="289">
        <v>1324.65</v>
      </c>
      <c r="K835" s="289">
        <v>-417612.97</v>
      </c>
      <c r="L835" s="292">
        <v>-1.12E-2</v>
      </c>
    </row>
    <row r="836" spans="1:12" ht="15.75" thickBot="1" x14ac:dyDescent="0.3">
      <c r="A836" s="291" t="s">
        <v>113</v>
      </c>
      <c r="B836" s="286" t="s">
        <v>114</v>
      </c>
      <c r="C836" s="286" t="s">
        <v>358</v>
      </c>
      <c r="D836" s="138" t="s">
        <v>143</v>
      </c>
      <c r="E836" s="286" t="s">
        <v>1570</v>
      </c>
      <c r="F836" s="287">
        <v>46391</v>
      </c>
      <c r="G836" s="288" t="s">
        <v>103</v>
      </c>
      <c r="H836" s="288">
        <v>-2</v>
      </c>
      <c r="I836" s="289">
        <v>77918.289999999994</v>
      </c>
      <c r="J836" s="289">
        <v>174.89</v>
      </c>
      <c r="K836" s="289">
        <v>-155836.57999999999</v>
      </c>
      <c r="L836" s="292">
        <v>-4.1999999999999997E-3</v>
      </c>
    </row>
    <row r="837" spans="1:12" ht="15.75" thickBot="1" x14ac:dyDescent="0.3">
      <c r="A837" s="291" t="s">
        <v>113</v>
      </c>
      <c r="B837" s="286" t="s">
        <v>114</v>
      </c>
      <c r="C837" s="286" t="s">
        <v>358</v>
      </c>
      <c r="D837" s="138" t="s">
        <v>177</v>
      </c>
      <c r="E837" s="286" t="s">
        <v>1235</v>
      </c>
      <c r="F837" s="287">
        <v>45792</v>
      </c>
      <c r="G837" s="288" t="s">
        <v>103</v>
      </c>
      <c r="H837" s="288">
        <v>-4</v>
      </c>
      <c r="I837" s="289">
        <v>177636.46</v>
      </c>
      <c r="J837" s="289">
        <v>45.08</v>
      </c>
      <c r="K837" s="289">
        <v>-710545.85</v>
      </c>
      <c r="L837" s="292">
        <v>-1.9099999999999999E-2</v>
      </c>
    </row>
    <row r="838" spans="1:12" ht="15.75" thickBot="1" x14ac:dyDescent="0.3">
      <c r="A838" s="291" t="s">
        <v>113</v>
      </c>
      <c r="B838" s="286" t="s">
        <v>114</v>
      </c>
      <c r="C838" s="286" t="s">
        <v>358</v>
      </c>
      <c r="D838" s="138" t="s">
        <v>202</v>
      </c>
      <c r="E838" s="286" t="s">
        <v>1065</v>
      </c>
      <c r="F838" s="287">
        <v>47120</v>
      </c>
      <c r="G838" s="288" t="s">
        <v>103</v>
      </c>
      <c r="H838" s="288">
        <v>2</v>
      </c>
      <c r="I838" s="289">
        <v>59875.82</v>
      </c>
      <c r="J838" s="289">
        <v>-283.74</v>
      </c>
      <c r="K838" s="289">
        <v>119751.64</v>
      </c>
      <c r="L838" s="292">
        <v>3.2000000000000002E-3</v>
      </c>
    </row>
    <row r="839" spans="1:12" ht="15.75" thickBot="1" x14ac:dyDescent="0.3">
      <c r="A839" s="291" t="s">
        <v>113</v>
      </c>
      <c r="B839" s="286" t="s">
        <v>114</v>
      </c>
      <c r="C839" s="286" t="s">
        <v>358</v>
      </c>
      <c r="D839" s="138" t="s">
        <v>116</v>
      </c>
      <c r="E839" s="286" t="s">
        <v>1355</v>
      </c>
      <c r="F839" s="287">
        <v>46251</v>
      </c>
      <c r="G839" s="288" t="s">
        <v>103</v>
      </c>
      <c r="H839" s="288">
        <v>5</v>
      </c>
      <c r="I839" s="289">
        <v>160269.10999999999</v>
      </c>
      <c r="J839" s="289">
        <v>-500.65</v>
      </c>
      <c r="K839" s="289">
        <v>801345.57</v>
      </c>
      <c r="L839" s="292">
        <v>2.1499999999999998E-2</v>
      </c>
    </row>
    <row r="840" spans="1:12" ht="15.75" thickBot="1" x14ac:dyDescent="0.3">
      <c r="A840" s="291" t="s">
        <v>113</v>
      </c>
      <c r="B840" s="286" t="s">
        <v>114</v>
      </c>
      <c r="C840" s="286" t="s">
        <v>358</v>
      </c>
      <c r="D840" s="138" t="s">
        <v>319</v>
      </c>
      <c r="E840" s="286" t="s">
        <v>956</v>
      </c>
      <c r="F840" s="287">
        <v>46524</v>
      </c>
      <c r="G840" s="288" t="s">
        <v>103</v>
      </c>
      <c r="H840" s="288">
        <v>5</v>
      </c>
      <c r="I840" s="289">
        <v>152647.91</v>
      </c>
      <c r="J840" s="289">
        <v>-1323.15</v>
      </c>
      <c r="K840" s="289">
        <v>763239.54</v>
      </c>
      <c r="L840" s="292">
        <v>2.0500000000000001E-2</v>
      </c>
    </row>
    <row r="841" spans="1:12" ht="15.75" thickBot="1" x14ac:dyDescent="0.3">
      <c r="A841" s="291" t="s">
        <v>337</v>
      </c>
      <c r="B841" s="286" t="s">
        <v>338</v>
      </c>
      <c r="C841" s="286" t="s">
        <v>358</v>
      </c>
      <c r="D841" s="138" t="s">
        <v>339</v>
      </c>
      <c r="E841" s="286" t="s">
        <v>570</v>
      </c>
      <c r="F841" s="288" t="s">
        <v>103</v>
      </c>
      <c r="G841" s="288" t="s">
        <v>103</v>
      </c>
      <c r="H841" s="290">
        <v>4007</v>
      </c>
      <c r="I841" s="289">
        <v>89.4</v>
      </c>
      <c r="J841" s="289">
        <v>358225.8</v>
      </c>
      <c r="K841" s="288" t="s">
        <v>103</v>
      </c>
      <c r="L841" s="292">
        <v>9.5999999999999992E-3</v>
      </c>
    </row>
    <row r="842" spans="1:12" ht="15.75" thickBot="1" x14ac:dyDescent="0.3">
      <c r="A842" s="291" t="s">
        <v>117</v>
      </c>
      <c r="B842" s="286" t="s">
        <v>851</v>
      </c>
      <c r="C842" s="286" t="s">
        <v>358</v>
      </c>
      <c r="D842" s="138" t="s">
        <v>244</v>
      </c>
      <c r="E842" s="286" t="s">
        <v>573</v>
      </c>
      <c r="F842" s="288" t="s">
        <v>103</v>
      </c>
      <c r="G842" s="288" t="s">
        <v>103</v>
      </c>
      <c r="H842" s="290">
        <v>1747105</v>
      </c>
      <c r="I842" s="289">
        <v>1.49</v>
      </c>
      <c r="J842" s="289">
        <v>2601582.9900000002</v>
      </c>
      <c r="K842" s="288" t="s">
        <v>103</v>
      </c>
      <c r="L842" s="292">
        <v>6.9800000000000001E-2</v>
      </c>
    </row>
    <row r="843" spans="1:12" ht="15.75" thickBot="1" x14ac:dyDescent="0.3">
      <c r="A843" s="291" t="s">
        <v>118</v>
      </c>
      <c r="B843" s="286" t="s">
        <v>26</v>
      </c>
      <c r="C843" s="286" t="s">
        <v>358</v>
      </c>
      <c r="D843" s="138" t="s">
        <v>120</v>
      </c>
      <c r="E843" s="286" t="s">
        <v>580</v>
      </c>
      <c r="F843" s="288" t="s">
        <v>103</v>
      </c>
      <c r="G843" s="288" t="s">
        <v>103</v>
      </c>
      <c r="H843" s="290">
        <v>2924749</v>
      </c>
      <c r="I843" s="289">
        <v>1.75</v>
      </c>
      <c r="J843" s="289">
        <v>5125565.3</v>
      </c>
      <c r="K843" s="288" t="s">
        <v>103</v>
      </c>
      <c r="L843" s="292">
        <v>0.13750000000000001</v>
      </c>
    </row>
    <row r="844" spans="1:12" ht="15.75" thickBot="1" x14ac:dyDescent="0.3">
      <c r="A844" s="291" t="s">
        <v>118</v>
      </c>
      <c r="B844" s="286" t="s">
        <v>25</v>
      </c>
      <c r="C844" s="286" t="s">
        <v>358</v>
      </c>
      <c r="D844" s="138" t="s">
        <v>119</v>
      </c>
      <c r="E844" s="286" t="s">
        <v>581</v>
      </c>
      <c r="F844" s="288" t="s">
        <v>103</v>
      </c>
      <c r="G844" s="288" t="s">
        <v>103</v>
      </c>
      <c r="H844" s="290">
        <v>489530</v>
      </c>
      <c r="I844" s="289">
        <v>4.67</v>
      </c>
      <c r="J844" s="289">
        <v>2284974.9300000002</v>
      </c>
      <c r="K844" s="288" t="s">
        <v>103</v>
      </c>
      <c r="L844" s="292">
        <v>6.13E-2</v>
      </c>
    </row>
    <row r="845" spans="1:12" ht="15.75" thickBot="1" x14ac:dyDescent="0.3">
      <c r="A845" s="291" t="s">
        <v>118</v>
      </c>
      <c r="B845" s="286" t="s">
        <v>145</v>
      </c>
      <c r="C845" s="286" t="s">
        <v>358</v>
      </c>
      <c r="D845" s="138" t="s">
        <v>121</v>
      </c>
      <c r="E845" s="286" t="s">
        <v>582</v>
      </c>
      <c r="F845" s="288" t="s">
        <v>103</v>
      </c>
      <c r="G845" s="288" t="s">
        <v>103</v>
      </c>
      <c r="H845" s="290">
        <v>573750</v>
      </c>
      <c r="I845" s="289">
        <v>1.49</v>
      </c>
      <c r="J845" s="289">
        <v>857486.02</v>
      </c>
      <c r="K845" s="288" t="s">
        <v>103</v>
      </c>
      <c r="L845" s="292">
        <v>2.3E-2</v>
      </c>
    </row>
    <row r="846" spans="1:12" ht="15.75" thickBot="1" x14ac:dyDescent="0.3">
      <c r="A846" s="291" t="s">
        <v>122</v>
      </c>
      <c r="B846" s="286" t="s">
        <v>862</v>
      </c>
      <c r="C846" s="286" t="s">
        <v>358</v>
      </c>
      <c r="D846" s="138" t="s">
        <v>123</v>
      </c>
      <c r="E846" s="286" t="s">
        <v>165</v>
      </c>
      <c r="F846" s="288" t="s">
        <v>103</v>
      </c>
      <c r="G846" s="288" t="s">
        <v>103</v>
      </c>
      <c r="H846" s="290">
        <v>203245</v>
      </c>
      <c r="I846" s="289">
        <v>1.99</v>
      </c>
      <c r="J846" s="289">
        <v>404837.74</v>
      </c>
      <c r="K846" s="288" t="s">
        <v>103</v>
      </c>
      <c r="L846" s="292">
        <v>1.09E-2</v>
      </c>
    </row>
    <row r="847" spans="1:12" ht="15.75" thickBot="1" x14ac:dyDescent="0.3">
      <c r="A847" s="291" t="s">
        <v>124</v>
      </c>
      <c r="B847" s="286" t="s">
        <v>861</v>
      </c>
      <c r="C847" s="286" t="s">
        <v>358</v>
      </c>
      <c r="D847" s="138" t="s">
        <v>226</v>
      </c>
      <c r="E847" s="286" t="s">
        <v>587</v>
      </c>
      <c r="F847" s="288" t="s">
        <v>103</v>
      </c>
      <c r="G847" s="288" t="s">
        <v>103</v>
      </c>
      <c r="H847" s="290">
        <v>14606</v>
      </c>
      <c r="I847" s="289">
        <v>14.74</v>
      </c>
      <c r="J847" s="289">
        <v>215235.42</v>
      </c>
      <c r="K847" s="288" t="s">
        <v>103</v>
      </c>
      <c r="L847" s="292">
        <v>5.7999999999999996E-3</v>
      </c>
    </row>
    <row r="848" spans="1:12" ht="15.75" thickBot="1" x14ac:dyDescent="0.3">
      <c r="A848" s="291" t="s">
        <v>124</v>
      </c>
      <c r="B848" s="286" t="s">
        <v>900</v>
      </c>
      <c r="C848" s="286" t="s">
        <v>358</v>
      </c>
      <c r="D848" s="138" t="s">
        <v>901</v>
      </c>
      <c r="E848" s="286" t="s">
        <v>165</v>
      </c>
      <c r="F848" s="288" t="s">
        <v>103</v>
      </c>
      <c r="G848" s="288" t="s">
        <v>103</v>
      </c>
      <c r="H848" s="290">
        <v>23637</v>
      </c>
      <c r="I848" s="289">
        <v>11.09</v>
      </c>
      <c r="J848" s="289">
        <v>262149.78999999998</v>
      </c>
      <c r="K848" s="288" t="s">
        <v>103</v>
      </c>
      <c r="L848" s="292">
        <v>7.0000000000000001E-3</v>
      </c>
    </row>
    <row r="849" spans="1:12" ht="15.75" thickBot="1" x14ac:dyDescent="0.3">
      <c r="A849" s="291" t="s">
        <v>124</v>
      </c>
      <c r="B849" s="286" t="s">
        <v>900</v>
      </c>
      <c r="C849" s="286" t="s">
        <v>358</v>
      </c>
      <c r="D849" s="138" t="s">
        <v>904</v>
      </c>
      <c r="E849" s="286" t="s">
        <v>165</v>
      </c>
      <c r="F849" s="288" t="s">
        <v>103</v>
      </c>
      <c r="G849" s="288" t="s">
        <v>103</v>
      </c>
      <c r="H849" s="290">
        <v>23637</v>
      </c>
      <c r="I849" s="289">
        <v>11.09</v>
      </c>
      <c r="J849" s="289">
        <v>262149.44</v>
      </c>
      <c r="K849" s="288" t="s">
        <v>103</v>
      </c>
      <c r="L849" s="292">
        <v>7.0000000000000001E-3</v>
      </c>
    </row>
    <row r="850" spans="1:12" ht="15.75" thickBot="1" x14ac:dyDescent="0.3">
      <c r="A850" s="291" t="s">
        <v>124</v>
      </c>
      <c r="B850" s="286" t="s">
        <v>900</v>
      </c>
      <c r="C850" s="286" t="s">
        <v>358</v>
      </c>
      <c r="D850" s="138" t="s">
        <v>902</v>
      </c>
      <c r="E850" s="286" t="s">
        <v>165</v>
      </c>
      <c r="F850" s="288" t="s">
        <v>103</v>
      </c>
      <c r="G850" s="288" t="s">
        <v>103</v>
      </c>
      <c r="H850" s="290">
        <v>23637</v>
      </c>
      <c r="I850" s="289">
        <v>11.09</v>
      </c>
      <c r="J850" s="289">
        <v>262148.75</v>
      </c>
      <c r="K850" s="288" t="s">
        <v>103</v>
      </c>
      <c r="L850" s="292">
        <v>7.0000000000000001E-3</v>
      </c>
    </row>
    <row r="851" spans="1:12" ht="15.75" thickBot="1" x14ac:dyDescent="0.3">
      <c r="A851" s="291" t="s">
        <v>124</v>
      </c>
      <c r="B851" s="286" t="s">
        <v>900</v>
      </c>
      <c r="C851" s="286" t="s">
        <v>358</v>
      </c>
      <c r="D851" s="138" t="s">
        <v>908</v>
      </c>
      <c r="E851" s="286" t="s">
        <v>165</v>
      </c>
      <c r="F851" s="288" t="s">
        <v>103</v>
      </c>
      <c r="G851" s="288" t="s">
        <v>103</v>
      </c>
      <c r="H851" s="290">
        <v>23637</v>
      </c>
      <c r="I851" s="289">
        <v>11.09</v>
      </c>
      <c r="J851" s="289">
        <v>262148.32</v>
      </c>
      <c r="K851" s="288" t="s">
        <v>103</v>
      </c>
      <c r="L851" s="292">
        <v>7.0000000000000001E-3</v>
      </c>
    </row>
    <row r="852" spans="1:12" ht="15.75" thickBot="1" x14ac:dyDescent="0.3">
      <c r="A852" s="291" t="s">
        <v>124</v>
      </c>
      <c r="B852" s="286" t="s">
        <v>900</v>
      </c>
      <c r="C852" s="286" t="s">
        <v>358</v>
      </c>
      <c r="D852" s="138" t="s">
        <v>903</v>
      </c>
      <c r="E852" s="286" t="s">
        <v>165</v>
      </c>
      <c r="F852" s="288" t="s">
        <v>103</v>
      </c>
      <c r="G852" s="288" t="s">
        <v>103</v>
      </c>
      <c r="H852" s="290">
        <v>23637</v>
      </c>
      <c r="I852" s="289">
        <v>11.09</v>
      </c>
      <c r="J852" s="289">
        <v>262148.14</v>
      </c>
      <c r="K852" s="288" t="s">
        <v>103</v>
      </c>
      <c r="L852" s="292">
        <v>7.0000000000000001E-3</v>
      </c>
    </row>
    <row r="853" spans="1:12" ht="15.75" thickBot="1" x14ac:dyDescent="0.3">
      <c r="A853" s="291" t="s">
        <v>124</v>
      </c>
      <c r="B853" s="286" t="s">
        <v>900</v>
      </c>
      <c r="C853" s="286" t="s">
        <v>358</v>
      </c>
      <c r="D853" s="138" t="s">
        <v>909</v>
      </c>
      <c r="E853" s="286" t="s">
        <v>165</v>
      </c>
      <c r="F853" s="288" t="s">
        <v>103</v>
      </c>
      <c r="G853" s="288" t="s">
        <v>103</v>
      </c>
      <c r="H853" s="290">
        <v>23637</v>
      </c>
      <c r="I853" s="289">
        <v>11.09</v>
      </c>
      <c r="J853" s="289">
        <v>262145.83</v>
      </c>
      <c r="K853" s="288" t="s">
        <v>103</v>
      </c>
      <c r="L853" s="292">
        <v>7.0000000000000001E-3</v>
      </c>
    </row>
    <row r="854" spans="1:12" ht="15.75" thickBot="1" x14ac:dyDescent="0.3">
      <c r="A854" s="291" t="s">
        <v>124</v>
      </c>
      <c r="B854" s="286" t="s">
        <v>900</v>
      </c>
      <c r="C854" s="286" t="s">
        <v>358</v>
      </c>
      <c r="D854" s="138" t="s">
        <v>907</v>
      </c>
      <c r="E854" s="286" t="s">
        <v>165</v>
      </c>
      <c r="F854" s="288" t="s">
        <v>103</v>
      </c>
      <c r="G854" s="288" t="s">
        <v>103</v>
      </c>
      <c r="H854" s="290">
        <v>23637</v>
      </c>
      <c r="I854" s="289">
        <v>11.09</v>
      </c>
      <c r="J854" s="289">
        <v>262141.02</v>
      </c>
      <c r="K854" s="288" t="s">
        <v>103</v>
      </c>
      <c r="L854" s="292">
        <v>7.0000000000000001E-3</v>
      </c>
    </row>
    <row r="855" spans="1:12" ht="15.75" thickBot="1" x14ac:dyDescent="0.3">
      <c r="A855" s="291" t="s">
        <v>124</v>
      </c>
      <c r="B855" s="286" t="s">
        <v>900</v>
      </c>
      <c r="C855" s="286" t="s">
        <v>358</v>
      </c>
      <c r="D855" s="138" t="s">
        <v>906</v>
      </c>
      <c r="E855" s="286" t="s">
        <v>165</v>
      </c>
      <c r="F855" s="288" t="s">
        <v>103</v>
      </c>
      <c r="G855" s="288" t="s">
        <v>103</v>
      </c>
      <c r="H855" s="290">
        <v>23637</v>
      </c>
      <c r="I855" s="289">
        <v>11.09</v>
      </c>
      <c r="J855" s="289">
        <v>262140.51</v>
      </c>
      <c r="K855" s="288" t="s">
        <v>103</v>
      </c>
      <c r="L855" s="292">
        <v>7.0000000000000001E-3</v>
      </c>
    </row>
    <row r="856" spans="1:12" ht="15.75" thickBot="1" x14ac:dyDescent="0.3">
      <c r="A856" s="291" t="s">
        <v>124</v>
      </c>
      <c r="B856" s="286" t="s">
        <v>900</v>
      </c>
      <c r="C856" s="286" t="s">
        <v>358</v>
      </c>
      <c r="D856" s="138" t="s">
        <v>905</v>
      </c>
      <c r="E856" s="286" t="s">
        <v>165</v>
      </c>
      <c r="F856" s="288" t="s">
        <v>103</v>
      </c>
      <c r="G856" s="288" t="s">
        <v>103</v>
      </c>
      <c r="H856" s="290">
        <v>23637</v>
      </c>
      <c r="I856" s="289">
        <v>11.09</v>
      </c>
      <c r="J856" s="289">
        <v>262129.72</v>
      </c>
      <c r="K856" s="288" t="s">
        <v>103</v>
      </c>
      <c r="L856" s="292">
        <v>7.0000000000000001E-3</v>
      </c>
    </row>
    <row r="857" spans="1:12" ht="15.75" thickBot="1" x14ac:dyDescent="0.3">
      <c r="A857" s="291" t="s">
        <v>126</v>
      </c>
      <c r="B857" s="286" t="s">
        <v>1139</v>
      </c>
      <c r="C857" s="286" t="s">
        <v>358</v>
      </c>
      <c r="D857" s="138" t="s">
        <v>512</v>
      </c>
      <c r="E857" s="286" t="s">
        <v>165</v>
      </c>
      <c r="F857" s="288" t="s">
        <v>103</v>
      </c>
      <c r="G857" s="288" t="s">
        <v>103</v>
      </c>
      <c r="H857" s="288">
        <v>14</v>
      </c>
      <c r="I857" s="289">
        <v>65307.41</v>
      </c>
      <c r="J857" s="289">
        <v>914303.76</v>
      </c>
      <c r="K857" s="288" t="s">
        <v>103</v>
      </c>
      <c r="L857" s="292">
        <v>2.4500000000000001E-2</v>
      </c>
    </row>
    <row r="858" spans="1:12" ht="15.75" thickBot="1" x14ac:dyDescent="0.3">
      <c r="A858" s="291" t="s">
        <v>126</v>
      </c>
      <c r="B858" s="286" t="s">
        <v>877</v>
      </c>
      <c r="C858" s="286" t="s">
        <v>358</v>
      </c>
      <c r="D858" s="138" t="s">
        <v>1140</v>
      </c>
      <c r="E858" s="286" t="s">
        <v>165</v>
      </c>
      <c r="F858" s="287">
        <v>45689</v>
      </c>
      <c r="G858" s="288" t="s">
        <v>103</v>
      </c>
      <c r="H858" s="288">
        <v>435</v>
      </c>
      <c r="I858" s="289">
        <v>930.52</v>
      </c>
      <c r="J858" s="289">
        <v>404777.13</v>
      </c>
      <c r="K858" s="288" t="s">
        <v>103</v>
      </c>
      <c r="L858" s="292">
        <v>1.09E-2</v>
      </c>
    </row>
    <row r="859" spans="1:12" ht="15.75" thickBot="1" x14ac:dyDescent="0.3">
      <c r="A859" s="291" t="s">
        <v>126</v>
      </c>
      <c r="B859" s="286" t="s">
        <v>778</v>
      </c>
      <c r="C859" s="286" t="s">
        <v>358</v>
      </c>
      <c r="D859" s="138" t="s">
        <v>910</v>
      </c>
      <c r="E859" s="286" t="s">
        <v>165</v>
      </c>
      <c r="F859" s="288" t="s">
        <v>103</v>
      </c>
      <c r="G859" s="288" t="s">
        <v>103</v>
      </c>
      <c r="H859" s="288">
        <v>62</v>
      </c>
      <c r="I859" s="289">
        <v>1201.4000000000001</v>
      </c>
      <c r="J859" s="289">
        <v>74486.990000000005</v>
      </c>
      <c r="K859" s="288" t="s">
        <v>103</v>
      </c>
      <c r="L859" s="292">
        <v>2E-3</v>
      </c>
    </row>
    <row r="860" spans="1:12" ht="15.75" thickBot="1" x14ac:dyDescent="0.3">
      <c r="A860" s="291" t="s">
        <v>126</v>
      </c>
      <c r="B860" s="286" t="s">
        <v>1048</v>
      </c>
      <c r="C860" s="286" t="s">
        <v>358</v>
      </c>
      <c r="D860" s="138" t="s">
        <v>1077</v>
      </c>
      <c r="E860" s="286" t="s">
        <v>165</v>
      </c>
      <c r="F860" s="287">
        <v>49878</v>
      </c>
      <c r="G860" s="288" t="s">
        <v>103</v>
      </c>
      <c r="H860" s="288">
        <v>211</v>
      </c>
      <c r="I860" s="289">
        <v>1080.1500000000001</v>
      </c>
      <c r="J860" s="289">
        <v>227911.91</v>
      </c>
      <c r="K860" s="288" t="s">
        <v>103</v>
      </c>
      <c r="L860" s="292">
        <v>6.1000000000000004E-3</v>
      </c>
    </row>
    <row r="861" spans="1:12" ht="15.75" thickBot="1" x14ac:dyDescent="0.3">
      <c r="A861" s="291" t="s">
        <v>126</v>
      </c>
      <c r="B861" s="286" t="s">
        <v>1141</v>
      </c>
      <c r="C861" s="286" t="s">
        <v>358</v>
      </c>
      <c r="D861" s="138" t="s">
        <v>1142</v>
      </c>
      <c r="E861" s="286" t="s">
        <v>165</v>
      </c>
      <c r="F861" s="287">
        <v>47911</v>
      </c>
      <c r="G861" s="288" t="s">
        <v>103</v>
      </c>
      <c r="H861" s="288">
        <v>124</v>
      </c>
      <c r="I861" s="289">
        <v>1237.8900000000001</v>
      </c>
      <c r="J861" s="289">
        <v>153498.82</v>
      </c>
      <c r="K861" s="288" t="s">
        <v>103</v>
      </c>
      <c r="L861" s="292">
        <v>4.1000000000000003E-3</v>
      </c>
    </row>
    <row r="862" spans="1:12" ht="15.75" thickBot="1" x14ac:dyDescent="0.3">
      <c r="A862" s="291" t="s">
        <v>126</v>
      </c>
      <c r="B862" s="286" t="s">
        <v>467</v>
      </c>
      <c r="C862" s="286" t="s">
        <v>358</v>
      </c>
      <c r="D862" s="138" t="s">
        <v>468</v>
      </c>
      <c r="E862" s="286" t="s">
        <v>165</v>
      </c>
      <c r="F862" s="287">
        <v>46198</v>
      </c>
      <c r="G862" s="288" t="s">
        <v>103</v>
      </c>
      <c r="H862" s="288">
        <v>154</v>
      </c>
      <c r="I862" s="289">
        <v>1012.89</v>
      </c>
      <c r="J862" s="289">
        <v>155985.76999999999</v>
      </c>
      <c r="K862" s="288" t="s">
        <v>103</v>
      </c>
      <c r="L862" s="292">
        <v>4.1999999999999997E-3</v>
      </c>
    </row>
    <row r="863" spans="1:12" ht="15.75" thickBot="1" x14ac:dyDescent="0.3">
      <c r="A863" s="291" t="s">
        <v>126</v>
      </c>
      <c r="B863" s="286" t="s">
        <v>416</v>
      </c>
      <c r="C863" s="286" t="s">
        <v>358</v>
      </c>
      <c r="D863" s="138" t="s">
        <v>417</v>
      </c>
      <c r="E863" s="286" t="s">
        <v>165</v>
      </c>
      <c r="F863" s="287">
        <v>46260</v>
      </c>
      <c r="G863" s="288" t="s">
        <v>103</v>
      </c>
      <c r="H863" s="288">
        <v>59</v>
      </c>
      <c r="I863" s="289">
        <v>1005.3</v>
      </c>
      <c r="J863" s="289">
        <v>59312.88</v>
      </c>
      <c r="K863" s="288" t="s">
        <v>103</v>
      </c>
      <c r="L863" s="292">
        <v>1.6000000000000001E-3</v>
      </c>
    </row>
    <row r="864" spans="1:12" ht="15.75" thickBot="1" x14ac:dyDescent="0.3">
      <c r="A864" s="291" t="s">
        <v>126</v>
      </c>
      <c r="B864" s="286" t="s">
        <v>136</v>
      </c>
      <c r="C864" s="286" t="s">
        <v>358</v>
      </c>
      <c r="D864" s="138" t="s">
        <v>136</v>
      </c>
      <c r="E864" s="286" t="s">
        <v>591</v>
      </c>
      <c r="F864" s="287">
        <v>46020</v>
      </c>
      <c r="G864" s="288" t="s">
        <v>103</v>
      </c>
      <c r="H864" s="288">
        <v>271</v>
      </c>
      <c r="I864" s="289">
        <v>341.32</v>
      </c>
      <c r="J864" s="289">
        <v>92496.98</v>
      </c>
      <c r="K864" s="288" t="s">
        <v>103</v>
      </c>
      <c r="L864" s="292">
        <v>2.5000000000000001E-3</v>
      </c>
    </row>
    <row r="865" spans="1:12" ht="15.75" thickBot="1" x14ac:dyDescent="0.3">
      <c r="A865" s="291" t="s">
        <v>126</v>
      </c>
      <c r="B865" s="286" t="s">
        <v>1143</v>
      </c>
      <c r="C865" s="286" t="s">
        <v>358</v>
      </c>
      <c r="D865" s="138" t="s">
        <v>1144</v>
      </c>
      <c r="E865" s="286" t="s">
        <v>165</v>
      </c>
      <c r="F865" s="287">
        <v>46314</v>
      </c>
      <c r="G865" s="288" t="s">
        <v>103</v>
      </c>
      <c r="H865" s="288">
        <v>89</v>
      </c>
      <c r="I865" s="289">
        <v>1071.06</v>
      </c>
      <c r="J865" s="289">
        <v>95323.97</v>
      </c>
      <c r="K865" s="288" t="s">
        <v>103</v>
      </c>
      <c r="L865" s="292">
        <v>2.5999999999999999E-3</v>
      </c>
    </row>
    <row r="866" spans="1:12" ht="15.75" thickBot="1" x14ac:dyDescent="0.3">
      <c r="A866" s="291" t="s">
        <v>126</v>
      </c>
      <c r="B866" s="286" t="s">
        <v>1237</v>
      </c>
      <c r="C866" s="286" t="s">
        <v>358</v>
      </c>
      <c r="D866" s="138" t="s">
        <v>1238</v>
      </c>
      <c r="E866" s="286" t="s">
        <v>165</v>
      </c>
      <c r="F866" s="287">
        <v>47834</v>
      </c>
      <c r="G866" s="288" t="s">
        <v>103</v>
      </c>
      <c r="H866" s="288">
        <v>542</v>
      </c>
      <c r="I866" s="289">
        <v>1025.07</v>
      </c>
      <c r="J866" s="289">
        <v>555588.49</v>
      </c>
      <c r="K866" s="288" t="s">
        <v>103</v>
      </c>
      <c r="L866" s="292">
        <v>1.49E-2</v>
      </c>
    </row>
    <row r="867" spans="1:12" ht="15.75" thickBot="1" x14ac:dyDescent="0.3">
      <c r="A867" s="291" t="s">
        <v>126</v>
      </c>
      <c r="B867" s="286" t="s">
        <v>1145</v>
      </c>
      <c r="C867" s="286" t="s">
        <v>358</v>
      </c>
      <c r="D867" s="138" t="s">
        <v>1094</v>
      </c>
      <c r="E867" s="286" t="s">
        <v>165</v>
      </c>
      <c r="F867" s="287">
        <v>46613</v>
      </c>
      <c r="G867" s="288" t="s">
        <v>103</v>
      </c>
      <c r="H867" s="288">
        <v>98</v>
      </c>
      <c r="I867" s="289">
        <v>1003.51</v>
      </c>
      <c r="J867" s="289">
        <v>98344.21</v>
      </c>
      <c r="K867" s="288" t="s">
        <v>103</v>
      </c>
      <c r="L867" s="292">
        <v>2.5999999999999999E-3</v>
      </c>
    </row>
    <row r="868" spans="1:12" ht="15.75" thickBot="1" x14ac:dyDescent="0.3">
      <c r="A868" s="291" t="s">
        <v>126</v>
      </c>
      <c r="B868" s="286" t="s">
        <v>1399</v>
      </c>
      <c r="C868" s="286" t="s">
        <v>358</v>
      </c>
      <c r="D868" s="138" t="s">
        <v>1400</v>
      </c>
      <c r="E868" s="286" t="s">
        <v>165</v>
      </c>
      <c r="F868" s="288" t="s">
        <v>103</v>
      </c>
      <c r="G868" s="288" t="s">
        <v>103</v>
      </c>
      <c r="H868" s="288">
        <v>175</v>
      </c>
      <c r="I868" s="289">
        <v>1006.57</v>
      </c>
      <c r="J868" s="289">
        <v>176149.15</v>
      </c>
      <c r="K868" s="288" t="s">
        <v>103</v>
      </c>
      <c r="L868" s="292">
        <v>4.7000000000000002E-3</v>
      </c>
    </row>
    <row r="869" spans="1:12" ht="15.75" thickBot="1" x14ac:dyDescent="0.3">
      <c r="A869" s="291" t="s">
        <v>126</v>
      </c>
      <c r="B869" s="286" t="s">
        <v>941</v>
      </c>
      <c r="C869" s="286" t="s">
        <v>358</v>
      </c>
      <c r="D869" s="138" t="s">
        <v>942</v>
      </c>
      <c r="E869" s="286" t="s">
        <v>165</v>
      </c>
      <c r="F869" s="287">
        <v>46496</v>
      </c>
      <c r="G869" s="288" t="s">
        <v>103</v>
      </c>
      <c r="H869" s="288">
        <v>71</v>
      </c>
      <c r="I869" s="289">
        <v>1001.65</v>
      </c>
      <c r="J869" s="289">
        <v>71117.11</v>
      </c>
      <c r="K869" s="288" t="s">
        <v>103</v>
      </c>
      <c r="L869" s="292">
        <v>1.9E-3</v>
      </c>
    </row>
    <row r="870" spans="1:12" ht="15.75" thickBot="1" x14ac:dyDescent="0.3">
      <c r="A870" s="291" t="s">
        <v>127</v>
      </c>
      <c r="B870" s="286" t="s">
        <v>1152</v>
      </c>
      <c r="C870" s="286" t="s">
        <v>358</v>
      </c>
      <c r="D870" s="138" t="s">
        <v>911</v>
      </c>
      <c r="E870" s="286" t="s">
        <v>622</v>
      </c>
      <c r="F870" s="287">
        <v>47257</v>
      </c>
      <c r="G870" s="288" t="s">
        <v>103</v>
      </c>
      <c r="H870" s="288">
        <v>69</v>
      </c>
      <c r="I870" s="289">
        <v>1040.46</v>
      </c>
      <c r="J870" s="289">
        <v>71791.97</v>
      </c>
      <c r="K870" s="288" t="s">
        <v>103</v>
      </c>
      <c r="L870" s="292">
        <v>1.9E-3</v>
      </c>
    </row>
    <row r="871" spans="1:12" ht="15.75" thickBot="1" x14ac:dyDescent="0.3">
      <c r="A871" s="291" t="s">
        <v>127</v>
      </c>
      <c r="B871" s="286" t="s">
        <v>38</v>
      </c>
      <c r="C871" s="286" t="s">
        <v>358</v>
      </c>
      <c r="D871" s="138" t="s">
        <v>238</v>
      </c>
      <c r="E871" s="286" t="s">
        <v>841</v>
      </c>
      <c r="F871" s="287">
        <v>46096</v>
      </c>
      <c r="G871" s="288" t="s">
        <v>1486</v>
      </c>
      <c r="H871" s="288">
        <v>300</v>
      </c>
      <c r="I871" s="289">
        <v>711.9</v>
      </c>
      <c r="J871" s="289">
        <v>213569.8</v>
      </c>
      <c r="K871" s="288" t="s">
        <v>103</v>
      </c>
      <c r="L871" s="292">
        <v>5.7000000000000002E-3</v>
      </c>
    </row>
    <row r="872" spans="1:12" ht="15.75" thickBot="1" x14ac:dyDescent="0.3">
      <c r="A872" s="291" t="s">
        <v>127</v>
      </c>
      <c r="B872" s="286" t="s">
        <v>38</v>
      </c>
      <c r="C872" s="286" t="s">
        <v>358</v>
      </c>
      <c r="D872" s="138" t="s">
        <v>1063</v>
      </c>
      <c r="E872" s="286" t="s">
        <v>559</v>
      </c>
      <c r="F872" s="287">
        <v>47645</v>
      </c>
      <c r="G872" s="288" t="s">
        <v>1485</v>
      </c>
      <c r="H872" s="288">
        <v>71</v>
      </c>
      <c r="I872" s="289">
        <v>1031.33</v>
      </c>
      <c r="J872" s="289">
        <v>73224.56</v>
      </c>
      <c r="K872" s="288" t="s">
        <v>103</v>
      </c>
      <c r="L872" s="292">
        <v>2E-3</v>
      </c>
    </row>
    <row r="873" spans="1:12" ht="15.75" thickBot="1" x14ac:dyDescent="0.3">
      <c r="A873" s="291" t="s">
        <v>127</v>
      </c>
      <c r="B873" s="286" t="s">
        <v>258</v>
      </c>
      <c r="C873" s="286" t="s">
        <v>358</v>
      </c>
      <c r="D873" s="138" t="s">
        <v>259</v>
      </c>
      <c r="E873" s="286" t="s">
        <v>553</v>
      </c>
      <c r="F873" s="287">
        <v>48168</v>
      </c>
      <c r="G873" s="288" t="s">
        <v>1401</v>
      </c>
      <c r="H873" s="288">
        <v>41</v>
      </c>
      <c r="I873" s="289">
        <v>1058.03</v>
      </c>
      <c r="J873" s="289">
        <v>43379.22</v>
      </c>
      <c r="K873" s="288" t="s">
        <v>103</v>
      </c>
      <c r="L873" s="292">
        <v>1.1999999999999999E-3</v>
      </c>
    </row>
    <row r="874" spans="1:12" ht="15.75" thickBot="1" x14ac:dyDescent="0.3">
      <c r="A874" s="293" t="s">
        <v>127</v>
      </c>
      <c r="B874" s="294" t="s">
        <v>397</v>
      </c>
      <c r="C874" s="294" t="s">
        <v>358</v>
      </c>
      <c r="D874" s="139" t="s">
        <v>398</v>
      </c>
      <c r="E874" s="294" t="s">
        <v>796</v>
      </c>
      <c r="F874" s="323">
        <v>45856</v>
      </c>
      <c r="G874" s="295" t="s">
        <v>1571</v>
      </c>
      <c r="H874" s="295">
        <v>470</v>
      </c>
      <c r="I874" s="296">
        <v>1015.34</v>
      </c>
      <c r="J874" s="296">
        <v>477208.34</v>
      </c>
      <c r="K874" s="295" t="s">
        <v>103</v>
      </c>
      <c r="L874" s="297">
        <v>1.2800000000000001E-2</v>
      </c>
    </row>
    <row r="875" spans="1:12" ht="15.75" thickBot="1" x14ac:dyDescent="0.3">
      <c r="A875" s="319" t="s">
        <v>127</v>
      </c>
      <c r="B875" s="320" t="s">
        <v>1098</v>
      </c>
      <c r="C875" s="320" t="s">
        <v>358</v>
      </c>
      <c r="D875" s="321" t="s">
        <v>1099</v>
      </c>
      <c r="E875" s="320" t="s">
        <v>1068</v>
      </c>
      <c r="F875" s="333">
        <v>47373</v>
      </c>
      <c r="G875" s="322" t="s">
        <v>103</v>
      </c>
      <c r="H875" s="322">
        <v>140</v>
      </c>
      <c r="I875" s="326">
        <v>1004.31</v>
      </c>
      <c r="J875" s="326">
        <v>140603.4</v>
      </c>
      <c r="K875" s="322" t="s">
        <v>103</v>
      </c>
      <c r="L875" s="328">
        <v>3.8E-3</v>
      </c>
    </row>
    <row r="876" spans="1:12" ht="15.75" thickBot="1" x14ac:dyDescent="0.3">
      <c r="A876" s="317" t="s">
        <v>127</v>
      </c>
      <c r="B876" s="311" t="s">
        <v>204</v>
      </c>
      <c r="C876" s="311" t="s">
        <v>358</v>
      </c>
      <c r="D876" s="312" t="s">
        <v>206</v>
      </c>
      <c r="E876" s="311" t="s">
        <v>613</v>
      </c>
      <c r="F876" s="313">
        <v>48014</v>
      </c>
      <c r="G876" s="314" t="s">
        <v>1402</v>
      </c>
      <c r="H876" s="314">
        <v>84</v>
      </c>
      <c r="I876" s="315">
        <v>980.54</v>
      </c>
      <c r="J876" s="315">
        <v>82365.14</v>
      </c>
      <c r="K876" s="314" t="s">
        <v>103</v>
      </c>
      <c r="L876" s="318">
        <v>2.2000000000000001E-3</v>
      </c>
    </row>
    <row r="877" spans="1:12" ht="15.75" thickBot="1" x14ac:dyDescent="0.3">
      <c r="A877" s="291" t="s">
        <v>127</v>
      </c>
      <c r="B877" s="286" t="s">
        <v>204</v>
      </c>
      <c r="C877" s="286" t="s">
        <v>358</v>
      </c>
      <c r="D877" s="138" t="s">
        <v>207</v>
      </c>
      <c r="E877" s="286" t="s">
        <v>614</v>
      </c>
      <c r="F877" s="287">
        <v>47284</v>
      </c>
      <c r="G877" s="288" t="s">
        <v>1430</v>
      </c>
      <c r="H877" s="288">
        <v>35</v>
      </c>
      <c r="I877" s="289">
        <v>985.73</v>
      </c>
      <c r="J877" s="289">
        <v>34500.47</v>
      </c>
      <c r="K877" s="288" t="s">
        <v>103</v>
      </c>
      <c r="L877" s="292">
        <v>8.9999999999999998E-4</v>
      </c>
    </row>
    <row r="878" spans="1:12" ht="15.75" thickBot="1" x14ac:dyDescent="0.3">
      <c r="A878" s="291" t="s">
        <v>127</v>
      </c>
      <c r="B878" s="286" t="s">
        <v>354</v>
      </c>
      <c r="C878" s="286" t="s">
        <v>358</v>
      </c>
      <c r="D878" s="138" t="s">
        <v>957</v>
      </c>
      <c r="E878" s="286" t="s">
        <v>960</v>
      </c>
      <c r="F878" s="287">
        <v>47234</v>
      </c>
      <c r="G878" s="288" t="s">
        <v>103</v>
      </c>
      <c r="H878" s="288">
        <v>125</v>
      </c>
      <c r="I878" s="289">
        <v>1051.72</v>
      </c>
      <c r="J878" s="289">
        <v>131464.69</v>
      </c>
      <c r="K878" s="288" t="s">
        <v>103</v>
      </c>
      <c r="L878" s="292">
        <v>3.5000000000000001E-3</v>
      </c>
    </row>
    <row r="879" spans="1:12" ht="15.75" thickBot="1" x14ac:dyDescent="0.3">
      <c r="A879" s="291" t="s">
        <v>127</v>
      </c>
      <c r="B879" s="286" t="s">
        <v>396</v>
      </c>
      <c r="C879" s="286" t="s">
        <v>358</v>
      </c>
      <c r="D879" s="138" t="s">
        <v>1404</v>
      </c>
      <c r="E879" s="286" t="s">
        <v>165</v>
      </c>
      <c r="F879" s="287">
        <v>47123</v>
      </c>
      <c r="G879" s="288" t="s">
        <v>103</v>
      </c>
      <c r="H879" s="288">
        <v>61</v>
      </c>
      <c r="I879" s="289">
        <v>441.3</v>
      </c>
      <c r="J879" s="289">
        <v>26919.06</v>
      </c>
      <c r="K879" s="288" t="s">
        <v>103</v>
      </c>
      <c r="L879" s="292">
        <v>6.9999999999999999E-4</v>
      </c>
    </row>
    <row r="880" spans="1:12" ht="15.75" thickBot="1" x14ac:dyDescent="0.3">
      <c r="A880" s="291" t="s">
        <v>127</v>
      </c>
      <c r="B880" s="286" t="s">
        <v>396</v>
      </c>
      <c r="C880" s="286" t="s">
        <v>358</v>
      </c>
      <c r="D880" s="138" t="s">
        <v>1405</v>
      </c>
      <c r="E880" s="286" t="s">
        <v>165</v>
      </c>
      <c r="F880" s="287">
        <v>52967</v>
      </c>
      <c r="G880" s="288" t="s">
        <v>103</v>
      </c>
      <c r="H880" s="288">
        <v>91</v>
      </c>
      <c r="I880" s="289">
        <v>88.5</v>
      </c>
      <c r="J880" s="289">
        <v>8053.73</v>
      </c>
      <c r="K880" s="288" t="s">
        <v>103</v>
      </c>
      <c r="L880" s="292">
        <v>2.0000000000000001E-4</v>
      </c>
    </row>
    <row r="881" spans="1:12" ht="15.75" thickBot="1" x14ac:dyDescent="0.3">
      <c r="A881" s="291" t="s">
        <v>127</v>
      </c>
      <c r="B881" s="286" t="s">
        <v>759</v>
      </c>
      <c r="C881" s="286" t="s">
        <v>358</v>
      </c>
      <c r="D881" s="138" t="s">
        <v>760</v>
      </c>
      <c r="E881" s="286" t="s">
        <v>627</v>
      </c>
      <c r="F881" s="287">
        <v>46959</v>
      </c>
      <c r="G881" s="288" t="s">
        <v>1573</v>
      </c>
      <c r="H881" s="288">
        <v>120</v>
      </c>
      <c r="I881" s="289">
        <v>849.28</v>
      </c>
      <c r="J881" s="289">
        <v>101913.7</v>
      </c>
      <c r="K881" s="288" t="s">
        <v>103</v>
      </c>
      <c r="L881" s="292">
        <v>2.7000000000000001E-3</v>
      </c>
    </row>
    <row r="882" spans="1:12" ht="15.75" thickBot="1" x14ac:dyDescent="0.3">
      <c r="A882" s="291" t="s">
        <v>127</v>
      </c>
      <c r="B882" s="286" t="s">
        <v>37</v>
      </c>
      <c r="C882" s="286" t="s">
        <v>358</v>
      </c>
      <c r="D882" s="138" t="s">
        <v>260</v>
      </c>
      <c r="E882" s="286" t="s">
        <v>622</v>
      </c>
      <c r="F882" s="287">
        <v>47065</v>
      </c>
      <c r="G882" s="288" t="s">
        <v>1415</v>
      </c>
      <c r="H882" s="288">
        <v>69</v>
      </c>
      <c r="I882" s="289">
        <v>1057.54</v>
      </c>
      <c r="J882" s="289">
        <v>72970.259999999995</v>
      </c>
      <c r="K882" s="288" t="s">
        <v>103</v>
      </c>
      <c r="L882" s="292">
        <v>2E-3</v>
      </c>
    </row>
    <row r="883" spans="1:12" ht="15.75" thickBot="1" x14ac:dyDescent="0.3">
      <c r="A883" s="291" t="s">
        <v>127</v>
      </c>
      <c r="B883" s="286" t="s">
        <v>295</v>
      </c>
      <c r="C883" s="286" t="s">
        <v>358</v>
      </c>
      <c r="D883" s="138" t="s">
        <v>300</v>
      </c>
      <c r="E883" s="286" t="s">
        <v>631</v>
      </c>
      <c r="F883" s="287">
        <v>47863</v>
      </c>
      <c r="G883" s="288" t="s">
        <v>1574</v>
      </c>
      <c r="H883" s="288">
        <v>187</v>
      </c>
      <c r="I883" s="289">
        <v>939.73</v>
      </c>
      <c r="J883" s="289">
        <v>175729.51</v>
      </c>
      <c r="K883" s="288" t="s">
        <v>103</v>
      </c>
      <c r="L883" s="292">
        <v>4.7000000000000002E-3</v>
      </c>
    </row>
    <row r="884" spans="1:12" ht="15.75" thickBot="1" x14ac:dyDescent="0.3">
      <c r="A884" s="291" t="s">
        <v>127</v>
      </c>
      <c r="B884" s="286" t="s">
        <v>295</v>
      </c>
      <c r="C884" s="286" t="s">
        <v>358</v>
      </c>
      <c r="D884" s="138" t="s">
        <v>508</v>
      </c>
      <c r="E884" s="286" t="s">
        <v>632</v>
      </c>
      <c r="F884" s="287">
        <v>47472</v>
      </c>
      <c r="G884" s="288" t="s">
        <v>1406</v>
      </c>
      <c r="H884" s="288">
        <v>83</v>
      </c>
      <c r="I884" s="289">
        <v>940.13</v>
      </c>
      <c r="J884" s="289">
        <v>78030.45</v>
      </c>
      <c r="K884" s="288" t="s">
        <v>103</v>
      </c>
      <c r="L884" s="292">
        <v>2.0999999999999999E-3</v>
      </c>
    </row>
    <row r="885" spans="1:12" ht="15.75" thickBot="1" x14ac:dyDescent="0.3">
      <c r="A885" s="291" t="s">
        <v>127</v>
      </c>
      <c r="B885" s="286" t="s">
        <v>208</v>
      </c>
      <c r="C885" s="286" t="s">
        <v>358</v>
      </c>
      <c r="D885" s="138" t="s">
        <v>185</v>
      </c>
      <c r="E885" s="286" t="s">
        <v>943</v>
      </c>
      <c r="F885" s="287">
        <v>46893</v>
      </c>
      <c r="G885" s="288" t="s">
        <v>1408</v>
      </c>
      <c r="H885" s="288">
        <v>184</v>
      </c>
      <c r="I885" s="289">
        <v>1041.54</v>
      </c>
      <c r="J885" s="289">
        <v>191642.79</v>
      </c>
      <c r="K885" s="288" t="s">
        <v>103</v>
      </c>
      <c r="L885" s="292">
        <v>5.1000000000000004E-3</v>
      </c>
    </row>
    <row r="886" spans="1:12" ht="15.75" thickBot="1" x14ac:dyDescent="0.3">
      <c r="A886" s="291" t="s">
        <v>127</v>
      </c>
      <c r="B886" s="286" t="s">
        <v>208</v>
      </c>
      <c r="C886" s="286" t="s">
        <v>358</v>
      </c>
      <c r="D886" s="138" t="s">
        <v>1003</v>
      </c>
      <c r="E886" s="286" t="s">
        <v>615</v>
      </c>
      <c r="F886" s="287">
        <v>47289</v>
      </c>
      <c r="G886" s="288" t="s">
        <v>1407</v>
      </c>
      <c r="H886" s="288">
        <v>185</v>
      </c>
      <c r="I886" s="289">
        <v>1009.78</v>
      </c>
      <c r="J886" s="289">
        <v>186809.32</v>
      </c>
      <c r="K886" s="288" t="s">
        <v>103</v>
      </c>
      <c r="L886" s="292">
        <v>5.0000000000000001E-3</v>
      </c>
    </row>
    <row r="887" spans="1:12" ht="15.75" thickBot="1" x14ac:dyDescent="0.3">
      <c r="A887" s="291" t="s">
        <v>127</v>
      </c>
      <c r="B887" s="286" t="s">
        <v>230</v>
      </c>
      <c r="C887" s="286" t="s">
        <v>358</v>
      </c>
      <c r="D887" s="138" t="s">
        <v>327</v>
      </c>
      <c r="E887" s="286" t="s">
        <v>639</v>
      </c>
      <c r="F887" s="287">
        <v>46506</v>
      </c>
      <c r="G887" s="288" t="s">
        <v>1503</v>
      </c>
      <c r="H887" s="288">
        <v>152</v>
      </c>
      <c r="I887" s="289">
        <v>1051.23</v>
      </c>
      <c r="J887" s="289">
        <v>159787.54999999999</v>
      </c>
      <c r="K887" s="288" t="s">
        <v>103</v>
      </c>
      <c r="L887" s="292">
        <v>4.3E-3</v>
      </c>
    </row>
    <row r="888" spans="1:12" ht="15.75" thickBot="1" x14ac:dyDescent="0.3">
      <c r="A888" s="291" t="s">
        <v>127</v>
      </c>
      <c r="B888" s="286" t="s">
        <v>230</v>
      </c>
      <c r="C888" s="286" t="s">
        <v>358</v>
      </c>
      <c r="D888" s="138" t="s">
        <v>211</v>
      </c>
      <c r="E888" s="286" t="s">
        <v>640</v>
      </c>
      <c r="F888" s="287">
        <v>45802</v>
      </c>
      <c r="G888" s="288" t="s">
        <v>1575</v>
      </c>
      <c r="H888" s="288">
        <v>29</v>
      </c>
      <c r="I888" s="289">
        <v>346.56</v>
      </c>
      <c r="J888" s="289">
        <v>10050.14</v>
      </c>
      <c r="K888" s="288" t="s">
        <v>103</v>
      </c>
      <c r="L888" s="292">
        <v>2.9999999999999997E-4</v>
      </c>
    </row>
    <row r="889" spans="1:12" ht="15.75" thickBot="1" x14ac:dyDescent="0.3">
      <c r="A889" s="291" t="s">
        <v>127</v>
      </c>
      <c r="B889" s="286" t="s">
        <v>8</v>
      </c>
      <c r="C889" s="286" t="s">
        <v>358</v>
      </c>
      <c r="D889" s="138" t="s">
        <v>137</v>
      </c>
      <c r="E889" s="286" t="s">
        <v>631</v>
      </c>
      <c r="F889" s="287">
        <v>46371</v>
      </c>
      <c r="G889" s="288" t="s">
        <v>1576</v>
      </c>
      <c r="H889" s="288">
        <v>187</v>
      </c>
      <c r="I889" s="289">
        <v>694.1</v>
      </c>
      <c r="J889" s="289">
        <v>129797.2</v>
      </c>
      <c r="K889" s="288" t="s">
        <v>103</v>
      </c>
      <c r="L889" s="292">
        <v>3.5000000000000001E-3</v>
      </c>
    </row>
    <row r="890" spans="1:12" ht="15.75" thickBot="1" x14ac:dyDescent="0.3">
      <c r="A890" s="291" t="s">
        <v>127</v>
      </c>
      <c r="B890" s="286" t="s">
        <v>231</v>
      </c>
      <c r="C890" s="286" t="s">
        <v>358</v>
      </c>
      <c r="D890" s="138" t="s">
        <v>221</v>
      </c>
      <c r="E890" s="286" t="s">
        <v>625</v>
      </c>
      <c r="F890" s="287">
        <v>48080</v>
      </c>
      <c r="G890" s="288" t="s">
        <v>1577</v>
      </c>
      <c r="H890" s="288">
        <v>121</v>
      </c>
      <c r="I890" s="289">
        <v>1024.02</v>
      </c>
      <c r="J890" s="289">
        <v>123905.9</v>
      </c>
      <c r="K890" s="288" t="s">
        <v>103</v>
      </c>
      <c r="L890" s="292">
        <v>3.3E-3</v>
      </c>
    </row>
    <row r="891" spans="1:12" ht="15.75" thickBot="1" x14ac:dyDescent="0.3">
      <c r="A891" s="291" t="s">
        <v>127</v>
      </c>
      <c r="B891" s="286" t="s">
        <v>428</v>
      </c>
      <c r="C891" s="286" t="s">
        <v>358</v>
      </c>
      <c r="D891" s="138" t="s">
        <v>349</v>
      </c>
      <c r="E891" s="286" t="s">
        <v>648</v>
      </c>
      <c r="F891" s="287">
        <v>46541</v>
      </c>
      <c r="G891" s="288" t="s">
        <v>1507</v>
      </c>
      <c r="H891" s="288">
        <v>305</v>
      </c>
      <c r="I891" s="289">
        <v>746.48</v>
      </c>
      <c r="J891" s="289">
        <v>227676.84</v>
      </c>
      <c r="K891" s="288" t="s">
        <v>103</v>
      </c>
      <c r="L891" s="292">
        <v>6.1000000000000004E-3</v>
      </c>
    </row>
    <row r="892" spans="1:12" ht="15.75" thickBot="1" x14ac:dyDescent="0.3">
      <c r="A892" s="291" t="s">
        <v>127</v>
      </c>
      <c r="B892" s="286" t="s">
        <v>505</v>
      </c>
      <c r="C892" s="286" t="s">
        <v>358</v>
      </c>
      <c r="D892" s="138" t="s">
        <v>764</v>
      </c>
      <c r="E892" s="286" t="s">
        <v>679</v>
      </c>
      <c r="F892" s="287">
        <v>46614</v>
      </c>
      <c r="G892" s="288" t="s">
        <v>1431</v>
      </c>
      <c r="H892" s="288">
        <v>112</v>
      </c>
      <c r="I892" s="289">
        <v>1023.54</v>
      </c>
      <c r="J892" s="289">
        <v>114636.72</v>
      </c>
      <c r="K892" s="288" t="s">
        <v>103</v>
      </c>
      <c r="L892" s="292">
        <v>3.0999999999999999E-3</v>
      </c>
    </row>
    <row r="893" spans="1:12" ht="15.75" thickBot="1" x14ac:dyDescent="0.3">
      <c r="A893" s="291" t="s">
        <v>127</v>
      </c>
      <c r="B893" s="286" t="s">
        <v>497</v>
      </c>
      <c r="C893" s="286" t="s">
        <v>358</v>
      </c>
      <c r="D893" s="138" t="s">
        <v>498</v>
      </c>
      <c r="E893" s="286" t="s">
        <v>798</v>
      </c>
      <c r="F893" s="287">
        <v>46716</v>
      </c>
      <c r="G893" s="288" t="s">
        <v>1502</v>
      </c>
      <c r="H893" s="288">
        <v>199</v>
      </c>
      <c r="I893" s="289">
        <v>908.07</v>
      </c>
      <c r="J893" s="289">
        <v>180705.07</v>
      </c>
      <c r="K893" s="288" t="s">
        <v>103</v>
      </c>
      <c r="L893" s="292">
        <v>4.7999999999999996E-3</v>
      </c>
    </row>
    <row r="894" spans="1:12" ht="15.75" thickBot="1" x14ac:dyDescent="0.3">
      <c r="A894" s="291" t="s">
        <v>127</v>
      </c>
      <c r="B894" s="286" t="s">
        <v>372</v>
      </c>
      <c r="C894" s="286" t="s">
        <v>358</v>
      </c>
      <c r="D894" s="138" t="s">
        <v>373</v>
      </c>
      <c r="E894" s="286" t="s">
        <v>656</v>
      </c>
      <c r="F894" s="287">
        <v>45823</v>
      </c>
      <c r="G894" s="288" t="s">
        <v>1579</v>
      </c>
      <c r="H894" s="288">
        <v>148</v>
      </c>
      <c r="I894" s="289">
        <v>1029.1400000000001</v>
      </c>
      <c r="J894" s="289">
        <v>152313.44</v>
      </c>
      <c r="K894" s="288" t="s">
        <v>103</v>
      </c>
      <c r="L894" s="292">
        <v>4.1000000000000003E-3</v>
      </c>
    </row>
    <row r="895" spans="1:12" ht="15.75" thickBot="1" x14ac:dyDescent="0.3">
      <c r="A895" s="291" t="s">
        <v>127</v>
      </c>
      <c r="B895" s="286" t="s">
        <v>778</v>
      </c>
      <c r="C895" s="286" t="s">
        <v>358</v>
      </c>
      <c r="D895" s="138" t="s">
        <v>1109</v>
      </c>
      <c r="E895" s="286" t="s">
        <v>671</v>
      </c>
      <c r="F895" s="287">
        <v>46924</v>
      </c>
      <c r="G895" s="288" t="s">
        <v>1409</v>
      </c>
      <c r="H895" s="288">
        <v>159</v>
      </c>
      <c r="I895" s="289">
        <v>1027.33</v>
      </c>
      <c r="J895" s="289">
        <v>163345.97</v>
      </c>
      <c r="K895" s="288" t="s">
        <v>103</v>
      </c>
      <c r="L895" s="292">
        <v>4.4000000000000003E-3</v>
      </c>
    </row>
    <row r="896" spans="1:12" ht="15.75" thickBot="1" x14ac:dyDescent="0.3">
      <c r="A896" s="291" t="s">
        <v>127</v>
      </c>
      <c r="B896" s="286" t="s">
        <v>1410</v>
      </c>
      <c r="C896" s="286" t="s">
        <v>358</v>
      </c>
      <c r="D896" s="138" t="s">
        <v>1064</v>
      </c>
      <c r="E896" s="286" t="s">
        <v>165</v>
      </c>
      <c r="F896" s="287">
        <v>46482</v>
      </c>
      <c r="G896" s="288" t="s">
        <v>103</v>
      </c>
      <c r="H896" s="288">
        <v>140</v>
      </c>
      <c r="I896" s="289">
        <v>1005.59</v>
      </c>
      <c r="J896" s="289">
        <v>140782.94</v>
      </c>
      <c r="K896" s="288" t="s">
        <v>103</v>
      </c>
      <c r="L896" s="292">
        <v>3.8E-3</v>
      </c>
    </row>
    <row r="897" spans="1:12" ht="15.75" thickBot="1" x14ac:dyDescent="0.3">
      <c r="A897" s="291" t="s">
        <v>127</v>
      </c>
      <c r="B897" s="286" t="s">
        <v>513</v>
      </c>
      <c r="C897" s="286" t="s">
        <v>358</v>
      </c>
      <c r="D897" s="138" t="s">
        <v>514</v>
      </c>
      <c r="E897" s="286" t="s">
        <v>671</v>
      </c>
      <c r="F897" s="287">
        <v>46310</v>
      </c>
      <c r="G897" s="288" t="s">
        <v>1580</v>
      </c>
      <c r="H897" s="288">
        <v>159</v>
      </c>
      <c r="I897" s="289">
        <v>1041.5899999999999</v>
      </c>
      <c r="J897" s="289">
        <v>165612.82999999999</v>
      </c>
      <c r="K897" s="288" t="s">
        <v>103</v>
      </c>
      <c r="L897" s="292">
        <v>4.4000000000000003E-3</v>
      </c>
    </row>
    <row r="898" spans="1:12" ht="15.75" thickBot="1" x14ac:dyDescent="0.3">
      <c r="A898" s="291" t="s">
        <v>127</v>
      </c>
      <c r="B898" s="286" t="s">
        <v>1359</v>
      </c>
      <c r="C898" s="286" t="s">
        <v>358</v>
      </c>
      <c r="D898" s="138" t="s">
        <v>210</v>
      </c>
      <c r="E898" s="286" t="s">
        <v>165</v>
      </c>
      <c r="F898" s="287">
        <v>48531</v>
      </c>
      <c r="G898" s="288" t="s">
        <v>103</v>
      </c>
      <c r="H898" s="288">
        <v>627</v>
      </c>
      <c r="I898" s="289">
        <v>56.41</v>
      </c>
      <c r="J898" s="289">
        <v>35369.68</v>
      </c>
      <c r="K898" s="288" t="s">
        <v>103</v>
      </c>
      <c r="L898" s="292">
        <v>8.9999999999999998E-4</v>
      </c>
    </row>
    <row r="899" spans="1:12" ht="15.75" thickBot="1" x14ac:dyDescent="0.3">
      <c r="A899" s="291" t="s">
        <v>127</v>
      </c>
      <c r="B899" s="286" t="s">
        <v>1359</v>
      </c>
      <c r="C899" s="286" t="s">
        <v>358</v>
      </c>
      <c r="D899" s="138" t="s">
        <v>1181</v>
      </c>
      <c r="E899" s="286" t="s">
        <v>165</v>
      </c>
      <c r="F899" s="287">
        <v>46630</v>
      </c>
      <c r="G899" s="288" t="s">
        <v>103</v>
      </c>
      <c r="H899" s="290">
        <v>3627</v>
      </c>
      <c r="I899" s="289">
        <v>7.72</v>
      </c>
      <c r="J899" s="289">
        <v>28000.44</v>
      </c>
      <c r="K899" s="288" t="s">
        <v>103</v>
      </c>
      <c r="L899" s="292">
        <v>8.0000000000000004E-4</v>
      </c>
    </row>
    <row r="900" spans="1:12" ht="15.75" thickBot="1" x14ac:dyDescent="0.3">
      <c r="A900" s="291" t="s">
        <v>127</v>
      </c>
      <c r="B900" s="286" t="s">
        <v>1359</v>
      </c>
      <c r="C900" s="286" t="s">
        <v>358</v>
      </c>
      <c r="D900" s="138" t="s">
        <v>12</v>
      </c>
      <c r="E900" s="286" t="s">
        <v>165</v>
      </c>
      <c r="F900" s="287">
        <v>48531</v>
      </c>
      <c r="G900" s="288" t="s">
        <v>103</v>
      </c>
      <c r="H900" s="288">
        <v>441</v>
      </c>
      <c r="I900" s="289">
        <v>56.41</v>
      </c>
      <c r="J900" s="289">
        <v>24877.24</v>
      </c>
      <c r="K900" s="288" t="s">
        <v>103</v>
      </c>
      <c r="L900" s="292">
        <v>6.9999999999999999E-4</v>
      </c>
    </row>
    <row r="901" spans="1:12" ht="15.75" thickBot="1" x14ac:dyDescent="0.3">
      <c r="A901" s="291" t="s">
        <v>127</v>
      </c>
      <c r="B901" s="286" t="s">
        <v>1359</v>
      </c>
      <c r="C901" s="286" t="s">
        <v>358</v>
      </c>
      <c r="D901" s="138" t="s">
        <v>1182</v>
      </c>
      <c r="E901" s="286" t="s">
        <v>165</v>
      </c>
      <c r="F901" s="287">
        <v>50357</v>
      </c>
      <c r="G901" s="288" t="s">
        <v>103</v>
      </c>
      <c r="H901" s="288">
        <v>265</v>
      </c>
      <c r="I901" s="289">
        <v>26.64</v>
      </c>
      <c r="J901" s="289">
        <v>7058.88</v>
      </c>
      <c r="K901" s="288" t="s">
        <v>103</v>
      </c>
      <c r="L901" s="292">
        <v>2.0000000000000001E-4</v>
      </c>
    </row>
    <row r="902" spans="1:12" ht="15.75" thickBot="1" x14ac:dyDescent="0.3">
      <c r="A902" s="291" t="s">
        <v>127</v>
      </c>
      <c r="B902" s="286" t="s">
        <v>1359</v>
      </c>
      <c r="C902" s="286" t="s">
        <v>358</v>
      </c>
      <c r="D902" s="138" t="s">
        <v>1248</v>
      </c>
      <c r="E902" s="286" t="s">
        <v>165</v>
      </c>
      <c r="F902" s="287">
        <v>50357</v>
      </c>
      <c r="G902" s="288" t="s">
        <v>103</v>
      </c>
      <c r="H902" s="288">
        <v>198</v>
      </c>
      <c r="I902" s="289">
        <v>26.64</v>
      </c>
      <c r="J902" s="289">
        <v>5274.18</v>
      </c>
      <c r="K902" s="288" t="s">
        <v>103</v>
      </c>
      <c r="L902" s="292">
        <v>1E-4</v>
      </c>
    </row>
    <row r="903" spans="1:12" ht="15.75" thickBot="1" x14ac:dyDescent="0.3">
      <c r="A903" s="291" t="s">
        <v>127</v>
      </c>
      <c r="B903" s="286" t="s">
        <v>35</v>
      </c>
      <c r="C903" s="286" t="s">
        <v>358</v>
      </c>
      <c r="D903" s="138" t="s">
        <v>3</v>
      </c>
      <c r="E903" s="286" t="s">
        <v>745</v>
      </c>
      <c r="F903" s="287">
        <v>47196</v>
      </c>
      <c r="G903" s="288" t="s">
        <v>1412</v>
      </c>
      <c r="H903" s="288">
        <v>28</v>
      </c>
      <c r="I903" s="289">
        <v>10889.54</v>
      </c>
      <c r="J903" s="289">
        <v>304907.07</v>
      </c>
      <c r="K903" s="288" t="s">
        <v>103</v>
      </c>
      <c r="L903" s="292">
        <v>8.2000000000000007E-3</v>
      </c>
    </row>
    <row r="904" spans="1:12" ht="15.75" thickBot="1" x14ac:dyDescent="0.3">
      <c r="A904" s="291" t="s">
        <v>127</v>
      </c>
      <c r="B904" s="286" t="s">
        <v>309</v>
      </c>
      <c r="C904" s="286" t="s">
        <v>358</v>
      </c>
      <c r="D904" s="138" t="s">
        <v>310</v>
      </c>
      <c r="E904" s="286" t="s">
        <v>738</v>
      </c>
      <c r="F904" s="287">
        <v>48014</v>
      </c>
      <c r="G904" s="288" t="s">
        <v>1522</v>
      </c>
      <c r="H904" s="288">
        <v>220</v>
      </c>
      <c r="I904" s="289">
        <v>1056.48</v>
      </c>
      <c r="J904" s="289">
        <v>232426.62</v>
      </c>
      <c r="K904" s="288" t="s">
        <v>103</v>
      </c>
      <c r="L904" s="292">
        <v>6.1999999999999998E-3</v>
      </c>
    </row>
    <row r="905" spans="1:12" ht="15.75" thickBot="1" x14ac:dyDescent="0.3">
      <c r="A905" s="291" t="s">
        <v>127</v>
      </c>
      <c r="B905" s="286" t="s">
        <v>289</v>
      </c>
      <c r="C905" s="286" t="s">
        <v>358</v>
      </c>
      <c r="D905" s="138" t="s">
        <v>266</v>
      </c>
      <c r="E905" s="286" t="s">
        <v>608</v>
      </c>
      <c r="F905" s="287">
        <v>47060</v>
      </c>
      <c r="G905" s="288" t="s">
        <v>1523</v>
      </c>
      <c r="H905" s="288">
        <v>73</v>
      </c>
      <c r="I905" s="289">
        <v>1051.57</v>
      </c>
      <c r="J905" s="289">
        <v>76764.72</v>
      </c>
      <c r="K905" s="288" t="s">
        <v>103</v>
      </c>
      <c r="L905" s="292">
        <v>2.0999999999999999E-3</v>
      </c>
    </row>
    <row r="906" spans="1:12" ht="15.75" thickBot="1" x14ac:dyDescent="0.3">
      <c r="A906" s="291" t="s">
        <v>127</v>
      </c>
      <c r="B906" s="286" t="s">
        <v>427</v>
      </c>
      <c r="C906" s="286" t="s">
        <v>358</v>
      </c>
      <c r="D906" s="138" t="s">
        <v>469</v>
      </c>
      <c r="E906" s="286" t="s">
        <v>836</v>
      </c>
      <c r="F906" s="287">
        <v>46588</v>
      </c>
      <c r="G906" s="288" t="s">
        <v>1524</v>
      </c>
      <c r="H906" s="288">
        <v>109</v>
      </c>
      <c r="I906" s="289">
        <v>1024.31</v>
      </c>
      <c r="J906" s="289">
        <v>111649.53</v>
      </c>
      <c r="K906" s="288" t="s">
        <v>103</v>
      </c>
      <c r="L906" s="292">
        <v>3.0000000000000001E-3</v>
      </c>
    </row>
    <row r="907" spans="1:12" ht="15.75" thickBot="1" x14ac:dyDescent="0.3">
      <c r="A907" s="291" t="s">
        <v>127</v>
      </c>
      <c r="B907" s="286" t="s">
        <v>267</v>
      </c>
      <c r="C907" s="286" t="s">
        <v>358</v>
      </c>
      <c r="D907" s="138" t="s">
        <v>268</v>
      </c>
      <c r="E907" s="286" t="s">
        <v>844</v>
      </c>
      <c r="F907" s="287">
        <v>47238</v>
      </c>
      <c r="G907" s="288" t="s">
        <v>1525</v>
      </c>
      <c r="H907" s="288">
        <v>335</v>
      </c>
      <c r="I907" s="289">
        <v>1048.48</v>
      </c>
      <c r="J907" s="289">
        <v>351239.89</v>
      </c>
      <c r="K907" s="288" t="s">
        <v>103</v>
      </c>
      <c r="L907" s="292">
        <v>9.4000000000000004E-3</v>
      </c>
    </row>
    <row r="908" spans="1:12" ht="15.75" thickBot="1" x14ac:dyDescent="0.3">
      <c r="A908" s="291" t="s">
        <v>127</v>
      </c>
      <c r="B908" s="286" t="s">
        <v>1166</v>
      </c>
      <c r="C908" s="286" t="s">
        <v>358</v>
      </c>
      <c r="D908" s="138" t="s">
        <v>1167</v>
      </c>
      <c r="E908" s="286" t="s">
        <v>1170</v>
      </c>
      <c r="F908" s="287">
        <v>49475</v>
      </c>
      <c r="G908" s="288" t="s">
        <v>1416</v>
      </c>
      <c r="H908" s="288">
        <v>145</v>
      </c>
      <c r="I908" s="289">
        <v>1029.21</v>
      </c>
      <c r="J908" s="289">
        <v>149236.01</v>
      </c>
      <c r="K908" s="288" t="s">
        <v>103</v>
      </c>
      <c r="L908" s="292">
        <v>4.0000000000000001E-3</v>
      </c>
    </row>
    <row r="909" spans="1:12" ht="15.75" thickBot="1" x14ac:dyDescent="0.3">
      <c r="A909" s="291" t="s">
        <v>127</v>
      </c>
      <c r="B909" s="286" t="s">
        <v>758</v>
      </c>
      <c r="C909" s="286" t="s">
        <v>358</v>
      </c>
      <c r="D909" s="138" t="s">
        <v>837</v>
      </c>
      <c r="E909" s="286" t="s">
        <v>1120</v>
      </c>
      <c r="F909" s="287">
        <v>47406</v>
      </c>
      <c r="G909" s="288" t="s">
        <v>1429</v>
      </c>
      <c r="H909" s="290">
        <v>93000</v>
      </c>
      <c r="I909" s="289">
        <v>1.07</v>
      </c>
      <c r="J909" s="289">
        <v>99483.68</v>
      </c>
      <c r="K909" s="288" t="s">
        <v>103</v>
      </c>
      <c r="L909" s="292">
        <v>2.7000000000000001E-3</v>
      </c>
    </row>
    <row r="910" spans="1:12" ht="15.75" thickBot="1" x14ac:dyDescent="0.3">
      <c r="A910" s="291" t="s">
        <v>127</v>
      </c>
      <c r="B910" s="286" t="s">
        <v>758</v>
      </c>
      <c r="C910" s="286" t="s">
        <v>358</v>
      </c>
      <c r="D910" s="138" t="s">
        <v>1113</v>
      </c>
      <c r="E910" s="286" t="s">
        <v>695</v>
      </c>
      <c r="F910" s="287">
        <v>47741</v>
      </c>
      <c r="G910" s="288" t="s">
        <v>1419</v>
      </c>
      <c r="H910" s="288">
        <v>31</v>
      </c>
      <c r="I910" s="289">
        <v>1049.27</v>
      </c>
      <c r="J910" s="289">
        <v>32527.39</v>
      </c>
      <c r="K910" s="288" t="s">
        <v>103</v>
      </c>
      <c r="L910" s="292">
        <v>8.9999999999999998E-4</v>
      </c>
    </row>
    <row r="911" spans="1:12" ht="15.75" thickBot="1" x14ac:dyDescent="0.3">
      <c r="A911" s="291" t="s">
        <v>127</v>
      </c>
      <c r="B911" s="286" t="s">
        <v>13</v>
      </c>
      <c r="C911" s="286" t="s">
        <v>358</v>
      </c>
      <c r="D911" s="138" t="s">
        <v>242</v>
      </c>
      <c r="E911" s="286" t="s">
        <v>676</v>
      </c>
      <c r="F911" s="287">
        <v>47041</v>
      </c>
      <c r="G911" s="288" t="s">
        <v>1420</v>
      </c>
      <c r="H911" s="288">
        <v>116</v>
      </c>
      <c r="I911" s="289">
        <v>1079.5999999999999</v>
      </c>
      <c r="J911" s="289">
        <v>125233.93</v>
      </c>
      <c r="K911" s="288" t="s">
        <v>103</v>
      </c>
      <c r="L911" s="292">
        <v>3.3999999999999998E-3</v>
      </c>
    </row>
    <row r="912" spans="1:12" ht="15.75" thickBot="1" x14ac:dyDescent="0.3">
      <c r="A912" s="291" t="s">
        <v>127</v>
      </c>
      <c r="B912" s="286" t="s">
        <v>33</v>
      </c>
      <c r="C912" s="286" t="s">
        <v>358</v>
      </c>
      <c r="D912" s="138" t="s">
        <v>822</v>
      </c>
      <c r="E912" s="286" t="s">
        <v>633</v>
      </c>
      <c r="F912" s="287">
        <v>47771</v>
      </c>
      <c r="G912" s="288" t="s">
        <v>1536</v>
      </c>
      <c r="H912" s="288">
        <v>52</v>
      </c>
      <c r="I912" s="289">
        <v>1087.0999999999999</v>
      </c>
      <c r="J912" s="289">
        <v>56529.23</v>
      </c>
      <c r="K912" s="288" t="s">
        <v>103</v>
      </c>
      <c r="L912" s="292">
        <v>1.5E-3</v>
      </c>
    </row>
    <row r="913" spans="1:12" ht="15.75" thickBot="1" x14ac:dyDescent="0.3">
      <c r="A913" s="291" t="s">
        <v>127</v>
      </c>
      <c r="B913" s="286" t="s">
        <v>975</v>
      </c>
      <c r="C913" s="286" t="s">
        <v>358</v>
      </c>
      <c r="D913" s="138" t="s">
        <v>976</v>
      </c>
      <c r="E913" s="286" t="s">
        <v>979</v>
      </c>
      <c r="F913" s="287">
        <v>45950</v>
      </c>
      <c r="G913" s="288" t="s">
        <v>1582</v>
      </c>
      <c r="H913" s="288">
        <v>44</v>
      </c>
      <c r="I913" s="289">
        <v>514.34</v>
      </c>
      <c r="J913" s="289">
        <v>22630.87</v>
      </c>
      <c r="K913" s="288" t="s">
        <v>103</v>
      </c>
      <c r="L913" s="292">
        <v>5.9999999999999995E-4</v>
      </c>
    </row>
    <row r="914" spans="1:12" ht="15.75" thickBot="1" x14ac:dyDescent="0.3">
      <c r="A914" s="291" t="s">
        <v>127</v>
      </c>
      <c r="B914" s="286" t="s">
        <v>156</v>
      </c>
      <c r="C914" s="286" t="s">
        <v>358</v>
      </c>
      <c r="D914" s="138" t="s">
        <v>1040</v>
      </c>
      <c r="E914" s="286" t="s">
        <v>653</v>
      </c>
      <c r="F914" s="287">
        <v>49123</v>
      </c>
      <c r="G914" s="288" t="s">
        <v>1423</v>
      </c>
      <c r="H914" s="288">
        <v>103</v>
      </c>
      <c r="I914" s="289">
        <v>1016.81</v>
      </c>
      <c r="J914" s="289">
        <v>104731.82</v>
      </c>
      <c r="K914" s="288" t="s">
        <v>103</v>
      </c>
      <c r="L914" s="292">
        <v>2.8E-3</v>
      </c>
    </row>
    <row r="915" spans="1:12" ht="15.75" thickBot="1" x14ac:dyDescent="0.3">
      <c r="A915" s="291" t="s">
        <v>127</v>
      </c>
      <c r="B915" s="286" t="s">
        <v>156</v>
      </c>
      <c r="C915" s="286" t="s">
        <v>358</v>
      </c>
      <c r="D915" s="138" t="s">
        <v>1039</v>
      </c>
      <c r="E915" s="286" t="s">
        <v>634</v>
      </c>
      <c r="F915" s="287">
        <v>47297</v>
      </c>
      <c r="G915" s="288" t="s">
        <v>1371</v>
      </c>
      <c r="H915" s="288">
        <v>63</v>
      </c>
      <c r="I915" s="289">
        <v>1015.88</v>
      </c>
      <c r="J915" s="289">
        <v>64000.53</v>
      </c>
      <c r="K915" s="288" t="s">
        <v>103</v>
      </c>
      <c r="L915" s="292">
        <v>1.6999999999999999E-3</v>
      </c>
    </row>
    <row r="916" spans="1:12" ht="15.75" thickBot="1" x14ac:dyDescent="0.3">
      <c r="A916" s="291" t="s">
        <v>127</v>
      </c>
      <c r="B916" s="286" t="s">
        <v>290</v>
      </c>
      <c r="C916" s="286" t="s">
        <v>358</v>
      </c>
      <c r="D916" s="138" t="s">
        <v>240</v>
      </c>
      <c r="E916" s="286" t="s">
        <v>1426</v>
      </c>
      <c r="F916" s="287">
        <v>47406</v>
      </c>
      <c r="G916" s="288" t="s">
        <v>1431</v>
      </c>
      <c r="H916" s="288">
        <v>223</v>
      </c>
      <c r="I916" s="289">
        <v>839.71</v>
      </c>
      <c r="J916" s="289">
        <v>187255.57</v>
      </c>
      <c r="K916" s="288" t="s">
        <v>103</v>
      </c>
      <c r="L916" s="292">
        <v>5.0000000000000001E-3</v>
      </c>
    </row>
    <row r="917" spans="1:12" ht="15.75" thickBot="1" x14ac:dyDescent="0.3">
      <c r="A917" s="291" t="s">
        <v>127</v>
      </c>
      <c r="B917" s="286" t="s">
        <v>863</v>
      </c>
      <c r="C917" s="286" t="s">
        <v>358</v>
      </c>
      <c r="D917" s="138" t="s">
        <v>864</v>
      </c>
      <c r="E917" s="286" t="s">
        <v>672</v>
      </c>
      <c r="F917" s="287">
        <v>45930</v>
      </c>
      <c r="G917" s="288" t="s">
        <v>1545</v>
      </c>
      <c r="H917" s="288">
        <v>431</v>
      </c>
      <c r="I917" s="289">
        <v>1054.98</v>
      </c>
      <c r="J917" s="289">
        <v>454694.94</v>
      </c>
      <c r="K917" s="288" t="s">
        <v>103</v>
      </c>
      <c r="L917" s="292">
        <v>1.2200000000000001E-2</v>
      </c>
    </row>
    <row r="918" spans="1:12" ht="15.75" thickBot="1" x14ac:dyDescent="0.3">
      <c r="A918" s="291" t="s">
        <v>127</v>
      </c>
      <c r="B918" s="286" t="s">
        <v>825</v>
      </c>
      <c r="C918" s="286" t="s">
        <v>358</v>
      </c>
      <c r="D918" s="138" t="s">
        <v>826</v>
      </c>
      <c r="E918" s="286" t="s">
        <v>829</v>
      </c>
      <c r="F918" s="287">
        <v>47788</v>
      </c>
      <c r="G918" s="288" t="s">
        <v>1372</v>
      </c>
      <c r="H918" s="288">
        <v>158</v>
      </c>
      <c r="I918" s="289">
        <v>1063.52</v>
      </c>
      <c r="J918" s="289">
        <v>168036.43</v>
      </c>
      <c r="K918" s="288" t="s">
        <v>103</v>
      </c>
      <c r="L918" s="292">
        <v>4.4999999999999997E-3</v>
      </c>
    </row>
    <row r="919" spans="1:12" ht="15.75" thickBot="1" x14ac:dyDescent="0.3">
      <c r="A919" s="291" t="s">
        <v>127</v>
      </c>
      <c r="B919" s="286" t="s">
        <v>476</v>
      </c>
      <c r="C919" s="286" t="s">
        <v>358</v>
      </c>
      <c r="D919" s="138" t="s">
        <v>470</v>
      </c>
      <c r="E919" s="286" t="s">
        <v>694</v>
      </c>
      <c r="F919" s="287">
        <v>46741</v>
      </c>
      <c r="G919" s="288" t="s">
        <v>1439</v>
      </c>
      <c r="H919" s="288">
        <v>182</v>
      </c>
      <c r="I919" s="289">
        <v>990.1</v>
      </c>
      <c r="J919" s="289">
        <v>180197.74</v>
      </c>
      <c r="K919" s="288" t="s">
        <v>103</v>
      </c>
      <c r="L919" s="292">
        <v>4.7999999999999996E-3</v>
      </c>
    </row>
    <row r="920" spans="1:12" ht="15.75" thickBot="1" x14ac:dyDescent="0.3">
      <c r="A920" s="291" t="s">
        <v>127</v>
      </c>
      <c r="B920" s="286" t="s">
        <v>405</v>
      </c>
      <c r="C920" s="286" t="s">
        <v>358</v>
      </c>
      <c r="D920" s="138" t="s">
        <v>406</v>
      </c>
      <c r="E920" s="286" t="s">
        <v>697</v>
      </c>
      <c r="F920" s="287">
        <v>46611</v>
      </c>
      <c r="G920" s="288" t="s">
        <v>103</v>
      </c>
      <c r="H920" s="288">
        <v>40</v>
      </c>
      <c r="I920" s="289">
        <v>767.49</v>
      </c>
      <c r="J920" s="289">
        <v>30699.73</v>
      </c>
      <c r="K920" s="288" t="s">
        <v>103</v>
      </c>
      <c r="L920" s="292">
        <v>8.0000000000000004E-4</v>
      </c>
    </row>
    <row r="921" spans="1:12" ht="15.75" thickBot="1" x14ac:dyDescent="0.3">
      <c r="A921" s="291" t="s">
        <v>127</v>
      </c>
      <c r="B921" s="286" t="s">
        <v>418</v>
      </c>
      <c r="C921" s="286" t="s">
        <v>358</v>
      </c>
      <c r="D921" s="138" t="s">
        <v>419</v>
      </c>
      <c r="E921" s="286" t="s">
        <v>557</v>
      </c>
      <c r="F921" s="287">
        <v>46609</v>
      </c>
      <c r="G921" s="288" t="s">
        <v>103</v>
      </c>
      <c r="H921" s="288">
        <v>54</v>
      </c>
      <c r="I921" s="289">
        <v>630.9</v>
      </c>
      <c r="J921" s="289">
        <v>34068.370000000003</v>
      </c>
      <c r="K921" s="288" t="s">
        <v>103</v>
      </c>
      <c r="L921" s="292">
        <v>8.9999999999999998E-4</v>
      </c>
    </row>
    <row r="922" spans="1:12" ht="15.75" thickBot="1" x14ac:dyDescent="0.3">
      <c r="A922" s="291" t="s">
        <v>127</v>
      </c>
      <c r="B922" s="286" t="s">
        <v>944</v>
      </c>
      <c r="C922" s="286" t="s">
        <v>358</v>
      </c>
      <c r="D922" s="138" t="s">
        <v>945</v>
      </c>
      <c r="E922" s="286" t="s">
        <v>714</v>
      </c>
      <c r="F922" s="287">
        <v>47223</v>
      </c>
      <c r="G922" s="288" t="s">
        <v>103</v>
      </c>
      <c r="H922" s="288">
        <v>211</v>
      </c>
      <c r="I922" s="289">
        <v>1049.05</v>
      </c>
      <c r="J922" s="289">
        <v>221348.88</v>
      </c>
      <c r="K922" s="288" t="s">
        <v>103</v>
      </c>
      <c r="L922" s="292">
        <v>5.8999999999999999E-3</v>
      </c>
    </row>
    <row r="923" spans="1:12" ht="15.75" thickBot="1" x14ac:dyDescent="0.3">
      <c r="A923" s="291" t="s">
        <v>127</v>
      </c>
      <c r="B923" s="286" t="s">
        <v>1034</v>
      </c>
      <c r="C923" s="286" t="s">
        <v>358</v>
      </c>
      <c r="D923" s="138" t="s">
        <v>1033</v>
      </c>
      <c r="E923" s="286" t="s">
        <v>634</v>
      </c>
      <c r="F923" s="287">
        <v>47284</v>
      </c>
      <c r="G923" s="288" t="s">
        <v>1550</v>
      </c>
      <c r="H923" s="288">
        <v>63</v>
      </c>
      <c r="I923" s="289">
        <v>1036.45</v>
      </c>
      <c r="J923" s="289">
        <v>65296.35</v>
      </c>
      <c r="K923" s="288" t="s">
        <v>103</v>
      </c>
      <c r="L923" s="292">
        <v>1.8E-3</v>
      </c>
    </row>
    <row r="924" spans="1:12" ht="15.75" thickBot="1" x14ac:dyDescent="0.3">
      <c r="A924" s="291" t="s">
        <v>127</v>
      </c>
      <c r="B924" s="286" t="s">
        <v>234</v>
      </c>
      <c r="C924" s="286" t="s">
        <v>358</v>
      </c>
      <c r="D924" s="138" t="s">
        <v>471</v>
      </c>
      <c r="E924" s="286" t="s">
        <v>671</v>
      </c>
      <c r="F924" s="287">
        <v>46152</v>
      </c>
      <c r="G924" s="288" t="s">
        <v>1422</v>
      </c>
      <c r="H924" s="288">
        <v>159</v>
      </c>
      <c r="I924" s="289">
        <v>988.52</v>
      </c>
      <c r="J924" s="289">
        <v>157174.82999999999</v>
      </c>
      <c r="K924" s="288" t="s">
        <v>103</v>
      </c>
      <c r="L924" s="292">
        <v>4.1999999999999997E-3</v>
      </c>
    </row>
    <row r="925" spans="1:12" ht="15.75" thickBot="1" x14ac:dyDescent="0.3">
      <c r="A925" s="291" t="s">
        <v>127</v>
      </c>
      <c r="B925" s="286" t="s">
        <v>234</v>
      </c>
      <c r="C925" s="286" t="s">
        <v>358</v>
      </c>
      <c r="D925" s="138" t="s">
        <v>509</v>
      </c>
      <c r="E925" s="286" t="s">
        <v>1259</v>
      </c>
      <c r="F925" s="287">
        <v>46883</v>
      </c>
      <c r="G925" s="288" t="s">
        <v>1583</v>
      </c>
      <c r="H925" s="288">
        <v>94</v>
      </c>
      <c r="I925" s="289">
        <v>843.51</v>
      </c>
      <c r="J925" s="289">
        <v>79290.3</v>
      </c>
      <c r="K925" s="288" t="s">
        <v>103</v>
      </c>
      <c r="L925" s="292">
        <v>2.0999999999999999E-3</v>
      </c>
    </row>
    <row r="926" spans="1:12" ht="15.75" thickBot="1" x14ac:dyDescent="0.3">
      <c r="A926" s="291" t="s">
        <v>127</v>
      </c>
      <c r="B926" s="286" t="s">
        <v>891</v>
      </c>
      <c r="C926" s="286" t="s">
        <v>358</v>
      </c>
      <c r="D926" s="138" t="s">
        <v>472</v>
      </c>
      <c r="E926" s="286" t="s">
        <v>621</v>
      </c>
      <c r="F926" s="287">
        <v>46664</v>
      </c>
      <c r="G926" s="288" t="s">
        <v>1552</v>
      </c>
      <c r="H926" s="288">
        <v>189</v>
      </c>
      <c r="I926" s="289">
        <v>839.84</v>
      </c>
      <c r="J926" s="289">
        <v>158729.01999999999</v>
      </c>
      <c r="K926" s="288" t="s">
        <v>103</v>
      </c>
      <c r="L926" s="292">
        <v>4.3E-3</v>
      </c>
    </row>
    <row r="927" spans="1:12" ht="15.75" thickBot="1" x14ac:dyDescent="0.3">
      <c r="A927" s="291" t="s">
        <v>127</v>
      </c>
      <c r="B927" s="286" t="s">
        <v>213</v>
      </c>
      <c r="C927" s="286" t="s">
        <v>358</v>
      </c>
      <c r="D927" s="138" t="s">
        <v>332</v>
      </c>
      <c r="E927" s="286" t="s">
        <v>801</v>
      </c>
      <c r="F927" s="287">
        <v>46492</v>
      </c>
      <c r="G927" s="288" t="s">
        <v>1584</v>
      </c>
      <c r="H927" s="288">
        <v>217</v>
      </c>
      <c r="I927" s="289">
        <v>1053.82</v>
      </c>
      <c r="J927" s="289">
        <v>228679.72</v>
      </c>
      <c r="K927" s="288" t="s">
        <v>103</v>
      </c>
      <c r="L927" s="292">
        <v>6.1000000000000004E-3</v>
      </c>
    </row>
    <row r="928" spans="1:12" ht="15.75" thickBot="1" x14ac:dyDescent="0.3">
      <c r="A928" s="291" t="s">
        <v>127</v>
      </c>
      <c r="B928" s="286" t="s">
        <v>203</v>
      </c>
      <c r="C928" s="286" t="s">
        <v>358</v>
      </c>
      <c r="D928" s="138" t="s">
        <v>750</v>
      </c>
      <c r="E928" s="286" t="s">
        <v>872</v>
      </c>
      <c r="F928" s="287">
        <v>46142</v>
      </c>
      <c r="G928" s="288" t="s">
        <v>103</v>
      </c>
      <c r="H928" s="288">
        <v>172</v>
      </c>
      <c r="I928" s="289">
        <v>1375.06</v>
      </c>
      <c r="J928" s="289">
        <v>236510.72</v>
      </c>
      <c r="K928" s="288" t="s">
        <v>103</v>
      </c>
      <c r="L928" s="292">
        <v>6.3E-3</v>
      </c>
    </row>
    <row r="929" spans="1:12" ht="15.75" thickBot="1" x14ac:dyDescent="0.3">
      <c r="A929" s="291" t="s">
        <v>127</v>
      </c>
      <c r="B929" s="286" t="s">
        <v>429</v>
      </c>
      <c r="C929" s="286" t="s">
        <v>358</v>
      </c>
      <c r="D929" s="138" t="s">
        <v>347</v>
      </c>
      <c r="E929" s="286" t="s">
        <v>674</v>
      </c>
      <c r="F929" s="287">
        <v>47250</v>
      </c>
      <c r="G929" s="288" t="s">
        <v>1557</v>
      </c>
      <c r="H929" s="288">
        <v>126</v>
      </c>
      <c r="I929" s="289">
        <v>995.35</v>
      </c>
      <c r="J929" s="289">
        <v>125413.8</v>
      </c>
      <c r="K929" s="288" t="s">
        <v>103</v>
      </c>
      <c r="L929" s="292">
        <v>3.3999999999999998E-3</v>
      </c>
    </row>
    <row r="930" spans="1:12" ht="15.75" thickBot="1" x14ac:dyDescent="0.3">
      <c r="A930" s="291" t="s">
        <v>127</v>
      </c>
      <c r="B930" s="286" t="s">
        <v>473</v>
      </c>
      <c r="C930" s="286" t="s">
        <v>358</v>
      </c>
      <c r="D930" s="138" t="s">
        <v>1121</v>
      </c>
      <c r="E930" s="286" t="s">
        <v>165</v>
      </c>
      <c r="F930" s="287">
        <v>47325</v>
      </c>
      <c r="G930" s="288" t="s">
        <v>103</v>
      </c>
      <c r="H930" s="288">
        <v>23</v>
      </c>
      <c r="I930" s="289">
        <v>42.06</v>
      </c>
      <c r="J930" s="289">
        <v>967.3</v>
      </c>
      <c r="K930" s="288" t="s">
        <v>103</v>
      </c>
      <c r="L930" s="292">
        <v>0</v>
      </c>
    </row>
    <row r="931" spans="1:12" ht="15.75" thickBot="1" x14ac:dyDescent="0.3">
      <c r="A931" s="291" t="s">
        <v>127</v>
      </c>
      <c r="B931" s="286" t="s">
        <v>10</v>
      </c>
      <c r="C931" s="286" t="s">
        <v>358</v>
      </c>
      <c r="D931" s="138" t="s">
        <v>1330</v>
      </c>
      <c r="E931" s="286" t="s">
        <v>1334</v>
      </c>
      <c r="F931" s="287">
        <v>45716</v>
      </c>
      <c r="G931" s="288" t="s">
        <v>1585</v>
      </c>
      <c r="H931" s="288">
        <v>193</v>
      </c>
      <c r="I931" s="289">
        <v>672.56</v>
      </c>
      <c r="J931" s="289">
        <v>129804.41</v>
      </c>
      <c r="K931" s="288" t="s">
        <v>103</v>
      </c>
      <c r="L931" s="292">
        <v>3.5000000000000001E-3</v>
      </c>
    </row>
    <row r="932" spans="1:12" ht="15.75" thickBot="1" x14ac:dyDescent="0.3">
      <c r="A932" s="291" t="s">
        <v>127</v>
      </c>
      <c r="B932" s="286" t="s">
        <v>46</v>
      </c>
      <c r="C932" s="286" t="s">
        <v>358</v>
      </c>
      <c r="D932" s="138" t="s">
        <v>4</v>
      </c>
      <c r="E932" s="286" t="s">
        <v>607</v>
      </c>
      <c r="F932" s="287">
        <v>46461</v>
      </c>
      <c r="G932" s="288" t="s">
        <v>1586</v>
      </c>
      <c r="H932" s="288">
        <v>82</v>
      </c>
      <c r="I932" s="289">
        <v>1059.1500000000001</v>
      </c>
      <c r="J932" s="289">
        <v>86850.13</v>
      </c>
      <c r="K932" s="288" t="s">
        <v>103</v>
      </c>
      <c r="L932" s="292">
        <v>2.3E-3</v>
      </c>
    </row>
    <row r="933" spans="1:12" ht="15.75" thickBot="1" x14ac:dyDescent="0.3">
      <c r="A933" s="291" t="s">
        <v>127</v>
      </c>
      <c r="B933" s="286" t="s">
        <v>215</v>
      </c>
      <c r="C933" s="286" t="s">
        <v>358</v>
      </c>
      <c r="D933" s="138" t="s">
        <v>216</v>
      </c>
      <c r="E933" s="286" t="s">
        <v>540</v>
      </c>
      <c r="F933" s="287">
        <v>46234</v>
      </c>
      <c r="G933" s="288" t="s">
        <v>103</v>
      </c>
      <c r="H933" s="288">
        <v>2</v>
      </c>
      <c r="I933" s="289">
        <v>507.02</v>
      </c>
      <c r="J933" s="289">
        <v>1014.03</v>
      </c>
      <c r="K933" s="288" t="s">
        <v>103</v>
      </c>
      <c r="L933" s="292">
        <v>0</v>
      </c>
    </row>
    <row r="934" spans="1:12" ht="15.75" thickBot="1" x14ac:dyDescent="0.3">
      <c r="A934" s="291" t="s">
        <v>127</v>
      </c>
      <c r="B934" s="286" t="s">
        <v>233</v>
      </c>
      <c r="C934" s="286" t="s">
        <v>358</v>
      </c>
      <c r="D934" s="138" t="s">
        <v>239</v>
      </c>
      <c r="E934" s="286" t="s">
        <v>715</v>
      </c>
      <c r="F934" s="287">
        <v>47030</v>
      </c>
      <c r="G934" s="288" t="s">
        <v>1565</v>
      </c>
      <c r="H934" s="288">
        <v>218</v>
      </c>
      <c r="I934" s="289">
        <v>1054.8599999999999</v>
      </c>
      <c r="J934" s="289">
        <v>229958.43</v>
      </c>
      <c r="K934" s="288" t="s">
        <v>103</v>
      </c>
      <c r="L934" s="292">
        <v>6.1999999999999998E-3</v>
      </c>
    </row>
    <row r="935" spans="1:12" ht="15.75" thickBot="1" x14ac:dyDescent="0.3">
      <c r="A935" s="291" t="s">
        <v>127</v>
      </c>
      <c r="B935" s="286" t="s">
        <v>506</v>
      </c>
      <c r="C935" s="286" t="s">
        <v>358</v>
      </c>
      <c r="D935" s="138" t="s">
        <v>879</v>
      </c>
      <c r="E935" s="286" t="s">
        <v>651</v>
      </c>
      <c r="F935" s="287">
        <v>47157</v>
      </c>
      <c r="G935" s="288" t="s">
        <v>1412</v>
      </c>
      <c r="H935" s="288">
        <v>173</v>
      </c>
      <c r="I935" s="289">
        <v>1021.62</v>
      </c>
      <c r="J935" s="289">
        <v>176740.18</v>
      </c>
      <c r="K935" s="288" t="s">
        <v>103</v>
      </c>
      <c r="L935" s="292">
        <v>4.7000000000000002E-3</v>
      </c>
    </row>
    <row r="936" spans="1:12" ht="15.75" thickBot="1" x14ac:dyDescent="0.3">
      <c r="A936" s="291" t="s">
        <v>236</v>
      </c>
      <c r="B936" s="286" t="s">
        <v>237</v>
      </c>
      <c r="C936" s="286" t="s">
        <v>358</v>
      </c>
      <c r="D936" s="138" t="s">
        <v>311</v>
      </c>
      <c r="E936" s="286" t="s">
        <v>814</v>
      </c>
      <c r="F936" s="287">
        <v>47379</v>
      </c>
      <c r="G936" s="288" t="s">
        <v>103</v>
      </c>
      <c r="H936" s="288">
        <v>249</v>
      </c>
      <c r="I936" s="289">
        <v>944.97</v>
      </c>
      <c r="J936" s="289">
        <v>235298.22</v>
      </c>
      <c r="K936" s="288" t="s">
        <v>103</v>
      </c>
      <c r="L936" s="292">
        <v>6.3E-3</v>
      </c>
    </row>
    <row r="937" spans="1:12" ht="15.75" thickBot="1" x14ac:dyDescent="0.3">
      <c r="A937" s="291" t="s">
        <v>236</v>
      </c>
      <c r="B937" s="286" t="s">
        <v>270</v>
      </c>
      <c r="C937" s="286" t="s">
        <v>358</v>
      </c>
      <c r="D937" s="138" t="s">
        <v>439</v>
      </c>
      <c r="E937" s="286" t="s">
        <v>165</v>
      </c>
      <c r="F937" s="287">
        <v>46196</v>
      </c>
      <c r="G937" s="288" t="s">
        <v>103</v>
      </c>
      <c r="H937" s="288">
        <v>283</v>
      </c>
      <c r="I937" s="289">
        <v>463.7</v>
      </c>
      <c r="J937" s="289">
        <v>131227.47</v>
      </c>
      <c r="K937" s="288" t="s">
        <v>103</v>
      </c>
      <c r="L937" s="292">
        <v>3.5000000000000001E-3</v>
      </c>
    </row>
    <row r="938" spans="1:12" ht="15.75" thickBot="1" x14ac:dyDescent="0.3">
      <c r="A938" s="291" t="s">
        <v>236</v>
      </c>
      <c r="B938" s="286" t="s">
        <v>270</v>
      </c>
      <c r="C938" s="286" t="s">
        <v>358</v>
      </c>
      <c r="D938" s="138" t="s">
        <v>1016</v>
      </c>
      <c r="E938" s="286" t="s">
        <v>534</v>
      </c>
      <c r="F938" s="287">
        <v>46001</v>
      </c>
      <c r="G938" s="288" t="s">
        <v>103</v>
      </c>
      <c r="H938" s="288">
        <v>70</v>
      </c>
      <c r="I938" s="289">
        <v>446.99</v>
      </c>
      <c r="J938" s="289">
        <v>31289.24</v>
      </c>
      <c r="K938" s="288" t="s">
        <v>103</v>
      </c>
      <c r="L938" s="292">
        <v>8.0000000000000004E-4</v>
      </c>
    </row>
    <row r="939" spans="1:12" ht="15.75" thickBot="1" x14ac:dyDescent="0.3">
      <c r="A939" s="291" t="s">
        <v>236</v>
      </c>
      <c r="B939" s="286" t="s">
        <v>740</v>
      </c>
      <c r="C939" s="286" t="s">
        <v>358</v>
      </c>
      <c r="D939" s="138" t="s">
        <v>438</v>
      </c>
      <c r="E939" s="286" t="s">
        <v>653</v>
      </c>
      <c r="F939" s="287">
        <v>46658</v>
      </c>
      <c r="G939" s="288" t="s">
        <v>103</v>
      </c>
      <c r="H939" s="288">
        <v>158</v>
      </c>
      <c r="I939" s="289">
        <v>678.49</v>
      </c>
      <c r="J939" s="289">
        <v>107201.85</v>
      </c>
      <c r="K939" s="288" t="s">
        <v>103</v>
      </c>
      <c r="L939" s="292">
        <v>2.8999999999999998E-3</v>
      </c>
    </row>
    <row r="940" spans="1:12" ht="15.75" thickBot="1" x14ac:dyDescent="0.3">
      <c r="A940" s="291" t="s">
        <v>186</v>
      </c>
      <c r="B940" s="286" t="s">
        <v>189</v>
      </c>
      <c r="C940" s="286" t="s">
        <v>358</v>
      </c>
      <c r="D940" s="138" t="s">
        <v>271</v>
      </c>
      <c r="E940" s="286" t="s">
        <v>886</v>
      </c>
      <c r="F940" s="287">
        <v>47953</v>
      </c>
      <c r="G940" s="288" t="s">
        <v>103</v>
      </c>
      <c r="H940" s="288">
        <v>185</v>
      </c>
      <c r="I940" s="289">
        <v>1129.42</v>
      </c>
      <c r="J940" s="289">
        <v>208943.59</v>
      </c>
      <c r="K940" s="288" t="s">
        <v>103</v>
      </c>
      <c r="L940" s="292">
        <v>5.5999999999999999E-3</v>
      </c>
    </row>
    <row r="941" spans="1:12" ht="15.75" thickBot="1" x14ac:dyDescent="0.3">
      <c r="A941" s="291" t="s">
        <v>186</v>
      </c>
      <c r="B941" s="286" t="s">
        <v>189</v>
      </c>
      <c r="C941" s="286" t="s">
        <v>358</v>
      </c>
      <c r="D941" s="138" t="s">
        <v>272</v>
      </c>
      <c r="E941" s="286" t="s">
        <v>761</v>
      </c>
      <c r="F941" s="287">
        <v>45762</v>
      </c>
      <c r="G941" s="288" t="s">
        <v>103</v>
      </c>
      <c r="H941" s="288">
        <v>250</v>
      </c>
      <c r="I941" s="289">
        <v>84.8</v>
      </c>
      <c r="J941" s="289">
        <v>21200.14</v>
      </c>
      <c r="K941" s="288" t="s">
        <v>103</v>
      </c>
      <c r="L941" s="292">
        <v>5.9999999999999995E-4</v>
      </c>
    </row>
    <row r="942" spans="1:12" ht="15.75" thickBot="1" x14ac:dyDescent="0.3">
      <c r="A942" s="291" t="s">
        <v>488</v>
      </c>
      <c r="B942" s="286" t="s">
        <v>767</v>
      </c>
      <c r="C942" s="286" t="s">
        <v>358</v>
      </c>
      <c r="D942" s="138" t="s">
        <v>768</v>
      </c>
      <c r="E942" s="286" t="s">
        <v>624</v>
      </c>
      <c r="F942" s="287">
        <v>45870</v>
      </c>
      <c r="G942" s="288" t="s">
        <v>103</v>
      </c>
      <c r="H942" s="288">
        <v>92</v>
      </c>
      <c r="I942" s="289">
        <v>1211.44</v>
      </c>
      <c r="J942" s="289">
        <v>111452.57</v>
      </c>
      <c r="K942" s="288" t="s">
        <v>103</v>
      </c>
      <c r="L942" s="292">
        <v>3.0000000000000001E-3</v>
      </c>
    </row>
    <row r="943" spans="1:12" ht="15.75" thickBot="1" x14ac:dyDescent="0.3">
      <c r="A943" s="291" t="s">
        <v>488</v>
      </c>
      <c r="B943" s="286" t="s">
        <v>1027</v>
      </c>
      <c r="C943" s="286" t="s">
        <v>358</v>
      </c>
      <c r="D943" s="138" t="s">
        <v>1084</v>
      </c>
      <c r="E943" s="286" t="s">
        <v>165</v>
      </c>
      <c r="F943" s="287">
        <v>45897</v>
      </c>
      <c r="G943" s="288" t="s">
        <v>103</v>
      </c>
      <c r="H943" s="288">
        <v>180</v>
      </c>
      <c r="I943" s="289">
        <v>1058.5</v>
      </c>
      <c r="J943" s="289">
        <v>190530.25</v>
      </c>
      <c r="K943" s="288" t="s">
        <v>103</v>
      </c>
      <c r="L943" s="292">
        <v>5.1000000000000004E-3</v>
      </c>
    </row>
    <row r="944" spans="1:12" ht="15.75" thickBot="1" x14ac:dyDescent="0.3">
      <c r="A944" s="291" t="s">
        <v>488</v>
      </c>
      <c r="B944" s="286" t="s">
        <v>1123</v>
      </c>
      <c r="C944" s="286" t="s">
        <v>358</v>
      </c>
      <c r="D944" s="138" t="s">
        <v>1161</v>
      </c>
      <c r="E944" s="286" t="s">
        <v>165</v>
      </c>
      <c r="F944" s="287">
        <v>45810</v>
      </c>
      <c r="G944" s="288" t="s">
        <v>103</v>
      </c>
      <c r="H944" s="288">
        <v>192</v>
      </c>
      <c r="I944" s="289">
        <v>1028.24</v>
      </c>
      <c r="J944" s="289">
        <v>197422.51</v>
      </c>
      <c r="K944" s="288" t="s">
        <v>103</v>
      </c>
      <c r="L944" s="292">
        <v>5.3E-3</v>
      </c>
    </row>
    <row r="945" spans="1:12" ht="15.75" thickBot="1" x14ac:dyDescent="0.3">
      <c r="A945" s="291" t="s">
        <v>488</v>
      </c>
      <c r="B945" s="286" t="s">
        <v>1123</v>
      </c>
      <c r="C945" s="286" t="s">
        <v>358</v>
      </c>
      <c r="D945" s="138" t="s">
        <v>1127</v>
      </c>
      <c r="E945" s="286" t="s">
        <v>165</v>
      </c>
      <c r="F945" s="287">
        <v>45929</v>
      </c>
      <c r="G945" s="288" t="s">
        <v>103</v>
      </c>
      <c r="H945" s="288">
        <v>143</v>
      </c>
      <c r="I945" s="289">
        <v>1049.54</v>
      </c>
      <c r="J945" s="289">
        <v>150084.04999999999</v>
      </c>
      <c r="K945" s="288" t="s">
        <v>103</v>
      </c>
      <c r="L945" s="292">
        <v>4.0000000000000001E-3</v>
      </c>
    </row>
    <row r="946" spans="1:12" ht="15.75" thickBot="1" x14ac:dyDescent="0.3">
      <c r="A946" s="291" t="s">
        <v>488</v>
      </c>
      <c r="B946" s="286" t="s">
        <v>1062</v>
      </c>
      <c r="C946" s="286" t="s">
        <v>358</v>
      </c>
      <c r="D946" s="138" t="s">
        <v>1128</v>
      </c>
      <c r="E946" s="286" t="s">
        <v>165</v>
      </c>
      <c r="F946" s="287">
        <v>45869</v>
      </c>
      <c r="G946" s="288" t="s">
        <v>103</v>
      </c>
      <c r="H946" s="288">
        <v>176</v>
      </c>
      <c r="I946" s="289">
        <v>1073.21</v>
      </c>
      <c r="J946" s="289">
        <v>188885.08</v>
      </c>
      <c r="K946" s="288" t="s">
        <v>103</v>
      </c>
      <c r="L946" s="292">
        <v>5.1000000000000004E-3</v>
      </c>
    </row>
    <row r="947" spans="1:12" ht="15.75" thickBot="1" x14ac:dyDescent="0.3">
      <c r="A947" s="291" t="s">
        <v>144</v>
      </c>
      <c r="B947" s="286" t="s">
        <v>103</v>
      </c>
      <c r="C947" s="286" t="s">
        <v>358</v>
      </c>
      <c r="D947" s="138" t="s">
        <v>144</v>
      </c>
      <c r="E947" s="286" t="s">
        <v>165</v>
      </c>
      <c r="F947" s="288" t="s">
        <v>103</v>
      </c>
      <c r="G947" s="288" t="s">
        <v>103</v>
      </c>
      <c r="H947" s="288" t="s">
        <v>103</v>
      </c>
      <c r="I947" s="288" t="s">
        <v>103</v>
      </c>
      <c r="J947" s="289">
        <v>1999.99</v>
      </c>
      <c r="K947" s="288" t="s">
        <v>103</v>
      </c>
      <c r="L947" s="292">
        <v>1E-4</v>
      </c>
    </row>
    <row r="948" spans="1:12" ht="15.75" thickBot="1" x14ac:dyDescent="0.3">
      <c r="A948" s="291" t="s">
        <v>132</v>
      </c>
      <c r="B948" s="286" t="s">
        <v>1024</v>
      </c>
      <c r="C948" s="286" t="s">
        <v>358</v>
      </c>
      <c r="D948" s="138" t="s">
        <v>1023</v>
      </c>
      <c r="E948" s="286" t="s">
        <v>165</v>
      </c>
      <c r="F948" s="288" t="s">
        <v>103</v>
      </c>
      <c r="G948" s="288" t="s">
        <v>103</v>
      </c>
      <c r="H948" s="288">
        <v>23</v>
      </c>
      <c r="I948" s="289">
        <v>5.32</v>
      </c>
      <c r="J948" s="289">
        <v>122.36</v>
      </c>
      <c r="K948" s="288" t="s">
        <v>103</v>
      </c>
      <c r="L948" s="292">
        <v>0</v>
      </c>
    </row>
    <row r="949" spans="1:12" ht="15.75" thickBot="1" x14ac:dyDescent="0.3">
      <c r="A949" s="291" t="s">
        <v>132</v>
      </c>
      <c r="B949" s="286" t="s">
        <v>158</v>
      </c>
      <c r="C949" s="286" t="s">
        <v>358</v>
      </c>
      <c r="D949" s="138" t="s">
        <v>229</v>
      </c>
      <c r="E949" s="286" t="s">
        <v>722</v>
      </c>
      <c r="F949" s="288" t="s">
        <v>103</v>
      </c>
      <c r="G949" s="288" t="s">
        <v>103</v>
      </c>
      <c r="H949" s="290">
        <v>6000</v>
      </c>
      <c r="I949" s="289">
        <v>17.850000000000001</v>
      </c>
      <c r="J949" s="289">
        <v>107100</v>
      </c>
      <c r="K949" s="288" t="s">
        <v>103</v>
      </c>
      <c r="L949" s="292">
        <v>2.8999999999999998E-3</v>
      </c>
    </row>
    <row r="950" spans="1:12" ht="15.75" thickBot="1" x14ac:dyDescent="0.3">
      <c r="A950" s="291" t="s">
        <v>132</v>
      </c>
      <c r="B950" s="286" t="s">
        <v>473</v>
      </c>
      <c r="C950" s="286" t="s">
        <v>358</v>
      </c>
      <c r="D950" s="138" t="s">
        <v>1022</v>
      </c>
      <c r="E950" s="286" t="s">
        <v>165</v>
      </c>
      <c r="F950" s="288" t="s">
        <v>103</v>
      </c>
      <c r="G950" s="288" t="s">
        <v>103</v>
      </c>
      <c r="H950" s="288">
        <v>37</v>
      </c>
      <c r="I950" s="289">
        <v>5.31</v>
      </c>
      <c r="J950" s="289">
        <v>196.55</v>
      </c>
      <c r="K950" s="288" t="s">
        <v>103</v>
      </c>
      <c r="L950" s="292">
        <v>0</v>
      </c>
    </row>
    <row r="951" spans="1:12" ht="15.75" thickBot="1" x14ac:dyDescent="0.3">
      <c r="A951" s="291" t="s">
        <v>99</v>
      </c>
      <c r="B951" s="286" t="s">
        <v>140</v>
      </c>
      <c r="C951" s="286" t="s">
        <v>1616</v>
      </c>
      <c r="D951" s="138" t="s">
        <v>283</v>
      </c>
      <c r="E951" s="286" t="s">
        <v>165</v>
      </c>
      <c r="F951" s="287">
        <v>46447</v>
      </c>
      <c r="G951" s="288" t="s">
        <v>103</v>
      </c>
      <c r="H951" s="288">
        <v>360</v>
      </c>
      <c r="I951" s="289">
        <v>16109.71</v>
      </c>
      <c r="J951" s="289">
        <v>5799495.9400000004</v>
      </c>
      <c r="K951" s="288" t="s">
        <v>103</v>
      </c>
      <c r="L951" s="292">
        <v>8.1299999999999997E-2</v>
      </c>
    </row>
    <row r="952" spans="1:12" ht="15.75" thickBot="1" x14ac:dyDescent="0.3">
      <c r="A952" s="291" t="s">
        <v>99</v>
      </c>
      <c r="B952" s="286" t="s">
        <v>140</v>
      </c>
      <c r="C952" s="286" t="s">
        <v>1616</v>
      </c>
      <c r="D952" s="138" t="s">
        <v>182</v>
      </c>
      <c r="E952" s="286" t="s">
        <v>165</v>
      </c>
      <c r="F952" s="287">
        <v>47710</v>
      </c>
      <c r="G952" s="288" t="s">
        <v>103</v>
      </c>
      <c r="H952" s="290">
        <v>1236</v>
      </c>
      <c r="I952" s="289">
        <v>4119.82</v>
      </c>
      <c r="J952" s="289">
        <v>5092095.04</v>
      </c>
      <c r="K952" s="288" t="s">
        <v>103</v>
      </c>
      <c r="L952" s="292">
        <v>7.1400000000000005E-2</v>
      </c>
    </row>
    <row r="953" spans="1:12" ht="15.75" thickBot="1" x14ac:dyDescent="0.3">
      <c r="A953" s="291" t="s">
        <v>99</v>
      </c>
      <c r="B953" s="286" t="s">
        <v>140</v>
      </c>
      <c r="C953" s="286" t="s">
        <v>1616</v>
      </c>
      <c r="D953" s="138" t="s">
        <v>181</v>
      </c>
      <c r="E953" s="286" t="s">
        <v>165</v>
      </c>
      <c r="F953" s="287">
        <v>46980</v>
      </c>
      <c r="G953" s="288" t="s">
        <v>103</v>
      </c>
      <c r="H953" s="288">
        <v>805</v>
      </c>
      <c r="I953" s="289">
        <v>4232.68</v>
      </c>
      <c r="J953" s="289">
        <v>3407307.8</v>
      </c>
      <c r="K953" s="288" t="s">
        <v>103</v>
      </c>
      <c r="L953" s="292">
        <v>4.7800000000000002E-2</v>
      </c>
    </row>
    <row r="954" spans="1:12" ht="15.75" thickBot="1" x14ac:dyDescent="0.3">
      <c r="A954" s="291" t="s">
        <v>99</v>
      </c>
      <c r="B954" s="286" t="s">
        <v>140</v>
      </c>
      <c r="C954" s="286" t="s">
        <v>1616</v>
      </c>
      <c r="D954" s="138" t="s">
        <v>317</v>
      </c>
      <c r="E954" s="286" t="s">
        <v>165</v>
      </c>
      <c r="F954" s="287">
        <v>48441</v>
      </c>
      <c r="G954" s="288" t="s">
        <v>103</v>
      </c>
      <c r="H954" s="288">
        <v>52</v>
      </c>
      <c r="I954" s="289">
        <v>4020.48</v>
      </c>
      <c r="J954" s="289">
        <v>209064.91</v>
      </c>
      <c r="K954" s="288" t="s">
        <v>103</v>
      </c>
      <c r="L954" s="292">
        <v>2.8999999999999998E-3</v>
      </c>
    </row>
    <row r="955" spans="1:12" ht="15.75" thickBot="1" x14ac:dyDescent="0.3">
      <c r="A955" s="291" t="s">
        <v>1131</v>
      </c>
      <c r="B955" s="286" t="s">
        <v>103</v>
      </c>
      <c r="C955" s="286" t="s">
        <v>1616</v>
      </c>
      <c r="D955" s="138" t="s">
        <v>1617</v>
      </c>
      <c r="E955" s="286" t="s">
        <v>165</v>
      </c>
      <c r="F955" s="287">
        <v>46134</v>
      </c>
      <c r="G955" s="288" t="s">
        <v>103</v>
      </c>
      <c r="H955" s="288">
        <v>10</v>
      </c>
      <c r="I955" s="289">
        <v>55608.98</v>
      </c>
      <c r="J955" s="289">
        <v>556089.82999999996</v>
      </c>
      <c r="K955" s="288" t="s">
        <v>103</v>
      </c>
      <c r="L955" s="292">
        <v>7.7999999999999996E-3</v>
      </c>
    </row>
    <row r="956" spans="1:12" ht="15.75" thickBot="1" x14ac:dyDescent="0.3">
      <c r="A956" s="291" t="s">
        <v>105</v>
      </c>
      <c r="B956" s="286" t="s">
        <v>103</v>
      </c>
      <c r="C956" s="286" t="s">
        <v>1616</v>
      </c>
      <c r="D956" s="138" t="s">
        <v>105</v>
      </c>
      <c r="E956" s="286" t="s">
        <v>165</v>
      </c>
      <c r="F956" s="288" t="s">
        <v>103</v>
      </c>
      <c r="G956" s="288" t="s">
        <v>103</v>
      </c>
      <c r="H956" s="288" t="s">
        <v>103</v>
      </c>
      <c r="I956" s="288" t="s">
        <v>103</v>
      </c>
      <c r="J956" s="289">
        <v>-1814.32</v>
      </c>
      <c r="K956" s="288" t="s">
        <v>103</v>
      </c>
      <c r="L956" s="292">
        <v>0</v>
      </c>
    </row>
    <row r="957" spans="1:12" ht="15.75" thickBot="1" x14ac:dyDescent="0.3">
      <c r="A957" s="291" t="s">
        <v>1618</v>
      </c>
      <c r="B957" s="286" t="s">
        <v>103</v>
      </c>
      <c r="C957" s="286" t="s">
        <v>1616</v>
      </c>
      <c r="D957" s="138" t="s">
        <v>1619</v>
      </c>
      <c r="E957" s="286" t="s">
        <v>165</v>
      </c>
      <c r="F957" s="288" t="s">
        <v>103</v>
      </c>
      <c r="G957" s="288" t="s">
        <v>103</v>
      </c>
      <c r="H957" s="288">
        <v>500</v>
      </c>
      <c r="I957" s="289">
        <v>1261.21</v>
      </c>
      <c r="J957" s="289">
        <v>630603.43999999994</v>
      </c>
      <c r="K957" s="288" t="s">
        <v>103</v>
      </c>
      <c r="L957" s="292">
        <v>8.8000000000000005E-3</v>
      </c>
    </row>
    <row r="958" spans="1:12" ht="15.75" thickBot="1" x14ac:dyDescent="0.3">
      <c r="A958" s="291" t="s">
        <v>1618</v>
      </c>
      <c r="B958" s="286" t="s">
        <v>103</v>
      </c>
      <c r="C958" s="286" t="s">
        <v>1616</v>
      </c>
      <c r="D958" s="138" t="s">
        <v>1620</v>
      </c>
      <c r="E958" s="286" t="s">
        <v>165</v>
      </c>
      <c r="F958" s="288" t="s">
        <v>103</v>
      </c>
      <c r="G958" s="288" t="s">
        <v>103</v>
      </c>
      <c r="H958" s="288">
        <v>266</v>
      </c>
      <c r="I958" s="289">
        <v>1035.8900000000001</v>
      </c>
      <c r="J958" s="289">
        <v>275546.82</v>
      </c>
      <c r="K958" s="288" t="s">
        <v>103</v>
      </c>
      <c r="L958" s="292">
        <v>3.8999999999999998E-3</v>
      </c>
    </row>
    <row r="959" spans="1:12" ht="15.75" thickBot="1" x14ac:dyDescent="0.3">
      <c r="A959" s="291" t="s">
        <v>1618</v>
      </c>
      <c r="B959" s="286" t="s">
        <v>103</v>
      </c>
      <c r="C959" s="286" t="s">
        <v>1616</v>
      </c>
      <c r="D959" s="138" t="s">
        <v>1621</v>
      </c>
      <c r="E959" s="286" t="s">
        <v>165</v>
      </c>
      <c r="F959" s="288" t="s">
        <v>103</v>
      </c>
      <c r="G959" s="288" t="s">
        <v>103</v>
      </c>
      <c r="H959" s="288">
        <v>300</v>
      </c>
      <c r="I959" s="289">
        <v>917.75</v>
      </c>
      <c r="J959" s="289">
        <v>275324.68</v>
      </c>
      <c r="K959" s="288" t="s">
        <v>103</v>
      </c>
      <c r="L959" s="292">
        <v>3.8999999999999998E-3</v>
      </c>
    </row>
    <row r="960" spans="1:12" ht="15.75" thickBot="1" x14ac:dyDescent="0.3">
      <c r="A960" s="291" t="s">
        <v>1618</v>
      </c>
      <c r="B960" s="286" t="s">
        <v>103</v>
      </c>
      <c r="C960" s="286" t="s">
        <v>1616</v>
      </c>
      <c r="D960" s="138" t="s">
        <v>1622</v>
      </c>
      <c r="E960" s="286" t="s">
        <v>165</v>
      </c>
      <c r="F960" s="288" t="s">
        <v>103</v>
      </c>
      <c r="G960" s="288" t="s">
        <v>103</v>
      </c>
      <c r="H960" s="288">
        <v>300</v>
      </c>
      <c r="I960" s="289">
        <v>720.41</v>
      </c>
      <c r="J960" s="289">
        <v>216123.61</v>
      </c>
      <c r="K960" s="288" t="s">
        <v>103</v>
      </c>
      <c r="L960" s="292">
        <v>3.0000000000000001E-3</v>
      </c>
    </row>
    <row r="961" spans="1:12" ht="15.75" thickBot="1" x14ac:dyDescent="0.3">
      <c r="A961" s="291" t="s">
        <v>1618</v>
      </c>
      <c r="B961" s="286" t="s">
        <v>103</v>
      </c>
      <c r="C961" s="286" t="s">
        <v>1616</v>
      </c>
      <c r="D961" s="138" t="s">
        <v>1623</v>
      </c>
      <c r="E961" s="286" t="s">
        <v>165</v>
      </c>
      <c r="F961" s="288" t="s">
        <v>103</v>
      </c>
      <c r="G961" s="288" t="s">
        <v>103</v>
      </c>
      <c r="H961" s="288">
        <v>200</v>
      </c>
      <c r="I961" s="289">
        <v>1077.3699999999999</v>
      </c>
      <c r="J961" s="289">
        <v>215474.9</v>
      </c>
      <c r="K961" s="288" t="s">
        <v>103</v>
      </c>
      <c r="L961" s="292">
        <v>3.0000000000000001E-3</v>
      </c>
    </row>
    <row r="962" spans="1:12" ht="15.75" thickBot="1" x14ac:dyDescent="0.3">
      <c r="A962" s="291" t="s">
        <v>1618</v>
      </c>
      <c r="B962" s="286" t="s">
        <v>103</v>
      </c>
      <c r="C962" s="286" t="s">
        <v>1616</v>
      </c>
      <c r="D962" s="138" t="s">
        <v>1624</v>
      </c>
      <c r="E962" s="286" t="s">
        <v>165</v>
      </c>
      <c r="F962" s="288" t="s">
        <v>103</v>
      </c>
      <c r="G962" s="288" t="s">
        <v>103</v>
      </c>
      <c r="H962" s="288">
        <v>36</v>
      </c>
      <c r="I962" s="289">
        <v>5861.1</v>
      </c>
      <c r="J962" s="289">
        <v>210999.62</v>
      </c>
      <c r="K962" s="288" t="s">
        <v>103</v>
      </c>
      <c r="L962" s="292">
        <v>3.0000000000000001E-3</v>
      </c>
    </row>
    <row r="963" spans="1:12" ht="15.75" thickBot="1" x14ac:dyDescent="0.3">
      <c r="A963" s="291" t="s">
        <v>1618</v>
      </c>
      <c r="B963" s="286" t="s">
        <v>103</v>
      </c>
      <c r="C963" s="286" t="s">
        <v>1616</v>
      </c>
      <c r="D963" s="138" t="s">
        <v>1625</v>
      </c>
      <c r="E963" s="286" t="s">
        <v>165</v>
      </c>
      <c r="F963" s="288" t="s">
        <v>103</v>
      </c>
      <c r="G963" s="288" t="s">
        <v>103</v>
      </c>
      <c r="H963" s="288">
        <v>283</v>
      </c>
      <c r="I963" s="289">
        <v>426.64</v>
      </c>
      <c r="J963" s="289">
        <v>120740.2</v>
      </c>
      <c r="K963" s="288" t="s">
        <v>103</v>
      </c>
      <c r="L963" s="292">
        <v>1.6999999999999999E-3</v>
      </c>
    </row>
    <row r="964" spans="1:12" ht="15.75" thickBot="1" x14ac:dyDescent="0.3">
      <c r="A964" s="291" t="s">
        <v>1618</v>
      </c>
      <c r="B964" s="286" t="s">
        <v>103</v>
      </c>
      <c r="C964" s="286" t="s">
        <v>1616</v>
      </c>
      <c r="D964" s="138" t="s">
        <v>1626</v>
      </c>
      <c r="E964" s="286" t="s">
        <v>165</v>
      </c>
      <c r="F964" s="288" t="s">
        <v>103</v>
      </c>
      <c r="G964" s="288" t="s">
        <v>103</v>
      </c>
      <c r="H964" s="288">
        <v>274</v>
      </c>
      <c r="I964" s="289">
        <v>178.42</v>
      </c>
      <c r="J964" s="289">
        <v>48886.94</v>
      </c>
      <c r="K964" s="288" t="s">
        <v>103</v>
      </c>
      <c r="L964" s="292">
        <v>6.9999999999999999E-4</v>
      </c>
    </row>
    <row r="965" spans="1:12" ht="15.75" thickBot="1" x14ac:dyDescent="0.3">
      <c r="A965" s="291" t="s">
        <v>127</v>
      </c>
      <c r="B965" s="286" t="s">
        <v>1627</v>
      </c>
      <c r="C965" s="286" t="s">
        <v>1616</v>
      </c>
      <c r="D965" s="138" t="s">
        <v>1628</v>
      </c>
      <c r="E965" s="286" t="s">
        <v>165</v>
      </c>
      <c r="F965" s="287">
        <v>50754</v>
      </c>
      <c r="G965" s="288" t="s">
        <v>1629</v>
      </c>
      <c r="H965" s="288">
        <v>286</v>
      </c>
      <c r="I965" s="289">
        <v>1012.48</v>
      </c>
      <c r="J965" s="289">
        <v>289568.78000000003</v>
      </c>
      <c r="K965" s="288" t="s">
        <v>103</v>
      </c>
      <c r="L965" s="292">
        <v>4.1000000000000003E-3</v>
      </c>
    </row>
    <row r="966" spans="1:12" ht="15.75" thickBot="1" x14ac:dyDescent="0.3">
      <c r="A966" s="291" t="s">
        <v>127</v>
      </c>
      <c r="B966" s="286" t="s">
        <v>1630</v>
      </c>
      <c r="C966" s="286" t="s">
        <v>1616</v>
      </c>
      <c r="D966" s="138" t="s">
        <v>1631</v>
      </c>
      <c r="E966" s="286" t="s">
        <v>165</v>
      </c>
      <c r="F966" s="287">
        <v>49963</v>
      </c>
      <c r="G966" s="288" t="s">
        <v>1632</v>
      </c>
      <c r="H966" s="288">
        <v>92</v>
      </c>
      <c r="I966" s="289">
        <v>1065.73</v>
      </c>
      <c r="J966" s="289">
        <v>98047.62</v>
      </c>
      <c r="K966" s="288" t="s">
        <v>103</v>
      </c>
      <c r="L966" s="292">
        <v>1.4E-3</v>
      </c>
    </row>
    <row r="967" spans="1:12" ht="15.75" thickBot="1" x14ac:dyDescent="0.3">
      <c r="A967" s="291" t="s">
        <v>127</v>
      </c>
      <c r="B967" s="286" t="s">
        <v>1633</v>
      </c>
      <c r="C967" s="286" t="s">
        <v>1616</v>
      </c>
      <c r="D967" s="138" t="s">
        <v>1634</v>
      </c>
      <c r="E967" s="286" t="s">
        <v>165</v>
      </c>
      <c r="F967" s="287">
        <v>50663</v>
      </c>
      <c r="G967" s="288" t="s">
        <v>1635</v>
      </c>
      <c r="H967" s="290">
        <v>2696</v>
      </c>
      <c r="I967" s="289">
        <v>989.45</v>
      </c>
      <c r="J967" s="289">
        <v>2667557.8199999998</v>
      </c>
      <c r="K967" s="288" t="s">
        <v>103</v>
      </c>
      <c r="L967" s="292">
        <v>3.7400000000000003E-2</v>
      </c>
    </row>
    <row r="968" spans="1:12" ht="15.75" thickBot="1" x14ac:dyDescent="0.3">
      <c r="A968" s="291" t="s">
        <v>127</v>
      </c>
      <c r="B968" s="286" t="s">
        <v>1356</v>
      </c>
      <c r="C968" s="286" t="s">
        <v>1616</v>
      </c>
      <c r="D968" s="138" t="s">
        <v>1636</v>
      </c>
      <c r="E968" s="286" t="s">
        <v>165</v>
      </c>
      <c r="F968" s="287">
        <v>51881</v>
      </c>
      <c r="G968" s="288" t="s">
        <v>1637</v>
      </c>
      <c r="H968" s="290">
        <v>4527</v>
      </c>
      <c r="I968" s="289">
        <v>9.32</v>
      </c>
      <c r="J968" s="289">
        <v>42196.06</v>
      </c>
      <c r="K968" s="288" t="s">
        <v>103</v>
      </c>
      <c r="L968" s="292">
        <v>5.9999999999999995E-4</v>
      </c>
    </row>
    <row r="969" spans="1:12" ht="15.75" thickBot="1" x14ac:dyDescent="0.3">
      <c r="A969" s="291" t="s">
        <v>127</v>
      </c>
      <c r="B969" s="286" t="s">
        <v>343</v>
      </c>
      <c r="C969" s="286" t="s">
        <v>1616</v>
      </c>
      <c r="D969" s="138" t="s">
        <v>1638</v>
      </c>
      <c r="E969" s="286" t="s">
        <v>165</v>
      </c>
      <c r="F969" s="287">
        <v>49902</v>
      </c>
      <c r="G969" s="288" t="s">
        <v>1639</v>
      </c>
      <c r="H969" s="290">
        <v>1956</v>
      </c>
      <c r="I969" s="289">
        <v>893.85</v>
      </c>
      <c r="J969" s="289">
        <v>1748367.85</v>
      </c>
      <c r="K969" s="288" t="s">
        <v>103</v>
      </c>
      <c r="L969" s="292">
        <v>2.4500000000000001E-2</v>
      </c>
    </row>
    <row r="970" spans="1:12" ht="15.75" thickBot="1" x14ac:dyDescent="0.3">
      <c r="A970" s="291" t="s">
        <v>127</v>
      </c>
      <c r="B970" s="286" t="s">
        <v>343</v>
      </c>
      <c r="C970" s="286" t="s">
        <v>1616</v>
      </c>
      <c r="D970" s="138" t="s">
        <v>1640</v>
      </c>
      <c r="E970" s="286" t="s">
        <v>165</v>
      </c>
      <c r="F970" s="287">
        <v>50844</v>
      </c>
      <c r="G970" s="288" t="s">
        <v>1641</v>
      </c>
      <c r="H970" s="288">
        <v>302</v>
      </c>
      <c r="I970" s="289">
        <v>910.62</v>
      </c>
      <c r="J970" s="289">
        <v>275008.17</v>
      </c>
      <c r="K970" s="288" t="s">
        <v>103</v>
      </c>
      <c r="L970" s="292">
        <v>3.8999999999999998E-3</v>
      </c>
    </row>
    <row r="971" spans="1:12" ht="15.75" thickBot="1" x14ac:dyDescent="0.3">
      <c r="A971" s="291" t="s">
        <v>127</v>
      </c>
      <c r="B971" s="286" t="s">
        <v>1642</v>
      </c>
      <c r="C971" s="286" t="s">
        <v>1616</v>
      </c>
      <c r="D971" s="138" t="s">
        <v>1643</v>
      </c>
      <c r="E971" s="286" t="s">
        <v>165</v>
      </c>
      <c r="F971" s="287">
        <v>48014</v>
      </c>
      <c r="G971" s="288" t="s">
        <v>1644</v>
      </c>
      <c r="H971" s="290">
        <v>1007</v>
      </c>
      <c r="I971" s="289">
        <v>1089.08</v>
      </c>
      <c r="J971" s="289">
        <v>1096708.51</v>
      </c>
      <c r="K971" s="288" t="s">
        <v>103</v>
      </c>
      <c r="L971" s="292">
        <v>1.54E-2</v>
      </c>
    </row>
    <row r="972" spans="1:12" ht="15.75" thickBot="1" x14ac:dyDescent="0.3">
      <c r="A972" s="291" t="s">
        <v>127</v>
      </c>
      <c r="B972" s="286" t="s">
        <v>1645</v>
      </c>
      <c r="C972" s="286" t="s">
        <v>1616</v>
      </c>
      <c r="D972" s="138" t="s">
        <v>1646</v>
      </c>
      <c r="E972" s="286" t="s">
        <v>165</v>
      </c>
      <c r="F972" s="287">
        <v>50510</v>
      </c>
      <c r="G972" s="288" t="s">
        <v>1647</v>
      </c>
      <c r="H972" s="288">
        <v>576</v>
      </c>
      <c r="I972" s="289">
        <v>1152.46</v>
      </c>
      <c r="J972" s="289">
        <v>663815.23</v>
      </c>
      <c r="K972" s="288" t="s">
        <v>103</v>
      </c>
      <c r="L972" s="292">
        <v>9.2999999999999992E-3</v>
      </c>
    </row>
    <row r="973" spans="1:12" ht="15.75" thickBot="1" x14ac:dyDescent="0.3">
      <c r="A973" s="291" t="s">
        <v>127</v>
      </c>
      <c r="B973" s="286" t="s">
        <v>1648</v>
      </c>
      <c r="C973" s="286" t="s">
        <v>1616</v>
      </c>
      <c r="D973" s="138" t="s">
        <v>1649</v>
      </c>
      <c r="E973" s="286" t="s">
        <v>165</v>
      </c>
      <c r="F973" s="287">
        <v>51028</v>
      </c>
      <c r="G973" s="288" t="s">
        <v>1650</v>
      </c>
      <c r="H973" s="290">
        <v>2250</v>
      </c>
      <c r="I973" s="289">
        <v>936.56</v>
      </c>
      <c r="J973" s="289">
        <v>2107261.7000000002</v>
      </c>
      <c r="K973" s="288" t="s">
        <v>103</v>
      </c>
      <c r="L973" s="292">
        <v>2.9499999999999998E-2</v>
      </c>
    </row>
    <row r="974" spans="1:12" ht="15.75" thickBot="1" x14ac:dyDescent="0.3">
      <c r="A974" s="291" t="s">
        <v>127</v>
      </c>
      <c r="B974" s="286" t="s">
        <v>505</v>
      </c>
      <c r="C974" s="286" t="s">
        <v>1616</v>
      </c>
      <c r="D974" s="138" t="s">
        <v>1651</v>
      </c>
      <c r="E974" s="286" t="s">
        <v>165</v>
      </c>
      <c r="F974" s="287">
        <v>48990</v>
      </c>
      <c r="G974" s="288" t="s">
        <v>1652</v>
      </c>
      <c r="H974" s="290">
        <v>1245</v>
      </c>
      <c r="I974" s="289">
        <v>956.53</v>
      </c>
      <c r="J974" s="289">
        <v>1190878.8</v>
      </c>
      <c r="K974" s="288" t="s">
        <v>103</v>
      </c>
      <c r="L974" s="292">
        <v>1.67E-2</v>
      </c>
    </row>
    <row r="975" spans="1:12" ht="15.75" thickBot="1" x14ac:dyDescent="0.3">
      <c r="A975" s="291" t="s">
        <v>127</v>
      </c>
      <c r="B975" s="286" t="s">
        <v>505</v>
      </c>
      <c r="C975" s="286" t="s">
        <v>1616</v>
      </c>
      <c r="D975" s="138" t="s">
        <v>411</v>
      </c>
      <c r="E975" s="286" t="s">
        <v>165</v>
      </c>
      <c r="F975" s="287">
        <v>48441</v>
      </c>
      <c r="G975" s="288" t="s">
        <v>1596</v>
      </c>
      <c r="H975" s="288">
        <v>221</v>
      </c>
      <c r="I975" s="289">
        <v>1101.23</v>
      </c>
      <c r="J975" s="289">
        <v>243372.34</v>
      </c>
      <c r="K975" s="288" t="s">
        <v>103</v>
      </c>
      <c r="L975" s="292">
        <v>3.3999999999999998E-3</v>
      </c>
    </row>
    <row r="976" spans="1:12" ht="15.75" thickBot="1" x14ac:dyDescent="0.3">
      <c r="A976" s="291" t="s">
        <v>127</v>
      </c>
      <c r="B976" s="286" t="s">
        <v>1653</v>
      </c>
      <c r="C976" s="286" t="s">
        <v>1616</v>
      </c>
      <c r="D976" s="138" t="s">
        <v>1654</v>
      </c>
      <c r="E976" s="286" t="s">
        <v>165</v>
      </c>
      <c r="F976" s="287">
        <v>47618</v>
      </c>
      <c r="G976" s="288" t="s">
        <v>1608</v>
      </c>
      <c r="H976" s="288">
        <v>577</v>
      </c>
      <c r="I976" s="289">
        <v>1198.72</v>
      </c>
      <c r="J976" s="289">
        <v>691658.82</v>
      </c>
      <c r="K976" s="288" t="s">
        <v>103</v>
      </c>
      <c r="L976" s="292">
        <v>9.7000000000000003E-3</v>
      </c>
    </row>
    <row r="977" spans="1:12" ht="15.75" thickBot="1" x14ac:dyDescent="0.3">
      <c r="A977" s="291" t="s">
        <v>127</v>
      </c>
      <c r="B977" s="286" t="s">
        <v>1655</v>
      </c>
      <c r="C977" s="286" t="s">
        <v>1616</v>
      </c>
      <c r="D977" s="138" t="s">
        <v>1656</v>
      </c>
      <c r="E977" s="286" t="s">
        <v>165</v>
      </c>
      <c r="F977" s="287">
        <v>50754</v>
      </c>
      <c r="G977" s="288" t="s">
        <v>1657</v>
      </c>
      <c r="H977" s="290">
        <v>1500</v>
      </c>
      <c r="I977" s="289">
        <v>955.49</v>
      </c>
      <c r="J977" s="289">
        <v>1433239.03</v>
      </c>
      <c r="K977" s="288" t="s">
        <v>103</v>
      </c>
      <c r="L977" s="292">
        <v>2.01E-2</v>
      </c>
    </row>
    <row r="978" spans="1:12" ht="15.75" thickBot="1" x14ac:dyDescent="0.3">
      <c r="A978" s="291" t="s">
        <v>127</v>
      </c>
      <c r="B978" s="286" t="s">
        <v>1658</v>
      </c>
      <c r="C978" s="286" t="s">
        <v>1616</v>
      </c>
      <c r="D978" s="138" t="s">
        <v>1659</v>
      </c>
      <c r="E978" s="286" t="s">
        <v>165</v>
      </c>
      <c r="F978" s="287">
        <v>49933</v>
      </c>
      <c r="G978" s="288" t="s">
        <v>1660</v>
      </c>
      <c r="H978" s="290">
        <v>1427</v>
      </c>
      <c r="I978" s="289">
        <v>959.05</v>
      </c>
      <c r="J978" s="289">
        <v>1368569.12</v>
      </c>
      <c r="K978" s="288" t="s">
        <v>103</v>
      </c>
      <c r="L978" s="292">
        <v>1.9199999999999998E-2</v>
      </c>
    </row>
    <row r="979" spans="1:12" ht="15.75" thickBot="1" x14ac:dyDescent="0.3">
      <c r="A979" s="291" t="s">
        <v>127</v>
      </c>
      <c r="B979" s="286" t="s">
        <v>1658</v>
      </c>
      <c r="C979" s="286" t="s">
        <v>1616</v>
      </c>
      <c r="D979" s="138" t="s">
        <v>1661</v>
      </c>
      <c r="E979" s="286" t="s">
        <v>165</v>
      </c>
      <c r="F979" s="287">
        <v>49567</v>
      </c>
      <c r="G979" s="288" t="s">
        <v>1662</v>
      </c>
      <c r="H979" s="288">
        <v>685</v>
      </c>
      <c r="I979" s="289">
        <v>997.13</v>
      </c>
      <c r="J979" s="289">
        <v>683031.7</v>
      </c>
      <c r="K979" s="288" t="s">
        <v>103</v>
      </c>
      <c r="L979" s="292">
        <v>9.5999999999999992E-3</v>
      </c>
    </row>
    <row r="980" spans="1:12" ht="15.75" thickBot="1" x14ac:dyDescent="0.3">
      <c r="A980" s="291" t="s">
        <v>127</v>
      </c>
      <c r="B980" s="286" t="s">
        <v>1658</v>
      </c>
      <c r="C980" s="286" t="s">
        <v>1616</v>
      </c>
      <c r="D980" s="138" t="s">
        <v>1663</v>
      </c>
      <c r="E980" s="286" t="s">
        <v>165</v>
      </c>
      <c r="F980" s="287">
        <v>50663</v>
      </c>
      <c r="G980" s="288" t="s">
        <v>1664</v>
      </c>
      <c r="H980" s="288">
        <v>444</v>
      </c>
      <c r="I980" s="289">
        <v>984.37</v>
      </c>
      <c r="J980" s="289">
        <v>437060.55</v>
      </c>
      <c r="K980" s="288" t="s">
        <v>103</v>
      </c>
      <c r="L980" s="292">
        <v>6.1000000000000004E-3</v>
      </c>
    </row>
    <row r="981" spans="1:12" ht="15.75" thickBot="1" x14ac:dyDescent="0.3">
      <c r="A981" s="291" t="s">
        <v>127</v>
      </c>
      <c r="B981" s="286" t="s">
        <v>167</v>
      </c>
      <c r="C981" s="286" t="s">
        <v>1616</v>
      </c>
      <c r="D981" s="138" t="s">
        <v>262</v>
      </c>
      <c r="E981" s="286" t="s">
        <v>165</v>
      </c>
      <c r="F981" s="287">
        <v>51820</v>
      </c>
      <c r="G981" s="288" t="s">
        <v>1665</v>
      </c>
      <c r="H981" s="290">
        <v>2091</v>
      </c>
      <c r="I981" s="289">
        <v>991.67</v>
      </c>
      <c r="J981" s="289">
        <v>2073577.5</v>
      </c>
      <c r="K981" s="288" t="s">
        <v>103</v>
      </c>
      <c r="L981" s="292">
        <v>2.9100000000000001E-2</v>
      </c>
    </row>
    <row r="982" spans="1:12" ht="15.75" thickBot="1" x14ac:dyDescent="0.3">
      <c r="A982" s="291" t="s">
        <v>127</v>
      </c>
      <c r="B982" s="286" t="s">
        <v>1666</v>
      </c>
      <c r="C982" s="286" t="s">
        <v>1616</v>
      </c>
      <c r="D982" s="138" t="s">
        <v>1667</v>
      </c>
      <c r="E982" s="286" t="s">
        <v>165</v>
      </c>
      <c r="F982" s="287">
        <v>50693</v>
      </c>
      <c r="G982" s="288" t="s">
        <v>1668</v>
      </c>
      <c r="H982" s="290">
        <v>1477</v>
      </c>
      <c r="I982" s="289">
        <v>1036.5899999999999</v>
      </c>
      <c r="J982" s="289">
        <v>1531041.74</v>
      </c>
      <c r="K982" s="288" t="s">
        <v>103</v>
      </c>
      <c r="L982" s="292">
        <v>2.1499999999999998E-2</v>
      </c>
    </row>
    <row r="983" spans="1:12" ht="15.75" thickBot="1" x14ac:dyDescent="0.3">
      <c r="A983" s="291" t="s">
        <v>127</v>
      </c>
      <c r="B983" s="286" t="s">
        <v>35</v>
      </c>
      <c r="C983" s="286" t="s">
        <v>1616</v>
      </c>
      <c r="D983" s="138" t="s">
        <v>1380</v>
      </c>
      <c r="E983" s="286" t="s">
        <v>165</v>
      </c>
      <c r="F983" s="287">
        <v>50997</v>
      </c>
      <c r="G983" s="288" t="s">
        <v>1602</v>
      </c>
      <c r="H983" s="290">
        <v>2480</v>
      </c>
      <c r="I983" s="289">
        <v>910.43</v>
      </c>
      <c r="J983" s="289">
        <v>2257867.77</v>
      </c>
      <c r="K983" s="288" t="s">
        <v>103</v>
      </c>
      <c r="L983" s="292">
        <v>3.1699999999999999E-2</v>
      </c>
    </row>
    <row r="984" spans="1:12" ht="15.75" thickBot="1" x14ac:dyDescent="0.3">
      <c r="A984" s="291" t="s">
        <v>127</v>
      </c>
      <c r="B984" s="286" t="s">
        <v>1669</v>
      </c>
      <c r="C984" s="286" t="s">
        <v>1616</v>
      </c>
      <c r="D984" s="138" t="s">
        <v>1670</v>
      </c>
      <c r="E984" s="286" t="s">
        <v>165</v>
      </c>
      <c r="F984" s="287">
        <v>49963</v>
      </c>
      <c r="G984" s="288" t="s">
        <v>1671</v>
      </c>
      <c r="H984" s="288">
        <v>886</v>
      </c>
      <c r="I984" s="289">
        <v>1106.8399999999999</v>
      </c>
      <c r="J984" s="289">
        <v>980659.97</v>
      </c>
      <c r="K984" s="288" t="s">
        <v>103</v>
      </c>
      <c r="L984" s="292">
        <v>1.37E-2</v>
      </c>
    </row>
    <row r="985" spans="1:12" ht="15.75" thickBot="1" x14ac:dyDescent="0.3">
      <c r="A985" s="291" t="s">
        <v>127</v>
      </c>
      <c r="B985" s="286" t="s">
        <v>1672</v>
      </c>
      <c r="C985" s="286" t="s">
        <v>1616</v>
      </c>
      <c r="D985" s="138" t="s">
        <v>1673</v>
      </c>
      <c r="E985" s="286" t="s">
        <v>165</v>
      </c>
      <c r="F985" s="287">
        <v>50571</v>
      </c>
      <c r="G985" s="288" t="s">
        <v>1674</v>
      </c>
      <c r="H985" s="288">
        <v>369</v>
      </c>
      <c r="I985" s="289">
        <v>1256</v>
      </c>
      <c r="J985" s="289">
        <v>463464.3</v>
      </c>
      <c r="K985" s="288" t="s">
        <v>103</v>
      </c>
      <c r="L985" s="292">
        <v>6.4999999999999997E-3</v>
      </c>
    </row>
    <row r="986" spans="1:12" ht="15.75" thickBot="1" x14ac:dyDescent="0.3">
      <c r="A986" s="291" t="s">
        <v>127</v>
      </c>
      <c r="B986" s="286" t="s">
        <v>1675</v>
      </c>
      <c r="C986" s="286" t="s">
        <v>1616</v>
      </c>
      <c r="D986" s="138" t="s">
        <v>1676</v>
      </c>
      <c r="E986" s="286" t="s">
        <v>165</v>
      </c>
      <c r="F986" s="287">
        <v>52671</v>
      </c>
      <c r="G986" s="288" t="s">
        <v>1677</v>
      </c>
      <c r="H986" s="288">
        <v>381</v>
      </c>
      <c r="I986" s="289">
        <v>1042.97</v>
      </c>
      <c r="J986" s="289">
        <v>397371.8</v>
      </c>
      <c r="K986" s="288" t="s">
        <v>103</v>
      </c>
      <c r="L986" s="292">
        <v>5.5999999999999999E-3</v>
      </c>
    </row>
    <row r="987" spans="1:12" ht="15.75" thickBot="1" x14ac:dyDescent="0.3">
      <c r="A987" s="291" t="s">
        <v>127</v>
      </c>
      <c r="B987" s="286" t="s">
        <v>758</v>
      </c>
      <c r="C987" s="286" t="s">
        <v>1616</v>
      </c>
      <c r="D987" s="138" t="s">
        <v>1678</v>
      </c>
      <c r="E987" s="286" t="s">
        <v>165</v>
      </c>
      <c r="F987" s="287">
        <v>49597</v>
      </c>
      <c r="G987" s="288" t="s">
        <v>1679</v>
      </c>
      <c r="H987" s="290">
        <v>1502</v>
      </c>
      <c r="I987" s="289">
        <v>1002.57</v>
      </c>
      <c r="J987" s="289">
        <v>1505859.87</v>
      </c>
      <c r="K987" s="288" t="s">
        <v>103</v>
      </c>
      <c r="L987" s="292">
        <v>2.1100000000000001E-2</v>
      </c>
    </row>
    <row r="988" spans="1:12" ht="15.75" thickBot="1" x14ac:dyDescent="0.3">
      <c r="A988" s="291" t="s">
        <v>127</v>
      </c>
      <c r="B988" s="286" t="s">
        <v>1680</v>
      </c>
      <c r="C988" s="286" t="s">
        <v>1616</v>
      </c>
      <c r="D988" s="138" t="s">
        <v>1681</v>
      </c>
      <c r="E988" s="286" t="s">
        <v>165</v>
      </c>
      <c r="F988" s="287">
        <v>47832</v>
      </c>
      <c r="G988" s="288" t="s">
        <v>1682</v>
      </c>
      <c r="H988" s="288">
        <v>191</v>
      </c>
      <c r="I988" s="289">
        <v>1301.99</v>
      </c>
      <c r="J988" s="289">
        <v>248679.38</v>
      </c>
      <c r="K988" s="288" t="s">
        <v>103</v>
      </c>
      <c r="L988" s="292">
        <v>3.5000000000000001E-3</v>
      </c>
    </row>
    <row r="989" spans="1:12" ht="15.75" thickBot="1" x14ac:dyDescent="0.3">
      <c r="A989" s="291" t="s">
        <v>127</v>
      </c>
      <c r="B989" s="286" t="s">
        <v>1683</v>
      </c>
      <c r="C989" s="286" t="s">
        <v>1616</v>
      </c>
      <c r="D989" s="138" t="s">
        <v>1684</v>
      </c>
      <c r="E989" s="286" t="s">
        <v>165</v>
      </c>
      <c r="F989" s="287">
        <v>49110</v>
      </c>
      <c r="G989" s="288" t="s">
        <v>1685</v>
      </c>
      <c r="H989" s="290">
        <v>1343</v>
      </c>
      <c r="I989" s="289">
        <v>1019.78</v>
      </c>
      <c r="J989" s="289">
        <v>1369562.54</v>
      </c>
      <c r="K989" s="288" t="s">
        <v>103</v>
      </c>
      <c r="L989" s="292">
        <v>1.9199999999999998E-2</v>
      </c>
    </row>
    <row r="990" spans="1:12" ht="15.75" thickBot="1" x14ac:dyDescent="0.3">
      <c r="A990" s="291" t="s">
        <v>127</v>
      </c>
      <c r="B990" s="286" t="s">
        <v>1683</v>
      </c>
      <c r="C990" s="286" t="s">
        <v>1616</v>
      </c>
      <c r="D990" s="138" t="s">
        <v>1686</v>
      </c>
      <c r="E990" s="286" t="s">
        <v>165</v>
      </c>
      <c r="F990" s="287">
        <v>48898</v>
      </c>
      <c r="G990" s="288" t="s">
        <v>1687</v>
      </c>
      <c r="H990" s="288">
        <v>790</v>
      </c>
      <c r="I990" s="289">
        <v>974.26</v>
      </c>
      <c r="J990" s="289">
        <v>769662.08</v>
      </c>
      <c r="K990" s="288" t="s">
        <v>103</v>
      </c>
      <c r="L990" s="292">
        <v>1.0800000000000001E-2</v>
      </c>
    </row>
    <row r="991" spans="1:12" ht="15.75" thickBot="1" x14ac:dyDescent="0.3">
      <c r="A991" s="291" t="s">
        <v>127</v>
      </c>
      <c r="B991" s="286" t="s">
        <v>14</v>
      </c>
      <c r="C991" s="286" t="s">
        <v>1616</v>
      </c>
      <c r="D991" s="138" t="s">
        <v>1688</v>
      </c>
      <c r="E991" s="286" t="s">
        <v>165</v>
      </c>
      <c r="F991" s="287">
        <v>50875</v>
      </c>
      <c r="G991" s="288" t="s">
        <v>1689</v>
      </c>
      <c r="H991" s="288">
        <v>657</v>
      </c>
      <c r="I991" s="289">
        <v>962.85</v>
      </c>
      <c r="J991" s="289">
        <v>632595.46</v>
      </c>
      <c r="K991" s="288" t="s">
        <v>103</v>
      </c>
      <c r="L991" s="292">
        <v>8.8999999999999999E-3</v>
      </c>
    </row>
    <row r="992" spans="1:12" ht="15.75" thickBot="1" x14ac:dyDescent="0.3">
      <c r="A992" s="291" t="s">
        <v>127</v>
      </c>
      <c r="B992" s="286" t="s">
        <v>14</v>
      </c>
      <c r="C992" s="286" t="s">
        <v>1616</v>
      </c>
      <c r="D992" s="138" t="s">
        <v>1690</v>
      </c>
      <c r="E992" s="286" t="s">
        <v>165</v>
      </c>
      <c r="F992" s="287">
        <v>48410</v>
      </c>
      <c r="G992" s="288" t="s">
        <v>1691</v>
      </c>
      <c r="H992" s="288">
        <v>104</v>
      </c>
      <c r="I992" s="289">
        <v>1038.28</v>
      </c>
      <c r="J992" s="289">
        <v>107981.25</v>
      </c>
      <c r="K992" s="288" t="s">
        <v>103</v>
      </c>
      <c r="L992" s="292">
        <v>1.5E-3</v>
      </c>
    </row>
    <row r="993" spans="1:12" ht="15.75" thickBot="1" x14ac:dyDescent="0.3">
      <c r="A993" s="291" t="s">
        <v>127</v>
      </c>
      <c r="B993" s="286" t="s">
        <v>13</v>
      </c>
      <c r="C993" s="286" t="s">
        <v>1616</v>
      </c>
      <c r="D993" s="138" t="s">
        <v>1692</v>
      </c>
      <c r="E993" s="286" t="s">
        <v>165</v>
      </c>
      <c r="F993" s="287">
        <v>48837</v>
      </c>
      <c r="G993" s="288" t="s">
        <v>1693</v>
      </c>
      <c r="H993" s="290">
        <v>1391</v>
      </c>
      <c r="I993" s="289">
        <v>1015.97</v>
      </c>
      <c r="J993" s="289">
        <v>1413220.81</v>
      </c>
      <c r="K993" s="288" t="s">
        <v>103</v>
      </c>
      <c r="L993" s="292">
        <v>1.9800000000000002E-2</v>
      </c>
    </row>
    <row r="994" spans="1:12" ht="15.75" thickBot="1" x14ac:dyDescent="0.3">
      <c r="A994" s="291" t="s">
        <v>127</v>
      </c>
      <c r="B994" s="286" t="s">
        <v>13</v>
      </c>
      <c r="C994" s="286" t="s">
        <v>1616</v>
      </c>
      <c r="D994" s="138" t="s">
        <v>1694</v>
      </c>
      <c r="E994" s="286" t="s">
        <v>165</v>
      </c>
      <c r="F994" s="287">
        <v>49202</v>
      </c>
      <c r="G994" s="288" t="s">
        <v>1695</v>
      </c>
      <c r="H994" s="288">
        <v>977</v>
      </c>
      <c r="I994" s="289">
        <v>953.98</v>
      </c>
      <c r="J994" s="289">
        <v>932042.68</v>
      </c>
      <c r="K994" s="288" t="s">
        <v>103</v>
      </c>
      <c r="L994" s="292">
        <v>1.3100000000000001E-2</v>
      </c>
    </row>
    <row r="995" spans="1:12" ht="15.75" thickBot="1" x14ac:dyDescent="0.3">
      <c r="A995" s="291" t="s">
        <v>127</v>
      </c>
      <c r="B995" s="286" t="s">
        <v>1696</v>
      </c>
      <c r="C995" s="286" t="s">
        <v>1616</v>
      </c>
      <c r="D995" s="138" t="s">
        <v>1697</v>
      </c>
      <c r="E995" s="286" t="s">
        <v>165</v>
      </c>
      <c r="F995" s="287">
        <v>48745</v>
      </c>
      <c r="G995" s="288" t="s">
        <v>1698</v>
      </c>
      <c r="H995" s="288">
        <v>144</v>
      </c>
      <c r="I995" s="289">
        <v>878.71</v>
      </c>
      <c r="J995" s="289">
        <v>126533.71</v>
      </c>
      <c r="K995" s="288" t="s">
        <v>103</v>
      </c>
      <c r="L995" s="292">
        <v>1.8E-3</v>
      </c>
    </row>
    <row r="996" spans="1:12" ht="15.75" thickBot="1" x14ac:dyDescent="0.3">
      <c r="A996" s="291" t="s">
        <v>127</v>
      </c>
      <c r="B996" s="286" t="s">
        <v>1699</v>
      </c>
      <c r="C996" s="286" t="s">
        <v>1616</v>
      </c>
      <c r="D996" s="138" t="s">
        <v>1700</v>
      </c>
      <c r="E996" s="286" t="s">
        <v>165</v>
      </c>
      <c r="F996" s="287">
        <v>48319</v>
      </c>
      <c r="G996" s="288" t="s">
        <v>1701</v>
      </c>
      <c r="H996" s="288">
        <v>22</v>
      </c>
      <c r="I996" s="289">
        <v>1036.53</v>
      </c>
      <c r="J996" s="289">
        <v>22803.59</v>
      </c>
      <c r="K996" s="288" t="s">
        <v>103</v>
      </c>
      <c r="L996" s="292">
        <v>2.9999999999999997E-4</v>
      </c>
    </row>
    <row r="997" spans="1:12" ht="15.75" thickBot="1" x14ac:dyDescent="0.3">
      <c r="A997" s="291" t="s">
        <v>127</v>
      </c>
      <c r="B997" s="286" t="s">
        <v>33</v>
      </c>
      <c r="C997" s="286" t="s">
        <v>1616</v>
      </c>
      <c r="D997" s="138" t="s">
        <v>1702</v>
      </c>
      <c r="E997" s="286" t="s">
        <v>165</v>
      </c>
      <c r="F997" s="287">
        <v>49110</v>
      </c>
      <c r="G997" s="288" t="s">
        <v>1652</v>
      </c>
      <c r="H997" s="290">
        <v>1500</v>
      </c>
      <c r="I997" s="289">
        <v>975.96</v>
      </c>
      <c r="J997" s="289">
        <v>1463936.67</v>
      </c>
      <c r="K997" s="288" t="s">
        <v>103</v>
      </c>
      <c r="L997" s="292">
        <v>2.0500000000000001E-2</v>
      </c>
    </row>
    <row r="998" spans="1:12" ht="15.75" thickBot="1" x14ac:dyDescent="0.3">
      <c r="A998" s="291" t="s">
        <v>127</v>
      </c>
      <c r="B998" s="286" t="s">
        <v>1703</v>
      </c>
      <c r="C998" s="286" t="s">
        <v>1616</v>
      </c>
      <c r="D998" s="138" t="s">
        <v>1704</v>
      </c>
      <c r="E998" s="286" t="s">
        <v>165</v>
      </c>
      <c r="F998" s="287">
        <v>50875</v>
      </c>
      <c r="G998" s="288" t="s">
        <v>1705</v>
      </c>
      <c r="H998" s="288">
        <v>873</v>
      </c>
      <c r="I998" s="289">
        <v>933.25</v>
      </c>
      <c r="J998" s="289">
        <v>814725.96</v>
      </c>
      <c r="K998" s="288" t="s">
        <v>103</v>
      </c>
      <c r="L998" s="292">
        <v>1.14E-2</v>
      </c>
    </row>
    <row r="999" spans="1:12" ht="15.75" thickBot="1" x14ac:dyDescent="0.3">
      <c r="A999" s="291" t="s">
        <v>127</v>
      </c>
      <c r="B999" s="286" t="s">
        <v>345</v>
      </c>
      <c r="C999" s="286" t="s">
        <v>1616</v>
      </c>
      <c r="D999" s="138" t="s">
        <v>1706</v>
      </c>
      <c r="E999" s="286" t="s">
        <v>165</v>
      </c>
      <c r="F999" s="287">
        <v>49810</v>
      </c>
      <c r="G999" s="288" t="s">
        <v>1707</v>
      </c>
      <c r="H999" s="290">
        <v>1287</v>
      </c>
      <c r="I999" s="289">
        <v>963.11</v>
      </c>
      <c r="J999" s="289">
        <v>1239526.2</v>
      </c>
      <c r="K999" s="288" t="s">
        <v>103</v>
      </c>
      <c r="L999" s="292">
        <v>1.7399999999999999E-2</v>
      </c>
    </row>
    <row r="1000" spans="1:12" ht="15.75" thickBot="1" x14ac:dyDescent="0.3">
      <c r="A1000" s="291" t="s">
        <v>127</v>
      </c>
      <c r="B1000" s="286" t="s">
        <v>1708</v>
      </c>
      <c r="C1000" s="286" t="s">
        <v>1616</v>
      </c>
      <c r="D1000" s="138" t="s">
        <v>1709</v>
      </c>
      <c r="E1000" s="286" t="s">
        <v>165</v>
      </c>
      <c r="F1000" s="287">
        <v>49140</v>
      </c>
      <c r="G1000" s="288" t="s">
        <v>1710</v>
      </c>
      <c r="H1000" s="288">
        <v>466</v>
      </c>
      <c r="I1000" s="289">
        <v>1304.32</v>
      </c>
      <c r="J1000" s="289">
        <v>607815.36</v>
      </c>
      <c r="K1000" s="288" t="s">
        <v>103</v>
      </c>
      <c r="L1000" s="292">
        <v>8.5000000000000006E-3</v>
      </c>
    </row>
    <row r="1001" spans="1:12" ht="15.75" thickBot="1" x14ac:dyDescent="0.3">
      <c r="A1001" s="291" t="s">
        <v>127</v>
      </c>
      <c r="B1001" s="286" t="s">
        <v>1708</v>
      </c>
      <c r="C1001" s="286" t="s">
        <v>1616</v>
      </c>
      <c r="D1001" s="138" t="s">
        <v>1711</v>
      </c>
      <c r="E1001" s="286" t="s">
        <v>165</v>
      </c>
      <c r="F1001" s="287">
        <v>49140</v>
      </c>
      <c r="G1001" s="288" t="s">
        <v>1710</v>
      </c>
      <c r="H1001" s="288">
        <v>155</v>
      </c>
      <c r="I1001" s="289">
        <v>1304.17</v>
      </c>
      <c r="J1001" s="289">
        <v>202146.29</v>
      </c>
      <c r="K1001" s="288" t="s">
        <v>103</v>
      </c>
      <c r="L1001" s="292">
        <v>2.8E-3</v>
      </c>
    </row>
    <row r="1002" spans="1:12" ht="15.75" thickBot="1" x14ac:dyDescent="0.3">
      <c r="A1002" s="291" t="s">
        <v>127</v>
      </c>
      <c r="B1002" s="286" t="s">
        <v>1712</v>
      </c>
      <c r="C1002" s="286" t="s">
        <v>1616</v>
      </c>
      <c r="D1002" s="138" t="s">
        <v>1713</v>
      </c>
      <c r="E1002" s="286" t="s">
        <v>165</v>
      </c>
      <c r="F1002" s="287">
        <v>49658</v>
      </c>
      <c r="G1002" s="288" t="s">
        <v>1714</v>
      </c>
      <c r="H1002" s="288">
        <v>3</v>
      </c>
      <c r="I1002" s="289">
        <v>11293.1</v>
      </c>
      <c r="J1002" s="289">
        <v>33879.31</v>
      </c>
      <c r="K1002" s="288" t="s">
        <v>103</v>
      </c>
      <c r="L1002" s="292">
        <v>5.0000000000000001E-4</v>
      </c>
    </row>
    <row r="1003" spans="1:12" ht="15.75" thickBot="1" x14ac:dyDescent="0.3">
      <c r="A1003" s="291" t="s">
        <v>127</v>
      </c>
      <c r="B1003" s="286" t="s">
        <v>1715</v>
      </c>
      <c r="C1003" s="286" t="s">
        <v>1616</v>
      </c>
      <c r="D1003" s="138" t="s">
        <v>1716</v>
      </c>
      <c r="E1003" s="286" t="s">
        <v>165</v>
      </c>
      <c r="F1003" s="287">
        <v>50540</v>
      </c>
      <c r="G1003" s="288" t="s">
        <v>1717</v>
      </c>
      <c r="H1003" s="290">
        <v>1822</v>
      </c>
      <c r="I1003" s="289">
        <v>950.99</v>
      </c>
      <c r="J1003" s="289">
        <v>1732699.87</v>
      </c>
      <c r="K1003" s="288" t="s">
        <v>103</v>
      </c>
      <c r="L1003" s="292">
        <v>2.4299999999999999E-2</v>
      </c>
    </row>
    <row r="1004" spans="1:12" ht="15.75" thickBot="1" x14ac:dyDescent="0.3">
      <c r="A1004" s="291" t="s">
        <v>127</v>
      </c>
      <c r="B1004" s="286" t="s">
        <v>1718</v>
      </c>
      <c r="C1004" s="286" t="s">
        <v>1616</v>
      </c>
      <c r="D1004" s="138" t="s">
        <v>1719</v>
      </c>
      <c r="E1004" s="286" t="s">
        <v>165</v>
      </c>
      <c r="F1004" s="287">
        <v>51028</v>
      </c>
      <c r="G1004" s="288" t="s">
        <v>1664</v>
      </c>
      <c r="H1004" s="290">
        <v>1909</v>
      </c>
      <c r="I1004" s="289">
        <v>966.2</v>
      </c>
      <c r="J1004" s="289">
        <v>1844473.44</v>
      </c>
      <c r="K1004" s="288" t="s">
        <v>103</v>
      </c>
      <c r="L1004" s="292">
        <v>2.5899999999999999E-2</v>
      </c>
    </row>
    <row r="1005" spans="1:12" ht="15.75" thickBot="1" x14ac:dyDescent="0.3">
      <c r="A1005" s="291" t="s">
        <v>127</v>
      </c>
      <c r="B1005" s="286" t="s">
        <v>1720</v>
      </c>
      <c r="C1005" s="286" t="s">
        <v>1616</v>
      </c>
      <c r="D1005" s="138" t="s">
        <v>1721</v>
      </c>
      <c r="E1005" s="286" t="s">
        <v>165</v>
      </c>
      <c r="F1005" s="287">
        <v>49597</v>
      </c>
      <c r="G1005" s="288" t="s">
        <v>1629</v>
      </c>
      <c r="H1005" s="290">
        <v>2215</v>
      </c>
      <c r="I1005" s="289">
        <v>978.87</v>
      </c>
      <c r="J1005" s="289">
        <v>2168206.2400000002</v>
      </c>
      <c r="K1005" s="288" t="s">
        <v>103</v>
      </c>
      <c r="L1005" s="292">
        <v>3.04E-2</v>
      </c>
    </row>
    <row r="1006" spans="1:12" ht="15.75" thickBot="1" x14ac:dyDescent="0.3">
      <c r="A1006" s="291" t="s">
        <v>127</v>
      </c>
      <c r="B1006" s="286" t="s">
        <v>944</v>
      </c>
      <c r="C1006" s="286" t="s">
        <v>1616</v>
      </c>
      <c r="D1006" s="138" t="s">
        <v>1174</v>
      </c>
      <c r="E1006" s="286" t="s">
        <v>165</v>
      </c>
      <c r="F1006" s="287">
        <v>48014</v>
      </c>
      <c r="G1006" s="288" t="s">
        <v>1498</v>
      </c>
      <c r="H1006" s="290">
        <v>1500</v>
      </c>
      <c r="I1006" s="289">
        <v>1002.16</v>
      </c>
      <c r="J1006" s="289">
        <v>1503237.59</v>
      </c>
      <c r="K1006" s="288" t="s">
        <v>103</v>
      </c>
      <c r="L1006" s="292">
        <v>2.1100000000000001E-2</v>
      </c>
    </row>
    <row r="1007" spans="1:12" ht="15.75" thickBot="1" x14ac:dyDescent="0.3">
      <c r="A1007" s="291" t="s">
        <v>127</v>
      </c>
      <c r="B1007" s="286" t="s">
        <v>1722</v>
      </c>
      <c r="C1007" s="286" t="s">
        <v>1616</v>
      </c>
      <c r="D1007" s="138" t="s">
        <v>1723</v>
      </c>
      <c r="E1007" s="286" t="s">
        <v>165</v>
      </c>
      <c r="F1007" s="287">
        <v>49140</v>
      </c>
      <c r="G1007" s="288" t="s">
        <v>1724</v>
      </c>
      <c r="H1007" s="290">
        <v>1020</v>
      </c>
      <c r="I1007" s="289">
        <v>977.4</v>
      </c>
      <c r="J1007" s="289">
        <v>996951.16</v>
      </c>
      <c r="K1007" s="288" t="s">
        <v>103</v>
      </c>
      <c r="L1007" s="292">
        <v>1.4E-2</v>
      </c>
    </row>
    <row r="1008" spans="1:12" ht="15.75" thickBot="1" x14ac:dyDescent="0.3">
      <c r="A1008" s="291" t="s">
        <v>127</v>
      </c>
      <c r="B1008" s="286" t="s">
        <v>795</v>
      </c>
      <c r="C1008" s="286" t="s">
        <v>1616</v>
      </c>
      <c r="D1008" s="138" t="s">
        <v>799</v>
      </c>
      <c r="E1008" s="286" t="s">
        <v>165</v>
      </c>
      <c r="F1008" s="287">
        <v>48106</v>
      </c>
      <c r="G1008" s="288" t="s">
        <v>1554</v>
      </c>
      <c r="H1008" s="288">
        <v>660</v>
      </c>
      <c r="I1008" s="289">
        <v>1039.3399999999999</v>
      </c>
      <c r="J1008" s="289">
        <v>685964.69</v>
      </c>
      <c r="K1008" s="288" t="s">
        <v>103</v>
      </c>
      <c r="L1008" s="292">
        <v>9.5999999999999992E-3</v>
      </c>
    </row>
    <row r="1009" spans="1:12" ht="15.75" thickBot="1" x14ac:dyDescent="0.3">
      <c r="A1009" s="291" t="s">
        <v>127</v>
      </c>
      <c r="B1009" s="286" t="s">
        <v>1725</v>
      </c>
      <c r="C1009" s="286" t="s">
        <v>1616</v>
      </c>
      <c r="D1009" s="138" t="s">
        <v>1726</v>
      </c>
      <c r="E1009" s="286" t="s">
        <v>165</v>
      </c>
      <c r="F1009" s="287">
        <v>49933</v>
      </c>
      <c r="G1009" s="288" t="s">
        <v>1727</v>
      </c>
      <c r="H1009" s="290">
        <v>2025</v>
      </c>
      <c r="I1009" s="289">
        <v>959.72</v>
      </c>
      <c r="J1009" s="289">
        <v>1943436.74</v>
      </c>
      <c r="K1009" s="288" t="s">
        <v>103</v>
      </c>
      <c r="L1009" s="292">
        <v>2.7199999999999998E-2</v>
      </c>
    </row>
    <row r="1010" spans="1:12" ht="15.75" thickBot="1" x14ac:dyDescent="0.3">
      <c r="A1010" s="291" t="s">
        <v>127</v>
      </c>
      <c r="B1010" s="286" t="s">
        <v>1728</v>
      </c>
      <c r="C1010" s="286" t="s">
        <v>1616</v>
      </c>
      <c r="D1010" s="138" t="s">
        <v>1729</v>
      </c>
      <c r="E1010" s="286" t="s">
        <v>165</v>
      </c>
      <c r="F1010" s="287">
        <v>49140</v>
      </c>
      <c r="G1010" s="288" t="s">
        <v>1730</v>
      </c>
      <c r="H1010" s="290">
        <v>1000</v>
      </c>
      <c r="I1010" s="289">
        <v>974.84</v>
      </c>
      <c r="J1010" s="289">
        <v>974837.6</v>
      </c>
      <c r="K1010" s="288" t="s">
        <v>103</v>
      </c>
      <c r="L1010" s="292">
        <v>1.37E-2</v>
      </c>
    </row>
    <row r="1011" spans="1:12" ht="15.75" thickBot="1" x14ac:dyDescent="0.3">
      <c r="A1011" s="291" t="s">
        <v>127</v>
      </c>
      <c r="B1011" s="286" t="s">
        <v>1731</v>
      </c>
      <c r="C1011" s="286" t="s">
        <v>1616</v>
      </c>
      <c r="D1011" s="138" t="s">
        <v>1732</v>
      </c>
      <c r="E1011" s="286" t="s">
        <v>165</v>
      </c>
      <c r="F1011" s="287">
        <v>49689</v>
      </c>
      <c r="G1011" s="288" t="s">
        <v>1733</v>
      </c>
      <c r="H1011" s="288">
        <v>350</v>
      </c>
      <c r="I1011" s="289">
        <v>1084.42</v>
      </c>
      <c r="J1011" s="289">
        <v>379548.66</v>
      </c>
      <c r="K1011" s="288" t="s">
        <v>103</v>
      </c>
      <c r="L1011" s="292">
        <v>5.3E-3</v>
      </c>
    </row>
    <row r="1012" spans="1:12" ht="15.75" thickBot="1" x14ac:dyDescent="0.3">
      <c r="A1012" s="291" t="s">
        <v>127</v>
      </c>
      <c r="B1012" s="286" t="s">
        <v>1734</v>
      </c>
      <c r="C1012" s="286" t="s">
        <v>1616</v>
      </c>
      <c r="D1012" s="138" t="s">
        <v>1735</v>
      </c>
      <c r="E1012" s="286" t="s">
        <v>165</v>
      </c>
      <c r="F1012" s="287">
        <v>48044</v>
      </c>
      <c r="G1012" s="288" t="s">
        <v>1736</v>
      </c>
      <c r="H1012" s="288">
        <v>250</v>
      </c>
      <c r="I1012" s="289">
        <v>1015.69</v>
      </c>
      <c r="J1012" s="289">
        <v>253922</v>
      </c>
      <c r="K1012" s="288" t="s">
        <v>103</v>
      </c>
      <c r="L1012" s="292">
        <v>3.5999999999999999E-3</v>
      </c>
    </row>
    <row r="1013" spans="1:12" ht="15.75" thickBot="1" x14ac:dyDescent="0.3">
      <c r="A1013" s="291" t="s">
        <v>127</v>
      </c>
      <c r="B1013" s="286" t="s">
        <v>1737</v>
      </c>
      <c r="C1013" s="286" t="s">
        <v>1616</v>
      </c>
      <c r="D1013" s="138" t="s">
        <v>1738</v>
      </c>
      <c r="E1013" s="286" t="s">
        <v>165</v>
      </c>
      <c r="F1013" s="287">
        <v>52305</v>
      </c>
      <c r="G1013" s="288" t="s">
        <v>1739</v>
      </c>
      <c r="H1013" s="288">
        <v>375</v>
      </c>
      <c r="I1013" s="289">
        <v>987.93</v>
      </c>
      <c r="J1013" s="289">
        <v>370473.43</v>
      </c>
      <c r="K1013" s="288" t="s">
        <v>103</v>
      </c>
      <c r="L1013" s="292">
        <v>5.1999999999999998E-3</v>
      </c>
    </row>
    <row r="1014" spans="1:12" ht="15.75" thickBot="1" x14ac:dyDescent="0.3">
      <c r="A1014" s="291" t="s">
        <v>127</v>
      </c>
      <c r="B1014" s="286" t="s">
        <v>1740</v>
      </c>
      <c r="C1014" s="286" t="s">
        <v>1616</v>
      </c>
      <c r="D1014" s="138" t="s">
        <v>1741</v>
      </c>
      <c r="E1014" s="286" t="s">
        <v>165</v>
      </c>
      <c r="F1014" s="287">
        <v>52793</v>
      </c>
      <c r="G1014" s="288" t="s">
        <v>1742</v>
      </c>
      <c r="H1014" s="290">
        <v>1084</v>
      </c>
      <c r="I1014" s="289">
        <v>994.1</v>
      </c>
      <c r="J1014" s="289">
        <v>1077601.95</v>
      </c>
      <c r="K1014" s="288" t="s">
        <v>103</v>
      </c>
      <c r="L1014" s="292">
        <v>1.5100000000000001E-2</v>
      </c>
    </row>
    <row r="1015" spans="1:12" ht="15.75" thickBot="1" x14ac:dyDescent="0.3">
      <c r="A1015" s="291" t="s">
        <v>127</v>
      </c>
      <c r="B1015" s="286" t="s">
        <v>1743</v>
      </c>
      <c r="C1015" s="286" t="s">
        <v>1616</v>
      </c>
      <c r="D1015" s="138" t="s">
        <v>1744</v>
      </c>
      <c r="E1015" s="286" t="s">
        <v>165</v>
      </c>
      <c r="F1015" s="287">
        <v>52124</v>
      </c>
      <c r="G1015" s="288" t="s">
        <v>1745</v>
      </c>
      <c r="H1015" s="290">
        <v>664939</v>
      </c>
      <c r="I1015" s="289">
        <v>0.97</v>
      </c>
      <c r="J1015" s="289">
        <v>646093.96</v>
      </c>
      <c r="K1015" s="288" t="s">
        <v>103</v>
      </c>
      <c r="L1015" s="292">
        <v>9.1000000000000004E-3</v>
      </c>
    </row>
    <row r="1016" spans="1:12" ht="15.75" thickBot="1" x14ac:dyDescent="0.3">
      <c r="A1016" s="291" t="s">
        <v>127</v>
      </c>
      <c r="B1016" s="286" t="s">
        <v>1743</v>
      </c>
      <c r="C1016" s="286" t="s">
        <v>1616</v>
      </c>
      <c r="D1016" s="138" t="s">
        <v>1746</v>
      </c>
      <c r="E1016" s="286" t="s">
        <v>165</v>
      </c>
      <c r="F1016" s="287">
        <v>51881</v>
      </c>
      <c r="G1016" s="288" t="s">
        <v>1747</v>
      </c>
      <c r="H1016" s="290">
        <v>2659</v>
      </c>
      <c r="I1016" s="289">
        <v>9.31</v>
      </c>
      <c r="J1016" s="289">
        <v>24762.98</v>
      </c>
      <c r="K1016" s="288" t="s">
        <v>103</v>
      </c>
      <c r="L1016" s="292">
        <v>2.9999999999999997E-4</v>
      </c>
    </row>
    <row r="1017" spans="1:12" ht="15.75" thickBot="1" x14ac:dyDescent="0.3">
      <c r="A1017" s="291" t="s">
        <v>127</v>
      </c>
      <c r="B1017" s="286" t="s">
        <v>494</v>
      </c>
      <c r="C1017" s="286" t="s">
        <v>1616</v>
      </c>
      <c r="D1017" s="138" t="s">
        <v>1748</v>
      </c>
      <c r="E1017" s="286" t="s">
        <v>165</v>
      </c>
      <c r="F1017" s="287">
        <v>50175</v>
      </c>
      <c r="G1017" s="288" t="s">
        <v>1749</v>
      </c>
      <c r="H1017" s="288">
        <v>225</v>
      </c>
      <c r="I1017" s="289">
        <v>1021.62</v>
      </c>
      <c r="J1017" s="289">
        <v>229864.18</v>
      </c>
      <c r="K1017" s="288" t="s">
        <v>103</v>
      </c>
      <c r="L1017" s="292">
        <v>3.2000000000000002E-3</v>
      </c>
    </row>
    <row r="1018" spans="1:12" ht="15.75" thickBot="1" x14ac:dyDescent="0.3">
      <c r="A1018" s="291" t="s">
        <v>127</v>
      </c>
      <c r="B1018" s="286" t="s">
        <v>103</v>
      </c>
      <c r="C1018" s="286" t="s">
        <v>1616</v>
      </c>
      <c r="D1018" s="138" t="s">
        <v>1750</v>
      </c>
      <c r="E1018" s="286" t="s">
        <v>165</v>
      </c>
      <c r="F1018" s="287">
        <v>48594</v>
      </c>
      <c r="G1018" s="288" t="s">
        <v>103</v>
      </c>
      <c r="H1018" s="290">
        <v>1752</v>
      </c>
      <c r="I1018" s="289">
        <v>978.97</v>
      </c>
      <c r="J1018" s="289">
        <v>1715147.38</v>
      </c>
      <c r="K1018" s="288" t="s">
        <v>103</v>
      </c>
      <c r="L1018" s="292">
        <v>2.4E-2</v>
      </c>
    </row>
    <row r="1019" spans="1:12" ht="15.75" thickBot="1" x14ac:dyDescent="0.3">
      <c r="A1019" s="291" t="s">
        <v>127</v>
      </c>
      <c r="B1019" s="286" t="s">
        <v>103</v>
      </c>
      <c r="C1019" s="286" t="s">
        <v>1616</v>
      </c>
      <c r="D1019" s="138" t="s">
        <v>1751</v>
      </c>
      <c r="E1019" s="286" t="s">
        <v>165</v>
      </c>
      <c r="F1019" s="287">
        <v>49324</v>
      </c>
      <c r="G1019" s="288" t="s">
        <v>103</v>
      </c>
      <c r="H1019" s="290">
        <v>1303</v>
      </c>
      <c r="I1019" s="289">
        <v>1016.27</v>
      </c>
      <c r="J1019" s="289">
        <v>1324201.27</v>
      </c>
      <c r="K1019" s="288" t="s">
        <v>103</v>
      </c>
      <c r="L1019" s="292">
        <v>1.8599999999999998E-2</v>
      </c>
    </row>
    <row r="1020" spans="1:12" ht="15.75" thickBot="1" x14ac:dyDescent="0.3">
      <c r="A1020" s="291" t="s">
        <v>127</v>
      </c>
      <c r="B1020" s="286" t="s">
        <v>103</v>
      </c>
      <c r="C1020" s="286" t="s">
        <v>1616</v>
      </c>
      <c r="D1020" s="138" t="s">
        <v>1752</v>
      </c>
      <c r="E1020" s="286" t="s">
        <v>165</v>
      </c>
      <c r="F1020" s="287">
        <v>47741</v>
      </c>
      <c r="G1020" s="288" t="s">
        <v>103</v>
      </c>
      <c r="H1020" s="288">
        <v>933</v>
      </c>
      <c r="I1020" s="289">
        <v>1099.53</v>
      </c>
      <c r="J1020" s="289">
        <v>1025863.38</v>
      </c>
      <c r="K1020" s="288" t="s">
        <v>103</v>
      </c>
      <c r="L1020" s="292">
        <v>1.44E-2</v>
      </c>
    </row>
    <row r="1021" spans="1:12" ht="15.75" thickBot="1" x14ac:dyDescent="0.3">
      <c r="A1021" s="291" t="s">
        <v>127</v>
      </c>
      <c r="B1021" s="286" t="s">
        <v>103</v>
      </c>
      <c r="C1021" s="286" t="s">
        <v>1616</v>
      </c>
      <c r="D1021" s="138" t="s">
        <v>1753</v>
      </c>
      <c r="E1021" s="286" t="s">
        <v>165</v>
      </c>
      <c r="F1021" s="287">
        <v>49629</v>
      </c>
      <c r="G1021" s="288" t="s">
        <v>103</v>
      </c>
      <c r="H1021" s="288">
        <v>906</v>
      </c>
      <c r="I1021" s="289">
        <v>1074.46</v>
      </c>
      <c r="J1021" s="289">
        <v>973465.1</v>
      </c>
      <c r="K1021" s="288" t="s">
        <v>103</v>
      </c>
      <c r="L1021" s="292">
        <v>1.3599999999999999E-2</v>
      </c>
    </row>
    <row r="1022" spans="1:12" ht="15.75" thickBot="1" x14ac:dyDescent="0.3">
      <c r="A1022" s="291" t="s">
        <v>131</v>
      </c>
      <c r="B1022" s="286" t="s">
        <v>140</v>
      </c>
      <c r="C1022" s="286" t="s">
        <v>1616</v>
      </c>
      <c r="D1022" s="138">
        <v>100000</v>
      </c>
      <c r="E1022" s="286" t="s">
        <v>165</v>
      </c>
      <c r="F1022" s="287">
        <v>47119</v>
      </c>
      <c r="G1022" s="288" t="s">
        <v>103</v>
      </c>
      <c r="H1022" s="288">
        <v>308</v>
      </c>
      <c r="I1022" s="289">
        <v>584.77</v>
      </c>
      <c r="J1022" s="289">
        <v>180108.37</v>
      </c>
      <c r="K1022" s="288" t="s">
        <v>103</v>
      </c>
      <c r="L1022" s="292">
        <v>2.5000000000000001E-3</v>
      </c>
    </row>
    <row r="1023" spans="1:12" ht="15.75" thickBot="1" x14ac:dyDescent="0.3">
      <c r="A1023" s="291" t="s">
        <v>144</v>
      </c>
      <c r="B1023" s="286" t="s">
        <v>103</v>
      </c>
      <c r="C1023" s="286" t="s">
        <v>1616</v>
      </c>
      <c r="D1023" s="138" t="s">
        <v>144</v>
      </c>
      <c r="E1023" s="286" t="s">
        <v>165</v>
      </c>
      <c r="F1023" s="288" t="s">
        <v>103</v>
      </c>
      <c r="G1023" s="288" t="s">
        <v>103</v>
      </c>
      <c r="H1023" s="288" t="s">
        <v>103</v>
      </c>
      <c r="I1023" s="288" t="s">
        <v>103</v>
      </c>
      <c r="J1023" s="289">
        <v>0</v>
      </c>
      <c r="K1023" s="288" t="s">
        <v>103</v>
      </c>
      <c r="L1023" s="292">
        <v>0</v>
      </c>
    </row>
    <row r="1024" spans="1:12" ht="15.75" thickBot="1" x14ac:dyDescent="0.3">
      <c r="A1024" s="291" t="s">
        <v>105</v>
      </c>
      <c r="B1024" s="286" t="s">
        <v>103</v>
      </c>
      <c r="C1024" s="286" t="s">
        <v>299</v>
      </c>
      <c r="D1024" s="138" t="s">
        <v>105</v>
      </c>
      <c r="E1024" s="286" t="s">
        <v>165</v>
      </c>
      <c r="F1024" s="288" t="s">
        <v>103</v>
      </c>
      <c r="G1024" s="288" t="s">
        <v>103</v>
      </c>
      <c r="H1024" s="288" t="s">
        <v>103</v>
      </c>
      <c r="I1024" s="288" t="s">
        <v>103</v>
      </c>
      <c r="J1024" s="289">
        <v>336.12</v>
      </c>
      <c r="K1024" s="288" t="s">
        <v>103</v>
      </c>
      <c r="L1024" s="292">
        <v>0</v>
      </c>
    </row>
    <row r="1025" spans="1:12" ht="15.75" thickBot="1" x14ac:dyDescent="0.3">
      <c r="A1025" s="291" t="s">
        <v>117</v>
      </c>
      <c r="B1025" s="286" t="s">
        <v>851</v>
      </c>
      <c r="C1025" s="286" t="s">
        <v>299</v>
      </c>
      <c r="D1025" s="138" t="s">
        <v>244</v>
      </c>
      <c r="E1025" s="286" t="s">
        <v>165</v>
      </c>
      <c r="F1025" s="288" t="s">
        <v>103</v>
      </c>
      <c r="G1025" s="288" t="s">
        <v>103</v>
      </c>
      <c r="H1025" s="290">
        <v>136424638</v>
      </c>
      <c r="I1025" s="289">
        <v>1.49</v>
      </c>
      <c r="J1025" s="289">
        <v>203234785.02000001</v>
      </c>
      <c r="K1025" s="288" t="s">
        <v>103</v>
      </c>
      <c r="L1025" s="292">
        <v>0.93500000000000005</v>
      </c>
    </row>
    <row r="1026" spans="1:12" ht="15.75" thickBot="1" x14ac:dyDescent="0.3">
      <c r="A1026" s="291" t="s">
        <v>118</v>
      </c>
      <c r="B1026" s="286" t="s">
        <v>25</v>
      </c>
      <c r="C1026" s="286" t="s">
        <v>299</v>
      </c>
      <c r="D1026" s="138" t="s">
        <v>119</v>
      </c>
      <c r="E1026" s="286" t="s">
        <v>165</v>
      </c>
      <c r="F1026" s="288" t="s">
        <v>103</v>
      </c>
      <c r="G1026" s="288" t="s">
        <v>103</v>
      </c>
      <c r="H1026" s="290">
        <v>532792</v>
      </c>
      <c r="I1026" s="289">
        <v>4.67</v>
      </c>
      <c r="J1026" s="289">
        <v>2488390.84</v>
      </c>
      <c r="K1026" s="288" t="s">
        <v>103</v>
      </c>
      <c r="L1026" s="292">
        <v>1.14E-2</v>
      </c>
    </row>
    <row r="1027" spans="1:12" ht="15.75" thickBot="1" x14ac:dyDescent="0.3">
      <c r="A1027" s="291" t="s">
        <v>118</v>
      </c>
      <c r="B1027" s="286" t="s">
        <v>1236</v>
      </c>
      <c r="C1027" s="286" t="s">
        <v>299</v>
      </c>
      <c r="D1027" s="138" t="s">
        <v>940</v>
      </c>
      <c r="E1027" s="286" t="s">
        <v>165</v>
      </c>
      <c r="F1027" s="288" t="s">
        <v>103</v>
      </c>
      <c r="G1027" s="288" t="s">
        <v>103</v>
      </c>
      <c r="H1027" s="290">
        <v>9288624</v>
      </c>
      <c r="I1027" s="289">
        <v>1.25</v>
      </c>
      <c r="J1027" s="289">
        <v>11599011.1</v>
      </c>
      <c r="K1027" s="288" t="s">
        <v>103</v>
      </c>
      <c r="L1027" s="292">
        <v>5.3400000000000003E-2</v>
      </c>
    </row>
    <row r="1028" spans="1:12" ht="15.75" thickBot="1" x14ac:dyDescent="0.3">
      <c r="A1028" s="291" t="s">
        <v>131</v>
      </c>
      <c r="B1028" s="286" t="s">
        <v>140</v>
      </c>
      <c r="C1028" s="286" t="s">
        <v>299</v>
      </c>
      <c r="D1028" s="138">
        <v>760199</v>
      </c>
      <c r="E1028" s="286" t="s">
        <v>165</v>
      </c>
      <c r="F1028" s="287">
        <v>49444</v>
      </c>
      <c r="G1028" s="288" t="s">
        <v>103</v>
      </c>
      <c r="H1028" s="288">
        <v>8</v>
      </c>
      <c r="I1028" s="289">
        <v>3685.71</v>
      </c>
      <c r="J1028" s="289">
        <v>29485.69</v>
      </c>
      <c r="K1028" s="288" t="s">
        <v>103</v>
      </c>
      <c r="L1028" s="292">
        <v>1E-4</v>
      </c>
    </row>
    <row r="1029" spans="1:12" ht="15.75" thickBot="1" x14ac:dyDescent="0.3">
      <c r="A1029" s="291" t="s">
        <v>144</v>
      </c>
      <c r="B1029" s="286" t="s">
        <v>103</v>
      </c>
      <c r="C1029" s="286" t="s">
        <v>299</v>
      </c>
      <c r="D1029" s="138" t="s">
        <v>144</v>
      </c>
      <c r="E1029" s="286" t="s">
        <v>165</v>
      </c>
      <c r="F1029" s="288" t="s">
        <v>103</v>
      </c>
      <c r="G1029" s="288" t="s">
        <v>103</v>
      </c>
      <c r="H1029" s="288" t="s">
        <v>103</v>
      </c>
      <c r="I1029" s="288" t="s">
        <v>103</v>
      </c>
      <c r="J1029" s="289">
        <v>0</v>
      </c>
      <c r="K1029" s="288" t="s">
        <v>103</v>
      </c>
      <c r="L1029" s="292">
        <v>0</v>
      </c>
    </row>
    <row r="1030" spans="1:12" ht="15.75" thickBot="1" x14ac:dyDescent="0.3">
      <c r="A1030" s="291" t="s">
        <v>99</v>
      </c>
      <c r="B1030" s="286" t="s">
        <v>140</v>
      </c>
      <c r="C1030" s="286" t="s">
        <v>109</v>
      </c>
      <c r="D1030" s="138" t="s">
        <v>248</v>
      </c>
      <c r="E1030" s="286" t="s">
        <v>1186</v>
      </c>
      <c r="F1030" s="287">
        <v>46082</v>
      </c>
      <c r="G1030" s="288" t="s">
        <v>103</v>
      </c>
      <c r="H1030" s="288">
        <v>60</v>
      </c>
      <c r="I1030" s="289">
        <v>16114.22</v>
      </c>
      <c r="J1030" s="289">
        <v>966853.41</v>
      </c>
      <c r="K1030" s="288" t="s">
        <v>103</v>
      </c>
      <c r="L1030" s="292">
        <v>2.9899999999999999E-2</v>
      </c>
    </row>
    <row r="1031" spans="1:12" ht="15.75" thickBot="1" x14ac:dyDescent="0.3">
      <c r="A1031" s="291" t="s">
        <v>99</v>
      </c>
      <c r="B1031" s="286" t="s">
        <v>140</v>
      </c>
      <c r="C1031" s="286" t="s">
        <v>109</v>
      </c>
      <c r="D1031" s="138" t="s">
        <v>188</v>
      </c>
      <c r="E1031" s="286" t="s">
        <v>1186</v>
      </c>
      <c r="F1031" s="287">
        <v>46266</v>
      </c>
      <c r="G1031" s="288" t="s">
        <v>103</v>
      </c>
      <c r="H1031" s="288">
        <v>60</v>
      </c>
      <c r="I1031" s="289">
        <v>16113.97</v>
      </c>
      <c r="J1031" s="289">
        <v>966837.94</v>
      </c>
      <c r="K1031" s="288" t="s">
        <v>103</v>
      </c>
      <c r="L1031" s="292">
        <v>2.9899999999999999E-2</v>
      </c>
    </row>
    <row r="1032" spans="1:12" ht="15.75" thickBot="1" x14ac:dyDescent="0.3">
      <c r="A1032" s="291" t="s">
        <v>105</v>
      </c>
      <c r="B1032" s="286" t="s">
        <v>103</v>
      </c>
      <c r="C1032" s="286" t="s">
        <v>109</v>
      </c>
      <c r="D1032" s="138" t="s">
        <v>105</v>
      </c>
      <c r="E1032" s="286" t="s">
        <v>165</v>
      </c>
      <c r="F1032" s="288" t="s">
        <v>103</v>
      </c>
      <c r="G1032" s="288" t="s">
        <v>103</v>
      </c>
      <c r="H1032" s="288" t="s">
        <v>103</v>
      </c>
      <c r="I1032" s="288" t="s">
        <v>103</v>
      </c>
      <c r="J1032" s="289">
        <v>-73475.48</v>
      </c>
      <c r="K1032" s="288" t="s">
        <v>103</v>
      </c>
      <c r="L1032" s="292">
        <v>-2.3E-3</v>
      </c>
    </row>
    <row r="1033" spans="1:12" ht="15.75" thickBot="1" x14ac:dyDescent="0.3">
      <c r="A1033" s="291" t="s">
        <v>134</v>
      </c>
      <c r="B1033" s="286" t="s">
        <v>191</v>
      </c>
      <c r="C1033" s="286" t="s">
        <v>109</v>
      </c>
      <c r="D1033" s="138" t="s">
        <v>517</v>
      </c>
      <c r="E1033" s="286" t="s">
        <v>535</v>
      </c>
      <c r="F1033" s="287">
        <v>46904</v>
      </c>
      <c r="G1033" s="288" t="s">
        <v>103</v>
      </c>
      <c r="H1033" s="288">
        <v>4</v>
      </c>
      <c r="I1033" s="289">
        <v>534728.39</v>
      </c>
      <c r="J1033" s="289">
        <v>2138913.56</v>
      </c>
      <c r="K1033" s="288" t="s">
        <v>103</v>
      </c>
      <c r="L1033" s="292">
        <v>6.6100000000000006E-2</v>
      </c>
    </row>
    <row r="1034" spans="1:12" ht="15.75" thickBot="1" x14ac:dyDescent="0.3">
      <c r="A1034" s="291" t="s">
        <v>134</v>
      </c>
      <c r="B1034" s="286" t="s">
        <v>490</v>
      </c>
      <c r="C1034" s="286" t="s">
        <v>109</v>
      </c>
      <c r="D1034" s="138" t="s">
        <v>491</v>
      </c>
      <c r="E1034" s="286" t="s">
        <v>540</v>
      </c>
      <c r="F1034" s="287">
        <v>46720</v>
      </c>
      <c r="G1034" s="288" t="s">
        <v>103</v>
      </c>
      <c r="H1034" s="288">
        <v>2</v>
      </c>
      <c r="I1034" s="289">
        <v>708004.46</v>
      </c>
      <c r="J1034" s="289">
        <v>1416008.92</v>
      </c>
      <c r="K1034" s="288" t="s">
        <v>103</v>
      </c>
      <c r="L1034" s="292">
        <v>4.3700000000000003E-2</v>
      </c>
    </row>
    <row r="1035" spans="1:12" ht="15.75" thickBot="1" x14ac:dyDescent="0.3">
      <c r="A1035" s="291" t="s">
        <v>134</v>
      </c>
      <c r="B1035" s="286" t="s">
        <v>190</v>
      </c>
      <c r="C1035" s="286" t="s">
        <v>109</v>
      </c>
      <c r="D1035" s="138" t="s">
        <v>1188</v>
      </c>
      <c r="E1035" s="286" t="s">
        <v>536</v>
      </c>
      <c r="F1035" s="287">
        <v>45901</v>
      </c>
      <c r="G1035" s="288" t="s">
        <v>103</v>
      </c>
      <c r="H1035" s="288">
        <v>3</v>
      </c>
      <c r="I1035" s="289">
        <v>640815.29</v>
      </c>
      <c r="J1035" s="289">
        <v>1922445.86</v>
      </c>
      <c r="K1035" s="288" t="s">
        <v>103</v>
      </c>
      <c r="L1035" s="292">
        <v>5.9400000000000001E-2</v>
      </c>
    </row>
    <row r="1036" spans="1:12" ht="15.75" thickBot="1" x14ac:dyDescent="0.3">
      <c r="A1036" s="291" t="s">
        <v>134</v>
      </c>
      <c r="B1036" s="286" t="s">
        <v>190</v>
      </c>
      <c r="C1036" s="286" t="s">
        <v>109</v>
      </c>
      <c r="D1036" s="138" t="s">
        <v>1189</v>
      </c>
      <c r="E1036" s="286" t="s">
        <v>542</v>
      </c>
      <c r="F1036" s="287">
        <v>45918</v>
      </c>
      <c r="G1036" s="288" t="s">
        <v>103</v>
      </c>
      <c r="H1036" s="288">
        <v>2</v>
      </c>
      <c r="I1036" s="289">
        <v>913251.93</v>
      </c>
      <c r="J1036" s="289">
        <v>1826503.86</v>
      </c>
      <c r="K1036" s="288" t="s">
        <v>103</v>
      </c>
      <c r="L1036" s="292">
        <v>5.6399999999999999E-2</v>
      </c>
    </row>
    <row r="1037" spans="1:12" ht="15.75" thickBot="1" x14ac:dyDescent="0.3">
      <c r="A1037" s="291" t="s">
        <v>134</v>
      </c>
      <c r="B1037" s="286" t="s">
        <v>190</v>
      </c>
      <c r="C1037" s="286" t="s">
        <v>109</v>
      </c>
      <c r="D1037" s="138" t="s">
        <v>1190</v>
      </c>
      <c r="E1037" s="286" t="s">
        <v>537</v>
      </c>
      <c r="F1037" s="287">
        <v>45882</v>
      </c>
      <c r="G1037" s="288" t="s">
        <v>103</v>
      </c>
      <c r="H1037" s="288">
        <v>1</v>
      </c>
      <c r="I1037" s="289">
        <v>918287.48</v>
      </c>
      <c r="J1037" s="289">
        <v>918287.48</v>
      </c>
      <c r="K1037" s="288" t="s">
        <v>103</v>
      </c>
      <c r="L1037" s="292">
        <v>2.8400000000000002E-2</v>
      </c>
    </row>
    <row r="1038" spans="1:12" ht="15.75" thickBot="1" x14ac:dyDescent="0.3">
      <c r="A1038" s="291" t="s">
        <v>134</v>
      </c>
      <c r="B1038" s="286" t="s">
        <v>190</v>
      </c>
      <c r="C1038" s="286" t="s">
        <v>109</v>
      </c>
      <c r="D1038" s="138" t="s">
        <v>1191</v>
      </c>
      <c r="E1038" s="286" t="s">
        <v>537</v>
      </c>
      <c r="F1038" s="287">
        <v>45915</v>
      </c>
      <c r="G1038" s="288" t="s">
        <v>103</v>
      </c>
      <c r="H1038" s="288">
        <v>1</v>
      </c>
      <c r="I1038" s="289">
        <v>731104.18</v>
      </c>
      <c r="J1038" s="289">
        <v>731104.18</v>
      </c>
      <c r="K1038" s="288" t="s">
        <v>103</v>
      </c>
      <c r="L1038" s="292">
        <v>2.2599999999999999E-2</v>
      </c>
    </row>
    <row r="1039" spans="1:12" ht="15.75" thickBot="1" x14ac:dyDescent="0.3">
      <c r="A1039" s="291" t="s">
        <v>112</v>
      </c>
      <c r="B1039" s="286" t="s">
        <v>201</v>
      </c>
      <c r="C1039" s="286" t="s">
        <v>109</v>
      </c>
      <c r="D1039" s="138" t="s">
        <v>1192</v>
      </c>
      <c r="E1039" s="286" t="s">
        <v>165</v>
      </c>
      <c r="F1039" s="287">
        <v>46238</v>
      </c>
      <c r="G1039" s="288" t="s">
        <v>103</v>
      </c>
      <c r="H1039" s="288">
        <v>5</v>
      </c>
      <c r="I1039" s="289">
        <v>61329.72</v>
      </c>
      <c r="J1039" s="289">
        <v>306648.59999999998</v>
      </c>
      <c r="K1039" s="288" t="s">
        <v>103</v>
      </c>
      <c r="L1039" s="292">
        <v>9.4999999999999998E-3</v>
      </c>
    </row>
    <row r="1040" spans="1:12" ht="15.75" thickBot="1" x14ac:dyDescent="0.3">
      <c r="A1040" s="291" t="s">
        <v>112</v>
      </c>
      <c r="B1040" s="286" t="s">
        <v>324</v>
      </c>
      <c r="C1040" s="286" t="s">
        <v>109</v>
      </c>
      <c r="D1040" s="138" t="s">
        <v>325</v>
      </c>
      <c r="E1040" s="286" t="s">
        <v>1471</v>
      </c>
      <c r="F1040" s="287">
        <v>45780</v>
      </c>
      <c r="G1040" s="288" t="s">
        <v>103</v>
      </c>
      <c r="H1040" s="288">
        <v>11</v>
      </c>
      <c r="I1040" s="289">
        <v>71979.17</v>
      </c>
      <c r="J1040" s="289">
        <v>791770.91</v>
      </c>
      <c r="K1040" s="288" t="s">
        <v>103</v>
      </c>
      <c r="L1040" s="292">
        <v>2.4500000000000001E-2</v>
      </c>
    </row>
    <row r="1041" spans="1:12" ht="15.75" thickBot="1" x14ac:dyDescent="0.3">
      <c r="A1041" s="291" t="s">
        <v>112</v>
      </c>
      <c r="B1041" s="286" t="s">
        <v>324</v>
      </c>
      <c r="C1041" s="286" t="s">
        <v>109</v>
      </c>
      <c r="D1041" s="138" t="s">
        <v>1193</v>
      </c>
      <c r="E1041" s="286" t="s">
        <v>165</v>
      </c>
      <c r="F1041" s="287">
        <v>46286</v>
      </c>
      <c r="G1041" s="288" t="s">
        <v>103</v>
      </c>
      <c r="H1041" s="288">
        <v>1</v>
      </c>
      <c r="I1041" s="289">
        <v>74720.350000000006</v>
      </c>
      <c r="J1041" s="289">
        <v>74720.350000000006</v>
      </c>
      <c r="K1041" s="288" t="s">
        <v>103</v>
      </c>
      <c r="L1041" s="292">
        <v>2.3E-3</v>
      </c>
    </row>
    <row r="1042" spans="1:12" ht="15.75" thickBot="1" x14ac:dyDescent="0.3">
      <c r="A1042" s="291" t="s">
        <v>112</v>
      </c>
      <c r="B1042" s="286" t="s">
        <v>193</v>
      </c>
      <c r="C1042" s="286" t="s">
        <v>109</v>
      </c>
      <c r="D1042" s="138" t="s">
        <v>1194</v>
      </c>
      <c r="E1042" s="286" t="s">
        <v>165</v>
      </c>
      <c r="F1042" s="287">
        <v>46014</v>
      </c>
      <c r="G1042" s="288" t="s">
        <v>103</v>
      </c>
      <c r="H1042" s="288">
        <v>48</v>
      </c>
      <c r="I1042" s="289">
        <v>72753.37</v>
      </c>
      <c r="J1042" s="289">
        <v>3492161.9</v>
      </c>
      <c r="K1042" s="288" t="s">
        <v>103</v>
      </c>
      <c r="L1042" s="292">
        <v>0.10780000000000001</v>
      </c>
    </row>
    <row r="1043" spans="1:12" ht="15.75" thickBot="1" x14ac:dyDescent="0.3">
      <c r="A1043" s="291" t="s">
        <v>113</v>
      </c>
      <c r="B1043" s="286" t="s">
        <v>114</v>
      </c>
      <c r="C1043" s="286" t="s">
        <v>109</v>
      </c>
      <c r="D1043" s="138" t="s">
        <v>479</v>
      </c>
      <c r="E1043" s="286" t="s">
        <v>1484</v>
      </c>
      <c r="F1043" s="287">
        <v>46024</v>
      </c>
      <c r="G1043" s="288" t="s">
        <v>103</v>
      </c>
      <c r="H1043" s="288">
        <v>5</v>
      </c>
      <c r="I1043" s="289">
        <v>89079.679999999993</v>
      </c>
      <c r="J1043" s="289">
        <v>121.28</v>
      </c>
      <c r="K1043" s="289">
        <v>445398.4</v>
      </c>
      <c r="L1043" s="292">
        <v>1.38E-2</v>
      </c>
    </row>
    <row r="1044" spans="1:12" ht="15.75" thickBot="1" x14ac:dyDescent="0.3">
      <c r="A1044" s="291" t="s">
        <v>113</v>
      </c>
      <c r="B1044" s="286" t="s">
        <v>114</v>
      </c>
      <c r="C1044" s="286" t="s">
        <v>109</v>
      </c>
      <c r="D1044" s="138" t="s">
        <v>179</v>
      </c>
      <c r="E1044" s="286" t="s">
        <v>888</v>
      </c>
      <c r="F1044" s="287">
        <v>46980</v>
      </c>
      <c r="G1044" s="288" t="s">
        <v>103</v>
      </c>
      <c r="H1044" s="288">
        <v>1</v>
      </c>
      <c r="I1044" s="289">
        <v>139301.9</v>
      </c>
      <c r="J1044" s="289">
        <v>52.34</v>
      </c>
      <c r="K1044" s="289">
        <v>139301.9</v>
      </c>
      <c r="L1044" s="292">
        <v>4.3E-3</v>
      </c>
    </row>
    <row r="1045" spans="1:12" ht="15.75" thickBot="1" x14ac:dyDescent="0.3">
      <c r="A1045" s="291" t="s">
        <v>113</v>
      </c>
      <c r="B1045" s="286" t="s">
        <v>114</v>
      </c>
      <c r="C1045" s="286" t="s">
        <v>109</v>
      </c>
      <c r="D1045" s="138" t="s">
        <v>202</v>
      </c>
      <c r="E1045" s="286" t="s">
        <v>1071</v>
      </c>
      <c r="F1045" s="287">
        <v>47120</v>
      </c>
      <c r="G1045" s="288" t="s">
        <v>103</v>
      </c>
      <c r="H1045" s="288">
        <v>6</v>
      </c>
      <c r="I1045" s="289">
        <v>59837.78</v>
      </c>
      <c r="J1045" s="289">
        <v>-404.4</v>
      </c>
      <c r="K1045" s="289">
        <v>359026.68</v>
      </c>
      <c r="L1045" s="292">
        <v>1.11E-2</v>
      </c>
    </row>
    <row r="1046" spans="1:12" ht="15.75" thickBot="1" x14ac:dyDescent="0.3">
      <c r="A1046" s="291" t="s">
        <v>124</v>
      </c>
      <c r="B1046" s="286" t="s">
        <v>853</v>
      </c>
      <c r="C1046" s="286" t="s">
        <v>109</v>
      </c>
      <c r="D1046" s="138" t="s">
        <v>125</v>
      </c>
      <c r="E1046" s="286" t="s">
        <v>1195</v>
      </c>
      <c r="F1046" s="288" t="s">
        <v>103</v>
      </c>
      <c r="G1046" s="288" t="s">
        <v>103</v>
      </c>
      <c r="H1046" s="290">
        <v>37833</v>
      </c>
      <c r="I1046" s="289">
        <v>3.84</v>
      </c>
      <c r="J1046" s="289">
        <v>145210.99</v>
      </c>
      <c r="K1046" s="288" t="s">
        <v>103</v>
      </c>
      <c r="L1046" s="292">
        <v>4.4999999999999997E-3</v>
      </c>
    </row>
    <row r="1047" spans="1:12" ht="15.75" thickBot="1" x14ac:dyDescent="0.3">
      <c r="A1047" s="291" t="s">
        <v>124</v>
      </c>
      <c r="B1047" s="286" t="s">
        <v>861</v>
      </c>
      <c r="C1047" s="286" t="s">
        <v>109</v>
      </c>
      <c r="D1047" s="138" t="s">
        <v>226</v>
      </c>
      <c r="E1047" s="286" t="s">
        <v>1196</v>
      </c>
      <c r="F1047" s="288" t="s">
        <v>103</v>
      </c>
      <c r="G1047" s="288" t="s">
        <v>103</v>
      </c>
      <c r="H1047" s="290">
        <v>278083</v>
      </c>
      <c r="I1047" s="289">
        <v>14.74</v>
      </c>
      <c r="J1047" s="289">
        <v>4099741.99</v>
      </c>
      <c r="K1047" s="288" t="s">
        <v>103</v>
      </c>
      <c r="L1047" s="292">
        <v>0.12659999999999999</v>
      </c>
    </row>
    <row r="1048" spans="1:12" ht="15.75" thickBot="1" x14ac:dyDescent="0.3">
      <c r="A1048" s="291" t="s">
        <v>124</v>
      </c>
      <c r="B1048" s="286" t="s">
        <v>900</v>
      </c>
      <c r="C1048" s="286" t="s">
        <v>109</v>
      </c>
      <c r="D1048" s="138" t="s">
        <v>901</v>
      </c>
      <c r="E1048" s="286" t="s">
        <v>165</v>
      </c>
      <c r="F1048" s="288" t="s">
        <v>103</v>
      </c>
      <c r="G1048" s="288" t="s">
        <v>103</v>
      </c>
      <c r="H1048" s="290">
        <v>64761</v>
      </c>
      <c r="I1048" s="289">
        <v>11.1</v>
      </c>
      <c r="J1048" s="289">
        <v>718585.48</v>
      </c>
      <c r="K1048" s="288" t="s">
        <v>103</v>
      </c>
      <c r="L1048" s="292">
        <v>2.2200000000000001E-2</v>
      </c>
    </row>
    <row r="1049" spans="1:12" ht="15.75" thickBot="1" x14ac:dyDescent="0.3">
      <c r="A1049" s="291" t="s">
        <v>124</v>
      </c>
      <c r="B1049" s="286" t="s">
        <v>900</v>
      </c>
      <c r="C1049" s="286" t="s">
        <v>109</v>
      </c>
      <c r="D1049" s="138" t="s">
        <v>904</v>
      </c>
      <c r="E1049" s="286" t="s">
        <v>165</v>
      </c>
      <c r="F1049" s="288" t="s">
        <v>103</v>
      </c>
      <c r="G1049" s="288" t="s">
        <v>103</v>
      </c>
      <c r="H1049" s="290">
        <v>64761</v>
      </c>
      <c r="I1049" s="289">
        <v>11.1</v>
      </c>
      <c r="J1049" s="289">
        <v>718585.07</v>
      </c>
      <c r="K1049" s="288" t="s">
        <v>103</v>
      </c>
      <c r="L1049" s="292">
        <v>2.2200000000000001E-2</v>
      </c>
    </row>
    <row r="1050" spans="1:12" ht="15.75" thickBot="1" x14ac:dyDescent="0.3">
      <c r="A1050" s="291" t="s">
        <v>124</v>
      </c>
      <c r="B1050" s="286" t="s">
        <v>900</v>
      </c>
      <c r="C1050" s="286" t="s">
        <v>109</v>
      </c>
      <c r="D1050" s="138" t="s">
        <v>902</v>
      </c>
      <c r="E1050" s="286" t="s">
        <v>165</v>
      </c>
      <c r="F1050" s="288" t="s">
        <v>103</v>
      </c>
      <c r="G1050" s="288" t="s">
        <v>103</v>
      </c>
      <c r="H1050" s="290">
        <v>64761</v>
      </c>
      <c r="I1050" s="289">
        <v>11.1</v>
      </c>
      <c r="J1050" s="289">
        <v>718582.85</v>
      </c>
      <c r="K1050" s="288" t="s">
        <v>103</v>
      </c>
      <c r="L1050" s="292">
        <v>2.2200000000000001E-2</v>
      </c>
    </row>
    <row r="1051" spans="1:12" ht="15.75" thickBot="1" x14ac:dyDescent="0.3">
      <c r="A1051" s="291" t="s">
        <v>124</v>
      </c>
      <c r="B1051" s="286" t="s">
        <v>900</v>
      </c>
      <c r="C1051" s="286" t="s">
        <v>109</v>
      </c>
      <c r="D1051" s="138" t="s">
        <v>903</v>
      </c>
      <c r="E1051" s="286" t="s">
        <v>165</v>
      </c>
      <c r="F1051" s="288" t="s">
        <v>103</v>
      </c>
      <c r="G1051" s="288" t="s">
        <v>103</v>
      </c>
      <c r="H1051" s="290">
        <v>64761</v>
      </c>
      <c r="I1051" s="289">
        <v>11.1</v>
      </c>
      <c r="J1051" s="289">
        <v>718581.64</v>
      </c>
      <c r="K1051" s="288" t="s">
        <v>103</v>
      </c>
      <c r="L1051" s="292">
        <v>2.2200000000000001E-2</v>
      </c>
    </row>
    <row r="1052" spans="1:12" ht="15.75" thickBot="1" x14ac:dyDescent="0.3">
      <c r="A1052" s="291" t="s">
        <v>124</v>
      </c>
      <c r="B1052" s="286" t="s">
        <v>900</v>
      </c>
      <c r="C1052" s="286" t="s">
        <v>109</v>
      </c>
      <c r="D1052" s="138" t="s">
        <v>908</v>
      </c>
      <c r="E1052" s="286" t="s">
        <v>165</v>
      </c>
      <c r="F1052" s="288" t="s">
        <v>103</v>
      </c>
      <c r="G1052" s="288" t="s">
        <v>103</v>
      </c>
      <c r="H1052" s="290">
        <v>64761</v>
      </c>
      <c r="I1052" s="289">
        <v>11.1</v>
      </c>
      <c r="J1052" s="289">
        <v>718580.6</v>
      </c>
      <c r="K1052" s="288" t="s">
        <v>103</v>
      </c>
      <c r="L1052" s="292">
        <v>2.2200000000000001E-2</v>
      </c>
    </row>
    <row r="1053" spans="1:12" ht="15.75" thickBot="1" x14ac:dyDescent="0.3">
      <c r="A1053" s="291" t="s">
        <v>124</v>
      </c>
      <c r="B1053" s="286" t="s">
        <v>900</v>
      </c>
      <c r="C1053" s="286" t="s">
        <v>109</v>
      </c>
      <c r="D1053" s="138" t="s">
        <v>909</v>
      </c>
      <c r="E1053" s="286" t="s">
        <v>165</v>
      </c>
      <c r="F1053" s="288" t="s">
        <v>103</v>
      </c>
      <c r="G1053" s="288" t="s">
        <v>103</v>
      </c>
      <c r="H1053" s="290">
        <v>64761</v>
      </c>
      <c r="I1053" s="289">
        <v>11.1</v>
      </c>
      <c r="J1053" s="289">
        <v>718575.05</v>
      </c>
      <c r="K1053" s="288" t="s">
        <v>103</v>
      </c>
      <c r="L1053" s="292">
        <v>2.2200000000000001E-2</v>
      </c>
    </row>
    <row r="1054" spans="1:12" ht="15.75" thickBot="1" x14ac:dyDescent="0.3">
      <c r="A1054" s="291" t="s">
        <v>124</v>
      </c>
      <c r="B1054" s="286" t="s">
        <v>900</v>
      </c>
      <c r="C1054" s="286" t="s">
        <v>109</v>
      </c>
      <c r="D1054" s="138" t="s">
        <v>906</v>
      </c>
      <c r="E1054" s="286" t="s">
        <v>165</v>
      </c>
      <c r="F1054" s="288" t="s">
        <v>103</v>
      </c>
      <c r="G1054" s="288" t="s">
        <v>103</v>
      </c>
      <c r="H1054" s="290">
        <v>64761</v>
      </c>
      <c r="I1054" s="289">
        <v>11.1</v>
      </c>
      <c r="J1054" s="289">
        <v>718566.73</v>
      </c>
      <c r="K1054" s="288" t="s">
        <v>103</v>
      </c>
      <c r="L1054" s="292">
        <v>2.2200000000000001E-2</v>
      </c>
    </row>
    <row r="1055" spans="1:12" ht="15.75" thickBot="1" x14ac:dyDescent="0.3">
      <c r="A1055" s="291" t="s">
        <v>124</v>
      </c>
      <c r="B1055" s="286" t="s">
        <v>900</v>
      </c>
      <c r="C1055" s="286" t="s">
        <v>109</v>
      </c>
      <c r="D1055" s="138" t="s">
        <v>907</v>
      </c>
      <c r="E1055" s="286" t="s">
        <v>165</v>
      </c>
      <c r="F1055" s="288" t="s">
        <v>103</v>
      </c>
      <c r="G1055" s="288" t="s">
        <v>103</v>
      </c>
      <c r="H1055" s="290">
        <v>64761</v>
      </c>
      <c r="I1055" s="289">
        <v>11.1</v>
      </c>
      <c r="J1055" s="289">
        <v>718566.08</v>
      </c>
      <c r="K1055" s="288" t="s">
        <v>103</v>
      </c>
      <c r="L1055" s="292">
        <v>2.2200000000000001E-2</v>
      </c>
    </row>
    <row r="1056" spans="1:12" ht="15.75" thickBot="1" x14ac:dyDescent="0.3">
      <c r="A1056" s="291" t="s">
        <v>124</v>
      </c>
      <c r="B1056" s="286" t="s">
        <v>900</v>
      </c>
      <c r="C1056" s="286" t="s">
        <v>109</v>
      </c>
      <c r="D1056" s="138" t="s">
        <v>905</v>
      </c>
      <c r="E1056" s="286" t="s">
        <v>165</v>
      </c>
      <c r="F1056" s="288" t="s">
        <v>103</v>
      </c>
      <c r="G1056" s="288" t="s">
        <v>103</v>
      </c>
      <c r="H1056" s="290">
        <v>64762</v>
      </c>
      <c r="I1056" s="289">
        <v>11.1</v>
      </c>
      <c r="J1056" s="289">
        <v>718546.07</v>
      </c>
      <c r="K1056" s="288" t="s">
        <v>103</v>
      </c>
      <c r="L1056" s="292">
        <v>2.2200000000000001E-2</v>
      </c>
    </row>
    <row r="1057" spans="1:12" ht="15.75" thickBot="1" x14ac:dyDescent="0.3">
      <c r="A1057" s="291" t="s">
        <v>127</v>
      </c>
      <c r="B1057" s="286" t="s">
        <v>396</v>
      </c>
      <c r="C1057" s="286" t="s">
        <v>109</v>
      </c>
      <c r="D1057" s="138" t="s">
        <v>1404</v>
      </c>
      <c r="E1057" s="286" t="s">
        <v>165</v>
      </c>
      <c r="F1057" s="287">
        <v>47123</v>
      </c>
      <c r="G1057" s="288" t="s">
        <v>103</v>
      </c>
      <c r="H1057" s="288">
        <v>41</v>
      </c>
      <c r="I1057" s="289">
        <v>443.22</v>
      </c>
      <c r="J1057" s="289">
        <v>18171.93</v>
      </c>
      <c r="K1057" s="288" t="s">
        <v>103</v>
      </c>
      <c r="L1057" s="292">
        <v>5.9999999999999995E-4</v>
      </c>
    </row>
    <row r="1058" spans="1:12" ht="15.75" thickBot="1" x14ac:dyDescent="0.3">
      <c r="A1058" s="291" t="s">
        <v>127</v>
      </c>
      <c r="B1058" s="286" t="s">
        <v>396</v>
      </c>
      <c r="C1058" s="286" t="s">
        <v>109</v>
      </c>
      <c r="D1058" s="138" t="s">
        <v>1405</v>
      </c>
      <c r="E1058" s="286" t="s">
        <v>165</v>
      </c>
      <c r="F1058" s="287">
        <v>52967</v>
      </c>
      <c r="G1058" s="288" t="s">
        <v>103</v>
      </c>
      <c r="H1058" s="288">
        <v>61</v>
      </c>
      <c r="I1058" s="289">
        <v>88.9</v>
      </c>
      <c r="J1058" s="289">
        <v>5422.76</v>
      </c>
      <c r="K1058" s="288" t="s">
        <v>103</v>
      </c>
      <c r="L1058" s="292">
        <v>2.0000000000000001E-4</v>
      </c>
    </row>
    <row r="1059" spans="1:12" ht="15.75" thickBot="1" x14ac:dyDescent="0.3">
      <c r="A1059" s="291" t="s">
        <v>127</v>
      </c>
      <c r="B1059" s="286" t="s">
        <v>1359</v>
      </c>
      <c r="C1059" s="286" t="s">
        <v>109</v>
      </c>
      <c r="D1059" s="138" t="s">
        <v>12</v>
      </c>
      <c r="E1059" s="286" t="s">
        <v>165</v>
      </c>
      <c r="F1059" s="287">
        <v>48531</v>
      </c>
      <c r="G1059" s="288" t="s">
        <v>103</v>
      </c>
      <c r="H1059" s="290">
        <v>12597</v>
      </c>
      <c r="I1059" s="289">
        <v>56.46</v>
      </c>
      <c r="J1059" s="289">
        <v>711272.49</v>
      </c>
      <c r="K1059" s="288" t="s">
        <v>103</v>
      </c>
      <c r="L1059" s="292">
        <v>2.1999999999999999E-2</v>
      </c>
    </row>
    <row r="1060" spans="1:12" ht="15.75" thickBot="1" x14ac:dyDescent="0.3">
      <c r="A1060" s="291" t="s">
        <v>127</v>
      </c>
      <c r="B1060" s="286" t="s">
        <v>1359</v>
      </c>
      <c r="C1060" s="286" t="s">
        <v>109</v>
      </c>
      <c r="D1060" s="138" t="s">
        <v>1181</v>
      </c>
      <c r="E1060" s="286" t="s">
        <v>165</v>
      </c>
      <c r="F1060" s="287">
        <v>46630</v>
      </c>
      <c r="G1060" s="288" t="s">
        <v>103</v>
      </c>
      <c r="H1060" s="290">
        <v>43985</v>
      </c>
      <c r="I1060" s="289">
        <v>7.96</v>
      </c>
      <c r="J1060" s="289">
        <v>350120.6</v>
      </c>
      <c r="K1060" s="288" t="s">
        <v>103</v>
      </c>
      <c r="L1060" s="292">
        <v>1.0800000000000001E-2</v>
      </c>
    </row>
    <row r="1061" spans="1:12" ht="15.75" thickBot="1" x14ac:dyDescent="0.3">
      <c r="A1061" s="291" t="s">
        <v>127</v>
      </c>
      <c r="B1061" s="286" t="s">
        <v>1359</v>
      </c>
      <c r="C1061" s="286" t="s">
        <v>109</v>
      </c>
      <c r="D1061" s="138" t="s">
        <v>1248</v>
      </c>
      <c r="E1061" s="286" t="s">
        <v>165</v>
      </c>
      <c r="F1061" s="287">
        <v>50357</v>
      </c>
      <c r="G1061" s="288" t="s">
        <v>103</v>
      </c>
      <c r="H1061" s="290">
        <v>5295</v>
      </c>
      <c r="I1061" s="289">
        <v>26.66</v>
      </c>
      <c r="J1061" s="289">
        <v>141165.23000000001</v>
      </c>
      <c r="K1061" s="288" t="s">
        <v>103</v>
      </c>
      <c r="L1061" s="292">
        <v>4.4000000000000003E-3</v>
      </c>
    </row>
    <row r="1062" spans="1:12" ht="15.75" thickBot="1" x14ac:dyDescent="0.3">
      <c r="A1062" s="291" t="s">
        <v>488</v>
      </c>
      <c r="B1062" s="286" t="s">
        <v>767</v>
      </c>
      <c r="C1062" s="286" t="s">
        <v>109</v>
      </c>
      <c r="D1062" s="138" t="s">
        <v>768</v>
      </c>
      <c r="E1062" s="286" t="s">
        <v>1197</v>
      </c>
      <c r="F1062" s="287">
        <v>45870</v>
      </c>
      <c r="G1062" s="288" t="s">
        <v>103</v>
      </c>
      <c r="H1062" s="288">
        <v>202</v>
      </c>
      <c r="I1062" s="289">
        <v>1212.05</v>
      </c>
      <c r="J1062" s="289">
        <v>244833.38</v>
      </c>
      <c r="K1062" s="288" t="s">
        <v>103</v>
      </c>
      <c r="L1062" s="292">
        <v>7.6E-3</v>
      </c>
    </row>
    <row r="1063" spans="1:12" ht="15.75" thickBot="1" x14ac:dyDescent="0.3">
      <c r="A1063" s="291" t="s">
        <v>488</v>
      </c>
      <c r="B1063" s="286" t="s">
        <v>341</v>
      </c>
      <c r="C1063" s="286" t="s">
        <v>109</v>
      </c>
      <c r="D1063" s="138" t="s">
        <v>1198</v>
      </c>
      <c r="E1063" s="286" t="s">
        <v>165</v>
      </c>
      <c r="F1063" s="287">
        <v>45923</v>
      </c>
      <c r="G1063" s="288" t="s">
        <v>103</v>
      </c>
      <c r="H1063" s="290">
        <v>4500</v>
      </c>
      <c r="I1063" s="289">
        <v>1048.3399999999999</v>
      </c>
      <c r="J1063" s="289">
        <v>4717533.13</v>
      </c>
      <c r="K1063" s="288" t="s">
        <v>103</v>
      </c>
      <c r="L1063" s="292">
        <v>0.1457</v>
      </c>
    </row>
    <row r="1064" spans="1:12" ht="15.75" thickBot="1" x14ac:dyDescent="0.3">
      <c r="A1064" s="291" t="s">
        <v>144</v>
      </c>
      <c r="B1064" s="286" t="s">
        <v>103</v>
      </c>
      <c r="C1064" s="286" t="s">
        <v>109</v>
      </c>
      <c r="D1064" s="138" t="s">
        <v>144</v>
      </c>
      <c r="E1064" s="286" t="s">
        <v>165</v>
      </c>
      <c r="F1064" s="288" t="s">
        <v>103</v>
      </c>
      <c r="G1064" s="288" t="s">
        <v>103</v>
      </c>
      <c r="H1064" s="288" t="s">
        <v>103</v>
      </c>
      <c r="I1064" s="288" t="s">
        <v>103</v>
      </c>
      <c r="J1064" s="289">
        <v>2000.05</v>
      </c>
      <c r="K1064" s="288" t="s">
        <v>103</v>
      </c>
      <c r="L1064" s="292">
        <v>1E-4</v>
      </c>
    </row>
    <row r="1065" spans="1:12" ht="15.75" thickBot="1" x14ac:dyDescent="0.3">
      <c r="A1065" s="291" t="s">
        <v>124</v>
      </c>
      <c r="B1065" s="286" t="s">
        <v>852</v>
      </c>
      <c r="C1065" s="286" t="s">
        <v>1076</v>
      </c>
      <c r="D1065" s="138" t="s">
        <v>340</v>
      </c>
      <c r="E1065" s="286" t="s">
        <v>165</v>
      </c>
      <c r="F1065" s="288" t="s">
        <v>103</v>
      </c>
      <c r="G1065" s="288" t="s">
        <v>103</v>
      </c>
      <c r="H1065" s="290">
        <v>25666</v>
      </c>
      <c r="I1065" s="289">
        <v>14.9</v>
      </c>
      <c r="J1065" s="289">
        <v>382413.19</v>
      </c>
      <c r="K1065" s="288" t="s">
        <v>103</v>
      </c>
      <c r="L1065" s="286" t="s">
        <v>103</v>
      </c>
    </row>
    <row r="1066" spans="1:12" ht="15.75" thickBot="1" x14ac:dyDescent="0.3">
      <c r="A1066" s="291" t="s">
        <v>124</v>
      </c>
      <c r="B1066" s="286" t="s">
        <v>853</v>
      </c>
      <c r="C1066" s="286" t="s">
        <v>1076</v>
      </c>
      <c r="D1066" s="138" t="s">
        <v>125</v>
      </c>
      <c r="E1066" s="286" t="s">
        <v>1260</v>
      </c>
      <c r="F1066" s="288" t="s">
        <v>103</v>
      </c>
      <c r="G1066" s="288" t="s">
        <v>103</v>
      </c>
      <c r="H1066" s="290">
        <v>85968</v>
      </c>
      <c r="I1066" s="289">
        <v>3.84</v>
      </c>
      <c r="J1066" s="289">
        <v>329959.59999999998</v>
      </c>
      <c r="K1066" s="288" t="s">
        <v>103</v>
      </c>
      <c r="L1066" s="286" t="s">
        <v>103</v>
      </c>
    </row>
    <row r="1067" spans="1:12" ht="15.75" thickBot="1" x14ac:dyDescent="0.3">
      <c r="A1067" s="291" t="s">
        <v>99</v>
      </c>
      <c r="B1067" s="286" t="s">
        <v>140</v>
      </c>
      <c r="C1067" s="286" t="s">
        <v>1073</v>
      </c>
      <c r="D1067" s="138" t="s">
        <v>154</v>
      </c>
      <c r="E1067" s="286" t="s">
        <v>165</v>
      </c>
      <c r="F1067" s="287">
        <v>46249</v>
      </c>
      <c r="G1067" s="288" t="s">
        <v>103</v>
      </c>
      <c r="H1067" s="288">
        <v>284</v>
      </c>
      <c r="I1067" s="289">
        <v>4331.3999999999996</v>
      </c>
      <c r="J1067" s="289">
        <v>1230117.6100000001</v>
      </c>
      <c r="K1067" s="288" t="s">
        <v>103</v>
      </c>
      <c r="L1067" s="292">
        <v>3.9300000000000002E-2</v>
      </c>
    </row>
    <row r="1068" spans="1:12" ht="15.75" thickBot="1" x14ac:dyDescent="0.3">
      <c r="A1068" s="291" t="s">
        <v>105</v>
      </c>
      <c r="B1068" s="286" t="s">
        <v>103</v>
      </c>
      <c r="C1068" s="286" t="s">
        <v>1073</v>
      </c>
      <c r="D1068" s="138" t="s">
        <v>105</v>
      </c>
      <c r="E1068" s="286" t="s">
        <v>165</v>
      </c>
      <c r="F1068" s="288" t="s">
        <v>103</v>
      </c>
      <c r="G1068" s="288" t="s">
        <v>103</v>
      </c>
      <c r="H1068" s="288" t="s">
        <v>103</v>
      </c>
      <c r="I1068" s="288" t="s">
        <v>103</v>
      </c>
      <c r="J1068" s="289">
        <v>-10653.87</v>
      </c>
      <c r="K1068" s="288" t="s">
        <v>103</v>
      </c>
      <c r="L1068" s="292">
        <v>-2.9999999999999997E-4</v>
      </c>
    </row>
    <row r="1069" spans="1:12" ht="15.75" thickBot="1" x14ac:dyDescent="0.3">
      <c r="A1069" s="291" t="s">
        <v>134</v>
      </c>
      <c r="B1069" s="286" t="s">
        <v>191</v>
      </c>
      <c r="C1069" s="286" t="s">
        <v>1073</v>
      </c>
      <c r="D1069" s="138" t="s">
        <v>517</v>
      </c>
      <c r="E1069" s="286" t="s">
        <v>165</v>
      </c>
      <c r="F1069" s="287">
        <v>46904</v>
      </c>
      <c r="G1069" s="288" t="s">
        <v>103</v>
      </c>
      <c r="H1069" s="288">
        <v>1</v>
      </c>
      <c r="I1069" s="289">
        <v>534022.09</v>
      </c>
      <c r="J1069" s="289">
        <v>534022.09</v>
      </c>
      <c r="K1069" s="288" t="s">
        <v>103</v>
      </c>
      <c r="L1069" s="292">
        <v>1.7100000000000001E-2</v>
      </c>
    </row>
    <row r="1070" spans="1:12" ht="15.75" thickBot="1" x14ac:dyDescent="0.3">
      <c r="A1070" s="291" t="s">
        <v>134</v>
      </c>
      <c r="B1070" s="286" t="s">
        <v>190</v>
      </c>
      <c r="C1070" s="286" t="s">
        <v>1073</v>
      </c>
      <c r="D1070" s="138" t="s">
        <v>111</v>
      </c>
      <c r="E1070" s="286" t="s">
        <v>165</v>
      </c>
      <c r="F1070" s="287">
        <v>45887</v>
      </c>
      <c r="G1070" s="288" t="s">
        <v>103</v>
      </c>
      <c r="H1070" s="288">
        <v>1</v>
      </c>
      <c r="I1070" s="289">
        <v>549943.69999999995</v>
      </c>
      <c r="J1070" s="289">
        <v>549943.69999999995</v>
      </c>
      <c r="K1070" s="288" t="s">
        <v>103</v>
      </c>
      <c r="L1070" s="292">
        <v>1.7600000000000001E-2</v>
      </c>
    </row>
    <row r="1071" spans="1:12" ht="15.75" thickBot="1" x14ac:dyDescent="0.3">
      <c r="A1071" s="291" t="s">
        <v>135</v>
      </c>
      <c r="B1071" s="286" t="s">
        <v>399</v>
      </c>
      <c r="C1071" s="286" t="s">
        <v>1073</v>
      </c>
      <c r="D1071" s="138" t="s">
        <v>887</v>
      </c>
      <c r="E1071" s="286" t="s">
        <v>165</v>
      </c>
      <c r="F1071" s="287">
        <v>47172</v>
      </c>
      <c r="G1071" s="288" t="s">
        <v>103</v>
      </c>
      <c r="H1071" s="288">
        <v>1</v>
      </c>
      <c r="I1071" s="289">
        <v>309657.90000000002</v>
      </c>
      <c r="J1071" s="289">
        <v>309657.90000000002</v>
      </c>
      <c r="K1071" s="288" t="s">
        <v>103</v>
      </c>
      <c r="L1071" s="292">
        <v>9.9000000000000008E-3</v>
      </c>
    </row>
    <row r="1072" spans="1:12" ht="15.75" thickBot="1" x14ac:dyDescent="0.3">
      <c r="A1072" s="291" t="s">
        <v>135</v>
      </c>
      <c r="B1072" s="286" t="s">
        <v>193</v>
      </c>
      <c r="C1072" s="286" t="s">
        <v>1073</v>
      </c>
      <c r="D1072" s="138" t="s">
        <v>1264</v>
      </c>
      <c r="E1072" s="286" t="s">
        <v>165</v>
      </c>
      <c r="F1072" s="287">
        <v>47192</v>
      </c>
      <c r="G1072" s="288" t="s">
        <v>103</v>
      </c>
      <c r="H1072" s="288">
        <v>2</v>
      </c>
      <c r="I1072" s="289">
        <v>338337.5</v>
      </c>
      <c r="J1072" s="289">
        <v>676675.01</v>
      </c>
      <c r="K1072" s="288" t="s">
        <v>103</v>
      </c>
      <c r="L1072" s="292">
        <v>2.1600000000000001E-2</v>
      </c>
    </row>
    <row r="1073" spans="1:12" ht="15.75" thickBot="1" x14ac:dyDescent="0.3">
      <c r="A1073" s="291" t="s">
        <v>135</v>
      </c>
      <c r="B1073" s="286" t="s">
        <v>193</v>
      </c>
      <c r="C1073" s="286" t="s">
        <v>1073</v>
      </c>
      <c r="D1073" s="138" t="s">
        <v>1265</v>
      </c>
      <c r="E1073" s="286" t="s">
        <v>165</v>
      </c>
      <c r="F1073" s="287">
        <v>47192</v>
      </c>
      <c r="G1073" s="288" t="s">
        <v>103</v>
      </c>
      <c r="H1073" s="288">
        <v>1</v>
      </c>
      <c r="I1073" s="289">
        <v>338337.51</v>
      </c>
      <c r="J1073" s="289">
        <v>338337.51</v>
      </c>
      <c r="K1073" s="288" t="s">
        <v>103</v>
      </c>
      <c r="L1073" s="292">
        <v>1.0800000000000001E-2</v>
      </c>
    </row>
    <row r="1074" spans="1:12" ht="15.75" thickBot="1" x14ac:dyDescent="0.3">
      <c r="A1074" s="291" t="s">
        <v>135</v>
      </c>
      <c r="B1074" s="286" t="s">
        <v>190</v>
      </c>
      <c r="C1074" s="286" t="s">
        <v>1073</v>
      </c>
      <c r="D1074" s="138" t="s">
        <v>200</v>
      </c>
      <c r="E1074" s="286" t="s">
        <v>165</v>
      </c>
      <c r="F1074" s="287">
        <v>47313</v>
      </c>
      <c r="G1074" s="288" t="s">
        <v>103</v>
      </c>
      <c r="H1074" s="288">
        <v>1</v>
      </c>
      <c r="I1074" s="289">
        <v>546388.59</v>
      </c>
      <c r="J1074" s="289">
        <v>546388.59</v>
      </c>
      <c r="K1074" s="288" t="s">
        <v>103</v>
      </c>
      <c r="L1074" s="292">
        <v>1.7500000000000002E-2</v>
      </c>
    </row>
    <row r="1075" spans="1:12" ht="15.75" thickBot="1" x14ac:dyDescent="0.3">
      <c r="A1075" s="291" t="s">
        <v>135</v>
      </c>
      <c r="B1075" s="286" t="s">
        <v>190</v>
      </c>
      <c r="C1075" s="286" t="s">
        <v>1073</v>
      </c>
      <c r="D1075" s="138" t="s">
        <v>1266</v>
      </c>
      <c r="E1075" s="286" t="s">
        <v>165</v>
      </c>
      <c r="F1075" s="287">
        <v>54896</v>
      </c>
      <c r="G1075" s="288" t="s">
        <v>103</v>
      </c>
      <c r="H1075" s="288">
        <v>1</v>
      </c>
      <c r="I1075" s="289">
        <v>350616.47</v>
      </c>
      <c r="J1075" s="289">
        <v>350616.47</v>
      </c>
      <c r="K1075" s="288" t="s">
        <v>103</v>
      </c>
      <c r="L1075" s="292">
        <v>1.12E-2</v>
      </c>
    </row>
    <row r="1076" spans="1:12" ht="15.75" thickBot="1" x14ac:dyDescent="0.3">
      <c r="A1076" s="291" t="s">
        <v>112</v>
      </c>
      <c r="B1076" s="286" t="s">
        <v>201</v>
      </c>
      <c r="C1076" s="286" t="s">
        <v>1073</v>
      </c>
      <c r="D1076" s="138" t="s">
        <v>1267</v>
      </c>
      <c r="E1076" s="286" t="s">
        <v>165</v>
      </c>
      <c r="F1076" s="287">
        <v>45883</v>
      </c>
      <c r="G1076" s="288" t="s">
        <v>103</v>
      </c>
      <c r="H1076" s="288">
        <v>3</v>
      </c>
      <c r="I1076" s="289">
        <v>60666.09</v>
      </c>
      <c r="J1076" s="289">
        <v>181998.28</v>
      </c>
      <c r="K1076" s="288" t="s">
        <v>103</v>
      </c>
      <c r="L1076" s="292">
        <v>5.7999999999999996E-3</v>
      </c>
    </row>
    <row r="1077" spans="1:12" ht="15.75" thickBot="1" x14ac:dyDescent="0.3">
      <c r="A1077" s="291" t="s">
        <v>112</v>
      </c>
      <c r="B1077" s="286" t="s">
        <v>201</v>
      </c>
      <c r="C1077" s="286" t="s">
        <v>1073</v>
      </c>
      <c r="D1077" s="138" t="s">
        <v>1268</v>
      </c>
      <c r="E1077" s="286" t="s">
        <v>165</v>
      </c>
      <c r="F1077" s="287">
        <v>46238</v>
      </c>
      <c r="G1077" s="288" t="s">
        <v>103</v>
      </c>
      <c r="H1077" s="288">
        <v>2</v>
      </c>
      <c r="I1077" s="289">
        <v>61292.85</v>
      </c>
      <c r="J1077" s="289">
        <v>122585.7</v>
      </c>
      <c r="K1077" s="288" t="s">
        <v>103</v>
      </c>
      <c r="L1077" s="292">
        <v>3.8999999999999998E-3</v>
      </c>
    </row>
    <row r="1078" spans="1:12" ht="15.75" thickBot="1" x14ac:dyDescent="0.3">
      <c r="A1078" s="291" t="s">
        <v>112</v>
      </c>
      <c r="B1078" s="286" t="s">
        <v>201</v>
      </c>
      <c r="C1078" s="286" t="s">
        <v>1073</v>
      </c>
      <c r="D1078" s="138" t="s">
        <v>930</v>
      </c>
      <c r="E1078" s="286" t="s">
        <v>165</v>
      </c>
      <c r="F1078" s="287">
        <v>46119</v>
      </c>
      <c r="G1078" s="288" t="s">
        <v>103</v>
      </c>
      <c r="H1078" s="288">
        <v>2</v>
      </c>
      <c r="I1078" s="289">
        <v>55650.05</v>
      </c>
      <c r="J1078" s="289">
        <v>111300.1</v>
      </c>
      <c r="K1078" s="288" t="s">
        <v>103</v>
      </c>
      <c r="L1078" s="292">
        <v>3.5999999999999999E-3</v>
      </c>
    </row>
    <row r="1079" spans="1:12" ht="15.75" thickBot="1" x14ac:dyDescent="0.3">
      <c r="A1079" s="291" t="s">
        <v>112</v>
      </c>
      <c r="B1079" s="286" t="s">
        <v>465</v>
      </c>
      <c r="C1079" s="286" t="s">
        <v>1073</v>
      </c>
      <c r="D1079" s="138" t="s">
        <v>1053</v>
      </c>
      <c r="E1079" s="286" t="s">
        <v>165</v>
      </c>
      <c r="F1079" s="287">
        <v>46093</v>
      </c>
      <c r="G1079" s="288" t="s">
        <v>103</v>
      </c>
      <c r="H1079" s="288">
        <v>4</v>
      </c>
      <c r="I1079" s="289">
        <v>56445.54</v>
      </c>
      <c r="J1079" s="289">
        <v>225782.15</v>
      </c>
      <c r="K1079" s="288" t="s">
        <v>103</v>
      </c>
      <c r="L1079" s="292">
        <v>7.1999999999999998E-3</v>
      </c>
    </row>
    <row r="1080" spans="1:12" ht="15.75" thickBot="1" x14ac:dyDescent="0.3">
      <c r="A1080" s="291" t="s">
        <v>112</v>
      </c>
      <c r="B1080" s="286" t="s">
        <v>1088</v>
      </c>
      <c r="C1080" s="286" t="s">
        <v>1073</v>
      </c>
      <c r="D1080" s="138" t="s">
        <v>1269</v>
      </c>
      <c r="E1080" s="286" t="s">
        <v>165</v>
      </c>
      <c r="F1080" s="287">
        <v>46290</v>
      </c>
      <c r="G1080" s="288" t="s">
        <v>103</v>
      </c>
      <c r="H1080" s="288">
        <v>3</v>
      </c>
      <c r="I1080" s="289">
        <v>52570.03</v>
      </c>
      <c r="J1080" s="289">
        <v>157710.09</v>
      </c>
      <c r="K1080" s="288" t="s">
        <v>103</v>
      </c>
      <c r="L1080" s="292">
        <v>5.0000000000000001E-3</v>
      </c>
    </row>
    <row r="1081" spans="1:12" ht="15.75" thickBot="1" x14ac:dyDescent="0.3">
      <c r="A1081" s="291" t="s">
        <v>112</v>
      </c>
      <c r="B1081" s="286" t="s">
        <v>805</v>
      </c>
      <c r="C1081" s="286" t="s">
        <v>1073</v>
      </c>
      <c r="D1081" s="138" t="s">
        <v>997</v>
      </c>
      <c r="E1081" s="286" t="s">
        <v>165</v>
      </c>
      <c r="F1081" s="287">
        <v>46181</v>
      </c>
      <c r="G1081" s="288" t="s">
        <v>103</v>
      </c>
      <c r="H1081" s="288">
        <v>5</v>
      </c>
      <c r="I1081" s="289">
        <v>54586.67</v>
      </c>
      <c r="J1081" s="289">
        <v>272933.36</v>
      </c>
      <c r="K1081" s="288" t="s">
        <v>103</v>
      </c>
      <c r="L1081" s="292">
        <v>8.6999999999999994E-3</v>
      </c>
    </row>
    <row r="1082" spans="1:12" ht="15.75" thickBot="1" x14ac:dyDescent="0.3">
      <c r="A1082" s="291" t="s">
        <v>112</v>
      </c>
      <c r="B1082" s="286" t="s">
        <v>1062</v>
      </c>
      <c r="C1082" s="286" t="s">
        <v>1073</v>
      </c>
      <c r="D1082" s="138" t="s">
        <v>1093</v>
      </c>
      <c r="E1082" s="286" t="s">
        <v>165</v>
      </c>
      <c r="F1082" s="287">
        <v>46234</v>
      </c>
      <c r="G1082" s="288" t="s">
        <v>103</v>
      </c>
      <c r="H1082" s="288">
        <v>3</v>
      </c>
      <c r="I1082" s="289">
        <v>53895.22</v>
      </c>
      <c r="J1082" s="289">
        <v>161685.65</v>
      </c>
      <c r="K1082" s="288" t="s">
        <v>103</v>
      </c>
      <c r="L1082" s="292">
        <v>5.1999999999999998E-3</v>
      </c>
    </row>
    <row r="1083" spans="1:12" ht="15.75" thickBot="1" x14ac:dyDescent="0.3">
      <c r="A1083" s="291" t="s">
        <v>112</v>
      </c>
      <c r="B1083" s="286" t="s">
        <v>360</v>
      </c>
      <c r="C1083" s="286" t="s">
        <v>1073</v>
      </c>
      <c r="D1083" s="138" t="s">
        <v>1050</v>
      </c>
      <c r="E1083" s="286" t="s">
        <v>165</v>
      </c>
      <c r="F1083" s="287">
        <v>46475</v>
      </c>
      <c r="G1083" s="288" t="s">
        <v>103</v>
      </c>
      <c r="H1083" s="288">
        <v>7</v>
      </c>
      <c r="I1083" s="289">
        <v>55966.71</v>
      </c>
      <c r="J1083" s="289">
        <v>391766.97</v>
      </c>
      <c r="K1083" s="288" t="s">
        <v>103</v>
      </c>
      <c r="L1083" s="292">
        <v>1.2500000000000001E-2</v>
      </c>
    </row>
    <row r="1084" spans="1:12" ht="15.75" thickBot="1" x14ac:dyDescent="0.3">
      <c r="A1084" s="291" t="s">
        <v>112</v>
      </c>
      <c r="B1084" s="286" t="s">
        <v>360</v>
      </c>
      <c r="C1084" s="286" t="s">
        <v>1073</v>
      </c>
      <c r="D1084" s="138" t="s">
        <v>1270</v>
      </c>
      <c r="E1084" s="286" t="s">
        <v>165</v>
      </c>
      <c r="F1084" s="287">
        <v>46127</v>
      </c>
      <c r="G1084" s="288" t="s">
        <v>103</v>
      </c>
      <c r="H1084" s="288">
        <v>4</v>
      </c>
      <c r="I1084" s="289">
        <v>55371.08</v>
      </c>
      <c r="J1084" s="289">
        <v>221484.32</v>
      </c>
      <c r="K1084" s="288" t="s">
        <v>103</v>
      </c>
      <c r="L1084" s="292">
        <v>7.1000000000000004E-3</v>
      </c>
    </row>
    <row r="1085" spans="1:12" ht="15.75" thickBot="1" x14ac:dyDescent="0.3">
      <c r="A1085" s="291" t="s">
        <v>112</v>
      </c>
      <c r="B1085" s="286" t="s">
        <v>368</v>
      </c>
      <c r="C1085" s="286" t="s">
        <v>1073</v>
      </c>
      <c r="D1085" s="138" t="s">
        <v>1138</v>
      </c>
      <c r="E1085" s="286" t="s">
        <v>165</v>
      </c>
      <c r="F1085" s="287">
        <v>46333</v>
      </c>
      <c r="G1085" s="288" t="s">
        <v>103</v>
      </c>
      <c r="H1085" s="288">
        <v>4</v>
      </c>
      <c r="I1085" s="289">
        <v>104519.78</v>
      </c>
      <c r="J1085" s="289">
        <v>418079.13</v>
      </c>
      <c r="K1085" s="288" t="s">
        <v>103</v>
      </c>
      <c r="L1085" s="292">
        <v>1.34E-2</v>
      </c>
    </row>
    <row r="1086" spans="1:12" ht="15.75" thickBot="1" x14ac:dyDescent="0.3">
      <c r="A1086" s="291" t="s">
        <v>112</v>
      </c>
      <c r="B1086" s="286" t="s">
        <v>368</v>
      </c>
      <c r="C1086" s="286" t="s">
        <v>1073</v>
      </c>
      <c r="D1086" s="138" t="s">
        <v>486</v>
      </c>
      <c r="E1086" s="286" t="s">
        <v>165</v>
      </c>
      <c r="F1086" s="287">
        <v>45984</v>
      </c>
      <c r="G1086" s="288" t="s">
        <v>103</v>
      </c>
      <c r="H1086" s="288">
        <v>2</v>
      </c>
      <c r="I1086" s="289">
        <v>136495.19</v>
      </c>
      <c r="J1086" s="289">
        <v>272990.38</v>
      </c>
      <c r="K1086" s="288" t="s">
        <v>103</v>
      </c>
      <c r="L1086" s="292">
        <v>8.6999999999999994E-3</v>
      </c>
    </row>
    <row r="1087" spans="1:12" ht="15.75" thickBot="1" x14ac:dyDescent="0.3">
      <c r="A1087" s="291" t="s">
        <v>112</v>
      </c>
      <c r="B1087" s="286" t="s">
        <v>808</v>
      </c>
      <c r="C1087" s="286" t="s">
        <v>1073</v>
      </c>
      <c r="D1087" s="138" t="s">
        <v>809</v>
      </c>
      <c r="E1087" s="286" t="s">
        <v>165</v>
      </c>
      <c r="F1087" s="287">
        <v>45939</v>
      </c>
      <c r="G1087" s="288" t="s">
        <v>103</v>
      </c>
      <c r="H1087" s="288">
        <v>2</v>
      </c>
      <c r="I1087" s="289">
        <v>60475.12</v>
      </c>
      <c r="J1087" s="289">
        <v>120950.24</v>
      </c>
      <c r="K1087" s="288" t="s">
        <v>103</v>
      </c>
      <c r="L1087" s="292">
        <v>3.8999999999999998E-3</v>
      </c>
    </row>
    <row r="1088" spans="1:12" ht="15.75" thickBot="1" x14ac:dyDescent="0.3">
      <c r="A1088" s="291" t="s">
        <v>113</v>
      </c>
      <c r="B1088" s="286" t="s">
        <v>114</v>
      </c>
      <c r="C1088" s="286" t="s">
        <v>1073</v>
      </c>
      <c r="D1088" s="138" t="s">
        <v>177</v>
      </c>
      <c r="E1088" s="286" t="s">
        <v>564</v>
      </c>
      <c r="F1088" s="287">
        <v>45792</v>
      </c>
      <c r="G1088" s="288" t="s">
        <v>103</v>
      </c>
      <c r="H1088" s="288">
        <v>-7</v>
      </c>
      <c r="I1088" s="289">
        <v>177502.21</v>
      </c>
      <c r="J1088" s="289">
        <v>1344.07</v>
      </c>
      <c r="K1088" s="289">
        <v>-1242515.44</v>
      </c>
      <c r="L1088" s="292">
        <v>-3.9699999999999999E-2</v>
      </c>
    </row>
    <row r="1089" spans="1:12" ht="15.75" thickBot="1" x14ac:dyDescent="0.3">
      <c r="A1089" s="291" t="s">
        <v>113</v>
      </c>
      <c r="B1089" s="286" t="s">
        <v>114</v>
      </c>
      <c r="C1089" s="286" t="s">
        <v>1073</v>
      </c>
      <c r="D1089" s="138" t="s">
        <v>116</v>
      </c>
      <c r="E1089" s="286" t="s">
        <v>1275</v>
      </c>
      <c r="F1089" s="287">
        <v>46251</v>
      </c>
      <c r="G1089" s="288" t="s">
        <v>103</v>
      </c>
      <c r="H1089" s="288">
        <v>-6</v>
      </c>
      <c r="I1089" s="289">
        <v>160200.82999999999</v>
      </c>
      <c r="J1089" s="289">
        <v>722.28</v>
      </c>
      <c r="K1089" s="289">
        <v>-961205.01</v>
      </c>
      <c r="L1089" s="292">
        <v>-3.0700000000000002E-2</v>
      </c>
    </row>
    <row r="1090" spans="1:12" ht="15.75" thickBot="1" x14ac:dyDescent="0.3">
      <c r="A1090" s="291" t="s">
        <v>113</v>
      </c>
      <c r="B1090" s="286" t="s">
        <v>114</v>
      </c>
      <c r="C1090" s="286" t="s">
        <v>1073</v>
      </c>
      <c r="D1090" s="138" t="s">
        <v>479</v>
      </c>
      <c r="E1090" s="286" t="s">
        <v>1049</v>
      </c>
      <c r="F1090" s="287">
        <v>46024</v>
      </c>
      <c r="G1090" s="288" t="s">
        <v>103</v>
      </c>
      <c r="H1090" s="288">
        <v>3</v>
      </c>
      <c r="I1090" s="289">
        <v>89079.679999999993</v>
      </c>
      <c r="J1090" s="289">
        <v>90.96</v>
      </c>
      <c r="K1090" s="289">
        <v>267239.03999999998</v>
      </c>
      <c r="L1090" s="292">
        <v>8.5000000000000006E-3</v>
      </c>
    </row>
    <row r="1091" spans="1:12" ht="15.75" thickBot="1" x14ac:dyDescent="0.3">
      <c r="A1091" s="291" t="s">
        <v>113</v>
      </c>
      <c r="B1091" s="286" t="s">
        <v>114</v>
      </c>
      <c r="C1091" s="286" t="s">
        <v>1073</v>
      </c>
      <c r="D1091" s="138" t="s">
        <v>179</v>
      </c>
      <c r="E1091" s="286" t="s">
        <v>1235</v>
      </c>
      <c r="F1091" s="287">
        <v>46980</v>
      </c>
      <c r="G1091" s="288" t="s">
        <v>103</v>
      </c>
      <c r="H1091" s="288">
        <v>-4</v>
      </c>
      <c r="I1091" s="289">
        <v>139301.9</v>
      </c>
      <c r="J1091" s="289">
        <v>-209.36</v>
      </c>
      <c r="K1091" s="289">
        <v>-557207.6</v>
      </c>
      <c r="L1091" s="292">
        <v>-1.78E-2</v>
      </c>
    </row>
    <row r="1092" spans="1:12" ht="15.75" thickBot="1" x14ac:dyDescent="0.3">
      <c r="A1092" s="291" t="s">
        <v>117</v>
      </c>
      <c r="B1092" s="286" t="s">
        <v>1271</v>
      </c>
      <c r="C1092" s="286" t="s">
        <v>1073</v>
      </c>
      <c r="D1092" s="138" t="s">
        <v>1271</v>
      </c>
      <c r="E1092" s="286" t="s">
        <v>165</v>
      </c>
      <c r="F1092" s="288" t="s">
        <v>103</v>
      </c>
      <c r="G1092" s="288" t="s">
        <v>103</v>
      </c>
      <c r="H1092" s="290">
        <v>45499</v>
      </c>
      <c r="I1092" s="289">
        <v>2.27</v>
      </c>
      <c r="J1092" s="289">
        <v>103494.79</v>
      </c>
      <c r="K1092" s="288" t="s">
        <v>103</v>
      </c>
      <c r="L1092" s="292">
        <v>3.3E-3</v>
      </c>
    </row>
    <row r="1093" spans="1:12" ht="15.75" thickBot="1" x14ac:dyDescent="0.3">
      <c r="A1093" s="291" t="s">
        <v>117</v>
      </c>
      <c r="B1093" s="286" t="s">
        <v>1272</v>
      </c>
      <c r="C1093" s="286" t="s">
        <v>1073</v>
      </c>
      <c r="D1093" s="138" t="s">
        <v>1272</v>
      </c>
      <c r="E1093" s="286" t="s">
        <v>165</v>
      </c>
      <c r="F1093" s="288" t="s">
        <v>103</v>
      </c>
      <c r="G1093" s="288" t="s">
        <v>103</v>
      </c>
      <c r="H1093" s="290">
        <v>113528</v>
      </c>
      <c r="I1093" s="289">
        <v>2.93</v>
      </c>
      <c r="J1093" s="289">
        <v>332510.58</v>
      </c>
      <c r="K1093" s="288" t="s">
        <v>103</v>
      </c>
      <c r="L1093" s="292">
        <v>1.06E-2</v>
      </c>
    </row>
    <row r="1094" spans="1:12" ht="15.75" thickBot="1" x14ac:dyDescent="0.3">
      <c r="A1094" s="291" t="s">
        <v>118</v>
      </c>
      <c r="B1094" s="286" t="s">
        <v>26</v>
      </c>
      <c r="C1094" s="286" t="s">
        <v>1073</v>
      </c>
      <c r="D1094" s="138" t="s">
        <v>120</v>
      </c>
      <c r="E1094" s="286" t="s">
        <v>165</v>
      </c>
      <c r="F1094" s="288" t="s">
        <v>103</v>
      </c>
      <c r="G1094" s="288" t="s">
        <v>103</v>
      </c>
      <c r="H1094" s="290">
        <v>3028305</v>
      </c>
      <c r="I1094" s="289">
        <v>1.75</v>
      </c>
      <c r="J1094" s="289">
        <v>5311111.1100000003</v>
      </c>
      <c r="K1094" s="288" t="s">
        <v>103</v>
      </c>
      <c r="L1094" s="292">
        <v>0.1699</v>
      </c>
    </row>
    <row r="1095" spans="1:12" ht="15.75" thickBot="1" x14ac:dyDescent="0.3">
      <c r="A1095" s="291" t="s">
        <v>118</v>
      </c>
      <c r="B1095" s="286" t="s">
        <v>145</v>
      </c>
      <c r="C1095" s="286" t="s">
        <v>1073</v>
      </c>
      <c r="D1095" s="138" t="s">
        <v>121</v>
      </c>
      <c r="E1095" s="286" t="s">
        <v>165</v>
      </c>
      <c r="F1095" s="288" t="s">
        <v>103</v>
      </c>
      <c r="G1095" s="288" t="s">
        <v>103</v>
      </c>
      <c r="H1095" s="290">
        <v>694734</v>
      </c>
      <c r="I1095" s="289">
        <v>1.5</v>
      </c>
      <c r="J1095" s="289">
        <v>1039600.82</v>
      </c>
      <c r="K1095" s="288" t="s">
        <v>103</v>
      </c>
      <c r="L1095" s="292">
        <v>3.3300000000000003E-2</v>
      </c>
    </row>
    <row r="1096" spans="1:12" ht="15.75" thickBot="1" x14ac:dyDescent="0.3">
      <c r="A1096" s="291" t="s">
        <v>126</v>
      </c>
      <c r="B1096" s="286" t="s">
        <v>1139</v>
      </c>
      <c r="C1096" s="286" t="s">
        <v>1073</v>
      </c>
      <c r="D1096" s="138" t="s">
        <v>512</v>
      </c>
      <c r="E1096" s="286" t="s">
        <v>165</v>
      </c>
      <c r="F1096" s="288" t="s">
        <v>103</v>
      </c>
      <c r="G1096" s="288" t="s">
        <v>103</v>
      </c>
      <c r="H1096" s="288">
        <v>6</v>
      </c>
      <c r="I1096" s="289">
        <v>69360.14</v>
      </c>
      <c r="J1096" s="289">
        <v>416160.85</v>
      </c>
      <c r="K1096" s="288" t="s">
        <v>103</v>
      </c>
      <c r="L1096" s="292">
        <v>1.3299999999999999E-2</v>
      </c>
    </row>
    <row r="1097" spans="1:12" ht="15.75" thickBot="1" x14ac:dyDescent="0.3">
      <c r="A1097" s="291" t="s">
        <v>126</v>
      </c>
      <c r="B1097" s="286" t="s">
        <v>252</v>
      </c>
      <c r="C1097" s="286" t="s">
        <v>1073</v>
      </c>
      <c r="D1097" s="138" t="s">
        <v>253</v>
      </c>
      <c r="E1097" s="286" t="s">
        <v>165</v>
      </c>
      <c r="F1097" s="287">
        <v>45976</v>
      </c>
      <c r="G1097" s="288" t="s">
        <v>103</v>
      </c>
      <c r="H1097" s="288">
        <v>97</v>
      </c>
      <c r="I1097" s="289">
        <v>600.41999999999996</v>
      </c>
      <c r="J1097" s="289">
        <v>58240.87</v>
      </c>
      <c r="K1097" s="288" t="s">
        <v>103</v>
      </c>
      <c r="L1097" s="292">
        <v>1.9E-3</v>
      </c>
    </row>
    <row r="1098" spans="1:12" ht="15.75" thickBot="1" x14ac:dyDescent="0.3">
      <c r="A1098" s="291" t="s">
        <v>126</v>
      </c>
      <c r="B1098" s="286" t="s">
        <v>877</v>
      </c>
      <c r="C1098" s="286" t="s">
        <v>1073</v>
      </c>
      <c r="D1098" s="138" t="s">
        <v>1140</v>
      </c>
      <c r="E1098" s="286" t="s">
        <v>165</v>
      </c>
      <c r="F1098" s="287">
        <v>45689</v>
      </c>
      <c r="G1098" s="288" t="s">
        <v>103</v>
      </c>
      <c r="H1098" s="288">
        <v>238</v>
      </c>
      <c r="I1098" s="289">
        <v>888.23</v>
      </c>
      <c r="J1098" s="289">
        <v>211399.78</v>
      </c>
      <c r="K1098" s="288" t="s">
        <v>103</v>
      </c>
      <c r="L1098" s="292">
        <v>6.7999999999999996E-3</v>
      </c>
    </row>
    <row r="1099" spans="1:12" ht="15.75" thickBot="1" x14ac:dyDescent="0.3">
      <c r="A1099" s="293" t="s">
        <v>126</v>
      </c>
      <c r="B1099" s="294" t="s">
        <v>1048</v>
      </c>
      <c r="C1099" s="294" t="s">
        <v>1073</v>
      </c>
      <c r="D1099" s="139" t="s">
        <v>1077</v>
      </c>
      <c r="E1099" s="294" t="s">
        <v>165</v>
      </c>
      <c r="F1099" s="323">
        <v>49878</v>
      </c>
      <c r="G1099" s="295" t="s">
        <v>103</v>
      </c>
      <c r="H1099" s="295">
        <v>189</v>
      </c>
      <c r="I1099" s="296">
        <v>1080.81</v>
      </c>
      <c r="J1099" s="296">
        <v>204272.96</v>
      </c>
      <c r="K1099" s="295" t="s">
        <v>103</v>
      </c>
      <c r="L1099" s="297">
        <v>6.4999999999999997E-3</v>
      </c>
    </row>
    <row r="1100" spans="1:12" ht="15.75" thickBot="1" x14ac:dyDescent="0.3">
      <c r="A1100" s="317" t="s">
        <v>126</v>
      </c>
      <c r="B1100" s="311" t="s">
        <v>1141</v>
      </c>
      <c r="C1100" s="311" t="s">
        <v>1073</v>
      </c>
      <c r="D1100" s="312" t="s">
        <v>1142</v>
      </c>
      <c r="E1100" s="311" t="s">
        <v>165</v>
      </c>
      <c r="F1100" s="313">
        <v>47911</v>
      </c>
      <c r="G1100" s="314" t="s">
        <v>103</v>
      </c>
      <c r="H1100" s="314">
        <v>112</v>
      </c>
      <c r="I1100" s="315">
        <v>1238.74</v>
      </c>
      <c r="J1100" s="315">
        <v>138738.94</v>
      </c>
      <c r="K1100" s="314" t="s">
        <v>103</v>
      </c>
      <c r="L1100" s="318">
        <v>4.4000000000000003E-3</v>
      </c>
    </row>
    <row r="1101" spans="1:12" ht="15.75" thickBot="1" x14ac:dyDescent="0.3">
      <c r="A1101" s="291" t="s">
        <v>126</v>
      </c>
      <c r="B1101" s="286" t="s">
        <v>467</v>
      </c>
      <c r="C1101" s="286" t="s">
        <v>1073</v>
      </c>
      <c r="D1101" s="138" t="s">
        <v>468</v>
      </c>
      <c r="E1101" s="286" t="s">
        <v>165</v>
      </c>
      <c r="F1101" s="287">
        <v>46198</v>
      </c>
      <c r="G1101" s="288" t="s">
        <v>103</v>
      </c>
      <c r="H1101" s="288">
        <v>146</v>
      </c>
      <c r="I1101" s="289">
        <v>1013.6</v>
      </c>
      <c r="J1101" s="289">
        <v>147985.54999999999</v>
      </c>
      <c r="K1101" s="288" t="s">
        <v>103</v>
      </c>
      <c r="L1101" s="292">
        <v>4.7000000000000002E-3</v>
      </c>
    </row>
    <row r="1102" spans="1:12" ht="15.75" thickBot="1" x14ac:dyDescent="0.3">
      <c r="A1102" s="291" t="s">
        <v>126</v>
      </c>
      <c r="B1102" s="286" t="s">
        <v>416</v>
      </c>
      <c r="C1102" s="286" t="s">
        <v>1073</v>
      </c>
      <c r="D1102" s="138" t="s">
        <v>417</v>
      </c>
      <c r="E1102" s="286" t="s">
        <v>165</v>
      </c>
      <c r="F1102" s="287">
        <v>46260</v>
      </c>
      <c r="G1102" s="288" t="s">
        <v>103</v>
      </c>
      <c r="H1102" s="288">
        <v>72</v>
      </c>
      <c r="I1102" s="289">
        <v>1006.02</v>
      </c>
      <c r="J1102" s="289">
        <v>72433.3</v>
      </c>
      <c r="K1102" s="288" t="s">
        <v>103</v>
      </c>
      <c r="L1102" s="292">
        <v>2.3E-3</v>
      </c>
    </row>
    <row r="1103" spans="1:12" ht="15.75" thickBot="1" x14ac:dyDescent="0.3">
      <c r="A1103" s="291" t="s">
        <v>126</v>
      </c>
      <c r="B1103" s="286" t="s">
        <v>1143</v>
      </c>
      <c r="C1103" s="286" t="s">
        <v>1073</v>
      </c>
      <c r="D1103" s="138" t="s">
        <v>1144</v>
      </c>
      <c r="E1103" s="286" t="s">
        <v>165</v>
      </c>
      <c r="F1103" s="287">
        <v>46314</v>
      </c>
      <c r="G1103" s="288" t="s">
        <v>103</v>
      </c>
      <c r="H1103" s="288">
        <v>76</v>
      </c>
      <c r="I1103" s="289">
        <v>1061.26</v>
      </c>
      <c r="J1103" s="289">
        <v>80655.91</v>
      </c>
      <c r="K1103" s="288" t="s">
        <v>103</v>
      </c>
      <c r="L1103" s="292">
        <v>2.5999999999999999E-3</v>
      </c>
    </row>
    <row r="1104" spans="1:12" ht="15.75" thickBot="1" x14ac:dyDescent="0.3">
      <c r="A1104" s="291" t="s">
        <v>126</v>
      </c>
      <c r="B1104" s="286" t="s">
        <v>1145</v>
      </c>
      <c r="C1104" s="286" t="s">
        <v>1073</v>
      </c>
      <c r="D1104" s="138" t="s">
        <v>1094</v>
      </c>
      <c r="E1104" s="286" t="s">
        <v>165</v>
      </c>
      <c r="F1104" s="287">
        <v>46613</v>
      </c>
      <c r="G1104" s="288" t="s">
        <v>103</v>
      </c>
      <c r="H1104" s="288">
        <v>88</v>
      </c>
      <c r="I1104" s="289">
        <v>1004.15</v>
      </c>
      <c r="J1104" s="289">
        <v>88365.119999999995</v>
      </c>
      <c r="K1104" s="288" t="s">
        <v>103</v>
      </c>
      <c r="L1104" s="292">
        <v>2.8E-3</v>
      </c>
    </row>
    <row r="1105" spans="1:12" ht="15.75" thickBot="1" x14ac:dyDescent="0.3">
      <c r="A1105" s="291" t="s">
        <v>126</v>
      </c>
      <c r="B1105" s="286" t="s">
        <v>941</v>
      </c>
      <c r="C1105" s="286" t="s">
        <v>1073</v>
      </c>
      <c r="D1105" s="138" t="s">
        <v>942</v>
      </c>
      <c r="E1105" s="286" t="s">
        <v>165</v>
      </c>
      <c r="F1105" s="287">
        <v>46496</v>
      </c>
      <c r="G1105" s="288" t="s">
        <v>103</v>
      </c>
      <c r="H1105" s="288">
        <v>63</v>
      </c>
      <c r="I1105" s="289">
        <v>1002.25</v>
      </c>
      <c r="J1105" s="289">
        <v>63141.73</v>
      </c>
      <c r="K1105" s="288" t="s">
        <v>103</v>
      </c>
      <c r="L1105" s="292">
        <v>2E-3</v>
      </c>
    </row>
    <row r="1106" spans="1:12" ht="15.75" thickBot="1" x14ac:dyDescent="0.3">
      <c r="A1106" s="291" t="s">
        <v>126</v>
      </c>
      <c r="B1106" s="286" t="s">
        <v>1096</v>
      </c>
      <c r="C1106" s="286" t="s">
        <v>1073</v>
      </c>
      <c r="D1106" s="138" t="s">
        <v>1097</v>
      </c>
      <c r="E1106" s="286" t="s">
        <v>165</v>
      </c>
      <c r="F1106" s="288" t="s">
        <v>103</v>
      </c>
      <c r="G1106" s="288" t="s">
        <v>103</v>
      </c>
      <c r="H1106" s="288">
        <v>2</v>
      </c>
      <c r="I1106" s="289">
        <v>41851.279999999999</v>
      </c>
      <c r="J1106" s="289">
        <v>83702.559999999998</v>
      </c>
      <c r="K1106" s="288" t="s">
        <v>103</v>
      </c>
      <c r="L1106" s="292">
        <v>2.7000000000000001E-3</v>
      </c>
    </row>
    <row r="1107" spans="1:12" ht="15.75" thickBot="1" x14ac:dyDescent="0.3">
      <c r="A1107" s="291" t="s">
        <v>127</v>
      </c>
      <c r="B1107" s="286" t="s">
        <v>1152</v>
      </c>
      <c r="C1107" s="286" t="s">
        <v>1073</v>
      </c>
      <c r="D1107" s="138" t="s">
        <v>911</v>
      </c>
      <c r="E1107" s="286" t="s">
        <v>165</v>
      </c>
      <c r="F1107" s="287">
        <v>47257</v>
      </c>
      <c r="G1107" s="288" t="s">
        <v>103</v>
      </c>
      <c r="H1107" s="288">
        <v>61</v>
      </c>
      <c r="I1107" s="289">
        <v>1046.6099999999999</v>
      </c>
      <c r="J1107" s="289">
        <v>63842.97</v>
      </c>
      <c r="K1107" s="288" t="s">
        <v>103</v>
      </c>
      <c r="L1107" s="292">
        <v>2E-3</v>
      </c>
    </row>
    <row r="1108" spans="1:12" ht="15.75" thickBot="1" x14ac:dyDescent="0.3">
      <c r="A1108" s="291" t="s">
        <v>127</v>
      </c>
      <c r="B1108" s="286" t="s">
        <v>258</v>
      </c>
      <c r="C1108" s="286" t="s">
        <v>1073</v>
      </c>
      <c r="D1108" s="138" t="s">
        <v>259</v>
      </c>
      <c r="E1108" s="286" t="s">
        <v>165</v>
      </c>
      <c r="F1108" s="287">
        <v>48168</v>
      </c>
      <c r="G1108" s="288" t="s">
        <v>1401</v>
      </c>
      <c r="H1108" s="288">
        <v>35</v>
      </c>
      <c r="I1108" s="289">
        <v>1059.46</v>
      </c>
      <c r="J1108" s="289">
        <v>37081.26</v>
      </c>
      <c r="K1108" s="288" t="s">
        <v>103</v>
      </c>
      <c r="L1108" s="292">
        <v>1.1999999999999999E-3</v>
      </c>
    </row>
    <row r="1109" spans="1:12" ht="15.75" thickBot="1" x14ac:dyDescent="0.3">
      <c r="A1109" s="291" t="s">
        <v>127</v>
      </c>
      <c r="B1109" s="286" t="s">
        <v>397</v>
      </c>
      <c r="C1109" s="286" t="s">
        <v>1073</v>
      </c>
      <c r="D1109" s="138" t="s">
        <v>398</v>
      </c>
      <c r="E1109" s="286" t="s">
        <v>165</v>
      </c>
      <c r="F1109" s="287">
        <v>45856</v>
      </c>
      <c r="G1109" s="288" t="s">
        <v>1487</v>
      </c>
      <c r="H1109" s="288">
        <v>427</v>
      </c>
      <c r="I1109" s="289">
        <v>1015.91</v>
      </c>
      <c r="J1109" s="289">
        <v>433791.59</v>
      </c>
      <c r="K1109" s="288" t="s">
        <v>103</v>
      </c>
      <c r="L1109" s="292">
        <v>1.3899999999999999E-2</v>
      </c>
    </row>
    <row r="1110" spans="1:12" ht="15.75" thickBot="1" x14ac:dyDescent="0.3">
      <c r="A1110" s="291" t="s">
        <v>127</v>
      </c>
      <c r="B1110" s="286" t="s">
        <v>1098</v>
      </c>
      <c r="C1110" s="286" t="s">
        <v>1073</v>
      </c>
      <c r="D1110" s="138" t="s">
        <v>1099</v>
      </c>
      <c r="E1110" s="286" t="s">
        <v>679</v>
      </c>
      <c r="F1110" s="287">
        <v>47373</v>
      </c>
      <c r="G1110" s="288" t="s">
        <v>103</v>
      </c>
      <c r="H1110" s="288">
        <v>112</v>
      </c>
      <c r="I1110" s="289">
        <v>1004.85</v>
      </c>
      <c r="J1110" s="289">
        <v>112543.2</v>
      </c>
      <c r="K1110" s="288" t="s">
        <v>103</v>
      </c>
      <c r="L1110" s="292">
        <v>3.5999999999999999E-3</v>
      </c>
    </row>
    <row r="1111" spans="1:12" ht="15.75" thickBot="1" x14ac:dyDescent="0.3">
      <c r="A1111" s="291" t="s">
        <v>127</v>
      </c>
      <c r="B1111" s="286" t="s">
        <v>204</v>
      </c>
      <c r="C1111" s="286" t="s">
        <v>1073</v>
      </c>
      <c r="D1111" s="138" t="s">
        <v>206</v>
      </c>
      <c r="E1111" s="286" t="s">
        <v>165</v>
      </c>
      <c r="F1111" s="287">
        <v>48014</v>
      </c>
      <c r="G1111" s="288" t="s">
        <v>1493</v>
      </c>
      <c r="H1111" s="288">
        <v>185</v>
      </c>
      <c r="I1111" s="289">
        <v>980.16</v>
      </c>
      <c r="J1111" s="289">
        <v>181330.28</v>
      </c>
      <c r="K1111" s="288" t="s">
        <v>103</v>
      </c>
      <c r="L1111" s="292">
        <v>5.7999999999999996E-3</v>
      </c>
    </row>
    <row r="1112" spans="1:12" ht="15.75" thickBot="1" x14ac:dyDescent="0.3">
      <c r="A1112" s="291" t="s">
        <v>127</v>
      </c>
      <c r="B1112" s="286" t="s">
        <v>354</v>
      </c>
      <c r="C1112" s="286" t="s">
        <v>1073</v>
      </c>
      <c r="D1112" s="138" t="s">
        <v>957</v>
      </c>
      <c r="E1112" s="286" t="s">
        <v>165</v>
      </c>
      <c r="F1112" s="287">
        <v>47234</v>
      </c>
      <c r="G1112" s="288" t="s">
        <v>103</v>
      </c>
      <c r="H1112" s="288">
        <v>109</v>
      </c>
      <c r="I1112" s="289">
        <v>1059.28</v>
      </c>
      <c r="J1112" s="289">
        <v>115461.85</v>
      </c>
      <c r="K1112" s="288" t="s">
        <v>103</v>
      </c>
      <c r="L1112" s="292">
        <v>3.7000000000000002E-3</v>
      </c>
    </row>
    <row r="1113" spans="1:12" ht="15.75" thickBot="1" x14ac:dyDescent="0.3">
      <c r="A1113" s="291" t="s">
        <v>127</v>
      </c>
      <c r="B1113" s="286" t="s">
        <v>396</v>
      </c>
      <c r="C1113" s="286" t="s">
        <v>1073</v>
      </c>
      <c r="D1113" s="138" t="s">
        <v>1404</v>
      </c>
      <c r="E1113" s="286" t="s">
        <v>165</v>
      </c>
      <c r="F1113" s="287">
        <v>47123</v>
      </c>
      <c r="G1113" s="288" t="s">
        <v>103</v>
      </c>
      <c r="H1113" s="288">
        <v>30</v>
      </c>
      <c r="I1113" s="289">
        <v>443.22</v>
      </c>
      <c r="J1113" s="289">
        <v>13296.54</v>
      </c>
      <c r="K1113" s="288" t="s">
        <v>103</v>
      </c>
      <c r="L1113" s="292">
        <v>4.0000000000000002E-4</v>
      </c>
    </row>
    <row r="1114" spans="1:12" ht="15.75" thickBot="1" x14ac:dyDescent="0.3">
      <c r="A1114" s="291" t="s">
        <v>127</v>
      </c>
      <c r="B1114" s="286" t="s">
        <v>396</v>
      </c>
      <c r="C1114" s="286" t="s">
        <v>1073</v>
      </c>
      <c r="D1114" s="138" t="s">
        <v>1405</v>
      </c>
      <c r="E1114" s="286" t="s">
        <v>165</v>
      </c>
      <c r="F1114" s="287">
        <v>52967</v>
      </c>
      <c r="G1114" s="288" t="s">
        <v>103</v>
      </c>
      <c r="H1114" s="288">
        <v>45</v>
      </c>
      <c r="I1114" s="289">
        <v>79.02</v>
      </c>
      <c r="J1114" s="289">
        <v>3555.91</v>
      </c>
      <c r="K1114" s="288" t="s">
        <v>103</v>
      </c>
      <c r="L1114" s="292">
        <v>1E-4</v>
      </c>
    </row>
    <row r="1115" spans="1:12" ht="15.75" thickBot="1" x14ac:dyDescent="0.3">
      <c r="A1115" s="291" t="s">
        <v>127</v>
      </c>
      <c r="B1115" s="286" t="s">
        <v>759</v>
      </c>
      <c r="C1115" s="286" t="s">
        <v>1073</v>
      </c>
      <c r="D1115" s="138" t="s">
        <v>760</v>
      </c>
      <c r="E1115" s="286" t="s">
        <v>165</v>
      </c>
      <c r="F1115" s="287">
        <v>46959</v>
      </c>
      <c r="G1115" s="288" t="s">
        <v>1496</v>
      </c>
      <c r="H1115" s="288">
        <v>110</v>
      </c>
      <c r="I1115" s="289">
        <v>849.88</v>
      </c>
      <c r="J1115" s="289">
        <v>93486.59</v>
      </c>
      <c r="K1115" s="288" t="s">
        <v>103</v>
      </c>
      <c r="L1115" s="292">
        <v>3.0000000000000001E-3</v>
      </c>
    </row>
    <row r="1116" spans="1:12" ht="15.75" thickBot="1" x14ac:dyDescent="0.3">
      <c r="A1116" s="291" t="s">
        <v>127</v>
      </c>
      <c r="B1116" s="286" t="s">
        <v>37</v>
      </c>
      <c r="C1116" s="286" t="s">
        <v>1073</v>
      </c>
      <c r="D1116" s="138" t="s">
        <v>260</v>
      </c>
      <c r="E1116" s="286" t="s">
        <v>165</v>
      </c>
      <c r="F1116" s="287">
        <v>47065</v>
      </c>
      <c r="G1116" s="288" t="s">
        <v>1415</v>
      </c>
      <c r="H1116" s="288">
        <v>55</v>
      </c>
      <c r="I1116" s="289">
        <v>1058.49</v>
      </c>
      <c r="J1116" s="289">
        <v>58216.97</v>
      </c>
      <c r="K1116" s="288" t="s">
        <v>103</v>
      </c>
      <c r="L1116" s="292">
        <v>1.9E-3</v>
      </c>
    </row>
    <row r="1117" spans="1:12" ht="15.75" thickBot="1" x14ac:dyDescent="0.3">
      <c r="A1117" s="291" t="s">
        <v>127</v>
      </c>
      <c r="B1117" s="286" t="s">
        <v>295</v>
      </c>
      <c r="C1117" s="286" t="s">
        <v>1073</v>
      </c>
      <c r="D1117" s="138" t="s">
        <v>508</v>
      </c>
      <c r="E1117" s="286" t="s">
        <v>165</v>
      </c>
      <c r="F1117" s="287">
        <v>47472</v>
      </c>
      <c r="G1117" s="288" t="s">
        <v>1406</v>
      </c>
      <c r="H1117" s="288">
        <v>185</v>
      </c>
      <c r="I1117" s="289">
        <v>941.28</v>
      </c>
      <c r="J1117" s="289">
        <v>174137.52</v>
      </c>
      <c r="K1117" s="288" t="s">
        <v>103</v>
      </c>
      <c r="L1117" s="292">
        <v>5.5999999999999999E-3</v>
      </c>
    </row>
    <row r="1118" spans="1:12" ht="15.75" thickBot="1" x14ac:dyDescent="0.3">
      <c r="A1118" s="291" t="s">
        <v>127</v>
      </c>
      <c r="B1118" s="286" t="s">
        <v>208</v>
      </c>
      <c r="C1118" s="286" t="s">
        <v>1073</v>
      </c>
      <c r="D1118" s="138" t="s">
        <v>1003</v>
      </c>
      <c r="E1118" s="286" t="s">
        <v>165</v>
      </c>
      <c r="F1118" s="287">
        <v>47289</v>
      </c>
      <c r="G1118" s="288" t="s">
        <v>1407</v>
      </c>
      <c r="H1118" s="288">
        <v>151</v>
      </c>
      <c r="I1118" s="289">
        <v>1010.88</v>
      </c>
      <c r="J1118" s="289">
        <v>152643.43</v>
      </c>
      <c r="K1118" s="288" t="s">
        <v>103</v>
      </c>
      <c r="L1118" s="292">
        <v>4.8999999999999998E-3</v>
      </c>
    </row>
    <row r="1119" spans="1:12" ht="15.75" thickBot="1" x14ac:dyDescent="0.3">
      <c r="A1119" s="291" t="s">
        <v>127</v>
      </c>
      <c r="B1119" s="286" t="s">
        <v>208</v>
      </c>
      <c r="C1119" s="286" t="s">
        <v>1073</v>
      </c>
      <c r="D1119" s="138" t="s">
        <v>185</v>
      </c>
      <c r="E1119" s="286" t="s">
        <v>165</v>
      </c>
      <c r="F1119" s="287">
        <v>46893</v>
      </c>
      <c r="G1119" s="288" t="s">
        <v>1502</v>
      </c>
      <c r="H1119" s="288">
        <v>63</v>
      </c>
      <c r="I1119" s="289">
        <v>1044.05</v>
      </c>
      <c r="J1119" s="289">
        <v>65775.45</v>
      </c>
      <c r="K1119" s="288" t="s">
        <v>103</v>
      </c>
      <c r="L1119" s="292">
        <v>2.0999999999999999E-3</v>
      </c>
    </row>
    <row r="1120" spans="1:12" ht="15.75" thickBot="1" x14ac:dyDescent="0.3">
      <c r="A1120" s="291" t="s">
        <v>127</v>
      </c>
      <c r="B1120" s="286" t="s">
        <v>230</v>
      </c>
      <c r="C1120" s="286" t="s">
        <v>1073</v>
      </c>
      <c r="D1120" s="138" t="s">
        <v>327</v>
      </c>
      <c r="E1120" s="286" t="s">
        <v>165</v>
      </c>
      <c r="F1120" s="287">
        <v>46506</v>
      </c>
      <c r="G1120" s="288" t="s">
        <v>1503</v>
      </c>
      <c r="H1120" s="288">
        <v>114</v>
      </c>
      <c r="I1120" s="289">
        <v>1051.98</v>
      </c>
      <c r="J1120" s="289">
        <v>119926.25</v>
      </c>
      <c r="K1120" s="288" t="s">
        <v>103</v>
      </c>
      <c r="L1120" s="292">
        <v>3.8E-3</v>
      </c>
    </row>
    <row r="1121" spans="1:12" ht="15.75" thickBot="1" x14ac:dyDescent="0.3">
      <c r="A1121" s="291" t="s">
        <v>127</v>
      </c>
      <c r="B1121" s="286" t="s">
        <v>8</v>
      </c>
      <c r="C1121" s="286" t="s">
        <v>1073</v>
      </c>
      <c r="D1121" s="138" t="s">
        <v>137</v>
      </c>
      <c r="E1121" s="286" t="s">
        <v>165</v>
      </c>
      <c r="F1121" s="287">
        <v>46371</v>
      </c>
      <c r="G1121" s="288" t="s">
        <v>1506</v>
      </c>
      <c r="H1121" s="288">
        <v>117</v>
      </c>
      <c r="I1121" s="289">
        <v>694.57</v>
      </c>
      <c r="J1121" s="289">
        <v>81264.69</v>
      </c>
      <c r="K1121" s="288" t="s">
        <v>103</v>
      </c>
      <c r="L1121" s="292">
        <v>2.5999999999999999E-3</v>
      </c>
    </row>
    <row r="1122" spans="1:12" ht="15.75" thickBot="1" x14ac:dyDescent="0.3">
      <c r="A1122" s="291" t="s">
        <v>127</v>
      </c>
      <c r="B1122" s="286" t="s">
        <v>231</v>
      </c>
      <c r="C1122" s="286" t="s">
        <v>1073</v>
      </c>
      <c r="D1122" s="138" t="s">
        <v>221</v>
      </c>
      <c r="E1122" s="286" t="s">
        <v>165</v>
      </c>
      <c r="F1122" s="287">
        <v>48080</v>
      </c>
      <c r="G1122" s="288" t="s">
        <v>1438</v>
      </c>
      <c r="H1122" s="288">
        <v>104</v>
      </c>
      <c r="I1122" s="289">
        <v>1026.3</v>
      </c>
      <c r="J1122" s="289">
        <v>106735.38</v>
      </c>
      <c r="K1122" s="288" t="s">
        <v>103</v>
      </c>
      <c r="L1122" s="292">
        <v>3.3999999999999998E-3</v>
      </c>
    </row>
    <row r="1123" spans="1:12" ht="15.75" thickBot="1" x14ac:dyDescent="0.3">
      <c r="A1123" s="291" t="s">
        <v>127</v>
      </c>
      <c r="B1123" s="286" t="s">
        <v>428</v>
      </c>
      <c r="C1123" s="286" t="s">
        <v>1073</v>
      </c>
      <c r="D1123" s="138" t="s">
        <v>349</v>
      </c>
      <c r="E1123" s="286" t="s">
        <v>1276</v>
      </c>
      <c r="F1123" s="287">
        <v>46541</v>
      </c>
      <c r="G1123" s="288" t="s">
        <v>1507</v>
      </c>
      <c r="H1123" s="288">
        <v>180</v>
      </c>
      <c r="I1123" s="289">
        <v>747.71</v>
      </c>
      <c r="J1123" s="289">
        <v>134587</v>
      </c>
      <c r="K1123" s="288" t="s">
        <v>103</v>
      </c>
      <c r="L1123" s="292">
        <v>4.3E-3</v>
      </c>
    </row>
    <row r="1124" spans="1:12" ht="15.75" thickBot="1" x14ac:dyDescent="0.3">
      <c r="A1124" s="291" t="s">
        <v>127</v>
      </c>
      <c r="B1124" s="286" t="s">
        <v>497</v>
      </c>
      <c r="C1124" s="286" t="s">
        <v>1073</v>
      </c>
      <c r="D1124" s="138" t="s">
        <v>498</v>
      </c>
      <c r="E1124" s="286" t="s">
        <v>1277</v>
      </c>
      <c r="F1124" s="287">
        <v>46716</v>
      </c>
      <c r="G1124" s="288" t="s">
        <v>1502</v>
      </c>
      <c r="H1124" s="288">
        <v>170</v>
      </c>
      <c r="I1124" s="289">
        <v>908.64</v>
      </c>
      <c r="J1124" s="289">
        <v>154468.88</v>
      </c>
      <c r="K1124" s="288" t="s">
        <v>103</v>
      </c>
      <c r="L1124" s="292">
        <v>4.8999999999999998E-3</v>
      </c>
    </row>
    <row r="1125" spans="1:12" ht="15.75" thickBot="1" x14ac:dyDescent="0.3">
      <c r="A1125" s="291" t="s">
        <v>127</v>
      </c>
      <c r="B1125" s="286" t="s">
        <v>45</v>
      </c>
      <c r="C1125" s="286" t="s">
        <v>1073</v>
      </c>
      <c r="D1125" s="138" t="s">
        <v>437</v>
      </c>
      <c r="E1125" s="286" t="s">
        <v>165</v>
      </c>
      <c r="F1125" s="287">
        <v>47192</v>
      </c>
      <c r="G1125" s="288" t="s">
        <v>1510</v>
      </c>
      <c r="H1125" s="288">
        <v>110</v>
      </c>
      <c r="I1125" s="289">
        <v>912.22</v>
      </c>
      <c r="J1125" s="289">
        <v>100344.69</v>
      </c>
      <c r="K1125" s="288" t="s">
        <v>103</v>
      </c>
      <c r="L1125" s="292">
        <v>3.2000000000000002E-3</v>
      </c>
    </row>
    <row r="1126" spans="1:12" ht="15.75" thickBot="1" x14ac:dyDescent="0.3">
      <c r="A1126" s="291" t="s">
        <v>127</v>
      </c>
      <c r="B1126" s="286" t="s">
        <v>372</v>
      </c>
      <c r="C1126" s="286" t="s">
        <v>1073</v>
      </c>
      <c r="D1126" s="138" t="s">
        <v>373</v>
      </c>
      <c r="E1126" s="286" t="s">
        <v>165</v>
      </c>
      <c r="F1126" s="287">
        <v>45823</v>
      </c>
      <c r="G1126" s="288" t="s">
        <v>1511</v>
      </c>
      <c r="H1126" s="288">
        <v>179</v>
      </c>
      <c r="I1126" s="289">
        <v>1029.58</v>
      </c>
      <c r="J1126" s="289">
        <v>184293.94</v>
      </c>
      <c r="K1126" s="288" t="s">
        <v>103</v>
      </c>
      <c r="L1126" s="292">
        <v>5.8999999999999999E-3</v>
      </c>
    </row>
    <row r="1127" spans="1:12" ht="15.75" thickBot="1" x14ac:dyDescent="0.3">
      <c r="A1127" s="291" t="s">
        <v>127</v>
      </c>
      <c r="B1127" s="286" t="s">
        <v>778</v>
      </c>
      <c r="C1127" s="286" t="s">
        <v>1073</v>
      </c>
      <c r="D1127" s="138" t="s">
        <v>1109</v>
      </c>
      <c r="E1127" s="286" t="s">
        <v>1278</v>
      </c>
      <c r="F1127" s="287">
        <v>46924</v>
      </c>
      <c r="G1127" s="288" t="s">
        <v>1512</v>
      </c>
      <c r="H1127" s="288">
        <v>141</v>
      </c>
      <c r="I1127" s="289">
        <v>1027.92</v>
      </c>
      <c r="J1127" s="289">
        <v>144936.81</v>
      </c>
      <c r="K1127" s="288" t="s">
        <v>103</v>
      </c>
      <c r="L1127" s="292">
        <v>4.5999999999999999E-3</v>
      </c>
    </row>
    <row r="1128" spans="1:12" ht="15.75" thickBot="1" x14ac:dyDescent="0.3">
      <c r="A1128" s="291" t="s">
        <v>127</v>
      </c>
      <c r="B1128" s="286" t="s">
        <v>1410</v>
      </c>
      <c r="C1128" s="286" t="s">
        <v>1073</v>
      </c>
      <c r="D1128" s="138" t="s">
        <v>228</v>
      </c>
      <c r="E1128" s="286" t="s">
        <v>165</v>
      </c>
      <c r="F1128" s="287">
        <v>48106</v>
      </c>
      <c r="G1128" s="288" t="s">
        <v>1515</v>
      </c>
      <c r="H1128" s="288">
        <v>117</v>
      </c>
      <c r="I1128" s="289">
        <v>1032.03</v>
      </c>
      <c r="J1128" s="289">
        <v>120747.99</v>
      </c>
      <c r="K1128" s="288" t="s">
        <v>103</v>
      </c>
      <c r="L1128" s="292">
        <v>3.8999999999999998E-3</v>
      </c>
    </row>
    <row r="1129" spans="1:12" ht="15.75" thickBot="1" x14ac:dyDescent="0.3">
      <c r="A1129" s="291" t="s">
        <v>127</v>
      </c>
      <c r="B1129" s="286" t="s">
        <v>513</v>
      </c>
      <c r="C1129" s="286" t="s">
        <v>1073</v>
      </c>
      <c r="D1129" s="138" t="s">
        <v>514</v>
      </c>
      <c r="E1129" s="286" t="s">
        <v>165</v>
      </c>
      <c r="F1129" s="287">
        <v>46310</v>
      </c>
      <c r="G1129" s="288" t="s">
        <v>1517</v>
      </c>
      <c r="H1129" s="288">
        <v>144</v>
      </c>
      <c r="I1129" s="289">
        <v>1044.98</v>
      </c>
      <c r="J1129" s="289">
        <v>150477.18</v>
      </c>
      <c r="K1129" s="288" t="s">
        <v>103</v>
      </c>
      <c r="L1129" s="292">
        <v>4.7999999999999996E-3</v>
      </c>
    </row>
    <row r="1130" spans="1:12" ht="15.75" thickBot="1" x14ac:dyDescent="0.3">
      <c r="A1130" s="291" t="s">
        <v>127</v>
      </c>
      <c r="B1130" s="286" t="s">
        <v>35</v>
      </c>
      <c r="C1130" s="286" t="s">
        <v>1073</v>
      </c>
      <c r="D1130" s="138" t="s">
        <v>3</v>
      </c>
      <c r="E1130" s="286" t="s">
        <v>165</v>
      </c>
      <c r="F1130" s="287">
        <v>47196</v>
      </c>
      <c r="G1130" s="288" t="s">
        <v>1520</v>
      </c>
      <c r="H1130" s="288">
        <v>19</v>
      </c>
      <c r="I1130" s="289">
        <v>10895.87</v>
      </c>
      <c r="J1130" s="289">
        <v>207021.56</v>
      </c>
      <c r="K1130" s="288" t="s">
        <v>103</v>
      </c>
      <c r="L1130" s="292">
        <v>6.6E-3</v>
      </c>
    </row>
    <row r="1131" spans="1:12" ht="15.75" thickBot="1" x14ac:dyDescent="0.3">
      <c r="A1131" s="291" t="s">
        <v>127</v>
      </c>
      <c r="B1131" s="286" t="s">
        <v>855</v>
      </c>
      <c r="C1131" s="286" t="s">
        <v>1073</v>
      </c>
      <c r="D1131" s="138" t="s">
        <v>265</v>
      </c>
      <c r="E1131" s="286" t="s">
        <v>165</v>
      </c>
      <c r="F1131" s="287">
        <v>47046</v>
      </c>
      <c r="G1131" s="288" t="s">
        <v>1441</v>
      </c>
      <c r="H1131" s="288">
        <v>370</v>
      </c>
      <c r="I1131" s="289">
        <v>1033.5899999999999</v>
      </c>
      <c r="J1131" s="289">
        <v>382426.48</v>
      </c>
      <c r="K1131" s="288" t="s">
        <v>103</v>
      </c>
      <c r="L1131" s="292">
        <v>1.2200000000000001E-2</v>
      </c>
    </row>
    <row r="1132" spans="1:12" ht="15.75" thickBot="1" x14ac:dyDescent="0.3">
      <c r="A1132" s="291" t="s">
        <v>127</v>
      </c>
      <c r="B1132" s="286" t="s">
        <v>309</v>
      </c>
      <c r="C1132" s="286" t="s">
        <v>1073</v>
      </c>
      <c r="D1132" s="138" t="s">
        <v>310</v>
      </c>
      <c r="E1132" s="286" t="s">
        <v>165</v>
      </c>
      <c r="F1132" s="287">
        <v>48014</v>
      </c>
      <c r="G1132" s="288" t="s">
        <v>1522</v>
      </c>
      <c r="H1132" s="288">
        <v>183</v>
      </c>
      <c r="I1132" s="289">
        <v>1056.77</v>
      </c>
      <c r="J1132" s="289">
        <v>193388.79</v>
      </c>
      <c r="K1132" s="288" t="s">
        <v>103</v>
      </c>
      <c r="L1132" s="292">
        <v>6.1999999999999998E-3</v>
      </c>
    </row>
    <row r="1133" spans="1:12" ht="15.75" thickBot="1" x14ac:dyDescent="0.3">
      <c r="A1133" s="291" t="s">
        <v>127</v>
      </c>
      <c r="B1133" s="286" t="s">
        <v>289</v>
      </c>
      <c r="C1133" s="286" t="s">
        <v>1073</v>
      </c>
      <c r="D1133" s="138" t="s">
        <v>266</v>
      </c>
      <c r="E1133" s="286" t="s">
        <v>165</v>
      </c>
      <c r="F1133" s="287">
        <v>47060</v>
      </c>
      <c r="G1133" s="288" t="s">
        <v>1523</v>
      </c>
      <c r="H1133" s="288">
        <v>26</v>
      </c>
      <c r="I1133" s="289">
        <v>1052.45</v>
      </c>
      <c r="J1133" s="289">
        <v>27363.59</v>
      </c>
      <c r="K1133" s="288" t="s">
        <v>103</v>
      </c>
      <c r="L1133" s="292">
        <v>8.9999999999999998E-4</v>
      </c>
    </row>
    <row r="1134" spans="1:12" ht="15.75" thickBot="1" x14ac:dyDescent="0.3">
      <c r="A1134" s="291" t="s">
        <v>127</v>
      </c>
      <c r="B1134" s="286" t="s">
        <v>427</v>
      </c>
      <c r="C1134" s="286" t="s">
        <v>1073</v>
      </c>
      <c r="D1134" s="138" t="s">
        <v>469</v>
      </c>
      <c r="E1134" s="286" t="s">
        <v>165</v>
      </c>
      <c r="F1134" s="287">
        <v>46588</v>
      </c>
      <c r="G1134" s="288" t="s">
        <v>1524</v>
      </c>
      <c r="H1134" s="288">
        <v>99</v>
      </c>
      <c r="I1134" s="289">
        <v>1024.76</v>
      </c>
      <c r="J1134" s="289">
        <v>101451.5</v>
      </c>
      <c r="K1134" s="288" t="s">
        <v>103</v>
      </c>
      <c r="L1134" s="292">
        <v>3.2000000000000002E-3</v>
      </c>
    </row>
    <row r="1135" spans="1:12" ht="15.75" thickBot="1" x14ac:dyDescent="0.3">
      <c r="A1135" s="291" t="s">
        <v>127</v>
      </c>
      <c r="B1135" s="286" t="s">
        <v>267</v>
      </c>
      <c r="C1135" s="286" t="s">
        <v>1073</v>
      </c>
      <c r="D1135" s="138" t="s">
        <v>268</v>
      </c>
      <c r="E1135" s="286" t="s">
        <v>165</v>
      </c>
      <c r="F1135" s="287">
        <v>47238</v>
      </c>
      <c r="G1135" s="288" t="s">
        <v>1525</v>
      </c>
      <c r="H1135" s="288">
        <v>302</v>
      </c>
      <c r="I1135" s="289">
        <v>1049.1099999999999</v>
      </c>
      <c r="J1135" s="289">
        <v>316832.49</v>
      </c>
      <c r="K1135" s="288" t="s">
        <v>103</v>
      </c>
      <c r="L1135" s="292">
        <v>1.01E-2</v>
      </c>
    </row>
    <row r="1136" spans="1:12" ht="15.75" thickBot="1" x14ac:dyDescent="0.3">
      <c r="A1136" s="291" t="s">
        <v>127</v>
      </c>
      <c r="B1136" s="286" t="s">
        <v>1166</v>
      </c>
      <c r="C1136" s="286" t="s">
        <v>1073</v>
      </c>
      <c r="D1136" s="138" t="s">
        <v>1167</v>
      </c>
      <c r="E1136" s="286" t="s">
        <v>618</v>
      </c>
      <c r="F1136" s="287">
        <v>49475</v>
      </c>
      <c r="G1136" s="288" t="s">
        <v>1529</v>
      </c>
      <c r="H1136" s="288">
        <v>150</v>
      </c>
      <c r="I1136" s="289">
        <v>1028.8</v>
      </c>
      <c r="J1136" s="289">
        <v>154320.12</v>
      </c>
      <c r="K1136" s="288" t="s">
        <v>103</v>
      </c>
      <c r="L1136" s="292">
        <v>4.8999999999999998E-3</v>
      </c>
    </row>
    <row r="1137" spans="1:12" ht="15.75" thickBot="1" x14ac:dyDescent="0.3">
      <c r="A1137" s="291" t="s">
        <v>127</v>
      </c>
      <c r="B1137" s="286" t="s">
        <v>758</v>
      </c>
      <c r="C1137" s="286" t="s">
        <v>1073</v>
      </c>
      <c r="D1137" s="138" t="s">
        <v>837</v>
      </c>
      <c r="E1137" s="286" t="s">
        <v>1280</v>
      </c>
      <c r="F1137" s="287">
        <v>47406</v>
      </c>
      <c r="G1137" s="288" t="s">
        <v>1429</v>
      </c>
      <c r="H1137" s="290">
        <v>76750</v>
      </c>
      <c r="I1137" s="289">
        <v>1.07</v>
      </c>
      <c r="J1137" s="289">
        <v>82151.820000000007</v>
      </c>
      <c r="K1137" s="288" t="s">
        <v>103</v>
      </c>
      <c r="L1137" s="292">
        <v>2.5999999999999999E-3</v>
      </c>
    </row>
    <row r="1138" spans="1:12" ht="15.75" thickBot="1" x14ac:dyDescent="0.3">
      <c r="A1138" s="291" t="s">
        <v>127</v>
      </c>
      <c r="B1138" s="286" t="s">
        <v>758</v>
      </c>
      <c r="C1138" s="286" t="s">
        <v>1073</v>
      </c>
      <c r="D1138" s="138" t="s">
        <v>1113</v>
      </c>
      <c r="E1138" s="286" t="s">
        <v>1281</v>
      </c>
      <c r="F1138" s="287">
        <v>47741</v>
      </c>
      <c r="G1138" s="288" t="s">
        <v>1421</v>
      </c>
      <c r="H1138" s="288">
        <v>27</v>
      </c>
      <c r="I1138" s="289">
        <v>1049.78</v>
      </c>
      <c r="J1138" s="289">
        <v>28344.05</v>
      </c>
      <c r="K1138" s="288" t="s">
        <v>103</v>
      </c>
      <c r="L1138" s="292">
        <v>8.9999999999999998E-4</v>
      </c>
    </row>
    <row r="1139" spans="1:12" ht="15.75" thickBot="1" x14ac:dyDescent="0.3">
      <c r="A1139" s="291" t="s">
        <v>127</v>
      </c>
      <c r="B1139" s="286" t="s">
        <v>13</v>
      </c>
      <c r="C1139" s="286" t="s">
        <v>1073</v>
      </c>
      <c r="D1139" s="138" t="s">
        <v>242</v>
      </c>
      <c r="E1139" s="286" t="s">
        <v>165</v>
      </c>
      <c r="F1139" s="287">
        <v>47041</v>
      </c>
      <c r="G1139" s="288" t="s">
        <v>1531</v>
      </c>
      <c r="H1139" s="288">
        <v>282</v>
      </c>
      <c r="I1139" s="289">
        <v>1080.07</v>
      </c>
      <c r="J1139" s="289">
        <v>304579.63</v>
      </c>
      <c r="K1139" s="288" t="s">
        <v>103</v>
      </c>
      <c r="L1139" s="292">
        <v>9.7000000000000003E-3</v>
      </c>
    </row>
    <row r="1140" spans="1:12" ht="15.75" thickBot="1" x14ac:dyDescent="0.3">
      <c r="A1140" s="291" t="s">
        <v>127</v>
      </c>
      <c r="B1140" s="286" t="s">
        <v>33</v>
      </c>
      <c r="C1140" s="286" t="s">
        <v>1073</v>
      </c>
      <c r="D1140" s="138" t="s">
        <v>822</v>
      </c>
      <c r="E1140" s="286" t="s">
        <v>165</v>
      </c>
      <c r="F1140" s="287">
        <v>47771</v>
      </c>
      <c r="G1140" s="288" t="s">
        <v>1536</v>
      </c>
      <c r="H1140" s="288">
        <v>24</v>
      </c>
      <c r="I1140" s="289">
        <v>1087.77</v>
      </c>
      <c r="J1140" s="289">
        <v>26106.57</v>
      </c>
      <c r="K1140" s="288" t="s">
        <v>103</v>
      </c>
      <c r="L1140" s="292">
        <v>8.0000000000000004E-4</v>
      </c>
    </row>
    <row r="1141" spans="1:12" ht="15.75" thickBot="1" x14ac:dyDescent="0.3">
      <c r="A1141" s="291" t="s">
        <v>127</v>
      </c>
      <c r="B1141" s="286" t="s">
        <v>975</v>
      </c>
      <c r="C1141" s="286" t="s">
        <v>1073</v>
      </c>
      <c r="D1141" s="138" t="s">
        <v>976</v>
      </c>
      <c r="E1141" s="286" t="s">
        <v>165</v>
      </c>
      <c r="F1141" s="287">
        <v>45950</v>
      </c>
      <c r="G1141" s="288" t="s">
        <v>1539</v>
      </c>
      <c r="H1141" s="288">
        <v>38</v>
      </c>
      <c r="I1141" s="289">
        <v>515.12</v>
      </c>
      <c r="J1141" s="289">
        <v>19574.740000000002</v>
      </c>
      <c r="K1141" s="288" t="s">
        <v>103</v>
      </c>
      <c r="L1141" s="292">
        <v>5.9999999999999995E-4</v>
      </c>
    </row>
    <row r="1142" spans="1:12" ht="15.75" thickBot="1" x14ac:dyDescent="0.3">
      <c r="A1142" s="291" t="s">
        <v>127</v>
      </c>
      <c r="B1142" s="286" t="s">
        <v>156</v>
      </c>
      <c r="C1142" s="286" t="s">
        <v>1073</v>
      </c>
      <c r="D1142" s="138" t="s">
        <v>1040</v>
      </c>
      <c r="E1142" s="286" t="s">
        <v>165</v>
      </c>
      <c r="F1142" s="287">
        <v>49123</v>
      </c>
      <c r="G1142" s="288" t="s">
        <v>1540</v>
      </c>
      <c r="H1142" s="288">
        <v>92</v>
      </c>
      <c r="I1142" s="289">
        <v>1017.27</v>
      </c>
      <c r="J1142" s="289">
        <v>93588.79</v>
      </c>
      <c r="K1142" s="288" t="s">
        <v>103</v>
      </c>
      <c r="L1142" s="292">
        <v>3.0000000000000001E-3</v>
      </c>
    </row>
    <row r="1143" spans="1:12" ht="15.75" thickBot="1" x14ac:dyDescent="0.3">
      <c r="A1143" s="291" t="s">
        <v>127</v>
      </c>
      <c r="B1143" s="286" t="s">
        <v>156</v>
      </c>
      <c r="C1143" s="286" t="s">
        <v>1073</v>
      </c>
      <c r="D1143" s="138" t="s">
        <v>1039</v>
      </c>
      <c r="E1143" s="286" t="s">
        <v>165</v>
      </c>
      <c r="F1143" s="287">
        <v>47297</v>
      </c>
      <c r="G1143" s="288" t="s">
        <v>1541</v>
      </c>
      <c r="H1143" s="288">
        <v>57</v>
      </c>
      <c r="I1143" s="289">
        <v>1016.5</v>
      </c>
      <c r="J1143" s="289">
        <v>57940.43</v>
      </c>
      <c r="K1143" s="288" t="s">
        <v>103</v>
      </c>
      <c r="L1143" s="292">
        <v>1.9E-3</v>
      </c>
    </row>
    <row r="1144" spans="1:12" ht="15.75" thickBot="1" x14ac:dyDescent="0.3">
      <c r="A1144" s="291" t="s">
        <v>127</v>
      </c>
      <c r="B1144" s="286" t="s">
        <v>290</v>
      </c>
      <c r="C1144" s="286" t="s">
        <v>1073</v>
      </c>
      <c r="D1144" s="138" t="s">
        <v>240</v>
      </c>
      <c r="E1144" s="286" t="s">
        <v>165</v>
      </c>
      <c r="F1144" s="287">
        <v>47406</v>
      </c>
      <c r="G1144" s="288" t="s">
        <v>1431</v>
      </c>
      <c r="H1144" s="288">
        <v>180</v>
      </c>
      <c r="I1144" s="289">
        <v>839.92</v>
      </c>
      <c r="J1144" s="289">
        <v>151186.10999999999</v>
      </c>
      <c r="K1144" s="288" t="s">
        <v>103</v>
      </c>
      <c r="L1144" s="292">
        <v>4.7999999999999996E-3</v>
      </c>
    </row>
    <row r="1145" spans="1:12" ht="15.75" thickBot="1" x14ac:dyDescent="0.3">
      <c r="A1145" s="291" t="s">
        <v>127</v>
      </c>
      <c r="B1145" s="286" t="s">
        <v>863</v>
      </c>
      <c r="C1145" s="286" t="s">
        <v>1073</v>
      </c>
      <c r="D1145" s="138" t="s">
        <v>864</v>
      </c>
      <c r="E1145" s="286" t="s">
        <v>165</v>
      </c>
      <c r="F1145" s="287">
        <v>45930</v>
      </c>
      <c r="G1145" s="288" t="s">
        <v>1545</v>
      </c>
      <c r="H1145" s="288">
        <v>163</v>
      </c>
      <c r="I1145" s="289">
        <v>1055.3900000000001</v>
      </c>
      <c r="J1145" s="289">
        <v>172029.34</v>
      </c>
      <c r="K1145" s="288" t="s">
        <v>103</v>
      </c>
      <c r="L1145" s="292">
        <v>5.4999999999999997E-3</v>
      </c>
    </row>
    <row r="1146" spans="1:12" ht="15.75" thickBot="1" x14ac:dyDescent="0.3">
      <c r="A1146" s="291" t="s">
        <v>127</v>
      </c>
      <c r="B1146" s="286" t="s">
        <v>825</v>
      </c>
      <c r="C1146" s="286" t="s">
        <v>1073</v>
      </c>
      <c r="D1146" s="138" t="s">
        <v>826</v>
      </c>
      <c r="E1146" s="286" t="s">
        <v>165</v>
      </c>
      <c r="F1146" s="287">
        <v>47788</v>
      </c>
      <c r="G1146" s="288" t="s">
        <v>1298</v>
      </c>
      <c r="H1146" s="288">
        <v>71</v>
      </c>
      <c r="I1146" s="289">
        <v>1064.3499999999999</v>
      </c>
      <c r="J1146" s="289">
        <v>75569.119999999995</v>
      </c>
      <c r="K1146" s="288" t="s">
        <v>103</v>
      </c>
      <c r="L1146" s="292">
        <v>2.3999999999999998E-3</v>
      </c>
    </row>
    <row r="1147" spans="1:12" ht="15.75" thickBot="1" x14ac:dyDescent="0.3">
      <c r="A1147" s="291" t="s">
        <v>127</v>
      </c>
      <c r="B1147" s="286" t="s">
        <v>476</v>
      </c>
      <c r="C1147" s="286" t="s">
        <v>1073</v>
      </c>
      <c r="D1147" s="138" t="s">
        <v>470</v>
      </c>
      <c r="E1147" s="286" t="s">
        <v>165</v>
      </c>
      <c r="F1147" s="287">
        <v>46741</v>
      </c>
      <c r="G1147" s="288" t="s">
        <v>1439</v>
      </c>
      <c r="H1147" s="288">
        <v>159</v>
      </c>
      <c r="I1147" s="289">
        <v>990.12</v>
      </c>
      <c r="J1147" s="289">
        <v>157428.66</v>
      </c>
      <c r="K1147" s="288" t="s">
        <v>103</v>
      </c>
      <c r="L1147" s="292">
        <v>5.0000000000000001E-3</v>
      </c>
    </row>
    <row r="1148" spans="1:12" ht="15.75" thickBot="1" x14ac:dyDescent="0.3">
      <c r="A1148" s="291" t="s">
        <v>127</v>
      </c>
      <c r="B1148" s="286" t="s">
        <v>405</v>
      </c>
      <c r="C1148" s="286" t="s">
        <v>1073</v>
      </c>
      <c r="D1148" s="138" t="s">
        <v>406</v>
      </c>
      <c r="E1148" s="286" t="s">
        <v>165</v>
      </c>
      <c r="F1148" s="287">
        <v>46611</v>
      </c>
      <c r="G1148" s="288" t="s">
        <v>103</v>
      </c>
      <c r="H1148" s="288">
        <v>49</v>
      </c>
      <c r="I1148" s="289">
        <v>765.82</v>
      </c>
      <c r="J1148" s="289">
        <v>37525.15</v>
      </c>
      <c r="K1148" s="288" t="s">
        <v>103</v>
      </c>
      <c r="L1148" s="292">
        <v>1.1999999999999999E-3</v>
      </c>
    </row>
    <row r="1149" spans="1:12" ht="15.75" thickBot="1" x14ac:dyDescent="0.3">
      <c r="A1149" s="291" t="s">
        <v>127</v>
      </c>
      <c r="B1149" s="286" t="s">
        <v>418</v>
      </c>
      <c r="C1149" s="286" t="s">
        <v>1073</v>
      </c>
      <c r="D1149" s="138" t="s">
        <v>419</v>
      </c>
      <c r="E1149" s="286" t="s">
        <v>165</v>
      </c>
      <c r="F1149" s="287">
        <v>46609</v>
      </c>
      <c r="G1149" s="288" t="s">
        <v>103</v>
      </c>
      <c r="H1149" s="288">
        <v>66</v>
      </c>
      <c r="I1149" s="289">
        <v>630.55999999999995</v>
      </c>
      <c r="J1149" s="289">
        <v>41616.879999999997</v>
      </c>
      <c r="K1149" s="288" t="s">
        <v>103</v>
      </c>
      <c r="L1149" s="292">
        <v>1.2999999999999999E-3</v>
      </c>
    </row>
    <row r="1150" spans="1:12" ht="15.75" thickBot="1" x14ac:dyDescent="0.3">
      <c r="A1150" s="291" t="s">
        <v>127</v>
      </c>
      <c r="B1150" s="286" t="s">
        <v>944</v>
      </c>
      <c r="C1150" s="286" t="s">
        <v>1073</v>
      </c>
      <c r="D1150" s="138" t="s">
        <v>945</v>
      </c>
      <c r="E1150" s="286" t="s">
        <v>165</v>
      </c>
      <c r="F1150" s="287">
        <v>47223</v>
      </c>
      <c r="G1150" s="288" t="s">
        <v>103</v>
      </c>
      <c r="H1150" s="288">
        <v>185</v>
      </c>
      <c r="I1150" s="289">
        <v>1044.33</v>
      </c>
      <c r="J1150" s="289">
        <v>193200.39</v>
      </c>
      <c r="K1150" s="288" t="s">
        <v>103</v>
      </c>
      <c r="L1150" s="292">
        <v>6.1999999999999998E-3</v>
      </c>
    </row>
    <row r="1151" spans="1:12" ht="15.75" thickBot="1" x14ac:dyDescent="0.3">
      <c r="A1151" s="291" t="s">
        <v>127</v>
      </c>
      <c r="B1151" s="286" t="s">
        <v>1034</v>
      </c>
      <c r="C1151" s="286" t="s">
        <v>1073</v>
      </c>
      <c r="D1151" s="138" t="s">
        <v>1033</v>
      </c>
      <c r="E1151" s="286" t="s">
        <v>165</v>
      </c>
      <c r="F1151" s="287">
        <v>47284</v>
      </c>
      <c r="G1151" s="288" t="s">
        <v>1550</v>
      </c>
      <c r="H1151" s="288">
        <v>28</v>
      </c>
      <c r="I1151" s="289">
        <v>1036.99</v>
      </c>
      <c r="J1151" s="289">
        <v>29035.759999999998</v>
      </c>
      <c r="K1151" s="288" t="s">
        <v>103</v>
      </c>
      <c r="L1151" s="292">
        <v>8.9999999999999998E-4</v>
      </c>
    </row>
    <row r="1152" spans="1:12" ht="15.75" thickBot="1" x14ac:dyDescent="0.3">
      <c r="A1152" s="291" t="s">
        <v>127</v>
      </c>
      <c r="B1152" s="286" t="s">
        <v>234</v>
      </c>
      <c r="C1152" s="286" t="s">
        <v>1073</v>
      </c>
      <c r="D1152" s="138" t="s">
        <v>471</v>
      </c>
      <c r="E1152" s="286" t="s">
        <v>165</v>
      </c>
      <c r="F1152" s="287">
        <v>46152</v>
      </c>
      <c r="G1152" s="288" t="s">
        <v>1422</v>
      </c>
      <c r="H1152" s="288">
        <v>92</v>
      </c>
      <c r="I1152" s="289">
        <v>989.51</v>
      </c>
      <c r="J1152" s="289">
        <v>91034.89</v>
      </c>
      <c r="K1152" s="288" t="s">
        <v>103</v>
      </c>
      <c r="L1152" s="292">
        <v>2.8999999999999998E-3</v>
      </c>
    </row>
    <row r="1153" spans="1:12" ht="15.75" thickBot="1" x14ac:dyDescent="0.3">
      <c r="A1153" s="291" t="s">
        <v>127</v>
      </c>
      <c r="B1153" s="286" t="s">
        <v>891</v>
      </c>
      <c r="C1153" s="286" t="s">
        <v>1073</v>
      </c>
      <c r="D1153" s="138" t="s">
        <v>472</v>
      </c>
      <c r="E1153" s="286" t="s">
        <v>165</v>
      </c>
      <c r="F1153" s="287">
        <v>46664</v>
      </c>
      <c r="G1153" s="288" t="s">
        <v>1552</v>
      </c>
      <c r="H1153" s="288">
        <v>146</v>
      </c>
      <c r="I1153" s="289">
        <v>841.9</v>
      </c>
      <c r="J1153" s="289">
        <v>122917.56</v>
      </c>
      <c r="K1153" s="288" t="s">
        <v>103</v>
      </c>
      <c r="L1153" s="292">
        <v>3.8999999999999998E-3</v>
      </c>
    </row>
    <row r="1154" spans="1:12" ht="15.75" thickBot="1" x14ac:dyDescent="0.3">
      <c r="A1154" s="291" t="s">
        <v>127</v>
      </c>
      <c r="B1154" s="286" t="s">
        <v>213</v>
      </c>
      <c r="C1154" s="286" t="s">
        <v>1073</v>
      </c>
      <c r="D1154" s="138" t="s">
        <v>332</v>
      </c>
      <c r="E1154" s="286" t="s">
        <v>165</v>
      </c>
      <c r="F1154" s="287">
        <v>46492</v>
      </c>
      <c r="G1154" s="288" t="s">
        <v>1555</v>
      </c>
      <c r="H1154" s="288">
        <v>197</v>
      </c>
      <c r="I1154" s="289">
        <v>1054.58</v>
      </c>
      <c r="J1154" s="289">
        <v>207752.63</v>
      </c>
      <c r="K1154" s="288" t="s">
        <v>103</v>
      </c>
      <c r="L1154" s="292">
        <v>6.6E-3</v>
      </c>
    </row>
    <row r="1155" spans="1:12" ht="15.75" thickBot="1" x14ac:dyDescent="0.3">
      <c r="A1155" s="291" t="s">
        <v>127</v>
      </c>
      <c r="B1155" s="286" t="s">
        <v>203</v>
      </c>
      <c r="C1155" s="286" t="s">
        <v>1073</v>
      </c>
      <c r="D1155" s="138" t="s">
        <v>750</v>
      </c>
      <c r="E1155" s="286" t="s">
        <v>165</v>
      </c>
      <c r="F1155" s="287">
        <v>46142</v>
      </c>
      <c r="G1155" s="288" t="s">
        <v>103</v>
      </c>
      <c r="H1155" s="288">
        <v>162</v>
      </c>
      <c r="I1155" s="289">
        <v>1371.84</v>
      </c>
      <c r="J1155" s="289">
        <v>222238.02</v>
      </c>
      <c r="K1155" s="288" t="s">
        <v>103</v>
      </c>
      <c r="L1155" s="292">
        <v>7.1000000000000004E-3</v>
      </c>
    </row>
    <row r="1156" spans="1:12" ht="15.75" thickBot="1" x14ac:dyDescent="0.3">
      <c r="A1156" s="291" t="s">
        <v>127</v>
      </c>
      <c r="B1156" s="286" t="s">
        <v>429</v>
      </c>
      <c r="C1156" s="286" t="s">
        <v>1073</v>
      </c>
      <c r="D1156" s="138" t="s">
        <v>347</v>
      </c>
      <c r="E1156" s="286" t="s">
        <v>165</v>
      </c>
      <c r="F1156" s="287">
        <v>47250</v>
      </c>
      <c r="G1156" s="288" t="s">
        <v>1557</v>
      </c>
      <c r="H1156" s="288">
        <v>77</v>
      </c>
      <c r="I1156" s="289">
        <v>996.46</v>
      </c>
      <c r="J1156" s="289">
        <v>76727.350000000006</v>
      </c>
      <c r="K1156" s="288" t="s">
        <v>103</v>
      </c>
      <c r="L1156" s="292">
        <v>2.5000000000000001E-3</v>
      </c>
    </row>
    <row r="1157" spans="1:12" ht="15.75" thickBot="1" x14ac:dyDescent="0.3">
      <c r="A1157" s="291" t="s">
        <v>127</v>
      </c>
      <c r="B1157" s="286" t="s">
        <v>429</v>
      </c>
      <c r="C1157" s="286" t="s">
        <v>1073</v>
      </c>
      <c r="D1157" s="138" t="s">
        <v>1172</v>
      </c>
      <c r="E1157" s="286" t="s">
        <v>608</v>
      </c>
      <c r="F1157" s="287">
        <v>48346</v>
      </c>
      <c r="G1157" s="288" t="s">
        <v>1558</v>
      </c>
      <c r="H1157" s="288">
        <v>73</v>
      </c>
      <c r="I1157" s="289">
        <v>1005.02</v>
      </c>
      <c r="J1157" s="289">
        <v>73366.25</v>
      </c>
      <c r="K1157" s="288" t="s">
        <v>103</v>
      </c>
      <c r="L1157" s="292">
        <v>2.3E-3</v>
      </c>
    </row>
    <row r="1158" spans="1:12" ht="15.75" thickBot="1" x14ac:dyDescent="0.3">
      <c r="A1158" s="291" t="s">
        <v>127</v>
      </c>
      <c r="B1158" s="286" t="s">
        <v>10</v>
      </c>
      <c r="C1158" s="286" t="s">
        <v>1073</v>
      </c>
      <c r="D1158" s="138" t="s">
        <v>1330</v>
      </c>
      <c r="E1158" s="286" t="s">
        <v>1335</v>
      </c>
      <c r="F1158" s="287">
        <v>45716</v>
      </c>
      <c r="G1158" s="288" t="s">
        <v>1562</v>
      </c>
      <c r="H1158" s="288">
        <v>163</v>
      </c>
      <c r="I1158" s="289">
        <v>672.93</v>
      </c>
      <c r="J1158" s="289">
        <v>109687.63</v>
      </c>
      <c r="K1158" s="288" t="s">
        <v>103</v>
      </c>
      <c r="L1158" s="292">
        <v>3.5000000000000001E-3</v>
      </c>
    </row>
    <row r="1159" spans="1:12" ht="15.75" thickBot="1" x14ac:dyDescent="0.3">
      <c r="A1159" s="291" t="s">
        <v>127</v>
      </c>
      <c r="B1159" s="286" t="s">
        <v>46</v>
      </c>
      <c r="C1159" s="286" t="s">
        <v>1073</v>
      </c>
      <c r="D1159" s="138" t="s">
        <v>4</v>
      </c>
      <c r="E1159" s="286" t="s">
        <v>165</v>
      </c>
      <c r="F1159" s="287">
        <v>46461</v>
      </c>
      <c r="G1159" s="288" t="s">
        <v>1564</v>
      </c>
      <c r="H1159" s="288">
        <v>371</v>
      </c>
      <c r="I1159" s="289">
        <v>1059.5899999999999</v>
      </c>
      <c r="J1159" s="289">
        <v>393108.06</v>
      </c>
      <c r="K1159" s="288" t="s">
        <v>103</v>
      </c>
      <c r="L1159" s="292">
        <v>1.26E-2</v>
      </c>
    </row>
    <row r="1160" spans="1:12" ht="15.75" thickBot="1" x14ac:dyDescent="0.3">
      <c r="A1160" s="291" t="s">
        <v>127</v>
      </c>
      <c r="B1160" s="286" t="s">
        <v>215</v>
      </c>
      <c r="C1160" s="286" t="s">
        <v>1073</v>
      </c>
      <c r="D1160" s="138" t="s">
        <v>216</v>
      </c>
      <c r="E1160" s="286" t="s">
        <v>165</v>
      </c>
      <c r="F1160" s="287">
        <v>46234</v>
      </c>
      <c r="G1160" s="288" t="s">
        <v>103</v>
      </c>
      <c r="H1160" s="288">
        <v>6</v>
      </c>
      <c r="I1160" s="289">
        <v>507.3</v>
      </c>
      <c r="J1160" s="289">
        <v>3043.82</v>
      </c>
      <c r="K1160" s="288" t="s">
        <v>103</v>
      </c>
      <c r="L1160" s="292">
        <v>1E-4</v>
      </c>
    </row>
    <row r="1161" spans="1:12" ht="15.75" thickBot="1" x14ac:dyDescent="0.3">
      <c r="A1161" s="291" t="s">
        <v>127</v>
      </c>
      <c r="B1161" s="286" t="s">
        <v>506</v>
      </c>
      <c r="C1161" s="286" t="s">
        <v>1073</v>
      </c>
      <c r="D1161" s="138" t="s">
        <v>879</v>
      </c>
      <c r="E1161" s="286" t="s">
        <v>165</v>
      </c>
      <c r="F1161" s="287">
        <v>47157</v>
      </c>
      <c r="G1161" s="288" t="s">
        <v>1412</v>
      </c>
      <c r="H1161" s="288">
        <v>152</v>
      </c>
      <c r="I1161" s="289">
        <v>1021.7</v>
      </c>
      <c r="J1161" s="289">
        <v>155297.70000000001</v>
      </c>
      <c r="K1161" s="288" t="s">
        <v>103</v>
      </c>
      <c r="L1161" s="292">
        <v>5.0000000000000001E-3</v>
      </c>
    </row>
    <row r="1162" spans="1:12" ht="15.75" thickBot="1" x14ac:dyDescent="0.3">
      <c r="A1162" s="291" t="s">
        <v>236</v>
      </c>
      <c r="B1162" s="286" t="s">
        <v>237</v>
      </c>
      <c r="C1162" s="286" t="s">
        <v>1073</v>
      </c>
      <c r="D1162" s="138" t="s">
        <v>311</v>
      </c>
      <c r="E1162" s="286" t="s">
        <v>165</v>
      </c>
      <c r="F1162" s="287">
        <v>47379</v>
      </c>
      <c r="G1162" s="288" t="s">
        <v>103</v>
      </c>
      <c r="H1162" s="288">
        <v>214</v>
      </c>
      <c r="I1162" s="289">
        <v>943.92</v>
      </c>
      <c r="J1162" s="289">
        <v>201999.47</v>
      </c>
      <c r="K1162" s="288" t="s">
        <v>103</v>
      </c>
      <c r="L1162" s="292">
        <v>6.4999999999999997E-3</v>
      </c>
    </row>
    <row r="1163" spans="1:12" ht="15.75" thickBot="1" x14ac:dyDescent="0.3">
      <c r="A1163" s="291" t="s">
        <v>236</v>
      </c>
      <c r="B1163" s="286" t="s">
        <v>270</v>
      </c>
      <c r="C1163" s="286" t="s">
        <v>1073</v>
      </c>
      <c r="D1163" s="138" t="s">
        <v>439</v>
      </c>
      <c r="E1163" s="286" t="s">
        <v>165</v>
      </c>
      <c r="F1163" s="287">
        <v>46196</v>
      </c>
      <c r="G1163" s="288" t="s">
        <v>103</v>
      </c>
      <c r="H1163" s="288">
        <v>193</v>
      </c>
      <c r="I1163" s="289">
        <v>460.48</v>
      </c>
      <c r="J1163" s="289">
        <v>88872.2</v>
      </c>
      <c r="K1163" s="288" t="s">
        <v>103</v>
      </c>
      <c r="L1163" s="292">
        <v>2.8E-3</v>
      </c>
    </row>
    <row r="1164" spans="1:12" ht="15.75" thickBot="1" x14ac:dyDescent="0.3">
      <c r="A1164" s="291" t="s">
        <v>236</v>
      </c>
      <c r="B1164" s="286" t="s">
        <v>270</v>
      </c>
      <c r="C1164" s="286" t="s">
        <v>1073</v>
      </c>
      <c r="D1164" s="138" t="s">
        <v>1016</v>
      </c>
      <c r="E1164" s="286" t="s">
        <v>165</v>
      </c>
      <c r="F1164" s="287">
        <v>46001</v>
      </c>
      <c r="G1164" s="288" t="s">
        <v>103</v>
      </c>
      <c r="H1164" s="288">
        <v>62</v>
      </c>
      <c r="I1164" s="289">
        <v>446.83</v>
      </c>
      <c r="J1164" s="289">
        <v>27703.32</v>
      </c>
      <c r="K1164" s="288" t="s">
        <v>103</v>
      </c>
      <c r="L1164" s="292">
        <v>8.9999999999999998E-4</v>
      </c>
    </row>
    <row r="1165" spans="1:12" ht="15.75" thickBot="1" x14ac:dyDescent="0.3">
      <c r="A1165" s="291" t="s">
        <v>236</v>
      </c>
      <c r="B1165" s="286" t="s">
        <v>740</v>
      </c>
      <c r="C1165" s="286" t="s">
        <v>1073</v>
      </c>
      <c r="D1165" s="138" t="s">
        <v>438</v>
      </c>
      <c r="E1165" s="286" t="s">
        <v>165</v>
      </c>
      <c r="F1165" s="287">
        <v>46658</v>
      </c>
      <c r="G1165" s="288" t="s">
        <v>103</v>
      </c>
      <c r="H1165" s="288">
        <v>143</v>
      </c>
      <c r="I1165" s="289">
        <v>667.79</v>
      </c>
      <c r="J1165" s="289">
        <v>95493.33</v>
      </c>
      <c r="K1165" s="288" t="s">
        <v>103</v>
      </c>
      <c r="L1165" s="292">
        <v>3.0999999999999999E-3</v>
      </c>
    </row>
    <row r="1166" spans="1:12" ht="15.75" thickBot="1" x14ac:dyDescent="0.3">
      <c r="A1166" s="291" t="s">
        <v>186</v>
      </c>
      <c r="B1166" s="286" t="s">
        <v>189</v>
      </c>
      <c r="C1166" s="286" t="s">
        <v>1073</v>
      </c>
      <c r="D1166" s="138" t="s">
        <v>271</v>
      </c>
      <c r="E1166" s="286" t="s">
        <v>165</v>
      </c>
      <c r="F1166" s="287">
        <v>47953</v>
      </c>
      <c r="G1166" s="288" t="s">
        <v>103</v>
      </c>
      <c r="H1166" s="288">
        <v>245</v>
      </c>
      <c r="I1166" s="289">
        <v>1105.3599999999999</v>
      </c>
      <c r="J1166" s="289">
        <v>270812.51</v>
      </c>
      <c r="K1166" s="288" t="s">
        <v>103</v>
      </c>
      <c r="L1166" s="292">
        <v>8.6999999999999994E-3</v>
      </c>
    </row>
    <row r="1167" spans="1:12" ht="15.75" thickBot="1" x14ac:dyDescent="0.3">
      <c r="A1167" s="291" t="s">
        <v>131</v>
      </c>
      <c r="B1167" s="286" t="s">
        <v>140</v>
      </c>
      <c r="C1167" s="286" t="s">
        <v>1073</v>
      </c>
      <c r="D1167" s="138">
        <v>760199</v>
      </c>
      <c r="E1167" s="286" t="s">
        <v>165</v>
      </c>
      <c r="F1167" s="287">
        <v>47253</v>
      </c>
      <c r="G1167" s="288" t="s">
        <v>103</v>
      </c>
      <c r="H1167" s="290">
        <v>1731</v>
      </c>
      <c r="I1167" s="289">
        <v>4204.7700000000004</v>
      </c>
      <c r="J1167" s="289">
        <v>7278458.9400000004</v>
      </c>
      <c r="K1167" s="288" t="s">
        <v>103</v>
      </c>
      <c r="L1167" s="292">
        <v>0.23280000000000001</v>
      </c>
    </row>
    <row r="1168" spans="1:12" ht="15.75" thickBot="1" x14ac:dyDescent="0.3">
      <c r="A1168" s="291" t="s">
        <v>488</v>
      </c>
      <c r="B1168" s="286" t="s">
        <v>767</v>
      </c>
      <c r="C1168" s="286" t="s">
        <v>1073</v>
      </c>
      <c r="D1168" s="138" t="s">
        <v>768</v>
      </c>
      <c r="E1168" s="286" t="s">
        <v>165</v>
      </c>
      <c r="F1168" s="287">
        <v>45870</v>
      </c>
      <c r="G1168" s="288" t="s">
        <v>103</v>
      </c>
      <c r="H1168" s="288">
        <v>84</v>
      </c>
      <c r="I1168" s="289">
        <v>1211.97</v>
      </c>
      <c r="J1168" s="289">
        <v>101805.23</v>
      </c>
      <c r="K1168" s="288" t="s">
        <v>103</v>
      </c>
      <c r="L1168" s="292">
        <v>3.3E-3</v>
      </c>
    </row>
    <row r="1169" spans="1:12" ht="15.75" thickBot="1" x14ac:dyDescent="0.3">
      <c r="A1169" s="291" t="s">
        <v>488</v>
      </c>
      <c r="B1169" s="286" t="s">
        <v>1027</v>
      </c>
      <c r="C1169" s="286" t="s">
        <v>1073</v>
      </c>
      <c r="D1169" s="138" t="s">
        <v>1273</v>
      </c>
      <c r="E1169" s="286" t="s">
        <v>165</v>
      </c>
      <c r="F1169" s="287">
        <v>45897</v>
      </c>
      <c r="G1169" s="288" t="s">
        <v>103</v>
      </c>
      <c r="H1169" s="288">
        <v>160</v>
      </c>
      <c r="I1169" s="289">
        <v>1059.03</v>
      </c>
      <c r="J1169" s="289">
        <v>169445.03</v>
      </c>
      <c r="K1169" s="288" t="s">
        <v>103</v>
      </c>
      <c r="L1169" s="292">
        <v>5.4000000000000003E-3</v>
      </c>
    </row>
    <row r="1170" spans="1:12" ht="15.75" thickBot="1" x14ac:dyDescent="0.3">
      <c r="A1170" s="291" t="s">
        <v>488</v>
      </c>
      <c r="B1170" s="286" t="s">
        <v>1123</v>
      </c>
      <c r="C1170" s="286" t="s">
        <v>1073</v>
      </c>
      <c r="D1170" s="138" t="s">
        <v>1274</v>
      </c>
      <c r="E1170" s="286" t="s">
        <v>165</v>
      </c>
      <c r="F1170" s="287">
        <v>45929</v>
      </c>
      <c r="G1170" s="288" t="s">
        <v>103</v>
      </c>
      <c r="H1170" s="288">
        <v>128</v>
      </c>
      <c r="I1170" s="289">
        <v>1051.06</v>
      </c>
      <c r="J1170" s="289">
        <v>134535.81</v>
      </c>
      <c r="K1170" s="288" t="s">
        <v>103</v>
      </c>
      <c r="L1170" s="292">
        <v>4.3E-3</v>
      </c>
    </row>
    <row r="1171" spans="1:12" ht="15.75" thickBot="1" x14ac:dyDescent="0.3">
      <c r="A1171" s="291" t="s">
        <v>488</v>
      </c>
      <c r="B1171" s="286" t="s">
        <v>1062</v>
      </c>
      <c r="C1171" s="286" t="s">
        <v>1073</v>
      </c>
      <c r="D1171" s="138" t="s">
        <v>1128</v>
      </c>
      <c r="E1171" s="286" t="s">
        <v>165</v>
      </c>
      <c r="F1171" s="287">
        <v>45869</v>
      </c>
      <c r="G1171" s="288" t="s">
        <v>103</v>
      </c>
      <c r="H1171" s="288">
        <v>157</v>
      </c>
      <c r="I1171" s="289">
        <v>1074.3</v>
      </c>
      <c r="J1171" s="289">
        <v>168665.71</v>
      </c>
      <c r="K1171" s="288" t="s">
        <v>103</v>
      </c>
      <c r="L1171" s="292">
        <v>5.4000000000000003E-3</v>
      </c>
    </row>
    <row r="1172" spans="1:12" ht="15.75" thickBot="1" x14ac:dyDescent="0.3">
      <c r="A1172" s="293" t="s">
        <v>488</v>
      </c>
      <c r="B1172" s="294" t="s">
        <v>1062</v>
      </c>
      <c r="C1172" s="294" t="s">
        <v>1073</v>
      </c>
      <c r="D1172" s="139" t="s">
        <v>1146</v>
      </c>
      <c r="E1172" s="294" t="s">
        <v>165</v>
      </c>
      <c r="F1172" s="323">
        <v>45943</v>
      </c>
      <c r="G1172" s="295" t="s">
        <v>103</v>
      </c>
      <c r="H1172" s="295">
        <v>72</v>
      </c>
      <c r="I1172" s="296">
        <v>1047.6099999999999</v>
      </c>
      <c r="J1172" s="296">
        <v>75428.03</v>
      </c>
      <c r="K1172" s="295" t="s">
        <v>103</v>
      </c>
      <c r="L1172" s="297">
        <v>2.3999999999999998E-3</v>
      </c>
    </row>
    <row r="1173" spans="1:12" ht="15.75" thickBot="1" x14ac:dyDescent="0.3">
      <c r="A1173" s="319" t="s">
        <v>144</v>
      </c>
      <c r="B1173" s="320" t="s">
        <v>103</v>
      </c>
      <c r="C1173" s="320" t="s">
        <v>1073</v>
      </c>
      <c r="D1173" s="321" t="s">
        <v>144</v>
      </c>
      <c r="E1173" s="320" t="s">
        <v>165</v>
      </c>
      <c r="F1173" s="322" t="s">
        <v>103</v>
      </c>
      <c r="G1173" s="322" t="s">
        <v>103</v>
      </c>
      <c r="H1173" s="322" t="s">
        <v>103</v>
      </c>
      <c r="I1173" s="322" t="s">
        <v>103</v>
      </c>
      <c r="J1173" s="326">
        <v>0</v>
      </c>
      <c r="K1173" s="322" t="s">
        <v>103</v>
      </c>
      <c r="L1173" s="328">
        <v>0</v>
      </c>
    </row>
    <row r="1174" spans="1:12" ht="15.75" thickBot="1" x14ac:dyDescent="0.3">
      <c r="A1174" s="317" t="s">
        <v>99</v>
      </c>
      <c r="B1174" s="311" t="s">
        <v>140</v>
      </c>
      <c r="C1174" s="311" t="s">
        <v>988</v>
      </c>
      <c r="D1174" s="312" t="s">
        <v>1227</v>
      </c>
      <c r="E1174" s="311" t="s">
        <v>1369</v>
      </c>
      <c r="F1174" s="313">
        <v>47635</v>
      </c>
      <c r="G1174" s="314" t="s">
        <v>103</v>
      </c>
      <c r="H1174" s="314">
        <v>275</v>
      </c>
      <c r="I1174" s="315">
        <v>16030.02</v>
      </c>
      <c r="J1174" s="315">
        <v>4408256.04</v>
      </c>
      <c r="K1174" s="314" t="s">
        <v>103</v>
      </c>
      <c r="L1174" s="318">
        <v>3.6499999999999998E-2</v>
      </c>
    </row>
    <row r="1175" spans="1:12" ht="15.75" thickBot="1" x14ac:dyDescent="0.3">
      <c r="A1175" s="291" t="s">
        <v>99</v>
      </c>
      <c r="B1175" s="286" t="s">
        <v>140</v>
      </c>
      <c r="C1175" s="286" t="s">
        <v>988</v>
      </c>
      <c r="D1175" s="138" t="s">
        <v>1060</v>
      </c>
      <c r="E1175" s="286" t="s">
        <v>165</v>
      </c>
      <c r="F1175" s="287">
        <v>47362</v>
      </c>
      <c r="G1175" s="288" t="s">
        <v>103</v>
      </c>
      <c r="H1175" s="288">
        <v>6</v>
      </c>
      <c r="I1175" s="289">
        <v>16046.22</v>
      </c>
      <c r="J1175" s="289">
        <v>96277.3</v>
      </c>
      <c r="K1175" s="288" t="s">
        <v>103</v>
      </c>
      <c r="L1175" s="292">
        <v>8.0000000000000004E-4</v>
      </c>
    </row>
    <row r="1176" spans="1:12" ht="15.75" thickBot="1" x14ac:dyDescent="0.3">
      <c r="A1176" s="291" t="s">
        <v>105</v>
      </c>
      <c r="B1176" s="286" t="s">
        <v>103</v>
      </c>
      <c r="C1176" s="286" t="s">
        <v>988</v>
      </c>
      <c r="D1176" s="138" t="s">
        <v>105</v>
      </c>
      <c r="E1176" s="286" t="s">
        <v>165</v>
      </c>
      <c r="F1176" s="288" t="s">
        <v>103</v>
      </c>
      <c r="G1176" s="288" t="s">
        <v>103</v>
      </c>
      <c r="H1176" s="288" t="s">
        <v>103</v>
      </c>
      <c r="I1176" s="288" t="s">
        <v>103</v>
      </c>
      <c r="J1176" s="289">
        <v>309923.02</v>
      </c>
      <c r="K1176" s="288" t="s">
        <v>103</v>
      </c>
      <c r="L1176" s="292">
        <v>2.5999999999999999E-3</v>
      </c>
    </row>
    <row r="1177" spans="1:12" ht="15.75" thickBot="1" x14ac:dyDescent="0.3">
      <c r="A1177" s="291" t="s">
        <v>134</v>
      </c>
      <c r="B1177" s="286" t="s">
        <v>191</v>
      </c>
      <c r="C1177" s="286" t="s">
        <v>988</v>
      </c>
      <c r="D1177" s="138" t="s">
        <v>989</v>
      </c>
      <c r="E1177" s="286" t="s">
        <v>542</v>
      </c>
      <c r="F1177" s="287">
        <v>46486</v>
      </c>
      <c r="G1177" s="288" t="s">
        <v>103</v>
      </c>
      <c r="H1177" s="288">
        <v>2</v>
      </c>
      <c r="I1177" s="289">
        <v>539442.66</v>
      </c>
      <c r="J1177" s="289">
        <v>1078885.31</v>
      </c>
      <c r="K1177" s="288" t="s">
        <v>103</v>
      </c>
      <c r="L1177" s="292">
        <v>8.8999999999999999E-3</v>
      </c>
    </row>
    <row r="1178" spans="1:12" ht="15.75" thickBot="1" x14ac:dyDescent="0.3">
      <c r="A1178" s="291" t="s">
        <v>134</v>
      </c>
      <c r="B1178" s="286" t="s">
        <v>191</v>
      </c>
      <c r="C1178" s="286" t="s">
        <v>988</v>
      </c>
      <c r="D1178" s="138" t="s">
        <v>320</v>
      </c>
      <c r="E1178" s="286" t="s">
        <v>543</v>
      </c>
      <c r="F1178" s="287">
        <v>48171</v>
      </c>
      <c r="G1178" s="288" t="s">
        <v>103</v>
      </c>
      <c r="H1178" s="288">
        <v>1</v>
      </c>
      <c r="I1178" s="289">
        <v>429194.18</v>
      </c>
      <c r="J1178" s="289">
        <v>429194.18</v>
      </c>
      <c r="K1178" s="288" t="s">
        <v>103</v>
      </c>
      <c r="L1178" s="292">
        <v>3.5999999999999999E-3</v>
      </c>
    </row>
    <row r="1179" spans="1:12" ht="15.75" thickBot="1" x14ac:dyDescent="0.3">
      <c r="A1179" s="291" t="s">
        <v>134</v>
      </c>
      <c r="B1179" s="286" t="s">
        <v>490</v>
      </c>
      <c r="C1179" s="286" t="s">
        <v>988</v>
      </c>
      <c r="D1179" s="138" t="s">
        <v>491</v>
      </c>
      <c r="E1179" s="286" t="s">
        <v>541</v>
      </c>
      <c r="F1179" s="287">
        <v>46720</v>
      </c>
      <c r="G1179" s="288" t="s">
        <v>103</v>
      </c>
      <c r="H1179" s="288">
        <v>1</v>
      </c>
      <c r="I1179" s="289">
        <v>705558.98</v>
      </c>
      <c r="J1179" s="289">
        <v>705558.98</v>
      </c>
      <c r="K1179" s="288" t="s">
        <v>103</v>
      </c>
      <c r="L1179" s="292">
        <v>5.7999999999999996E-3</v>
      </c>
    </row>
    <row r="1180" spans="1:12" ht="15.75" thickBot="1" x14ac:dyDescent="0.3">
      <c r="A1180" s="291" t="s">
        <v>134</v>
      </c>
      <c r="B1180" s="286" t="s">
        <v>368</v>
      </c>
      <c r="C1180" s="286" t="s">
        <v>988</v>
      </c>
      <c r="D1180" s="138" t="s">
        <v>1187</v>
      </c>
      <c r="E1180" s="286" t="s">
        <v>537</v>
      </c>
      <c r="F1180" s="287">
        <v>46199</v>
      </c>
      <c r="G1180" s="288" t="s">
        <v>103</v>
      </c>
      <c r="H1180" s="288">
        <v>1</v>
      </c>
      <c r="I1180" s="289">
        <v>880510.79</v>
      </c>
      <c r="J1180" s="289">
        <v>880510.79</v>
      </c>
      <c r="K1180" s="288" t="s">
        <v>103</v>
      </c>
      <c r="L1180" s="292">
        <v>7.3000000000000001E-3</v>
      </c>
    </row>
    <row r="1181" spans="1:12" ht="15.75" thickBot="1" x14ac:dyDescent="0.3">
      <c r="A1181" s="291" t="s">
        <v>134</v>
      </c>
      <c r="B1181" s="286" t="s">
        <v>190</v>
      </c>
      <c r="C1181" s="286" t="s">
        <v>988</v>
      </c>
      <c r="D1181" s="138" t="s">
        <v>194</v>
      </c>
      <c r="E1181" s="286" t="s">
        <v>537</v>
      </c>
      <c r="F1181" s="287">
        <v>45803</v>
      </c>
      <c r="G1181" s="288" t="s">
        <v>103</v>
      </c>
      <c r="H1181" s="288">
        <v>1</v>
      </c>
      <c r="I1181" s="289">
        <v>929518.22</v>
      </c>
      <c r="J1181" s="289">
        <v>929518.22</v>
      </c>
      <c r="K1181" s="288" t="s">
        <v>103</v>
      </c>
      <c r="L1181" s="292">
        <v>7.7000000000000002E-3</v>
      </c>
    </row>
    <row r="1182" spans="1:12" ht="15.75" thickBot="1" x14ac:dyDescent="0.3">
      <c r="A1182" s="291" t="s">
        <v>135</v>
      </c>
      <c r="B1182" s="286" t="s">
        <v>399</v>
      </c>
      <c r="C1182" s="286" t="s">
        <v>988</v>
      </c>
      <c r="D1182" s="138" t="s">
        <v>887</v>
      </c>
      <c r="E1182" s="286" t="s">
        <v>165</v>
      </c>
      <c r="F1182" s="287">
        <v>47172</v>
      </c>
      <c r="G1182" s="288" t="s">
        <v>103</v>
      </c>
      <c r="H1182" s="288">
        <v>2</v>
      </c>
      <c r="I1182" s="289">
        <v>309967.95</v>
      </c>
      <c r="J1182" s="289">
        <v>619935.9</v>
      </c>
      <c r="K1182" s="288" t="s">
        <v>103</v>
      </c>
      <c r="L1182" s="292">
        <v>5.1000000000000004E-3</v>
      </c>
    </row>
    <row r="1183" spans="1:12" ht="15.75" thickBot="1" x14ac:dyDescent="0.3">
      <c r="A1183" s="291" t="s">
        <v>135</v>
      </c>
      <c r="B1183" s="286" t="s">
        <v>196</v>
      </c>
      <c r="C1183" s="286" t="s">
        <v>988</v>
      </c>
      <c r="D1183" s="138" t="s">
        <v>220</v>
      </c>
      <c r="E1183" s="286" t="s">
        <v>536</v>
      </c>
      <c r="F1183" s="287">
        <v>47417</v>
      </c>
      <c r="G1183" s="288" t="s">
        <v>103</v>
      </c>
      <c r="H1183" s="288">
        <v>3</v>
      </c>
      <c r="I1183" s="289">
        <v>303909.34000000003</v>
      </c>
      <c r="J1183" s="289">
        <v>911728.03</v>
      </c>
      <c r="K1183" s="288" t="s">
        <v>103</v>
      </c>
      <c r="L1183" s="292">
        <v>7.6E-3</v>
      </c>
    </row>
    <row r="1184" spans="1:12" ht="15.75" thickBot="1" x14ac:dyDescent="0.3">
      <c r="A1184" s="291" t="s">
        <v>135</v>
      </c>
      <c r="B1184" s="286" t="s">
        <v>196</v>
      </c>
      <c r="C1184" s="286" t="s">
        <v>988</v>
      </c>
      <c r="D1184" s="138" t="s">
        <v>6</v>
      </c>
      <c r="E1184" s="286" t="s">
        <v>537</v>
      </c>
      <c r="F1184" s="287">
        <v>47254</v>
      </c>
      <c r="G1184" s="288" t="s">
        <v>103</v>
      </c>
      <c r="H1184" s="288">
        <v>1</v>
      </c>
      <c r="I1184" s="289">
        <v>306454.99</v>
      </c>
      <c r="J1184" s="289">
        <v>306454.99</v>
      </c>
      <c r="K1184" s="288" t="s">
        <v>103</v>
      </c>
      <c r="L1184" s="292">
        <v>2.5000000000000001E-3</v>
      </c>
    </row>
    <row r="1185" spans="1:12" ht="15.75" thickBot="1" x14ac:dyDescent="0.3">
      <c r="A1185" s="291" t="s">
        <v>135</v>
      </c>
      <c r="B1185" s="286" t="s">
        <v>193</v>
      </c>
      <c r="C1185" s="286" t="s">
        <v>988</v>
      </c>
      <c r="D1185" s="138" t="s">
        <v>990</v>
      </c>
      <c r="E1185" s="286" t="s">
        <v>536</v>
      </c>
      <c r="F1185" s="287">
        <v>47192</v>
      </c>
      <c r="G1185" s="288" t="s">
        <v>103</v>
      </c>
      <c r="H1185" s="288">
        <v>3</v>
      </c>
      <c r="I1185" s="289">
        <v>338679.09</v>
      </c>
      <c r="J1185" s="289">
        <v>1016037.26</v>
      </c>
      <c r="K1185" s="288" t="s">
        <v>103</v>
      </c>
      <c r="L1185" s="292">
        <v>8.3999999999999995E-3</v>
      </c>
    </row>
    <row r="1186" spans="1:12" ht="15.75" thickBot="1" x14ac:dyDescent="0.3">
      <c r="A1186" s="291" t="s">
        <v>135</v>
      </c>
      <c r="B1186" s="286" t="s">
        <v>193</v>
      </c>
      <c r="C1186" s="286" t="s">
        <v>988</v>
      </c>
      <c r="D1186" s="138" t="s">
        <v>400</v>
      </c>
      <c r="E1186" s="286" t="s">
        <v>537</v>
      </c>
      <c r="F1186" s="287">
        <v>46827</v>
      </c>
      <c r="G1186" s="288" t="s">
        <v>103</v>
      </c>
      <c r="H1186" s="288">
        <v>1</v>
      </c>
      <c r="I1186" s="289">
        <v>338679.09</v>
      </c>
      <c r="J1186" s="289">
        <v>338679.09</v>
      </c>
      <c r="K1186" s="288" t="s">
        <v>103</v>
      </c>
      <c r="L1186" s="292">
        <v>2.8E-3</v>
      </c>
    </row>
    <row r="1187" spans="1:12" ht="15.75" thickBot="1" x14ac:dyDescent="0.3">
      <c r="A1187" s="291" t="s">
        <v>135</v>
      </c>
      <c r="B1187" s="286" t="s">
        <v>193</v>
      </c>
      <c r="C1187" s="286" t="s">
        <v>988</v>
      </c>
      <c r="D1187" s="138" t="s">
        <v>991</v>
      </c>
      <c r="E1187" s="286" t="s">
        <v>165</v>
      </c>
      <c r="F1187" s="287">
        <v>47427</v>
      </c>
      <c r="G1187" s="288" t="s">
        <v>103</v>
      </c>
      <c r="H1187" s="288">
        <v>1</v>
      </c>
      <c r="I1187" s="289">
        <v>338679.09</v>
      </c>
      <c r="J1187" s="289">
        <v>338679.09</v>
      </c>
      <c r="K1187" s="288" t="s">
        <v>103</v>
      </c>
      <c r="L1187" s="292">
        <v>2.8E-3</v>
      </c>
    </row>
    <row r="1188" spans="1:12" ht="15.75" thickBot="1" x14ac:dyDescent="0.3">
      <c r="A1188" s="291" t="s">
        <v>135</v>
      </c>
      <c r="B1188" s="286" t="s">
        <v>190</v>
      </c>
      <c r="C1188" s="286" t="s">
        <v>988</v>
      </c>
      <c r="D1188" s="138" t="s">
        <v>198</v>
      </c>
      <c r="E1188" s="286" t="s">
        <v>542</v>
      </c>
      <c r="F1188" s="287">
        <v>47313</v>
      </c>
      <c r="G1188" s="288" t="s">
        <v>103</v>
      </c>
      <c r="H1188" s="288">
        <v>2</v>
      </c>
      <c r="I1188" s="289">
        <v>547036.11</v>
      </c>
      <c r="J1188" s="289">
        <v>1094072.22</v>
      </c>
      <c r="K1188" s="288" t="s">
        <v>103</v>
      </c>
      <c r="L1188" s="292">
        <v>9.1000000000000004E-3</v>
      </c>
    </row>
    <row r="1189" spans="1:12" ht="15.75" thickBot="1" x14ac:dyDescent="0.3">
      <c r="A1189" s="291" t="s">
        <v>135</v>
      </c>
      <c r="B1189" s="286" t="s">
        <v>190</v>
      </c>
      <c r="C1189" s="286" t="s">
        <v>988</v>
      </c>
      <c r="D1189" s="138" t="s">
        <v>992</v>
      </c>
      <c r="E1189" s="286" t="s">
        <v>165</v>
      </c>
      <c r="F1189" s="287">
        <v>47224</v>
      </c>
      <c r="G1189" s="288" t="s">
        <v>103</v>
      </c>
      <c r="H1189" s="288">
        <v>2</v>
      </c>
      <c r="I1189" s="289">
        <v>351137.77</v>
      </c>
      <c r="J1189" s="289">
        <v>702275.54</v>
      </c>
      <c r="K1189" s="288" t="s">
        <v>103</v>
      </c>
      <c r="L1189" s="292">
        <v>5.7999999999999996E-3</v>
      </c>
    </row>
    <row r="1190" spans="1:12" ht="15.75" thickBot="1" x14ac:dyDescent="0.3">
      <c r="A1190" s="291" t="s">
        <v>113</v>
      </c>
      <c r="B1190" s="286" t="s">
        <v>114</v>
      </c>
      <c r="C1190" s="286" t="s">
        <v>988</v>
      </c>
      <c r="D1190" s="138" t="s">
        <v>180</v>
      </c>
      <c r="E1190" s="286" t="s">
        <v>1754</v>
      </c>
      <c r="F1190" s="287">
        <v>47710</v>
      </c>
      <c r="G1190" s="288" t="s">
        <v>103</v>
      </c>
      <c r="H1190" s="288">
        <v>-254</v>
      </c>
      <c r="I1190" s="289">
        <v>119224.93</v>
      </c>
      <c r="J1190" s="289">
        <v>111980.38</v>
      </c>
      <c r="K1190" s="289">
        <v>-30283131.539999999</v>
      </c>
      <c r="L1190" s="292">
        <v>-0.25080000000000002</v>
      </c>
    </row>
    <row r="1191" spans="1:12" ht="15.75" thickBot="1" x14ac:dyDescent="0.3">
      <c r="A1191" s="291" t="s">
        <v>113</v>
      </c>
      <c r="B1191" s="286" t="s">
        <v>114</v>
      </c>
      <c r="C1191" s="286" t="s">
        <v>988</v>
      </c>
      <c r="D1191" s="138" t="s">
        <v>184</v>
      </c>
      <c r="E1191" s="286" t="s">
        <v>1472</v>
      </c>
      <c r="F1191" s="287">
        <v>51363</v>
      </c>
      <c r="G1191" s="288" t="s">
        <v>103</v>
      </c>
      <c r="H1191" s="288">
        <v>-107</v>
      </c>
      <c r="I1191" s="289">
        <v>57989.15</v>
      </c>
      <c r="J1191" s="289">
        <v>104151.66</v>
      </c>
      <c r="K1191" s="289">
        <v>-6204839.3099999996</v>
      </c>
      <c r="L1191" s="292">
        <v>-5.1400000000000001E-2</v>
      </c>
    </row>
    <row r="1192" spans="1:12" ht="15.75" thickBot="1" x14ac:dyDescent="0.3">
      <c r="A1192" s="291" t="s">
        <v>113</v>
      </c>
      <c r="B1192" s="286" t="s">
        <v>114</v>
      </c>
      <c r="C1192" s="286" t="s">
        <v>988</v>
      </c>
      <c r="D1192" s="138" t="s">
        <v>179</v>
      </c>
      <c r="E1192" s="286" t="s">
        <v>1755</v>
      </c>
      <c r="F1192" s="287">
        <v>46980</v>
      </c>
      <c r="G1192" s="288" t="s">
        <v>103</v>
      </c>
      <c r="H1192" s="288">
        <v>-110</v>
      </c>
      <c r="I1192" s="289">
        <v>138535.13</v>
      </c>
      <c r="J1192" s="289">
        <v>59973.98</v>
      </c>
      <c r="K1192" s="289">
        <v>-15238864.35</v>
      </c>
      <c r="L1192" s="292">
        <v>-0.12620000000000001</v>
      </c>
    </row>
    <row r="1193" spans="1:12" ht="15.75" thickBot="1" x14ac:dyDescent="0.3">
      <c r="A1193" s="291" t="s">
        <v>113</v>
      </c>
      <c r="B1193" s="286" t="s">
        <v>114</v>
      </c>
      <c r="C1193" s="286" t="s">
        <v>988</v>
      </c>
      <c r="D1193" s="138" t="s">
        <v>451</v>
      </c>
      <c r="E1193" s="286" t="s">
        <v>1474</v>
      </c>
      <c r="F1193" s="287">
        <v>48442</v>
      </c>
      <c r="G1193" s="288" t="s">
        <v>103</v>
      </c>
      <c r="H1193" s="288">
        <v>-72</v>
      </c>
      <c r="I1193" s="289">
        <v>102265.21</v>
      </c>
      <c r="J1193" s="289">
        <v>52117.919999999998</v>
      </c>
      <c r="K1193" s="289">
        <v>-7363095.21</v>
      </c>
      <c r="L1193" s="292">
        <v>-6.0999999999999999E-2</v>
      </c>
    </row>
    <row r="1194" spans="1:12" ht="15.75" thickBot="1" x14ac:dyDescent="0.3">
      <c r="A1194" s="291" t="s">
        <v>113</v>
      </c>
      <c r="B1194" s="286" t="s">
        <v>114</v>
      </c>
      <c r="C1194" s="286" t="s">
        <v>988</v>
      </c>
      <c r="D1194" s="138" t="s">
        <v>183</v>
      </c>
      <c r="E1194" s="286" t="s">
        <v>1473</v>
      </c>
      <c r="F1194" s="287">
        <v>49444</v>
      </c>
      <c r="G1194" s="288" t="s">
        <v>103</v>
      </c>
      <c r="H1194" s="288">
        <v>-45</v>
      </c>
      <c r="I1194" s="289">
        <v>83773.990000000005</v>
      </c>
      <c r="J1194" s="289">
        <v>49854.6</v>
      </c>
      <c r="K1194" s="289">
        <v>-3769829.38</v>
      </c>
      <c r="L1194" s="292">
        <v>-3.1199999999999999E-2</v>
      </c>
    </row>
    <row r="1195" spans="1:12" ht="15.75" thickBot="1" x14ac:dyDescent="0.3">
      <c r="A1195" s="291" t="s">
        <v>113</v>
      </c>
      <c r="B1195" s="286" t="s">
        <v>114</v>
      </c>
      <c r="C1195" s="286" t="s">
        <v>988</v>
      </c>
      <c r="D1195" s="138" t="s">
        <v>319</v>
      </c>
      <c r="E1195" s="286" t="s">
        <v>1756</v>
      </c>
      <c r="F1195" s="287">
        <v>46524</v>
      </c>
      <c r="G1195" s="288" t="s">
        <v>103</v>
      </c>
      <c r="H1195" s="288">
        <v>-53</v>
      </c>
      <c r="I1195" s="289">
        <v>152304.68</v>
      </c>
      <c r="J1195" s="289">
        <v>19130.400000000001</v>
      </c>
      <c r="K1195" s="289">
        <v>-8072147.7800000003</v>
      </c>
      <c r="L1195" s="292">
        <v>-6.6900000000000001E-2</v>
      </c>
    </row>
    <row r="1196" spans="1:12" ht="15.75" thickBot="1" x14ac:dyDescent="0.3">
      <c r="A1196" s="291" t="s">
        <v>113</v>
      </c>
      <c r="B1196" s="286" t="s">
        <v>114</v>
      </c>
      <c r="C1196" s="286" t="s">
        <v>988</v>
      </c>
      <c r="D1196" s="138" t="s">
        <v>1366</v>
      </c>
      <c r="E1196" s="286" t="s">
        <v>1391</v>
      </c>
      <c r="F1196" s="287">
        <v>47253</v>
      </c>
      <c r="G1196" s="288" t="s">
        <v>103</v>
      </c>
      <c r="H1196" s="288">
        <v>-33</v>
      </c>
      <c r="I1196" s="289">
        <v>131231.28</v>
      </c>
      <c r="J1196" s="289">
        <v>17112.810000000001</v>
      </c>
      <c r="K1196" s="289">
        <v>-4330632.0999999996</v>
      </c>
      <c r="L1196" s="292">
        <v>-3.5900000000000001E-2</v>
      </c>
    </row>
    <row r="1197" spans="1:12" ht="15.75" thickBot="1" x14ac:dyDescent="0.3">
      <c r="A1197" s="291" t="s">
        <v>113</v>
      </c>
      <c r="B1197" s="286" t="s">
        <v>114</v>
      </c>
      <c r="C1197" s="286" t="s">
        <v>988</v>
      </c>
      <c r="D1197" s="138" t="s">
        <v>202</v>
      </c>
      <c r="E1197" s="286" t="s">
        <v>1390</v>
      </c>
      <c r="F1197" s="287">
        <v>47120</v>
      </c>
      <c r="G1197" s="288" t="s">
        <v>103</v>
      </c>
      <c r="H1197" s="288">
        <v>-62</v>
      </c>
      <c r="I1197" s="289">
        <v>59255.839999999997</v>
      </c>
      <c r="J1197" s="289">
        <v>4075.26</v>
      </c>
      <c r="K1197" s="289">
        <v>-3673862.08</v>
      </c>
      <c r="L1197" s="292">
        <v>-3.04E-2</v>
      </c>
    </row>
    <row r="1198" spans="1:12" ht="15.75" thickBot="1" x14ac:dyDescent="0.3">
      <c r="A1198" s="291" t="s">
        <v>113</v>
      </c>
      <c r="B1198" s="286" t="s">
        <v>114</v>
      </c>
      <c r="C1198" s="286" t="s">
        <v>988</v>
      </c>
      <c r="D1198" s="138" t="s">
        <v>116</v>
      </c>
      <c r="E1198" s="286" t="s">
        <v>1757</v>
      </c>
      <c r="F1198" s="287">
        <v>46251</v>
      </c>
      <c r="G1198" s="288" t="s">
        <v>103</v>
      </c>
      <c r="H1198" s="288">
        <v>-16</v>
      </c>
      <c r="I1198" s="289">
        <v>159982.35</v>
      </c>
      <c r="J1198" s="289">
        <v>2033.39</v>
      </c>
      <c r="K1198" s="289">
        <v>-2559717.67</v>
      </c>
      <c r="L1198" s="292">
        <v>-2.12E-2</v>
      </c>
    </row>
    <row r="1199" spans="1:12" ht="15.75" thickBot="1" x14ac:dyDescent="0.3">
      <c r="A1199" s="291" t="s">
        <v>113</v>
      </c>
      <c r="B1199" s="286" t="s">
        <v>114</v>
      </c>
      <c r="C1199" s="286" t="s">
        <v>988</v>
      </c>
      <c r="D1199" s="138" t="s">
        <v>479</v>
      </c>
      <c r="E1199" s="286" t="s">
        <v>820</v>
      </c>
      <c r="F1199" s="287">
        <v>46024</v>
      </c>
      <c r="G1199" s="288" t="s">
        <v>103</v>
      </c>
      <c r="H1199" s="288">
        <v>1</v>
      </c>
      <c r="I1199" s="289">
        <v>89037.45</v>
      </c>
      <c r="J1199" s="289">
        <v>-31.6</v>
      </c>
      <c r="K1199" s="289">
        <v>89037.45</v>
      </c>
      <c r="L1199" s="292">
        <v>6.9999999999999999E-4</v>
      </c>
    </row>
    <row r="1200" spans="1:12" ht="15.75" thickBot="1" x14ac:dyDescent="0.3">
      <c r="A1200" s="291" t="s">
        <v>113</v>
      </c>
      <c r="B1200" s="286" t="s">
        <v>114</v>
      </c>
      <c r="C1200" s="286" t="s">
        <v>988</v>
      </c>
      <c r="D1200" s="138" t="s">
        <v>143</v>
      </c>
      <c r="E1200" s="286" t="s">
        <v>1065</v>
      </c>
      <c r="F1200" s="287">
        <v>46391</v>
      </c>
      <c r="G1200" s="288" t="s">
        <v>103</v>
      </c>
      <c r="H1200" s="288">
        <v>2</v>
      </c>
      <c r="I1200" s="289">
        <v>77714.77</v>
      </c>
      <c r="J1200" s="289">
        <v>-83.1</v>
      </c>
      <c r="K1200" s="289">
        <v>155429.54</v>
      </c>
      <c r="L1200" s="292">
        <v>1.2999999999999999E-3</v>
      </c>
    </row>
    <row r="1201" spans="1:12" ht="15.75" thickBot="1" x14ac:dyDescent="0.3">
      <c r="A1201" s="291" t="s">
        <v>117</v>
      </c>
      <c r="B1201" s="286" t="s">
        <v>995</v>
      </c>
      <c r="C1201" s="286" t="s">
        <v>988</v>
      </c>
      <c r="D1201" s="138" t="s">
        <v>996</v>
      </c>
      <c r="E1201" s="286" t="s">
        <v>165</v>
      </c>
      <c r="F1201" s="288" t="s">
        <v>103</v>
      </c>
      <c r="G1201" s="288" t="s">
        <v>103</v>
      </c>
      <c r="H1201" s="288">
        <v>267</v>
      </c>
      <c r="I1201" s="289">
        <v>2399.84</v>
      </c>
      <c r="J1201" s="289">
        <v>640758.54</v>
      </c>
      <c r="K1201" s="288" t="s">
        <v>103</v>
      </c>
      <c r="L1201" s="292">
        <v>5.3E-3</v>
      </c>
    </row>
    <row r="1202" spans="1:12" ht="15.75" thickBot="1" x14ac:dyDescent="0.3">
      <c r="A1202" s="291" t="s">
        <v>118</v>
      </c>
      <c r="B1202" s="286" t="s">
        <v>145</v>
      </c>
      <c r="C1202" s="286" t="s">
        <v>988</v>
      </c>
      <c r="D1202" s="138" t="s">
        <v>121</v>
      </c>
      <c r="E1202" s="286" t="s">
        <v>165</v>
      </c>
      <c r="F1202" s="288" t="s">
        <v>103</v>
      </c>
      <c r="G1202" s="288" t="s">
        <v>103</v>
      </c>
      <c r="H1202" s="290">
        <v>1631679</v>
      </c>
      <c r="I1202" s="289">
        <v>1.5</v>
      </c>
      <c r="J1202" s="289">
        <v>2446337.71</v>
      </c>
      <c r="K1202" s="288" t="s">
        <v>103</v>
      </c>
      <c r="L1202" s="292">
        <v>2.0299999999999999E-2</v>
      </c>
    </row>
    <row r="1203" spans="1:12" ht="15.75" thickBot="1" x14ac:dyDescent="0.3">
      <c r="A1203" s="291" t="s">
        <v>126</v>
      </c>
      <c r="B1203" s="286" t="s">
        <v>1139</v>
      </c>
      <c r="C1203" s="286" t="s">
        <v>988</v>
      </c>
      <c r="D1203" s="138" t="s">
        <v>512</v>
      </c>
      <c r="E1203" s="286" t="s">
        <v>165</v>
      </c>
      <c r="F1203" s="288" t="s">
        <v>103</v>
      </c>
      <c r="G1203" s="288" t="s">
        <v>103</v>
      </c>
      <c r="H1203" s="288">
        <v>7</v>
      </c>
      <c r="I1203" s="289">
        <v>66715.289999999994</v>
      </c>
      <c r="J1203" s="289">
        <v>467007.01</v>
      </c>
      <c r="K1203" s="288" t="s">
        <v>103</v>
      </c>
      <c r="L1203" s="292">
        <v>3.8999999999999998E-3</v>
      </c>
    </row>
    <row r="1204" spans="1:12" ht="15.75" thickBot="1" x14ac:dyDescent="0.3">
      <c r="A1204" s="291" t="s">
        <v>126</v>
      </c>
      <c r="B1204" s="286" t="s">
        <v>252</v>
      </c>
      <c r="C1204" s="286" t="s">
        <v>988</v>
      </c>
      <c r="D1204" s="138" t="s">
        <v>253</v>
      </c>
      <c r="E1204" s="286" t="s">
        <v>165</v>
      </c>
      <c r="F1204" s="287">
        <v>45976</v>
      </c>
      <c r="G1204" s="288" t="s">
        <v>103</v>
      </c>
      <c r="H1204" s="288">
        <v>322</v>
      </c>
      <c r="I1204" s="289">
        <v>601.12</v>
      </c>
      <c r="J1204" s="289">
        <v>193561.06</v>
      </c>
      <c r="K1204" s="288" t="s">
        <v>103</v>
      </c>
      <c r="L1204" s="292">
        <v>1.6000000000000001E-3</v>
      </c>
    </row>
    <row r="1205" spans="1:12" ht="15.75" thickBot="1" x14ac:dyDescent="0.3">
      <c r="A1205" s="291" t="s">
        <v>126</v>
      </c>
      <c r="B1205" s="286" t="s">
        <v>877</v>
      </c>
      <c r="C1205" s="286" t="s">
        <v>988</v>
      </c>
      <c r="D1205" s="138" t="s">
        <v>1140</v>
      </c>
      <c r="E1205" s="286" t="s">
        <v>165</v>
      </c>
      <c r="F1205" s="287">
        <v>45689</v>
      </c>
      <c r="G1205" s="288" t="s">
        <v>103</v>
      </c>
      <c r="H1205" s="288">
        <v>492</v>
      </c>
      <c r="I1205" s="289">
        <v>751.16</v>
      </c>
      <c r="J1205" s="289">
        <v>369570.97</v>
      </c>
      <c r="K1205" s="288" t="s">
        <v>103</v>
      </c>
      <c r="L1205" s="292">
        <v>3.0999999999999999E-3</v>
      </c>
    </row>
    <row r="1206" spans="1:12" ht="15.75" thickBot="1" x14ac:dyDescent="0.3">
      <c r="A1206" s="291" t="s">
        <v>126</v>
      </c>
      <c r="B1206" s="286" t="s">
        <v>1141</v>
      </c>
      <c r="C1206" s="286" t="s">
        <v>988</v>
      </c>
      <c r="D1206" s="138" t="s">
        <v>1142</v>
      </c>
      <c r="E1206" s="286" t="s">
        <v>165</v>
      </c>
      <c r="F1206" s="287">
        <v>47911</v>
      </c>
      <c r="G1206" s="288" t="s">
        <v>103</v>
      </c>
      <c r="H1206" s="288">
        <v>260</v>
      </c>
      <c r="I1206" s="289">
        <v>1240.44</v>
      </c>
      <c r="J1206" s="289">
        <v>322513.34000000003</v>
      </c>
      <c r="K1206" s="288" t="s">
        <v>103</v>
      </c>
      <c r="L1206" s="292">
        <v>2.7000000000000001E-3</v>
      </c>
    </row>
    <row r="1207" spans="1:12" ht="15.75" thickBot="1" x14ac:dyDescent="0.3">
      <c r="A1207" s="291" t="s">
        <v>126</v>
      </c>
      <c r="B1207" s="286" t="s">
        <v>467</v>
      </c>
      <c r="C1207" s="286" t="s">
        <v>988</v>
      </c>
      <c r="D1207" s="138" t="s">
        <v>468</v>
      </c>
      <c r="E1207" s="286" t="s">
        <v>165</v>
      </c>
      <c r="F1207" s="287">
        <v>46198</v>
      </c>
      <c r="G1207" s="288" t="s">
        <v>103</v>
      </c>
      <c r="H1207" s="288">
        <v>364</v>
      </c>
      <c r="I1207" s="289">
        <v>1014.86</v>
      </c>
      <c r="J1207" s="289">
        <v>369408.73</v>
      </c>
      <c r="K1207" s="288" t="s">
        <v>103</v>
      </c>
      <c r="L1207" s="292">
        <v>3.0999999999999999E-3</v>
      </c>
    </row>
    <row r="1208" spans="1:12" ht="15.75" thickBot="1" x14ac:dyDescent="0.3">
      <c r="A1208" s="291" t="s">
        <v>126</v>
      </c>
      <c r="B1208" s="286" t="s">
        <v>416</v>
      </c>
      <c r="C1208" s="286" t="s">
        <v>988</v>
      </c>
      <c r="D1208" s="138" t="s">
        <v>417</v>
      </c>
      <c r="E1208" s="286" t="s">
        <v>165</v>
      </c>
      <c r="F1208" s="287">
        <v>46260</v>
      </c>
      <c r="G1208" s="288" t="s">
        <v>103</v>
      </c>
      <c r="H1208" s="288">
        <v>337</v>
      </c>
      <c r="I1208" s="289">
        <v>1007.3</v>
      </c>
      <c r="J1208" s="289">
        <v>339459.73</v>
      </c>
      <c r="K1208" s="288" t="s">
        <v>103</v>
      </c>
      <c r="L1208" s="292">
        <v>2.8E-3</v>
      </c>
    </row>
    <row r="1209" spans="1:12" ht="15.75" thickBot="1" x14ac:dyDescent="0.3">
      <c r="A1209" s="291" t="s">
        <v>126</v>
      </c>
      <c r="B1209" s="286" t="s">
        <v>136</v>
      </c>
      <c r="C1209" s="286" t="s">
        <v>988</v>
      </c>
      <c r="D1209" s="138" t="s">
        <v>136</v>
      </c>
      <c r="E1209" s="286" t="s">
        <v>165</v>
      </c>
      <c r="F1209" s="287">
        <v>46020</v>
      </c>
      <c r="G1209" s="288" t="s">
        <v>103</v>
      </c>
      <c r="H1209" s="290">
        <v>1004</v>
      </c>
      <c r="I1209" s="289">
        <v>341.96</v>
      </c>
      <c r="J1209" s="289">
        <v>343327.5</v>
      </c>
      <c r="K1209" s="288" t="s">
        <v>103</v>
      </c>
      <c r="L1209" s="292">
        <v>2.8E-3</v>
      </c>
    </row>
    <row r="1210" spans="1:12" ht="15.75" thickBot="1" x14ac:dyDescent="0.3">
      <c r="A1210" s="291" t="s">
        <v>126</v>
      </c>
      <c r="B1210" s="286" t="s">
        <v>1143</v>
      </c>
      <c r="C1210" s="286" t="s">
        <v>988</v>
      </c>
      <c r="D1210" s="138" t="s">
        <v>1144</v>
      </c>
      <c r="E1210" s="286" t="s">
        <v>165</v>
      </c>
      <c r="F1210" s="287">
        <v>46314</v>
      </c>
      <c r="G1210" s="288" t="s">
        <v>103</v>
      </c>
      <c r="H1210" s="288">
        <v>376</v>
      </c>
      <c r="I1210" s="289">
        <v>1068.45</v>
      </c>
      <c r="J1210" s="289">
        <v>401736.27</v>
      </c>
      <c r="K1210" s="288" t="s">
        <v>103</v>
      </c>
      <c r="L1210" s="292">
        <v>3.3E-3</v>
      </c>
    </row>
    <row r="1211" spans="1:12" ht="15.75" thickBot="1" x14ac:dyDescent="0.3">
      <c r="A1211" s="291" t="s">
        <v>126</v>
      </c>
      <c r="B1211" s="286" t="s">
        <v>1237</v>
      </c>
      <c r="C1211" s="286" t="s">
        <v>988</v>
      </c>
      <c r="D1211" s="138" t="s">
        <v>1238</v>
      </c>
      <c r="E1211" s="286" t="s">
        <v>165</v>
      </c>
      <c r="F1211" s="287">
        <v>47834</v>
      </c>
      <c r="G1211" s="288" t="s">
        <v>103</v>
      </c>
      <c r="H1211" s="290">
        <v>1171</v>
      </c>
      <c r="I1211" s="289">
        <v>1026.76</v>
      </c>
      <c r="J1211" s="289">
        <v>1202337.96</v>
      </c>
      <c r="K1211" s="288" t="s">
        <v>103</v>
      </c>
      <c r="L1211" s="292">
        <v>0.01</v>
      </c>
    </row>
    <row r="1212" spans="1:12" ht="15.75" thickBot="1" x14ac:dyDescent="0.3">
      <c r="A1212" s="291" t="s">
        <v>126</v>
      </c>
      <c r="B1212" s="286" t="s">
        <v>1145</v>
      </c>
      <c r="C1212" s="286" t="s">
        <v>988</v>
      </c>
      <c r="D1212" s="138" t="s">
        <v>1094</v>
      </c>
      <c r="E1212" s="286" t="s">
        <v>165</v>
      </c>
      <c r="F1212" s="287">
        <v>46613</v>
      </c>
      <c r="G1212" s="288" t="s">
        <v>103</v>
      </c>
      <c r="H1212" s="288">
        <v>206</v>
      </c>
      <c r="I1212" s="289">
        <v>1005.27</v>
      </c>
      <c r="J1212" s="289">
        <v>207086.27</v>
      </c>
      <c r="K1212" s="288" t="s">
        <v>103</v>
      </c>
      <c r="L1212" s="292">
        <v>1.6999999999999999E-3</v>
      </c>
    </row>
    <row r="1213" spans="1:12" ht="15.75" thickBot="1" x14ac:dyDescent="0.3">
      <c r="A1213" s="291" t="s">
        <v>126</v>
      </c>
      <c r="B1213" s="286" t="s">
        <v>235</v>
      </c>
      <c r="C1213" s="286" t="s">
        <v>988</v>
      </c>
      <c r="D1213" s="138" t="s">
        <v>737</v>
      </c>
      <c r="E1213" s="286" t="s">
        <v>165</v>
      </c>
      <c r="F1213" s="287">
        <v>46611</v>
      </c>
      <c r="G1213" s="288" t="s">
        <v>103</v>
      </c>
      <c r="H1213" s="290">
        <v>731461</v>
      </c>
      <c r="I1213" s="289">
        <v>0.63</v>
      </c>
      <c r="J1213" s="289">
        <v>459262.55</v>
      </c>
      <c r="K1213" s="288" t="s">
        <v>103</v>
      </c>
      <c r="L1213" s="292">
        <v>3.8E-3</v>
      </c>
    </row>
    <row r="1214" spans="1:12" ht="15.75" thickBot="1" x14ac:dyDescent="0.3">
      <c r="A1214" s="291" t="s">
        <v>126</v>
      </c>
      <c r="B1214" s="286" t="s">
        <v>941</v>
      </c>
      <c r="C1214" s="286" t="s">
        <v>988</v>
      </c>
      <c r="D1214" s="138" t="s">
        <v>942</v>
      </c>
      <c r="E1214" s="286" t="s">
        <v>165</v>
      </c>
      <c r="F1214" s="287">
        <v>46496</v>
      </c>
      <c r="G1214" s="288" t="s">
        <v>103</v>
      </c>
      <c r="H1214" s="288">
        <v>291</v>
      </c>
      <c r="I1214" s="289">
        <v>1003.3</v>
      </c>
      <c r="J1214" s="289">
        <v>291960.71999999997</v>
      </c>
      <c r="K1214" s="288" t="s">
        <v>103</v>
      </c>
      <c r="L1214" s="292">
        <v>2.3999999999999998E-3</v>
      </c>
    </row>
    <row r="1215" spans="1:12" ht="15.75" thickBot="1" x14ac:dyDescent="0.3">
      <c r="A1215" s="291" t="s">
        <v>126</v>
      </c>
      <c r="B1215" s="286" t="s">
        <v>1096</v>
      </c>
      <c r="C1215" s="286" t="s">
        <v>988</v>
      </c>
      <c r="D1215" s="138" t="s">
        <v>1097</v>
      </c>
      <c r="E1215" s="286" t="s">
        <v>165</v>
      </c>
      <c r="F1215" s="288" t="s">
        <v>103</v>
      </c>
      <c r="G1215" s="288" t="s">
        <v>103</v>
      </c>
      <c r="H1215" s="288">
        <v>10</v>
      </c>
      <c r="I1215" s="289">
        <v>39359.230000000003</v>
      </c>
      <c r="J1215" s="289">
        <v>393592.31</v>
      </c>
      <c r="K1215" s="288" t="s">
        <v>103</v>
      </c>
      <c r="L1215" s="292">
        <v>3.3E-3</v>
      </c>
    </row>
    <row r="1216" spans="1:12" ht="15.75" thickBot="1" x14ac:dyDescent="0.3">
      <c r="A1216" s="291" t="s">
        <v>127</v>
      </c>
      <c r="B1216" s="286" t="s">
        <v>38</v>
      </c>
      <c r="C1216" s="286" t="s">
        <v>988</v>
      </c>
      <c r="D1216" s="138" t="s">
        <v>1063</v>
      </c>
      <c r="E1216" s="286" t="s">
        <v>961</v>
      </c>
      <c r="F1216" s="287">
        <v>47645</v>
      </c>
      <c r="G1216" s="288" t="s">
        <v>1590</v>
      </c>
      <c r="H1216" s="288">
        <v>297</v>
      </c>
      <c r="I1216" s="289">
        <v>1034.0999999999999</v>
      </c>
      <c r="J1216" s="289">
        <v>307129</v>
      </c>
      <c r="K1216" s="288" t="s">
        <v>103</v>
      </c>
      <c r="L1216" s="292">
        <v>2.5000000000000001E-3</v>
      </c>
    </row>
    <row r="1217" spans="1:12" ht="15.75" thickBot="1" x14ac:dyDescent="0.3">
      <c r="A1217" s="291" t="s">
        <v>127</v>
      </c>
      <c r="B1217" s="286" t="s">
        <v>38</v>
      </c>
      <c r="C1217" s="286" t="s">
        <v>988</v>
      </c>
      <c r="D1217" s="138" t="s">
        <v>238</v>
      </c>
      <c r="E1217" s="286" t="s">
        <v>998</v>
      </c>
      <c r="F1217" s="287">
        <v>46096</v>
      </c>
      <c r="G1217" s="288" t="s">
        <v>1533</v>
      </c>
      <c r="H1217" s="288">
        <v>418</v>
      </c>
      <c r="I1217" s="289">
        <v>713.1</v>
      </c>
      <c r="J1217" s="289">
        <v>298076.86</v>
      </c>
      <c r="K1217" s="288" t="s">
        <v>103</v>
      </c>
      <c r="L1217" s="292">
        <v>2.5000000000000001E-3</v>
      </c>
    </row>
    <row r="1218" spans="1:12" ht="15.75" thickBot="1" x14ac:dyDescent="0.3">
      <c r="A1218" s="291" t="s">
        <v>127</v>
      </c>
      <c r="B1218" s="286" t="s">
        <v>258</v>
      </c>
      <c r="C1218" s="286" t="s">
        <v>988</v>
      </c>
      <c r="D1218" s="138" t="s">
        <v>259</v>
      </c>
      <c r="E1218" s="286" t="s">
        <v>646</v>
      </c>
      <c r="F1218" s="287">
        <v>48168</v>
      </c>
      <c r="G1218" s="288" t="s">
        <v>1591</v>
      </c>
      <c r="H1218" s="288">
        <v>170</v>
      </c>
      <c r="I1218" s="289">
        <v>1059.8499999999999</v>
      </c>
      <c r="J1218" s="289">
        <v>180174.39</v>
      </c>
      <c r="K1218" s="288" t="s">
        <v>103</v>
      </c>
      <c r="L1218" s="292">
        <v>1.5E-3</v>
      </c>
    </row>
    <row r="1219" spans="1:12" ht="15.75" thickBot="1" x14ac:dyDescent="0.3">
      <c r="A1219" s="291" t="s">
        <v>127</v>
      </c>
      <c r="B1219" s="286" t="s">
        <v>1098</v>
      </c>
      <c r="C1219" s="286" t="s">
        <v>988</v>
      </c>
      <c r="D1219" s="138" t="s">
        <v>1099</v>
      </c>
      <c r="E1219" s="286" t="s">
        <v>656</v>
      </c>
      <c r="F1219" s="287">
        <v>47373</v>
      </c>
      <c r="G1219" s="288" t="s">
        <v>103</v>
      </c>
      <c r="H1219" s="288">
        <v>148</v>
      </c>
      <c r="I1219" s="289">
        <v>1005.93</v>
      </c>
      <c r="J1219" s="289">
        <v>148877.78</v>
      </c>
      <c r="K1219" s="288" t="s">
        <v>103</v>
      </c>
      <c r="L1219" s="292">
        <v>1.1999999999999999E-3</v>
      </c>
    </row>
    <row r="1220" spans="1:12" ht="15.75" thickBot="1" x14ac:dyDescent="0.3">
      <c r="A1220" s="291" t="s">
        <v>127</v>
      </c>
      <c r="B1220" s="286" t="s">
        <v>927</v>
      </c>
      <c r="C1220" s="286" t="s">
        <v>988</v>
      </c>
      <c r="D1220" s="138" t="s">
        <v>919</v>
      </c>
      <c r="E1220" s="286" t="s">
        <v>1490</v>
      </c>
      <c r="F1220" s="287">
        <v>47922</v>
      </c>
      <c r="G1220" s="288" t="s">
        <v>1592</v>
      </c>
      <c r="H1220" s="290">
        <v>2797</v>
      </c>
      <c r="I1220" s="289">
        <v>1034.7</v>
      </c>
      <c r="J1220" s="289">
        <v>2894042.19</v>
      </c>
      <c r="K1220" s="288" t="s">
        <v>103</v>
      </c>
      <c r="L1220" s="292">
        <v>2.4E-2</v>
      </c>
    </row>
    <row r="1221" spans="1:12" ht="15.75" thickBot="1" x14ac:dyDescent="0.3">
      <c r="A1221" s="291" t="s">
        <v>127</v>
      </c>
      <c r="B1221" s="286" t="s">
        <v>204</v>
      </c>
      <c r="C1221" s="286" t="s">
        <v>988</v>
      </c>
      <c r="D1221" s="138" t="s">
        <v>205</v>
      </c>
      <c r="E1221" s="286" t="s">
        <v>999</v>
      </c>
      <c r="F1221" s="287">
        <v>48014</v>
      </c>
      <c r="G1221" s="288" t="s">
        <v>1593</v>
      </c>
      <c r="H1221" s="288">
        <v>692</v>
      </c>
      <c r="I1221" s="289">
        <v>1019.71</v>
      </c>
      <c r="J1221" s="289">
        <v>705636</v>
      </c>
      <c r="K1221" s="288" t="s">
        <v>103</v>
      </c>
      <c r="L1221" s="292">
        <v>5.7999999999999996E-3</v>
      </c>
    </row>
    <row r="1222" spans="1:12" ht="15.75" thickBot="1" x14ac:dyDescent="0.3">
      <c r="A1222" s="291" t="s">
        <v>127</v>
      </c>
      <c r="B1222" s="286" t="s">
        <v>204</v>
      </c>
      <c r="C1222" s="286" t="s">
        <v>988</v>
      </c>
      <c r="D1222" s="138" t="s">
        <v>206</v>
      </c>
      <c r="E1222" s="286" t="s">
        <v>1000</v>
      </c>
      <c r="F1222" s="287">
        <v>48014</v>
      </c>
      <c r="G1222" s="288" t="s">
        <v>1594</v>
      </c>
      <c r="H1222" s="288">
        <v>596</v>
      </c>
      <c r="I1222" s="289">
        <v>989.75</v>
      </c>
      <c r="J1222" s="289">
        <v>589890.02</v>
      </c>
      <c r="K1222" s="288" t="s">
        <v>103</v>
      </c>
      <c r="L1222" s="292">
        <v>4.8999999999999998E-3</v>
      </c>
    </row>
    <row r="1223" spans="1:12" ht="15.75" thickBot="1" x14ac:dyDescent="0.3">
      <c r="A1223" s="291" t="s">
        <v>127</v>
      </c>
      <c r="B1223" s="286" t="s">
        <v>48</v>
      </c>
      <c r="C1223" s="286" t="s">
        <v>988</v>
      </c>
      <c r="D1223" s="138" t="s">
        <v>1367</v>
      </c>
      <c r="E1223" s="286" t="s">
        <v>1494</v>
      </c>
      <c r="F1223" s="287">
        <v>51058</v>
      </c>
      <c r="G1223" s="288" t="s">
        <v>1758</v>
      </c>
      <c r="H1223" s="290">
        <v>2584</v>
      </c>
      <c r="I1223" s="289">
        <v>961.21</v>
      </c>
      <c r="J1223" s="289">
        <v>2483754.9900000002</v>
      </c>
      <c r="K1223" s="288" t="s">
        <v>103</v>
      </c>
      <c r="L1223" s="292">
        <v>2.06E-2</v>
      </c>
    </row>
    <row r="1224" spans="1:12" ht="15.75" thickBot="1" x14ac:dyDescent="0.3">
      <c r="A1224" s="291" t="s">
        <v>127</v>
      </c>
      <c r="B1224" s="286" t="s">
        <v>396</v>
      </c>
      <c r="C1224" s="286" t="s">
        <v>988</v>
      </c>
      <c r="D1224" s="138" t="s">
        <v>1404</v>
      </c>
      <c r="E1224" s="286" t="s">
        <v>165</v>
      </c>
      <c r="F1224" s="287">
        <v>47123</v>
      </c>
      <c r="G1224" s="288" t="s">
        <v>103</v>
      </c>
      <c r="H1224" s="288">
        <v>105</v>
      </c>
      <c r="I1224" s="289">
        <v>447.35</v>
      </c>
      <c r="J1224" s="289">
        <v>46971.92</v>
      </c>
      <c r="K1224" s="288" t="s">
        <v>103</v>
      </c>
      <c r="L1224" s="292">
        <v>4.0000000000000002E-4</v>
      </c>
    </row>
    <row r="1225" spans="1:12" ht="15.75" thickBot="1" x14ac:dyDescent="0.3">
      <c r="A1225" s="291" t="s">
        <v>127</v>
      </c>
      <c r="B1225" s="286" t="s">
        <v>396</v>
      </c>
      <c r="C1225" s="286" t="s">
        <v>988</v>
      </c>
      <c r="D1225" s="138" t="s">
        <v>1405</v>
      </c>
      <c r="E1225" s="286" t="s">
        <v>165</v>
      </c>
      <c r="F1225" s="287">
        <v>52967</v>
      </c>
      <c r="G1225" s="288" t="s">
        <v>103</v>
      </c>
      <c r="H1225" s="288">
        <v>155</v>
      </c>
      <c r="I1225" s="289">
        <v>79.77</v>
      </c>
      <c r="J1225" s="289">
        <v>12365.05</v>
      </c>
      <c r="K1225" s="288" t="s">
        <v>103</v>
      </c>
      <c r="L1225" s="292">
        <v>1E-4</v>
      </c>
    </row>
    <row r="1226" spans="1:12" ht="15.75" thickBot="1" x14ac:dyDescent="0.3">
      <c r="A1226" s="291" t="s">
        <v>127</v>
      </c>
      <c r="B1226" s="286" t="s">
        <v>392</v>
      </c>
      <c r="C1226" s="286" t="s">
        <v>988</v>
      </c>
      <c r="D1226" s="138" t="s">
        <v>393</v>
      </c>
      <c r="E1226" s="286" t="s">
        <v>712</v>
      </c>
      <c r="F1226" s="287">
        <v>48482</v>
      </c>
      <c r="G1226" s="288" t="s">
        <v>103</v>
      </c>
      <c r="H1226" s="290">
        <v>1546</v>
      </c>
      <c r="I1226" s="289">
        <v>1208.58</v>
      </c>
      <c r="J1226" s="289">
        <v>1868470.39</v>
      </c>
      <c r="K1226" s="288" t="s">
        <v>103</v>
      </c>
      <c r="L1226" s="292">
        <v>1.55E-2</v>
      </c>
    </row>
    <row r="1227" spans="1:12" ht="15.75" thickBot="1" x14ac:dyDescent="0.3">
      <c r="A1227" s="291" t="s">
        <v>127</v>
      </c>
      <c r="B1227" s="286" t="s">
        <v>759</v>
      </c>
      <c r="C1227" s="286" t="s">
        <v>988</v>
      </c>
      <c r="D1227" s="138" t="s">
        <v>760</v>
      </c>
      <c r="E1227" s="286" t="s">
        <v>761</v>
      </c>
      <c r="F1227" s="287">
        <v>46959</v>
      </c>
      <c r="G1227" s="288" t="s">
        <v>1759</v>
      </c>
      <c r="H1227" s="288">
        <v>250</v>
      </c>
      <c r="I1227" s="289">
        <v>850.51</v>
      </c>
      <c r="J1227" s="289">
        <v>212627.6</v>
      </c>
      <c r="K1227" s="288" t="s">
        <v>103</v>
      </c>
      <c r="L1227" s="292">
        <v>1.8E-3</v>
      </c>
    </row>
    <row r="1228" spans="1:12" ht="15.75" thickBot="1" x14ac:dyDescent="0.3">
      <c r="A1228" s="291" t="s">
        <v>127</v>
      </c>
      <c r="B1228" s="286" t="s">
        <v>37</v>
      </c>
      <c r="C1228" s="286" t="s">
        <v>988</v>
      </c>
      <c r="D1228" s="138" t="s">
        <v>260</v>
      </c>
      <c r="E1228" s="286" t="s">
        <v>165</v>
      </c>
      <c r="F1228" s="287">
        <v>47065</v>
      </c>
      <c r="G1228" s="288" t="s">
        <v>1427</v>
      </c>
      <c r="H1228" s="288">
        <v>257</v>
      </c>
      <c r="I1228" s="289">
        <v>1059.01</v>
      </c>
      <c r="J1228" s="289">
        <v>272164.76</v>
      </c>
      <c r="K1228" s="288" t="s">
        <v>103</v>
      </c>
      <c r="L1228" s="292">
        <v>2.3E-3</v>
      </c>
    </row>
    <row r="1229" spans="1:12" ht="15.75" thickBot="1" x14ac:dyDescent="0.3">
      <c r="A1229" s="291" t="s">
        <v>127</v>
      </c>
      <c r="B1229" s="286" t="s">
        <v>1356</v>
      </c>
      <c r="C1229" s="286" t="s">
        <v>988</v>
      </c>
      <c r="D1229" s="138" t="s">
        <v>1349</v>
      </c>
      <c r="E1229" s="286" t="s">
        <v>1497</v>
      </c>
      <c r="F1229" s="287">
        <v>48959</v>
      </c>
      <c r="G1229" s="288" t="s">
        <v>1376</v>
      </c>
      <c r="H1229" s="290">
        <v>166766</v>
      </c>
      <c r="I1229" s="289">
        <v>9.93</v>
      </c>
      <c r="J1229" s="289">
        <v>1656408.97</v>
      </c>
      <c r="K1229" s="288" t="s">
        <v>103</v>
      </c>
      <c r="L1229" s="292">
        <v>1.37E-2</v>
      </c>
    </row>
    <row r="1230" spans="1:12" ht="15.75" thickBot="1" x14ac:dyDescent="0.3">
      <c r="A1230" s="291" t="s">
        <v>127</v>
      </c>
      <c r="B1230" s="286" t="s">
        <v>295</v>
      </c>
      <c r="C1230" s="286" t="s">
        <v>988</v>
      </c>
      <c r="D1230" s="138" t="s">
        <v>300</v>
      </c>
      <c r="E1230" s="286" t="s">
        <v>1261</v>
      </c>
      <c r="F1230" s="287">
        <v>47863</v>
      </c>
      <c r="G1230" s="288" t="s">
        <v>1419</v>
      </c>
      <c r="H1230" s="288">
        <v>468</v>
      </c>
      <c r="I1230" s="289">
        <v>942.76</v>
      </c>
      <c r="J1230" s="289">
        <v>441211.05</v>
      </c>
      <c r="K1230" s="288" t="s">
        <v>103</v>
      </c>
      <c r="L1230" s="292">
        <v>3.7000000000000002E-3</v>
      </c>
    </row>
    <row r="1231" spans="1:12" ht="15.75" thickBot="1" x14ac:dyDescent="0.3">
      <c r="A1231" s="291" t="s">
        <v>127</v>
      </c>
      <c r="B1231" s="286" t="s">
        <v>230</v>
      </c>
      <c r="C1231" s="286" t="s">
        <v>988</v>
      </c>
      <c r="D1231" s="138" t="s">
        <v>211</v>
      </c>
      <c r="E1231" s="286" t="s">
        <v>1006</v>
      </c>
      <c r="F1231" s="287">
        <v>45802</v>
      </c>
      <c r="G1231" s="288" t="s">
        <v>1504</v>
      </c>
      <c r="H1231" s="288">
        <v>263</v>
      </c>
      <c r="I1231" s="289">
        <v>347.08</v>
      </c>
      <c r="J1231" s="289">
        <v>91282.17</v>
      </c>
      <c r="K1231" s="288" t="s">
        <v>103</v>
      </c>
      <c r="L1231" s="292">
        <v>8.0000000000000004E-4</v>
      </c>
    </row>
    <row r="1232" spans="1:12" ht="15.75" thickBot="1" x14ac:dyDescent="0.3">
      <c r="A1232" s="291" t="s">
        <v>127</v>
      </c>
      <c r="B1232" s="286" t="s">
        <v>428</v>
      </c>
      <c r="C1232" s="286" t="s">
        <v>988</v>
      </c>
      <c r="D1232" s="138" t="s">
        <v>349</v>
      </c>
      <c r="E1232" s="286" t="s">
        <v>1105</v>
      </c>
      <c r="F1232" s="287">
        <v>46541</v>
      </c>
      <c r="G1232" s="288" t="s">
        <v>1760</v>
      </c>
      <c r="H1232" s="288">
        <v>847</v>
      </c>
      <c r="I1232" s="289">
        <v>749.21</v>
      </c>
      <c r="J1232" s="289">
        <v>634584.88</v>
      </c>
      <c r="K1232" s="288" t="s">
        <v>103</v>
      </c>
      <c r="L1232" s="292">
        <v>5.3E-3</v>
      </c>
    </row>
    <row r="1233" spans="1:12" ht="15.75" thickBot="1" x14ac:dyDescent="0.3">
      <c r="A1233" s="291" t="s">
        <v>127</v>
      </c>
      <c r="B1233" s="286" t="s">
        <v>505</v>
      </c>
      <c r="C1233" s="286" t="s">
        <v>988</v>
      </c>
      <c r="D1233" s="138" t="s">
        <v>411</v>
      </c>
      <c r="E1233" s="286" t="s">
        <v>1595</v>
      </c>
      <c r="F1233" s="287">
        <v>48441</v>
      </c>
      <c r="G1233" s="288" t="s">
        <v>1596</v>
      </c>
      <c r="H1233" s="290">
        <v>5069</v>
      </c>
      <c r="I1233" s="289">
        <v>1100.6300000000001</v>
      </c>
      <c r="J1233" s="289">
        <v>5579085.2699999996</v>
      </c>
      <c r="K1233" s="288" t="s">
        <v>103</v>
      </c>
      <c r="L1233" s="292">
        <v>4.6199999999999998E-2</v>
      </c>
    </row>
    <row r="1234" spans="1:12" ht="15.75" thickBot="1" x14ac:dyDescent="0.3">
      <c r="A1234" s="291" t="s">
        <v>127</v>
      </c>
      <c r="B1234" s="286" t="s">
        <v>778</v>
      </c>
      <c r="C1234" s="286" t="s">
        <v>988</v>
      </c>
      <c r="D1234" s="138" t="s">
        <v>1109</v>
      </c>
      <c r="E1234" s="286" t="s">
        <v>1110</v>
      </c>
      <c r="F1234" s="287">
        <v>46924</v>
      </c>
      <c r="G1234" s="288" t="s">
        <v>1599</v>
      </c>
      <c r="H1234" s="288">
        <v>665</v>
      </c>
      <c r="I1234" s="289">
        <v>1028.8599999999999</v>
      </c>
      <c r="J1234" s="289">
        <v>684195.13</v>
      </c>
      <c r="K1234" s="288" t="s">
        <v>103</v>
      </c>
      <c r="L1234" s="292">
        <v>5.7000000000000002E-3</v>
      </c>
    </row>
    <row r="1235" spans="1:12" ht="15.75" thickBot="1" x14ac:dyDescent="0.3">
      <c r="A1235" s="291" t="s">
        <v>127</v>
      </c>
      <c r="B1235" s="286" t="s">
        <v>1410</v>
      </c>
      <c r="C1235" s="286" t="s">
        <v>988</v>
      </c>
      <c r="D1235" s="138" t="s">
        <v>1064</v>
      </c>
      <c r="E1235" s="286" t="s">
        <v>165</v>
      </c>
      <c r="F1235" s="287">
        <v>46482</v>
      </c>
      <c r="G1235" s="288" t="s">
        <v>103</v>
      </c>
      <c r="H1235" s="288">
        <v>310</v>
      </c>
      <c r="I1235" s="289">
        <v>1005.01</v>
      </c>
      <c r="J1235" s="289">
        <v>311554.53999999998</v>
      </c>
      <c r="K1235" s="288" t="s">
        <v>103</v>
      </c>
      <c r="L1235" s="292">
        <v>2.5999999999999999E-3</v>
      </c>
    </row>
    <row r="1236" spans="1:12" ht="15.75" thickBot="1" x14ac:dyDescent="0.3">
      <c r="A1236" s="291" t="s">
        <v>127</v>
      </c>
      <c r="B1236" s="286" t="s">
        <v>1410</v>
      </c>
      <c r="C1236" s="286" t="s">
        <v>988</v>
      </c>
      <c r="D1236" s="138" t="s">
        <v>228</v>
      </c>
      <c r="E1236" s="286" t="s">
        <v>1007</v>
      </c>
      <c r="F1236" s="287">
        <v>48106</v>
      </c>
      <c r="G1236" s="288" t="s">
        <v>1515</v>
      </c>
      <c r="H1236" s="288">
        <v>229</v>
      </c>
      <c r="I1236" s="289">
        <v>1044.01</v>
      </c>
      <c r="J1236" s="289">
        <v>239077.71</v>
      </c>
      <c r="K1236" s="288" t="s">
        <v>103</v>
      </c>
      <c r="L1236" s="292">
        <v>2E-3</v>
      </c>
    </row>
    <row r="1237" spans="1:12" ht="15.75" thickBot="1" x14ac:dyDescent="0.3">
      <c r="A1237" s="291" t="s">
        <v>127</v>
      </c>
      <c r="B1237" s="286" t="s">
        <v>513</v>
      </c>
      <c r="C1237" s="286" t="s">
        <v>988</v>
      </c>
      <c r="D1237" s="138" t="s">
        <v>514</v>
      </c>
      <c r="E1237" s="286" t="s">
        <v>1001</v>
      </c>
      <c r="F1237" s="287">
        <v>46310</v>
      </c>
      <c r="G1237" s="288" t="s">
        <v>1761</v>
      </c>
      <c r="H1237" s="288">
        <v>340</v>
      </c>
      <c r="I1237" s="289">
        <v>1046.93</v>
      </c>
      <c r="J1237" s="289">
        <v>355955.68</v>
      </c>
      <c r="K1237" s="288" t="s">
        <v>103</v>
      </c>
      <c r="L1237" s="292">
        <v>2.8999999999999998E-3</v>
      </c>
    </row>
    <row r="1238" spans="1:12" ht="15.75" thickBot="1" x14ac:dyDescent="0.3">
      <c r="A1238" s="291" t="s">
        <v>127</v>
      </c>
      <c r="B1238" s="286" t="s">
        <v>167</v>
      </c>
      <c r="C1238" s="286" t="s">
        <v>988</v>
      </c>
      <c r="D1238" s="138" t="s">
        <v>263</v>
      </c>
      <c r="E1238" s="286" t="s">
        <v>873</v>
      </c>
      <c r="F1238" s="287">
        <v>48167</v>
      </c>
      <c r="G1238" s="288" t="s">
        <v>1600</v>
      </c>
      <c r="H1238" s="288">
        <v>162</v>
      </c>
      <c r="I1238" s="289">
        <v>975.34</v>
      </c>
      <c r="J1238" s="289">
        <v>158005.75</v>
      </c>
      <c r="K1238" s="288" t="s">
        <v>103</v>
      </c>
      <c r="L1238" s="292">
        <v>1.2999999999999999E-3</v>
      </c>
    </row>
    <row r="1239" spans="1:12" ht="15.75" thickBot="1" x14ac:dyDescent="0.3">
      <c r="A1239" s="291" t="s">
        <v>127</v>
      </c>
      <c r="B1239" s="286" t="s">
        <v>35</v>
      </c>
      <c r="C1239" s="286" t="s">
        <v>988</v>
      </c>
      <c r="D1239" s="138" t="s">
        <v>1380</v>
      </c>
      <c r="E1239" s="286" t="s">
        <v>165</v>
      </c>
      <c r="F1239" s="287">
        <v>50997</v>
      </c>
      <c r="G1239" s="288" t="s">
        <v>1762</v>
      </c>
      <c r="H1239" s="290">
        <v>4350</v>
      </c>
      <c r="I1239" s="289">
        <v>903.48</v>
      </c>
      <c r="J1239" s="289">
        <v>3930124.42</v>
      </c>
      <c r="K1239" s="288" t="s">
        <v>103</v>
      </c>
      <c r="L1239" s="292">
        <v>3.2599999999999997E-2</v>
      </c>
    </row>
    <row r="1240" spans="1:12" ht="15.75" thickBot="1" x14ac:dyDescent="0.3">
      <c r="A1240" s="291" t="s">
        <v>127</v>
      </c>
      <c r="B1240" s="286" t="s">
        <v>35</v>
      </c>
      <c r="C1240" s="286" t="s">
        <v>988</v>
      </c>
      <c r="D1240" s="138" t="s">
        <v>3</v>
      </c>
      <c r="E1240" s="286" t="s">
        <v>1178</v>
      </c>
      <c r="F1240" s="287">
        <v>47196</v>
      </c>
      <c r="G1240" s="288" t="s">
        <v>1603</v>
      </c>
      <c r="H1240" s="288">
        <v>79</v>
      </c>
      <c r="I1240" s="289">
        <v>10913.24</v>
      </c>
      <c r="J1240" s="289">
        <v>862146.18</v>
      </c>
      <c r="K1240" s="288" t="s">
        <v>103</v>
      </c>
      <c r="L1240" s="292">
        <v>7.1000000000000004E-3</v>
      </c>
    </row>
    <row r="1241" spans="1:12" ht="15.75" thickBot="1" x14ac:dyDescent="0.3">
      <c r="A1241" s="291" t="s">
        <v>127</v>
      </c>
      <c r="B1241" s="286" t="s">
        <v>855</v>
      </c>
      <c r="C1241" s="286" t="s">
        <v>988</v>
      </c>
      <c r="D1241" s="138" t="s">
        <v>265</v>
      </c>
      <c r="E1241" s="286" t="s">
        <v>1763</v>
      </c>
      <c r="F1241" s="287">
        <v>47046</v>
      </c>
      <c r="G1241" s="288" t="s">
        <v>1565</v>
      </c>
      <c r="H1241" s="290">
        <v>1017</v>
      </c>
      <c r="I1241" s="289">
        <v>1036.08</v>
      </c>
      <c r="J1241" s="289">
        <v>1053696.47</v>
      </c>
      <c r="K1241" s="288" t="s">
        <v>103</v>
      </c>
      <c r="L1241" s="292">
        <v>8.6999999999999994E-3</v>
      </c>
    </row>
    <row r="1242" spans="1:12" ht="15.75" thickBot="1" x14ac:dyDescent="0.3">
      <c r="A1242" s="291" t="s">
        <v>127</v>
      </c>
      <c r="B1242" s="286" t="s">
        <v>289</v>
      </c>
      <c r="C1242" s="286" t="s">
        <v>988</v>
      </c>
      <c r="D1242" s="138" t="s">
        <v>266</v>
      </c>
      <c r="E1242" s="286" t="s">
        <v>635</v>
      </c>
      <c r="F1242" s="287">
        <v>47060</v>
      </c>
      <c r="G1242" s="288" t="s">
        <v>1546</v>
      </c>
      <c r="H1242" s="288">
        <v>90</v>
      </c>
      <c r="I1242" s="289">
        <v>1053.3499999999999</v>
      </c>
      <c r="J1242" s="289">
        <v>94801.36</v>
      </c>
      <c r="K1242" s="288" t="s">
        <v>103</v>
      </c>
      <c r="L1242" s="292">
        <v>8.0000000000000004E-4</v>
      </c>
    </row>
    <row r="1243" spans="1:12" ht="15.75" thickBot="1" x14ac:dyDescent="0.3">
      <c r="A1243" s="291" t="s">
        <v>127</v>
      </c>
      <c r="B1243" s="286" t="s">
        <v>427</v>
      </c>
      <c r="C1243" s="286" t="s">
        <v>988</v>
      </c>
      <c r="D1243" s="138" t="s">
        <v>469</v>
      </c>
      <c r="E1243" s="286" t="s">
        <v>1008</v>
      </c>
      <c r="F1243" s="287">
        <v>46588</v>
      </c>
      <c r="G1243" s="288" t="s">
        <v>1604</v>
      </c>
      <c r="H1243" s="288">
        <v>424</v>
      </c>
      <c r="I1243" s="289">
        <v>1025.21</v>
      </c>
      <c r="J1243" s="289">
        <v>434690.23</v>
      </c>
      <c r="K1243" s="288" t="s">
        <v>103</v>
      </c>
      <c r="L1243" s="292">
        <v>3.5999999999999999E-3</v>
      </c>
    </row>
    <row r="1244" spans="1:12" ht="15.75" thickBot="1" x14ac:dyDescent="0.3">
      <c r="A1244" s="291" t="s">
        <v>127</v>
      </c>
      <c r="B1244" s="286" t="s">
        <v>1378</v>
      </c>
      <c r="C1244" s="286" t="s">
        <v>988</v>
      </c>
      <c r="D1244" s="138" t="s">
        <v>1350</v>
      </c>
      <c r="E1244" s="286" t="s">
        <v>1379</v>
      </c>
      <c r="F1244" s="287">
        <v>48044</v>
      </c>
      <c r="G1244" s="288" t="s">
        <v>1764</v>
      </c>
      <c r="H1244" s="290">
        <v>2225</v>
      </c>
      <c r="I1244" s="289">
        <v>966.06</v>
      </c>
      <c r="J1244" s="289">
        <v>2149492.7400000002</v>
      </c>
      <c r="K1244" s="288" t="s">
        <v>103</v>
      </c>
      <c r="L1244" s="292">
        <v>1.78E-2</v>
      </c>
    </row>
    <row r="1245" spans="1:12" ht="15.75" thickBot="1" x14ac:dyDescent="0.3">
      <c r="A1245" s="291" t="s">
        <v>127</v>
      </c>
      <c r="B1245" s="286" t="s">
        <v>1526</v>
      </c>
      <c r="C1245" s="286" t="s">
        <v>988</v>
      </c>
      <c r="D1245" s="138" t="s">
        <v>1463</v>
      </c>
      <c r="E1245" s="286" t="s">
        <v>1527</v>
      </c>
      <c r="F1245" s="287">
        <v>49049</v>
      </c>
      <c r="G1245" s="288" t="s">
        <v>1765</v>
      </c>
      <c r="H1245" s="290">
        <v>2013</v>
      </c>
      <c r="I1245" s="289">
        <v>1017.33</v>
      </c>
      <c r="J1245" s="289">
        <v>2047875.41</v>
      </c>
      <c r="K1245" s="288" t="s">
        <v>103</v>
      </c>
      <c r="L1245" s="292">
        <v>1.7000000000000001E-2</v>
      </c>
    </row>
    <row r="1246" spans="1:12" ht="15.75" thickBot="1" x14ac:dyDescent="0.3">
      <c r="A1246" s="291" t="s">
        <v>127</v>
      </c>
      <c r="B1246" s="286" t="s">
        <v>1166</v>
      </c>
      <c r="C1246" s="286" t="s">
        <v>988</v>
      </c>
      <c r="D1246" s="138" t="s">
        <v>1167</v>
      </c>
      <c r="E1246" s="286" t="s">
        <v>618</v>
      </c>
      <c r="F1246" s="287">
        <v>49475</v>
      </c>
      <c r="G1246" s="288" t="s">
        <v>1357</v>
      </c>
      <c r="H1246" s="288">
        <v>150</v>
      </c>
      <c r="I1246" s="289">
        <v>1032</v>
      </c>
      <c r="J1246" s="289">
        <v>154799.51999999999</v>
      </c>
      <c r="K1246" s="288" t="s">
        <v>103</v>
      </c>
      <c r="L1246" s="292">
        <v>1.2999999999999999E-3</v>
      </c>
    </row>
    <row r="1247" spans="1:12" ht="15.75" thickBot="1" x14ac:dyDescent="0.3">
      <c r="A1247" s="291" t="s">
        <v>127</v>
      </c>
      <c r="B1247" s="286" t="s">
        <v>758</v>
      </c>
      <c r="C1247" s="286" t="s">
        <v>988</v>
      </c>
      <c r="D1247" s="138" t="s">
        <v>1113</v>
      </c>
      <c r="E1247" s="286" t="s">
        <v>1042</v>
      </c>
      <c r="F1247" s="287">
        <v>47741</v>
      </c>
      <c r="G1247" s="288" t="s">
        <v>1766</v>
      </c>
      <c r="H1247" s="288">
        <v>264</v>
      </c>
      <c r="I1247" s="289">
        <v>1050.9100000000001</v>
      </c>
      <c r="J1247" s="289">
        <v>277440.43</v>
      </c>
      <c r="K1247" s="288" t="s">
        <v>103</v>
      </c>
      <c r="L1247" s="292">
        <v>2.3E-3</v>
      </c>
    </row>
    <row r="1248" spans="1:12" ht="15.75" thickBot="1" x14ac:dyDescent="0.3">
      <c r="A1248" s="291" t="s">
        <v>127</v>
      </c>
      <c r="B1248" s="286" t="s">
        <v>13</v>
      </c>
      <c r="C1248" s="286" t="s">
        <v>988</v>
      </c>
      <c r="D1248" s="138" t="s">
        <v>242</v>
      </c>
      <c r="E1248" s="286" t="s">
        <v>1179</v>
      </c>
      <c r="F1248" s="287">
        <v>47041</v>
      </c>
      <c r="G1248" s="288" t="s">
        <v>1429</v>
      </c>
      <c r="H1248" s="290">
        <v>1141</v>
      </c>
      <c r="I1248" s="289">
        <v>1081.23</v>
      </c>
      <c r="J1248" s="289">
        <v>1233677.8600000001</v>
      </c>
      <c r="K1248" s="288" t="s">
        <v>103</v>
      </c>
      <c r="L1248" s="292">
        <v>1.0200000000000001E-2</v>
      </c>
    </row>
    <row r="1249" spans="1:12" ht="15.75" thickBot="1" x14ac:dyDescent="0.3">
      <c r="A1249" s="291" t="s">
        <v>127</v>
      </c>
      <c r="B1249" s="286" t="s">
        <v>13</v>
      </c>
      <c r="C1249" s="286" t="s">
        <v>988</v>
      </c>
      <c r="D1249" s="138" t="s">
        <v>243</v>
      </c>
      <c r="E1249" s="286" t="s">
        <v>1250</v>
      </c>
      <c r="F1249" s="287">
        <v>48136</v>
      </c>
      <c r="G1249" s="288" t="s">
        <v>1767</v>
      </c>
      <c r="H1249" s="288">
        <v>582</v>
      </c>
      <c r="I1249" s="289">
        <v>1132.27</v>
      </c>
      <c r="J1249" s="289">
        <v>658983.52</v>
      </c>
      <c r="K1249" s="288" t="s">
        <v>103</v>
      </c>
      <c r="L1249" s="292">
        <v>5.4999999999999997E-3</v>
      </c>
    </row>
    <row r="1250" spans="1:12" ht="15.75" thickBot="1" x14ac:dyDescent="0.3">
      <c r="A1250" s="291" t="s">
        <v>127</v>
      </c>
      <c r="B1250" s="286" t="s">
        <v>1043</v>
      </c>
      <c r="C1250" s="286" t="s">
        <v>988</v>
      </c>
      <c r="D1250" s="138" t="s">
        <v>1020</v>
      </c>
      <c r="E1250" s="286" t="s">
        <v>1251</v>
      </c>
      <c r="F1250" s="287">
        <v>47649</v>
      </c>
      <c r="G1250" s="288" t="s">
        <v>1768</v>
      </c>
      <c r="H1250" s="290">
        <v>4267</v>
      </c>
      <c r="I1250" s="289">
        <v>1010.5</v>
      </c>
      <c r="J1250" s="289">
        <v>4311786.26</v>
      </c>
      <c r="K1250" s="288" t="s">
        <v>103</v>
      </c>
      <c r="L1250" s="292">
        <v>3.5700000000000003E-2</v>
      </c>
    </row>
    <row r="1251" spans="1:12" ht="15.75" thickBot="1" x14ac:dyDescent="0.3">
      <c r="A1251" s="291" t="s">
        <v>127</v>
      </c>
      <c r="B1251" s="286" t="s">
        <v>33</v>
      </c>
      <c r="C1251" s="286" t="s">
        <v>988</v>
      </c>
      <c r="D1251" s="138" t="s">
        <v>849</v>
      </c>
      <c r="E1251" s="286" t="s">
        <v>1769</v>
      </c>
      <c r="F1251" s="287">
        <v>48867</v>
      </c>
      <c r="G1251" s="288" t="s">
        <v>1770</v>
      </c>
      <c r="H1251" s="290">
        <v>4027</v>
      </c>
      <c r="I1251" s="289">
        <v>1005.48</v>
      </c>
      <c r="J1251" s="289">
        <v>4049084.51</v>
      </c>
      <c r="K1251" s="288" t="s">
        <v>103</v>
      </c>
      <c r="L1251" s="292">
        <v>3.3500000000000002E-2</v>
      </c>
    </row>
    <row r="1252" spans="1:12" ht="15.75" thickBot="1" x14ac:dyDescent="0.3">
      <c r="A1252" s="291" t="s">
        <v>127</v>
      </c>
      <c r="B1252" s="286" t="s">
        <v>33</v>
      </c>
      <c r="C1252" s="286" t="s">
        <v>988</v>
      </c>
      <c r="D1252" s="138" t="s">
        <v>822</v>
      </c>
      <c r="E1252" s="286" t="s">
        <v>679</v>
      </c>
      <c r="F1252" s="287">
        <v>47771</v>
      </c>
      <c r="G1252" s="288" t="s">
        <v>1606</v>
      </c>
      <c r="H1252" s="288">
        <v>112</v>
      </c>
      <c r="I1252" s="289">
        <v>1088.92</v>
      </c>
      <c r="J1252" s="289">
        <v>121959.1</v>
      </c>
      <c r="K1252" s="288" t="s">
        <v>103</v>
      </c>
      <c r="L1252" s="292">
        <v>1E-3</v>
      </c>
    </row>
    <row r="1253" spans="1:12" ht="15.75" thickBot="1" x14ac:dyDescent="0.3">
      <c r="A1253" s="291" t="s">
        <v>127</v>
      </c>
      <c r="B1253" s="286" t="s">
        <v>975</v>
      </c>
      <c r="C1253" s="286" t="s">
        <v>988</v>
      </c>
      <c r="D1253" s="138" t="s">
        <v>976</v>
      </c>
      <c r="E1253" s="286" t="s">
        <v>657</v>
      </c>
      <c r="F1253" s="287">
        <v>45950</v>
      </c>
      <c r="G1253" s="288" t="s">
        <v>1539</v>
      </c>
      <c r="H1253" s="288">
        <v>179</v>
      </c>
      <c r="I1253" s="289">
        <v>516.51</v>
      </c>
      <c r="J1253" s="289">
        <v>92455.08</v>
      </c>
      <c r="K1253" s="288" t="s">
        <v>103</v>
      </c>
      <c r="L1253" s="292">
        <v>8.0000000000000004E-4</v>
      </c>
    </row>
    <row r="1254" spans="1:12" ht="15.75" thickBot="1" x14ac:dyDescent="0.3">
      <c r="A1254" s="291" t="s">
        <v>127</v>
      </c>
      <c r="B1254" s="286" t="s">
        <v>345</v>
      </c>
      <c r="C1254" s="286" t="s">
        <v>988</v>
      </c>
      <c r="D1254" s="138" t="s">
        <v>346</v>
      </c>
      <c r="E1254" s="286" t="s">
        <v>1543</v>
      </c>
      <c r="F1254" s="287">
        <v>48349</v>
      </c>
      <c r="G1254" s="288" t="s">
        <v>1547</v>
      </c>
      <c r="H1254" s="290">
        <v>2145</v>
      </c>
      <c r="I1254" s="289">
        <v>1050.51</v>
      </c>
      <c r="J1254" s="289">
        <v>2253341.66</v>
      </c>
      <c r="K1254" s="288" t="s">
        <v>103</v>
      </c>
      <c r="L1254" s="292">
        <v>1.8700000000000001E-2</v>
      </c>
    </row>
    <row r="1255" spans="1:12" ht="15.75" thickBot="1" x14ac:dyDescent="0.3">
      <c r="A1255" s="291" t="s">
        <v>127</v>
      </c>
      <c r="B1255" s="286" t="s">
        <v>1374</v>
      </c>
      <c r="C1255" s="286" t="s">
        <v>988</v>
      </c>
      <c r="D1255" s="138" t="s">
        <v>1348</v>
      </c>
      <c r="E1255" s="286" t="s">
        <v>1375</v>
      </c>
      <c r="F1255" s="287">
        <v>52580</v>
      </c>
      <c r="G1255" s="288" t="s">
        <v>103</v>
      </c>
      <c r="H1255" s="290">
        <v>4000</v>
      </c>
      <c r="I1255" s="289">
        <v>951.52</v>
      </c>
      <c r="J1255" s="289">
        <v>3806087.55</v>
      </c>
      <c r="K1255" s="288" t="s">
        <v>103</v>
      </c>
      <c r="L1255" s="292">
        <v>3.15E-2</v>
      </c>
    </row>
    <row r="1256" spans="1:12" ht="15.75" thickBot="1" x14ac:dyDescent="0.3">
      <c r="A1256" s="291" t="s">
        <v>127</v>
      </c>
      <c r="B1256" s="286" t="s">
        <v>476</v>
      </c>
      <c r="C1256" s="286" t="s">
        <v>988</v>
      </c>
      <c r="D1256" s="138" t="s">
        <v>477</v>
      </c>
      <c r="E1256" s="286" t="s">
        <v>546</v>
      </c>
      <c r="F1256" s="287">
        <v>47067</v>
      </c>
      <c r="G1256" s="288" t="s">
        <v>1608</v>
      </c>
      <c r="H1256" s="288">
        <v>10</v>
      </c>
      <c r="I1256" s="289">
        <v>977.06</v>
      </c>
      <c r="J1256" s="289">
        <v>9770.57</v>
      </c>
      <c r="K1256" s="288" t="s">
        <v>103</v>
      </c>
      <c r="L1256" s="292">
        <v>1E-4</v>
      </c>
    </row>
    <row r="1257" spans="1:12" ht="15.75" thickBot="1" x14ac:dyDescent="0.3">
      <c r="A1257" s="291" t="s">
        <v>127</v>
      </c>
      <c r="B1257" s="286" t="s">
        <v>405</v>
      </c>
      <c r="C1257" s="286" t="s">
        <v>988</v>
      </c>
      <c r="D1257" s="138" t="s">
        <v>406</v>
      </c>
      <c r="E1257" s="286" t="s">
        <v>1009</v>
      </c>
      <c r="F1257" s="287">
        <v>46611</v>
      </c>
      <c r="G1257" s="288" t="s">
        <v>103</v>
      </c>
      <c r="H1257" s="288">
        <v>230</v>
      </c>
      <c r="I1257" s="289">
        <v>766.95</v>
      </c>
      <c r="J1257" s="289">
        <v>176399.4</v>
      </c>
      <c r="K1257" s="288" t="s">
        <v>103</v>
      </c>
      <c r="L1257" s="292">
        <v>1.5E-3</v>
      </c>
    </row>
    <row r="1258" spans="1:12" ht="15.75" thickBot="1" x14ac:dyDescent="0.3">
      <c r="A1258" s="291" t="s">
        <v>127</v>
      </c>
      <c r="B1258" s="286" t="s">
        <v>418</v>
      </c>
      <c r="C1258" s="286" t="s">
        <v>988</v>
      </c>
      <c r="D1258" s="138" t="s">
        <v>419</v>
      </c>
      <c r="E1258" s="286" t="s">
        <v>1010</v>
      </c>
      <c r="F1258" s="287">
        <v>46609</v>
      </c>
      <c r="G1258" s="288" t="s">
        <v>103</v>
      </c>
      <c r="H1258" s="288">
        <v>310</v>
      </c>
      <c r="I1258" s="289">
        <v>631.25</v>
      </c>
      <c r="J1258" s="289">
        <v>195687.36</v>
      </c>
      <c r="K1258" s="288" t="s">
        <v>103</v>
      </c>
      <c r="L1258" s="292">
        <v>1.6000000000000001E-3</v>
      </c>
    </row>
    <row r="1259" spans="1:12" ht="15.75" thickBot="1" x14ac:dyDescent="0.3">
      <c r="A1259" s="291" t="s">
        <v>127</v>
      </c>
      <c r="B1259" s="286" t="s">
        <v>944</v>
      </c>
      <c r="C1259" s="286" t="s">
        <v>988</v>
      </c>
      <c r="D1259" s="138" t="s">
        <v>1174</v>
      </c>
      <c r="E1259" s="286" t="s">
        <v>1771</v>
      </c>
      <c r="F1259" s="287">
        <v>48014</v>
      </c>
      <c r="G1259" s="288" t="s">
        <v>1498</v>
      </c>
      <c r="H1259" s="290">
        <v>4110</v>
      </c>
      <c r="I1259" s="289">
        <v>999.63</v>
      </c>
      <c r="J1259" s="289">
        <v>4108464.58</v>
      </c>
      <c r="K1259" s="288" t="s">
        <v>103</v>
      </c>
      <c r="L1259" s="292">
        <v>3.4000000000000002E-2</v>
      </c>
    </row>
    <row r="1260" spans="1:12" ht="15.75" thickBot="1" x14ac:dyDescent="0.3">
      <c r="A1260" s="291" t="s">
        <v>127</v>
      </c>
      <c r="B1260" s="286" t="s">
        <v>858</v>
      </c>
      <c r="C1260" s="286" t="s">
        <v>988</v>
      </c>
      <c r="D1260" s="138" t="s">
        <v>848</v>
      </c>
      <c r="E1260" s="286" t="s">
        <v>1772</v>
      </c>
      <c r="F1260" s="287">
        <v>48349</v>
      </c>
      <c r="G1260" s="288" t="s">
        <v>1610</v>
      </c>
      <c r="H1260" s="290">
        <v>3865</v>
      </c>
      <c r="I1260" s="289">
        <v>1041.8399999999999</v>
      </c>
      <c r="J1260" s="289">
        <v>4026726.02</v>
      </c>
      <c r="K1260" s="288" t="s">
        <v>103</v>
      </c>
      <c r="L1260" s="292">
        <v>3.3399999999999999E-2</v>
      </c>
    </row>
    <row r="1261" spans="1:12" ht="15.75" thickBot="1" x14ac:dyDescent="0.3">
      <c r="A1261" s="291" t="s">
        <v>127</v>
      </c>
      <c r="B1261" s="286" t="s">
        <v>1034</v>
      </c>
      <c r="C1261" s="286" t="s">
        <v>988</v>
      </c>
      <c r="D1261" s="138" t="s">
        <v>1173</v>
      </c>
      <c r="E1261" s="286" t="s">
        <v>1773</v>
      </c>
      <c r="F1261" s="287">
        <v>47192</v>
      </c>
      <c r="G1261" s="288" t="s">
        <v>1523</v>
      </c>
      <c r="H1261" s="290">
        <v>3875</v>
      </c>
      <c r="I1261" s="289">
        <v>1218.94</v>
      </c>
      <c r="J1261" s="289">
        <v>4723406.28</v>
      </c>
      <c r="K1261" s="288" t="s">
        <v>103</v>
      </c>
      <c r="L1261" s="292">
        <v>3.9100000000000003E-2</v>
      </c>
    </row>
    <row r="1262" spans="1:12" ht="15.75" thickBot="1" x14ac:dyDescent="0.3">
      <c r="A1262" s="291" t="s">
        <v>127</v>
      </c>
      <c r="B1262" s="286" t="s">
        <v>234</v>
      </c>
      <c r="C1262" s="286" t="s">
        <v>988</v>
      </c>
      <c r="D1262" s="138" t="s">
        <v>471</v>
      </c>
      <c r="E1262" s="286" t="s">
        <v>672</v>
      </c>
      <c r="F1262" s="287">
        <v>46152</v>
      </c>
      <c r="G1262" s="288" t="s">
        <v>1582</v>
      </c>
      <c r="H1262" s="288">
        <v>431</v>
      </c>
      <c r="I1262" s="289">
        <v>989.13</v>
      </c>
      <c r="J1262" s="289">
        <v>426316.74</v>
      </c>
      <c r="K1262" s="288" t="s">
        <v>103</v>
      </c>
      <c r="L1262" s="292">
        <v>3.5000000000000001E-3</v>
      </c>
    </row>
    <row r="1263" spans="1:12" ht="15.75" thickBot="1" x14ac:dyDescent="0.3">
      <c r="A1263" s="291" t="s">
        <v>127</v>
      </c>
      <c r="B1263" s="286" t="s">
        <v>234</v>
      </c>
      <c r="C1263" s="286" t="s">
        <v>988</v>
      </c>
      <c r="D1263" s="138" t="s">
        <v>509</v>
      </c>
      <c r="E1263" s="286" t="s">
        <v>618</v>
      </c>
      <c r="F1263" s="287">
        <v>46883</v>
      </c>
      <c r="G1263" s="288" t="s">
        <v>1441</v>
      </c>
      <c r="H1263" s="288">
        <v>150</v>
      </c>
      <c r="I1263" s="289">
        <v>839.6</v>
      </c>
      <c r="J1263" s="289">
        <v>125939.58</v>
      </c>
      <c r="K1263" s="288" t="s">
        <v>103</v>
      </c>
      <c r="L1263" s="292">
        <v>1E-3</v>
      </c>
    </row>
    <row r="1264" spans="1:12" ht="15.75" thickBot="1" x14ac:dyDescent="0.3">
      <c r="A1264" s="291" t="s">
        <v>127</v>
      </c>
      <c r="B1264" s="286" t="s">
        <v>891</v>
      </c>
      <c r="C1264" s="286" t="s">
        <v>988</v>
      </c>
      <c r="D1264" s="138" t="s">
        <v>472</v>
      </c>
      <c r="E1264" s="286" t="s">
        <v>1011</v>
      </c>
      <c r="F1264" s="287">
        <v>46664</v>
      </c>
      <c r="G1264" s="288" t="s">
        <v>1774</v>
      </c>
      <c r="H1264" s="288">
        <v>687</v>
      </c>
      <c r="I1264" s="289">
        <v>835.34</v>
      </c>
      <c r="J1264" s="289">
        <v>573875.17000000004</v>
      </c>
      <c r="K1264" s="288" t="s">
        <v>103</v>
      </c>
      <c r="L1264" s="292">
        <v>4.7999999999999996E-3</v>
      </c>
    </row>
    <row r="1265" spans="1:12" ht="15.75" thickBot="1" x14ac:dyDescent="0.3">
      <c r="A1265" s="291" t="s">
        <v>127</v>
      </c>
      <c r="B1265" s="286" t="s">
        <v>1435</v>
      </c>
      <c r="C1265" s="286" t="s">
        <v>988</v>
      </c>
      <c r="D1265" s="138" t="s">
        <v>1226</v>
      </c>
      <c r="E1265" s="286" t="s">
        <v>1249</v>
      </c>
      <c r="F1265" s="287">
        <v>50024</v>
      </c>
      <c r="G1265" s="288" t="s">
        <v>1775</v>
      </c>
      <c r="H1265" s="290">
        <v>3000</v>
      </c>
      <c r="I1265" s="289">
        <v>995.04</v>
      </c>
      <c r="J1265" s="289">
        <v>2985106.31</v>
      </c>
      <c r="K1265" s="288" t="s">
        <v>103</v>
      </c>
      <c r="L1265" s="292">
        <v>2.47E-2</v>
      </c>
    </row>
    <row r="1266" spans="1:12" ht="15.75" thickBot="1" x14ac:dyDescent="0.3">
      <c r="A1266" s="291" t="s">
        <v>127</v>
      </c>
      <c r="B1266" s="286" t="s">
        <v>213</v>
      </c>
      <c r="C1266" s="286" t="s">
        <v>988</v>
      </c>
      <c r="D1266" s="138" t="s">
        <v>1184</v>
      </c>
      <c r="E1266" s="286" t="s">
        <v>1185</v>
      </c>
      <c r="F1266" s="287">
        <v>49202</v>
      </c>
      <c r="G1266" s="288" t="s">
        <v>1776</v>
      </c>
      <c r="H1266" s="290">
        <v>2500</v>
      </c>
      <c r="I1266" s="289">
        <v>1090.54</v>
      </c>
      <c r="J1266" s="289">
        <v>2726342.28</v>
      </c>
      <c r="K1266" s="288" t="s">
        <v>103</v>
      </c>
      <c r="L1266" s="292">
        <v>2.2599999999999999E-2</v>
      </c>
    </row>
    <row r="1267" spans="1:12" ht="15.75" thickBot="1" x14ac:dyDescent="0.3">
      <c r="A1267" s="291" t="s">
        <v>127</v>
      </c>
      <c r="B1267" s="286" t="s">
        <v>213</v>
      </c>
      <c r="C1267" s="286" t="s">
        <v>988</v>
      </c>
      <c r="D1267" s="138" t="s">
        <v>332</v>
      </c>
      <c r="E1267" s="286" t="s">
        <v>1012</v>
      </c>
      <c r="F1267" s="287">
        <v>46492</v>
      </c>
      <c r="G1267" s="288" t="s">
        <v>1777</v>
      </c>
      <c r="H1267" s="288">
        <v>472</v>
      </c>
      <c r="I1267" s="289">
        <v>1056.02</v>
      </c>
      <c r="J1267" s="289">
        <v>498440.92</v>
      </c>
      <c r="K1267" s="288" t="s">
        <v>103</v>
      </c>
      <c r="L1267" s="292">
        <v>4.1000000000000003E-3</v>
      </c>
    </row>
    <row r="1268" spans="1:12" ht="15.75" thickBot="1" x14ac:dyDescent="0.3">
      <c r="A1268" s="291" t="s">
        <v>127</v>
      </c>
      <c r="B1268" s="286" t="s">
        <v>492</v>
      </c>
      <c r="C1268" s="286" t="s">
        <v>988</v>
      </c>
      <c r="D1268" s="138" t="s">
        <v>493</v>
      </c>
      <c r="E1268" s="286" t="s">
        <v>1180</v>
      </c>
      <c r="F1268" s="287">
        <v>52032</v>
      </c>
      <c r="G1268" s="288" t="s">
        <v>1778</v>
      </c>
      <c r="H1268" s="290">
        <v>1650</v>
      </c>
      <c r="I1268" s="289">
        <v>1165.82</v>
      </c>
      <c r="J1268" s="289">
        <v>1923604.63</v>
      </c>
      <c r="K1268" s="288" t="s">
        <v>103</v>
      </c>
      <c r="L1268" s="292">
        <v>1.5900000000000001E-2</v>
      </c>
    </row>
    <row r="1269" spans="1:12" ht="15.75" thickBot="1" x14ac:dyDescent="0.3">
      <c r="A1269" s="291" t="s">
        <v>127</v>
      </c>
      <c r="B1269" s="286" t="s">
        <v>429</v>
      </c>
      <c r="C1269" s="286" t="s">
        <v>988</v>
      </c>
      <c r="D1269" s="138" t="s">
        <v>347</v>
      </c>
      <c r="E1269" s="286" t="s">
        <v>1013</v>
      </c>
      <c r="F1269" s="287">
        <v>47250</v>
      </c>
      <c r="G1269" s="288" t="s">
        <v>1612</v>
      </c>
      <c r="H1269" s="288">
        <v>360</v>
      </c>
      <c r="I1269" s="289">
        <v>995.01</v>
      </c>
      <c r="J1269" s="289">
        <v>358202.98</v>
      </c>
      <c r="K1269" s="288" t="s">
        <v>103</v>
      </c>
      <c r="L1269" s="292">
        <v>3.0000000000000001E-3</v>
      </c>
    </row>
    <row r="1270" spans="1:12" ht="15.75" thickBot="1" x14ac:dyDescent="0.3">
      <c r="A1270" s="291" t="s">
        <v>127</v>
      </c>
      <c r="B1270" s="286" t="s">
        <v>947</v>
      </c>
      <c r="C1270" s="286" t="s">
        <v>988</v>
      </c>
      <c r="D1270" s="138" t="s">
        <v>929</v>
      </c>
      <c r="E1270" s="286" t="s">
        <v>1256</v>
      </c>
      <c r="F1270" s="287">
        <v>52671</v>
      </c>
      <c r="G1270" s="288" t="s">
        <v>1779</v>
      </c>
      <c r="H1270" s="288">
        <v>770</v>
      </c>
      <c r="I1270" s="289">
        <v>990.17</v>
      </c>
      <c r="J1270" s="289">
        <v>762431.17</v>
      </c>
      <c r="K1270" s="288" t="s">
        <v>103</v>
      </c>
      <c r="L1270" s="292">
        <v>6.3E-3</v>
      </c>
    </row>
    <row r="1271" spans="1:12" ht="15.75" thickBot="1" x14ac:dyDescent="0.3">
      <c r="A1271" s="291" t="s">
        <v>127</v>
      </c>
      <c r="B1271" s="286" t="s">
        <v>1436</v>
      </c>
      <c r="C1271" s="286" t="s">
        <v>988</v>
      </c>
      <c r="D1271" s="138" t="s">
        <v>1368</v>
      </c>
      <c r="E1271" s="286" t="s">
        <v>1437</v>
      </c>
      <c r="F1271" s="287">
        <v>48136</v>
      </c>
      <c r="G1271" s="288" t="s">
        <v>1607</v>
      </c>
      <c r="H1271" s="290">
        <v>3005</v>
      </c>
      <c r="I1271" s="289">
        <v>1119.58</v>
      </c>
      <c r="J1271" s="289">
        <v>3364343.03</v>
      </c>
      <c r="K1271" s="288" t="s">
        <v>103</v>
      </c>
      <c r="L1271" s="292">
        <v>2.7900000000000001E-2</v>
      </c>
    </row>
    <row r="1272" spans="1:12" ht="15.75" thickBot="1" x14ac:dyDescent="0.3">
      <c r="A1272" s="291" t="s">
        <v>127</v>
      </c>
      <c r="B1272" s="286" t="s">
        <v>10</v>
      </c>
      <c r="C1272" s="286" t="s">
        <v>988</v>
      </c>
      <c r="D1272" s="138" t="s">
        <v>279</v>
      </c>
      <c r="E1272" s="286" t="s">
        <v>1780</v>
      </c>
      <c r="F1272" s="287">
        <v>48044</v>
      </c>
      <c r="G1272" s="288" t="s">
        <v>1781</v>
      </c>
      <c r="H1272" s="290">
        <v>3709</v>
      </c>
      <c r="I1272" s="289">
        <v>1063.18</v>
      </c>
      <c r="J1272" s="289">
        <v>3943333.52</v>
      </c>
      <c r="K1272" s="288" t="s">
        <v>103</v>
      </c>
      <c r="L1272" s="292">
        <v>3.27E-2</v>
      </c>
    </row>
    <row r="1273" spans="1:12" ht="15.75" thickBot="1" x14ac:dyDescent="0.3">
      <c r="A1273" s="291" t="s">
        <v>127</v>
      </c>
      <c r="B1273" s="286" t="s">
        <v>10</v>
      </c>
      <c r="C1273" s="286" t="s">
        <v>988</v>
      </c>
      <c r="D1273" s="138" t="s">
        <v>9</v>
      </c>
      <c r="E1273" s="286" t="s">
        <v>558</v>
      </c>
      <c r="F1273" s="287">
        <v>46068</v>
      </c>
      <c r="G1273" s="288" t="s">
        <v>1614</v>
      </c>
      <c r="H1273" s="288">
        <v>46</v>
      </c>
      <c r="I1273" s="289">
        <v>5022.24</v>
      </c>
      <c r="J1273" s="289">
        <v>231022.96</v>
      </c>
      <c r="K1273" s="288" t="s">
        <v>103</v>
      </c>
      <c r="L1273" s="292">
        <v>1.9E-3</v>
      </c>
    </row>
    <row r="1274" spans="1:12" ht="15.75" thickBot="1" x14ac:dyDescent="0.3">
      <c r="A1274" s="291" t="s">
        <v>127</v>
      </c>
      <c r="B1274" s="286" t="s">
        <v>46</v>
      </c>
      <c r="C1274" s="286" t="s">
        <v>988</v>
      </c>
      <c r="D1274" s="138" t="s">
        <v>1364</v>
      </c>
      <c r="E1274" s="286" t="s">
        <v>1440</v>
      </c>
      <c r="F1274" s="287">
        <v>50479</v>
      </c>
      <c r="G1274" s="288" t="s">
        <v>1782</v>
      </c>
      <c r="H1274" s="290">
        <v>2070</v>
      </c>
      <c r="I1274" s="289">
        <v>999.08</v>
      </c>
      <c r="J1274" s="289">
        <v>2068089.63</v>
      </c>
      <c r="K1274" s="288" t="s">
        <v>103</v>
      </c>
      <c r="L1274" s="292">
        <v>1.7100000000000001E-2</v>
      </c>
    </row>
    <row r="1275" spans="1:12" ht="15.75" thickBot="1" x14ac:dyDescent="0.3">
      <c r="A1275" s="291" t="s">
        <v>127</v>
      </c>
      <c r="B1275" s="286" t="s">
        <v>46</v>
      </c>
      <c r="C1275" s="286" t="s">
        <v>988</v>
      </c>
      <c r="D1275" s="138" t="s">
        <v>4</v>
      </c>
      <c r="E1275" s="286" t="s">
        <v>1783</v>
      </c>
      <c r="F1275" s="287">
        <v>46461</v>
      </c>
      <c r="G1275" s="288" t="s">
        <v>1784</v>
      </c>
      <c r="H1275" s="290">
        <v>1707</v>
      </c>
      <c r="I1275" s="289">
        <v>1060.3699999999999</v>
      </c>
      <c r="J1275" s="289">
        <v>1810051.59</v>
      </c>
      <c r="K1275" s="288" t="s">
        <v>103</v>
      </c>
      <c r="L1275" s="292">
        <v>1.4999999999999999E-2</v>
      </c>
    </row>
    <row r="1276" spans="1:12" ht="15.75" thickBot="1" x14ac:dyDescent="0.3">
      <c r="A1276" s="291" t="s">
        <v>127</v>
      </c>
      <c r="B1276" s="286" t="s">
        <v>215</v>
      </c>
      <c r="C1276" s="286" t="s">
        <v>988</v>
      </c>
      <c r="D1276" s="138" t="s">
        <v>216</v>
      </c>
      <c r="E1276" s="286" t="s">
        <v>1014</v>
      </c>
      <c r="F1276" s="287">
        <v>46234</v>
      </c>
      <c r="G1276" s="288" t="s">
        <v>103</v>
      </c>
      <c r="H1276" s="288">
        <v>18</v>
      </c>
      <c r="I1276" s="289">
        <v>546.74</v>
      </c>
      <c r="J1276" s="289">
        <v>9841.35</v>
      </c>
      <c r="K1276" s="288" t="s">
        <v>103</v>
      </c>
      <c r="L1276" s="292">
        <v>1E-4</v>
      </c>
    </row>
    <row r="1277" spans="1:12" ht="15.75" thickBot="1" x14ac:dyDescent="0.3">
      <c r="A1277" s="291" t="s">
        <v>127</v>
      </c>
      <c r="B1277" s="286" t="s">
        <v>233</v>
      </c>
      <c r="C1277" s="286" t="s">
        <v>988</v>
      </c>
      <c r="D1277" s="138" t="s">
        <v>333</v>
      </c>
      <c r="E1277" s="286" t="s">
        <v>1257</v>
      </c>
      <c r="F1277" s="287">
        <v>47253</v>
      </c>
      <c r="G1277" s="288" t="s">
        <v>103</v>
      </c>
      <c r="H1277" s="290">
        <v>4500</v>
      </c>
      <c r="I1277" s="289">
        <v>1024.31</v>
      </c>
      <c r="J1277" s="289">
        <v>4609373.6500000004</v>
      </c>
      <c r="K1277" s="288" t="s">
        <v>103</v>
      </c>
      <c r="L1277" s="292">
        <v>3.8199999999999998E-2</v>
      </c>
    </row>
    <row r="1278" spans="1:12" ht="15.75" thickBot="1" x14ac:dyDescent="0.3">
      <c r="A1278" s="291" t="s">
        <v>127</v>
      </c>
      <c r="B1278" s="286" t="s">
        <v>506</v>
      </c>
      <c r="C1278" s="286" t="s">
        <v>988</v>
      </c>
      <c r="D1278" s="138" t="s">
        <v>879</v>
      </c>
      <c r="E1278" s="286" t="s">
        <v>1015</v>
      </c>
      <c r="F1278" s="287">
        <v>47157</v>
      </c>
      <c r="G1278" s="288" t="s">
        <v>1520</v>
      </c>
      <c r="H1278" s="288">
        <v>703</v>
      </c>
      <c r="I1278" s="289">
        <v>1023.38</v>
      </c>
      <c r="J1278" s="289">
        <v>719433.12</v>
      </c>
      <c r="K1278" s="288" t="s">
        <v>103</v>
      </c>
      <c r="L1278" s="292">
        <v>6.0000000000000001E-3</v>
      </c>
    </row>
    <row r="1279" spans="1:12" ht="15.75" thickBot="1" x14ac:dyDescent="0.3">
      <c r="A1279" s="291" t="s">
        <v>236</v>
      </c>
      <c r="B1279" s="286" t="s">
        <v>237</v>
      </c>
      <c r="C1279" s="286" t="s">
        <v>988</v>
      </c>
      <c r="D1279" s="138" t="s">
        <v>311</v>
      </c>
      <c r="E1279" s="286" t="s">
        <v>165</v>
      </c>
      <c r="F1279" s="287">
        <v>47379</v>
      </c>
      <c r="G1279" s="288" t="s">
        <v>103</v>
      </c>
      <c r="H1279" s="288">
        <v>531</v>
      </c>
      <c r="I1279" s="289">
        <v>941.96</v>
      </c>
      <c r="J1279" s="289">
        <v>500179.39</v>
      </c>
      <c r="K1279" s="288" t="s">
        <v>103</v>
      </c>
      <c r="L1279" s="292">
        <v>4.1000000000000003E-3</v>
      </c>
    </row>
    <row r="1280" spans="1:12" ht="15.75" thickBot="1" x14ac:dyDescent="0.3">
      <c r="A1280" s="291" t="s">
        <v>236</v>
      </c>
      <c r="B1280" s="286" t="s">
        <v>270</v>
      </c>
      <c r="C1280" s="286" t="s">
        <v>988</v>
      </c>
      <c r="D1280" s="138" t="s">
        <v>439</v>
      </c>
      <c r="E1280" s="286" t="s">
        <v>165</v>
      </c>
      <c r="F1280" s="287">
        <v>46196</v>
      </c>
      <c r="G1280" s="288" t="s">
        <v>103</v>
      </c>
      <c r="H1280" s="288">
        <v>911</v>
      </c>
      <c r="I1280" s="289">
        <v>459.86</v>
      </c>
      <c r="J1280" s="289">
        <v>418930.34</v>
      </c>
      <c r="K1280" s="288" t="s">
        <v>103</v>
      </c>
      <c r="L1280" s="292">
        <v>3.5000000000000001E-3</v>
      </c>
    </row>
    <row r="1281" spans="1:12" ht="15.75" thickBot="1" x14ac:dyDescent="0.3">
      <c r="A1281" s="291" t="s">
        <v>236</v>
      </c>
      <c r="B1281" s="286" t="s">
        <v>270</v>
      </c>
      <c r="C1281" s="286" t="s">
        <v>988</v>
      </c>
      <c r="D1281" s="138" t="s">
        <v>1016</v>
      </c>
      <c r="E1281" s="286" t="s">
        <v>1017</v>
      </c>
      <c r="F1281" s="287">
        <v>46001</v>
      </c>
      <c r="G1281" s="288" t="s">
        <v>103</v>
      </c>
      <c r="H1281" s="288">
        <v>287</v>
      </c>
      <c r="I1281" s="289">
        <v>447.47</v>
      </c>
      <c r="J1281" s="289">
        <v>128422.63</v>
      </c>
      <c r="K1281" s="288" t="s">
        <v>103</v>
      </c>
      <c r="L1281" s="292">
        <v>1.1000000000000001E-3</v>
      </c>
    </row>
    <row r="1282" spans="1:12" ht="15.75" thickBot="1" x14ac:dyDescent="0.3">
      <c r="A1282" s="291" t="s">
        <v>186</v>
      </c>
      <c r="B1282" s="286" t="s">
        <v>189</v>
      </c>
      <c r="C1282" s="286" t="s">
        <v>988</v>
      </c>
      <c r="D1282" s="138" t="s">
        <v>271</v>
      </c>
      <c r="E1282" s="286" t="s">
        <v>165</v>
      </c>
      <c r="F1282" s="287">
        <v>47953</v>
      </c>
      <c r="G1282" s="288" t="s">
        <v>103</v>
      </c>
      <c r="H1282" s="290">
        <v>1000</v>
      </c>
      <c r="I1282" s="289">
        <v>1100.3800000000001</v>
      </c>
      <c r="J1282" s="289">
        <v>1100379.96</v>
      </c>
      <c r="K1282" s="288" t="s">
        <v>103</v>
      </c>
      <c r="L1282" s="292">
        <v>9.1000000000000004E-3</v>
      </c>
    </row>
    <row r="1283" spans="1:12" ht="15.75" thickBot="1" x14ac:dyDescent="0.3">
      <c r="A1283" s="291" t="s">
        <v>131</v>
      </c>
      <c r="B1283" s="286" t="s">
        <v>140</v>
      </c>
      <c r="C1283" s="286" t="s">
        <v>988</v>
      </c>
      <c r="D1283" s="138">
        <v>760199</v>
      </c>
      <c r="E1283" s="286" t="s">
        <v>165</v>
      </c>
      <c r="F1283" s="287">
        <v>47710</v>
      </c>
      <c r="G1283" s="288" t="s">
        <v>103</v>
      </c>
      <c r="H1283" s="290">
        <v>1848</v>
      </c>
      <c r="I1283" s="289">
        <v>4044.25</v>
      </c>
      <c r="J1283" s="289">
        <v>7473773.29</v>
      </c>
      <c r="K1283" s="288" t="s">
        <v>103</v>
      </c>
      <c r="L1283" s="292">
        <v>6.1899999999999997E-2</v>
      </c>
    </row>
    <row r="1284" spans="1:12" ht="15.75" thickBot="1" x14ac:dyDescent="0.3">
      <c r="A1284" s="293" t="s">
        <v>144</v>
      </c>
      <c r="B1284" s="294" t="s">
        <v>103</v>
      </c>
      <c r="C1284" s="294" t="s">
        <v>988</v>
      </c>
      <c r="D1284" s="139" t="s">
        <v>144</v>
      </c>
      <c r="E1284" s="294" t="s">
        <v>165</v>
      </c>
      <c r="F1284" s="295" t="s">
        <v>103</v>
      </c>
      <c r="G1284" s="295" t="s">
        <v>103</v>
      </c>
      <c r="H1284" s="295" t="s">
        <v>103</v>
      </c>
      <c r="I1284" s="295" t="s">
        <v>103</v>
      </c>
      <c r="J1284" s="296">
        <v>0</v>
      </c>
      <c r="K1284" s="295" t="s">
        <v>103</v>
      </c>
      <c r="L1284" s="297">
        <v>0</v>
      </c>
    </row>
    <row r="1285" spans="1:12" ht="15.75" thickBot="1" x14ac:dyDescent="0.3">
      <c r="A1285" s="317" t="s">
        <v>99</v>
      </c>
      <c r="B1285" s="311" t="s">
        <v>140</v>
      </c>
      <c r="C1285" s="311" t="s">
        <v>1072</v>
      </c>
      <c r="D1285" s="312" t="s">
        <v>283</v>
      </c>
      <c r="E1285" s="311" t="s">
        <v>1464</v>
      </c>
      <c r="F1285" s="313">
        <v>46447</v>
      </c>
      <c r="G1285" s="314" t="s">
        <v>103</v>
      </c>
      <c r="H1285" s="314">
        <v>82</v>
      </c>
      <c r="I1285" s="315">
        <v>16117.74</v>
      </c>
      <c r="J1285" s="315">
        <v>1321654.6599999999</v>
      </c>
      <c r="K1285" s="314" t="s">
        <v>103</v>
      </c>
      <c r="L1285" s="318">
        <v>2.8500000000000001E-2</v>
      </c>
    </row>
    <row r="1286" spans="1:12" ht="15.75" thickBot="1" x14ac:dyDescent="0.3">
      <c r="A1286" s="291" t="s">
        <v>105</v>
      </c>
      <c r="B1286" s="286" t="s">
        <v>103</v>
      </c>
      <c r="C1286" s="286" t="s">
        <v>1072</v>
      </c>
      <c r="D1286" s="138" t="s">
        <v>105</v>
      </c>
      <c r="E1286" s="286" t="s">
        <v>165</v>
      </c>
      <c r="F1286" s="288" t="s">
        <v>103</v>
      </c>
      <c r="G1286" s="288" t="s">
        <v>103</v>
      </c>
      <c r="H1286" s="288" t="s">
        <v>103</v>
      </c>
      <c r="I1286" s="288" t="s">
        <v>103</v>
      </c>
      <c r="J1286" s="289">
        <v>-11732.14</v>
      </c>
      <c r="K1286" s="288" t="s">
        <v>103</v>
      </c>
      <c r="L1286" s="292">
        <v>-2.9999999999999997E-4</v>
      </c>
    </row>
    <row r="1287" spans="1:12" ht="15.75" thickBot="1" x14ac:dyDescent="0.3">
      <c r="A1287" s="291" t="s">
        <v>135</v>
      </c>
      <c r="B1287" s="286" t="s">
        <v>399</v>
      </c>
      <c r="C1287" s="286" t="s">
        <v>1072</v>
      </c>
      <c r="D1287" s="138" t="s">
        <v>887</v>
      </c>
      <c r="E1287" s="286" t="s">
        <v>165</v>
      </c>
      <c r="F1287" s="287">
        <v>47172</v>
      </c>
      <c r="G1287" s="288" t="s">
        <v>103</v>
      </c>
      <c r="H1287" s="288">
        <v>1</v>
      </c>
      <c r="I1287" s="289">
        <v>309967.95</v>
      </c>
      <c r="J1287" s="289">
        <v>309967.95</v>
      </c>
      <c r="K1287" s="288" t="s">
        <v>103</v>
      </c>
      <c r="L1287" s="292">
        <v>6.7000000000000002E-3</v>
      </c>
    </row>
    <row r="1288" spans="1:12" ht="15.75" thickBot="1" x14ac:dyDescent="0.3">
      <c r="A1288" s="291" t="s">
        <v>135</v>
      </c>
      <c r="B1288" s="286" t="s">
        <v>196</v>
      </c>
      <c r="C1288" s="286" t="s">
        <v>1072</v>
      </c>
      <c r="D1288" s="138" t="s">
        <v>6</v>
      </c>
      <c r="E1288" s="286" t="s">
        <v>165</v>
      </c>
      <c r="F1288" s="287">
        <v>47254</v>
      </c>
      <c r="G1288" s="288" t="s">
        <v>103</v>
      </c>
      <c r="H1288" s="288">
        <v>1</v>
      </c>
      <c r="I1288" s="289">
        <v>306454.99</v>
      </c>
      <c r="J1288" s="289">
        <v>306454.99</v>
      </c>
      <c r="K1288" s="288" t="s">
        <v>103</v>
      </c>
      <c r="L1288" s="292">
        <v>6.6E-3</v>
      </c>
    </row>
    <row r="1289" spans="1:12" ht="15.75" thickBot="1" x14ac:dyDescent="0.3">
      <c r="A1289" s="291" t="s">
        <v>135</v>
      </c>
      <c r="B1289" s="286" t="s">
        <v>190</v>
      </c>
      <c r="C1289" s="286" t="s">
        <v>1072</v>
      </c>
      <c r="D1289" s="138" t="s">
        <v>1465</v>
      </c>
      <c r="E1289" s="286" t="s">
        <v>165</v>
      </c>
      <c r="F1289" s="287">
        <v>47313</v>
      </c>
      <c r="G1289" s="288" t="s">
        <v>103</v>
      </c>
      <c r="H1289" s="288">
        <v>3</v>
      </c>
      <c r="I1289" s="289">
        <v>547036.11</v>
      </c>
      <c r="J1289" s="289">
        <v>1641108.34</v>
      </c>
      <c r="K1289" s="288" t="s">
        <v>103</v>
      </c>
      <c r="L1289" s="292">
        <v>3.5299999999999998E-2</v>
      </c>
    </row>
    <row r="1290" spans="1:12" ht="15.75" thickBot="1" x14ac:dyDescent="0.3">
      <c r="A1290" s="291" t="s">
        <v>135</v>
      </c>
      <c r="B1290" s="286" t="s">
        <v>190</v>
      </c>
      <c r="C1290" s="286" t="s">
        <v>1072</v>
      </c>
      <c r="D1290" s="138" t="s">
        <v>1466</v>
      </c>
      <c r="E1290" s="286" t="s">
        <v>165</v>
      </c>
      <c r="F1290" s="287">
        <v>47224</v>
      </c>
      <c r="G1290" s="288" t="s">
        <v>103</v>
      </c>
      <c r="H1290" s="288">
        <v>1</v>
      </c>
      <c r="I1290" s="289">
        <v>351137.77</v>
      </c>
      <c r="J1290" s="289">
        <v>351137.77</v>
      </c>
      <c r="K1290" s="288" t="s">
        <v>103</v>
      </c>
      <c r="L1290" s="292">
        <v>7.6E-3</v>
      </c>
    </row>
    <row r="1291" spans="1:12" ht="15.75" thickBot="1" x14ac:dyDescent="0.3">
      <c r="A1291" s="291" t="s">
        <v>112</v>
      </c>
      <c r="B1291" s="286" t="s">
        <v>368</v>
      </c>
      <c r="C1291" s="286" t="s">
        <v>1072</v>
      </c>
      <c r="D1291" s="138" t="s">
        <v>1138</v>
      </c>
      <c r="E1291" s="286" t="s">
        <v>165</v>
      </c>
      <c r="F1291" s="287">
        <v>46333</v>
      </c>
      <c r="G1291" s="288" t="s">
        <v>103</v>
      </c>
      <c r="H1291" s="288">
        <v>4</v>
      </c>
      <c r="I1291" s="289">
        <v>104633.37</v>
      </c>
      <c r="J1291" s="289">
        <v>418533.49</v>
      </c>
      <c r="K1291" s="288" t="s">
        <v>103</v>
      </c>
      <c r="L1291" s="292">
        <v>8.9999999999999993E-3</v>
      </c>
    </row>
    <row r="1292" spans="1:12" ht="15.75" thickBot="1" x14ac:dyDescent="0.3">
      <c r="A1292" s="291" t="s">
        <v>113</v>
      </c>
      <c r="B1292" s="286" t="s">
        <v>114</v>
      </c>
      <c r="C1292" s="286" t="s">
        <v>1072</v>
      </c>
      <c r="D1292" s="138" t="s">
        <v>179</v>
      </c>
      <c r="E1292" s="286" t="s">
        <v>1785</v>
      </c>
      <c r="F1292" s="287">
        <v>46980</v>
      </c>
      <c r="G1292" s="288" t="s">
        <v>103</v>
      </c>
      <c r="H1292" s="288">
        <v>-22</v>
      </c>
      <c r="I1292" s="289">
        <v>138535.13</v>
      </c>
      <c r="J1292" s="289">
        <v>13195.58</v>
      </c>
      <c r="K1292" s="289">
        <v>-3047772.87</v>
      </c>
      <c r="L1292" s="292">
        <v>-6.5600000000000006E-2</v>
      </c>
    </row>
    <row r="1293" spans="1:12" ht="15.75" thickBot="1" x14ac:dyDescent="0.3">
      <c r="A1293" s="291" t="s">
        <v>113</v>
      </c>
      <c r="B1293" s="286" t="s">
        <v>114</v>
      </c>
      <c r="C1293" s="286" t="s">
        <v>1072</v>
      </c>
      <c r="D1293" s="138" t="s">
        <v>180</v>
      </c>
      <c r="E1293" s="286" t="s">
        <v>1786</v>
      </c>
      <c r="F1293" s="287">
        <v>47710</v>
      </c>
      <c r="G1293" s="288" t="s">
        <v>103</v>
      </c>
      <c r="H1293" s="288">
        <v>-76</v>
      </c>
      <c r="I1293" s="289">
        <v>119224.93</v>
      </c>
      <c r="J1293" s="289">
        <v>13121.16</v>
      </c>
      <c r="K1293" s="289">
        <v>-9061094.4800000004</v>
      </c>
      <c r="L1293" s="292">
        <v>-0.19520000000000001</v>
      </c>
    </row>
    <row r="1294" spans="1:12" ht="15.75" thickBot="1" x14ac:dyDescent="0.3">
      <c r="A1294" s="291" t="s">
        <v>113</v>
      </c>
      <c r="B1294" s="286" t="s">
        <v>114</v>
      </c>
      <c r="C1294" s="286" t="s">
        <v>1072</v>
      </c>
      <c r="D1294" s="138" t="s">
        <v>451</v>
      </c>
      <c r="E1294" s="286" t="s">
        <v>1475</v>
      </c>
      <c r="F1294" s="287">
        <v>48442</v>
      </c>
      <c r="G1294" s="288" t="s">
        <v>103</v>
      </c>
      <c r="H1294" s="288">
        <v>-17</v>
      </c>
      <c r="I1294" s="289">
        <v>102265.21</v>
      </c>
      <c r="J1294" s="289">
        <v>12305.62</v>
      </c>
      <c r="K1294" s="289">
        <v>-1738508.59</v>
      </c>
      <c r="L1294" s="292">
        <v>-3.7400000000000003E-2</v>
      </c>
    </row>
    <row r="1295" spans="1:12" ht="15.75" thickBot="1" x14ac:dyDescent="0.3">
      <c r="A1295" s="291" t="s">
        <v>113</v>
      </c>
      <c r="B1295" s="286" t="s">
        <v>114</v>
      </c>
      <c r="C1295" s="286" t="s">
        <v>1072</v>
      </c>
      <c r="D1295" s="138" t="s">
        <v>183</v>
      </c>
      <c r="E1295" s="286" t="s">
        <v>1588</v>
      </c>
      <c r="F1295" s="287">
        <v>49444</v>
      </c>
      <c r="G1295" s="288" t="s">
        <v>103</v>
      </c>
      <c r="H1295" s="288">
        <v>-9</v>
      </c>
      <c r="I1295" s="289">
        <v>83773.990000000005</v>
      </c>
      <c r="J1295" s="289">
        <v>9970.92</v>
      </c>
      <c r="K1295" s="289">
        <v>-753965.88</v>
      </c>
      <c r="L1295" s="292">
        <v>-1.6199999999999999E-2</v>
      </c>
    </row>
    <row r="1296" spans="1:12" ht="15.75" thickBot="1" x14ac:dyDescent="0.3">
      <c r="A1296" s="291" t="s">
        <v>113</v>
      </c>
      <c r="B1296" s="286" t="s">
        <v>114</v>
      </c>
      <c r="C1296" s="286" t="s">
        <v>1072</v>
      </c>
      <c r="D1296" s="138" t="s">
        <v>184</v>
      </c>
      <c r="E1296" s="286" t="s">
        <v>1275</v>
      </c>
      <c r="F1296" s="287">
        <v>51363</v>
      </c>
      <c r="G1296" s="288" t="s">
        <v>103</v>
      </c>
      <c r="H1296" s="288">
        <v>-6</v>
      </c>
      <c r="I1296" s="289">
        <v>57989.15</v>
      </c>
      <c r="J1296" s="289">
        <v>5840.28</v>
      </c>
      <c r="K1296" s="289">
        <v>-347934.91</v>
      </c>
      <c r="L1296" s="292">
        <v>-7.4999999999999997E-3</v>
      </c>
    </row>
    <row r="1297" spans="1:12" ht="15.75" thickBot="1" x14ac:dyDescent="0.3">
      <c r="A1297" s="291" t="s">
        <v>113</v>
      </c>
      <c r="B1297" s="286" t="s">
        <v>114</v>
      </c>
      <c r="C1297" s="286" t="s">
        <v>1072</v>
      </c>
      <c r="D1297" s="138" t="s">
        <v>116</v>
      </c>
      <c r="E1297" s="286" t="s">
        <v>1787</v>
      </c>
      <c r="F1297" s="287">
        <v>46251</v>
      </c>
      <c r="G1297" s="288" t="s">
        <v>103</v>
      </c>
      <c r="H1297" s="288">
        <v>-1</v>
      </c>
      <c r="I1297" s="289">
        <v>159982.35</v>
      </c>
      <c r="J1297" s="289">
        <v>2194.0100000000002</v>
      </c>
      <c r="K1297" s="289">
        <v>-159982.35</v>
      </c>
      <c r="L1297" s="292">
        <v>-3.3999999999999998E-3</v>
      </c>
    </row>
    <row r="1298" spans="1:12" ht="15.75" thickBot="1" x14ac:dyDescent="0.3">
      <c r="A1298" s="291" t="s">
        <v>113</v>
      </c>
      <c r="B1298" s="286" t="s">
        <v>114</v>
      </c>
      <c r="C1298" s="286" t="s">
        <v>1072</v>
      </c>
      <c r="D1298" s="138" t="s">
        <v>319</v>
      </c>
      <c r="E1298" s="286" t="s">
        <v>1788</v>
      </c>
      <c r="F1298" s="287">
        <v>46524</v>
      </c>
      <c r="G1298" s="288" t="s">
        <v>103</v>
      </c>
      <c r="H1298" s="288">
        <v>-14</v>
      </c>
      <c r="I1298" s="289">
        <v>152304.68</v>
      </c>
      <c r="J1298" s="289">
        <v>532.79999999999995</v>
      </c>
      <c r="K1298" s="289">
        <v>-2132265.4500000002</v>
      </c>
      <c r="L1298" s="292">
        <v>-4.5900000000000003E-2</v>
      </c>
    </row>
    <row r="1299" spans="1:12" ht="15.75" thickBot="1" x14ac:dyDescent="0.3">
      <c r="A1299" s="291" t="s">
        <v>113</v>
      </c>
      <c r="B1299" s="286" t="s">
        <v>114</v>
      </c>
      <c r="C1299" s="286" t="s">
        <v>1072</v>
      </c>
      <c r="D1299" s="138" t="s">
        <v>177</v>
      </c>
      <c r="E1299" s="286" t="s">
        <v>1275</v>
      </c>
      <c r="F1299" s="287">
        <v>45792</v>
      </c>
      <c r="G1299" s="288" t="s">
        <v>103</v>
      </c>
      <c r="H1299" s="288">
        <v>-6</v>
      </c>
      <c r="I1299" s="289">
        <v>177681.12</v>
      </c>
      <c r="J1299" s="289">
        <v>256.2</v>
      </c>
      <c r="K1299" s="289">
        <v>-1066086.72</v>
      </c>
      <c r="L1299" s="292">
        <v>-2.3E-2</v>
      </c>
    </row>
    <row r="1300" spans="1:12" ht="15.75" thickBot="1" x14ac:dyDescent="0.3">
      <c r="A1300" s="291" t="s">
        <v>113</v>
      </c>
      <c r="B1300" s="286" t="s">
        <v>114</v>
      </c>
      <c r="C1300" s="286" t="s">
        <v>1072</v>
      </c>
      <c r="D1300" s="138" t="s">
        <v>479</v>
      </c>
      <c r="E1300" s="286" t="s">
        <v>1589</v>
      </c>
      <c r="F1300" s="287">
        <v>46024</v>
      </c>
      <c r="G1300" s="288" t="s">
        <v>103</v>
      </c>
      <c r="H1300" s="288">
        <v>13</v>
      </c>
      <c r="I1300" s="289">
        <v>89037.45</v>
      </c>
      <c r="J1300" s="289">
        <v>-410.8</v>
      </c>
      <c r="K1300" s="289">
        <v>1157486.8500000001</v>
      </c>
      <c r="L1300" s="292">
        <v>2.4899999999999999E-2</v>
      </c>
    </row>
    <row r="1301" spans="1:12" ht="15.75" thickBot="1" x14ac:dyDescent="0.3">
      <c r="A1301" s="291" t="s">
        <v>117</v>
      </c>
      <c r="B1301" s="286" t="s">
        <v>1271</v>
      </c>
      <c r="C1301" s="286" t="s">
        <v>1072</v>
      </c>
      <c r="D1301" s="138" t="s">
        <v>1271</v>
      </c>
      <c r="E1301" s="286" t="s">
        <v>165</v>
      </c>
      <c r="F1301" s="288" t="s">
        <v>103</v>
      </c>
      <c r="G1301" s="288" t="s">
        <v>103</v>
      </c>
      <c r="H1301" s="290">
        <v>120132</v>
      </c>
      <c r="I1301" s="289">
        <v>2.2799999999999998</v>
      </c>
      <c r="J1301" s="289">
        <v>274005.34999999998</v>
      </c>
      <c r="K1301" s="288" t="s">
        <v>103</v>
      </c>
      <c r="L1301" s="292">
        <v>5.8999999999999999E-3</v>
      </c>
    </row>
    <row r="1302" spans="1:12" ht="15.75" thickBot="1" x14ac:dyDescent="0.3">
      <c r="A1302" s="291" t="s">
        <v>118</v>
      </c>
      <c r="B1302" s="286" t="s">
        <v>26</v>
      </c>
      <c r="C1302" s="286" t="s">
        <v>1072</v>
      </c>
      <c r="D1302" s="138" t="s">
        <v>120</v>
      </c>
      <c r="E1302" s="286" t="s">
        <v>165</v>
      </c>
      <c r="F1302" s="288" t="s">
        <v>103</v>
      </c>
      <c r="G1302" s="288" t="s">
        <v>103</v>
      </c>
      <c r="H1302" s="290">
        <v>4222971</v>
      </c>
      <c r="I1302" s="289">
        <v>1.76</v>
      </c>
      <c r="J1302" s="289">
        <v>7430994.79</v>
      </c>
      <c r="K1302" s="288" t="s">
        <v>103</v>
      </c>
      <c r="L1302" s="292">
        <v>0.16009999999999999</v>
      </c>
    </row>
    <row r="1303" spans="1:12" ht="15.75" thickBot="1" x14ac:dyDescent="0.3">
      <c r="A1303" s="291" t="s">
        <v>118</v>
      </c>
      <c r="B1303" s="286" t="s">
        <v>25</v>
      </c>
      <c r="C1303" s="286" t="s">
        <v>1072</v>
      </c>
      <c r="D1303" s="138" t="s">
        <v>119</v>
      </c>
      <c r="E1303" s="286" t="s">
        <v>165</v>
      </c>
      <c r="F1303" s="288" t="s">
        <v>103</v>
      </c>
      <c r="G1303" s="288" t="s">
        <v>103</v>
      </c>
      <c r="H1303" s="290">
        <v>456051</v>
      </c>
      <c r="I1303" s="289">
        <v>4.68</v>
      </c>
      <c r="J1303" s="289">
        <v>2133737.52</v>
      </c>
      <c r="K1303" s="288" t="s">
        <v>103</v>
      </c>
      <c r="L1303" s="292">
        <v>4.5999999999999999E-2</v>
      </c>
    </row>
    <row r="1304" spans="1:12" ht="15.75" thickBot="1" x14ac:dyDescent="0.3">
      <c r="A1304" s="291" t="s">
        <v>118</v>
      </c>
      <c r="B1304" s="286" t="s">
        <v>145</v>
      </c>
      <c r="C1304" s="286" t="s">
        <v>1072</v>
      </c>
      <c r="D1304" s="138" t="s">
        <v>121</v>
      </c>
      <c r="E1304" s="286" t="s">
        <v>165</v>
      </c>
      <c r="F1304" s="288" t="s">
        <v>103</v>
      </c>
      <c r="G1304" s="288" t="s">
        <v>103</v>
      </c>
      <c r="H1304" s="290">
        <v>1110602</v>
      </c>
      <c r="I1304" s="289">
        <v>1.5</v>
      </c>
      <c r="J1304" s="289">
        <v>1665099.43</v>
      </c>
      <c r="K1304" s="288" t="s">
        <v>103</v>
      </c>
      <c r="L1304" s="292">
        <v>3.5900000000000001E-2</v>
      </c>
    </row>
    <row r="1305" spans="1:12" ht="15.75" thickBot="1" x14ac:dyDescent="0.3">
      <c r="A1305" s="291" t="s">
        <v>126</v>
      </c>
      <c r="B1305" s="286" t="s">
        <v>1139</v>
      </c>
      <c r="C1305" s="286" t="s">
        <v>1072</v>
      </c>
      <c r="D1305" s="138" t="s">
        <v>512</v>
      </c>
      <c r="E1305" s="286" t="s">
        <v>165</v>
      </c>
      <c r="F1305" s="288" t="s">
        <v>103</v>
      </c>
      <c r="G1305" s="288" t="s">
        <v>103</v>
      </c>
      <c r="H1305" s="288">
        <v>9</v>
      </c>
      <c r="I1305" s="289">
        <v>67023.22</v>
      </c>
      <c r="J1305" s="289">
        <v>603208.95999999996</v>
      </c>
      <c r="K1305" s="288" t="s">
        <v>103</v>
      </c>
      <c r="L1305" s="292">
        <v>1.2999999999999999E-2</v>
      </c>
    </row>
    <row r="1306" spans="1:12" ht="15.75" thickBot="1" x14ac:dyDescent="0.3">
      <c r="A1306" s="291" t="s">
        <v>126</v>
      </c>
      <c r="B1306" s="286" t="s">
        <v>252</v>
      </c>
      <c r="C1306" s="286" t="s">
        <v>1072</v>
      </c>
      <c r="D1306" s="138" t="s">
        <v>253</v>
      </c>
      <c r="E1306" s="286" t="s">
        <v>165</v>
      </c>
      <c r="F1306" s="287">
        <v>45976</v>
      </c>
      <c r="G1306" s="288" t="s">
        <v>103</v>
      </c>
      <c r="H1306" s="288">
        <v>218</v>
      </c>
      <c r="I1306" s="289">
        <v>601.15</v>
      </c>
      <c r="J1306" s="289">
        <v>131050.99</v>
      </c>
      <c r="K1306" s="288" t="s">
        <v>103</v>
      </c>
      <c r="L1306" s="292">
        <v>2.8E-3</v>
      </c>
    </row>
    <row r="1307" spans="1:12" ht="15.75" thickBot="1" x14ac:dyDescent="0.3">
      <c r="A1307" s="291" t="s">
        <v>126</v>
      </c>
      <c r="B1307" s="286" t="s">
        <v>877</v>
      </c>
      <c r="C1307" s="286" t="s">
        <v>1072</v>
      </c>
      <c r="D1307" s="138" t="s">
        <v>1140</v>
      </c>
      <c r="E1307" s="286" t="s">
        <v>165</v>
      </c>
      <c r="F1307" s="287">
        <v>45689</v>
      </c>
      <c r="G1307" s="288" t="s">
        <v>103</v>
      </c>
      <c r="H1307" s="288">
        <v>343</v>
      </c>
      <c r="I1307" s="289">
        <v>893.62</v>
      </c>
      <c r="J1307" s="289">
        <v>306510.36</v>
      </c>
      <c r="K1307" s="288" t="s">
        <v>103</v>
      </c>
      <c r="L1307" s="292">
        <v>6.6E-3</v>
      </c>
    </row>
    <row r="1308" spans="1:12" ht="15.75" thickBot="1" x14ac:dyDescent="0.3">
      <c r="A1308" s="291" t="s">
        <v>126</v>
      </c>
      <c r="B1308" s="286" t="s">
        <v>1048</v>
      </c>
      <c r="C1308" s="286" t="s">
        <v>1072</v>
      </c>
      <c r="D1308" s="138" t="s">
        <v>1077</v>
      </c>
      <c r="E1308" s="286" t="s">
        <v>165</v>
      </c>
      <c r="F1308" s="287">
        <v>49878</v>
      </c>
      <c r="G1308" s="288" t="s">
        <v>103</v>
      </c>
      <c r="H1308" s="288">
        <v>265</v>
      </c>
      <c r="I1308" s="289">
        <v>1082.02</v>
      </c>
      <c r="J1308" s="289">
        <v>286734.90999999997</v>
      </c>
      <c r="K1308" s="288" t="s">
        <v>103</v>
      </c>
      <c r="L1308" s="292">
        <v>6.1999999999999998E-3</v>
      </c>
    </row>
    <row r="1309" spans="1:12" ht="15.75" thickBot="1" x14ac:dyDescent="0.3">
      <c r="A1309" s="291" t="s">
        <v>126</v>
      </c>
      <c r="B1309" s="286" t="s">
        <v>1141</v>
      </c>
      <c r="C1309" s="286" t="s">
        <v>1072</v>
      </c>
      <c r="D1309" s="138" t="s">
        <v>1142</v>
      </c>
      <c r="E1309" s="286" t="s">
        <v>165</v>
      </c>
      <c r="F1309" s="287">
        <v>47911</v>
      </c>
      <c r="G1309" s="288" t="s">
        <v>103</v>
      </c>
      <c r="H1309" s="288">
        <v>156</v>
      </c>
      <c r="I1309" s="289">
        <v>1240.5</v>
      </c>
      <c r="J1309" s="289">
        <v>193517.67</v>
      </c>
      <c r="K1309" s="288" t="s">
        <v>103</v>
      </c>
      <c r="L1309" s="292">
        <v>4.1999999999999997E-3</v>
      </c>
    </row>
    <row r="1310" spans="1:12" ht="15.75" thickBot="1" x14ac:dyDescent="0.3">
      <c r="A1310" s="291" t="s">
        <v>126</v>
      </c>
      <c r="B1310" s="286" t="s">
        <v>467</v>
      </c>
      <c r="C1310" s="286" t="s">
        <v>1072</v>
      </c>
      <c r="D1310" s="138" t="s">
        <v>468</v>
      </c>
      <c r="E1310" s="286" t="s">
        <v>165</v>
      </c>
      <c r="F1310" s="287">
        <v>46198</v>
      </c>
      <c r="G1310" s="288" t="s">
        <v>103</v>
      </c>
      <c r="H1310" s="288">
        <v>157</v>
      </c>
      <c r="I1310" s="289">
        <v>1014.91</v>
      </c>
      <c r="J1310" s="289">
        <v>159340.85</v>
      </c>
      <c r="K1310" s="288" t="s">
        <v>103</v>
      </c>
      <c r="L1310" s="292">
        <v>3.3999999999999998E-3</v>
      </c>
    </row>
    <row r="1311" spans="1:12" ht="15.75" thickBot="1" x14ac:dyDescent="0.3">
      <c r="A1311" s="291" t="s">
        <v>126</v>
      </c>
      <c r="B1311" s="286" t="s">
        <v>416</v>
      </c>
      <c r="C1311" s="286" t="s">
        <v>1072</v>
      </c>
      <c r="D1311" s="138" t="s">
        <v>417</v>
      </c>
      <c r="E1311" s="286" t="s">
        <v>165</v>
      </c>
      <c r="F1311" s="287">
        <v>46260</v>
      </c>
      <c r="G1311" s="288" t="s">
        <v>103</v>
      </c>
      <c r="H1311" s="288">
        <v>115</v>
      </c>
      <c r="I1311" s="289">
        <v>1007.35</v>
      </c>
      <c r="J1311" s="289">
        <v>115845.16</v>
      </c>
      <c r="K1311" s="288" t="s">
        <v>103</v>
      </c>
      <c r="L1311" s="292">
        <v>2.5000000000000001E-3</v>
      </c>
    </row>
    <row r="1312" spans="1:12" ht="15.75" thickBot="1" x14ac:dyDescent="0.3">
      <c r="A1312" s="291" t="s">
        <v>126</v>
      </c>
      <c r="B1312" s="286" t="s">
        <v>136</v>
      </c>
      <c r="C1312" s="286" t="s">
        <v>1072</v>
      </c>
      <c r="D1312" s="138" t="s">
        <v>136</v>
      </c>
      <c r="E1312" s="286" t="s">
        <v>165</v>
      </c>
      <c r="F1312" s="287">
        <v>46020</v>
      </c>
      <c r="G1312" s="288" t="s">
        <v>103</v>
      </c>
      <c r="H1312" s="288">
        <v>343</v>
      </c>
      <c r="I1312" s="289">
        <v>341.96</v>
      </c>
      <c r="J1312" s="289">
        <v>117292.18</v>
      </c>
      <c r="K1312" s="288" t="s">
        <v>103</v>
      </c>
      <c r="L1312" s="292">
        <v>2.5000000000000001E-3</v>
      </c>
    </row>
    <row r="1313" spans="1:12" ht="15.75" thickBot="1" x14ac:dyDescent="0.3">
      <c r="A1313" s="291" t="s">
        <v>126</v>
      </c>
      <c r="B1313" s="286" t="s">
        <v>1143</v>
      </c>
      <c r="C1313" s="286" t="s">
        <v>1072</v>
      </c>
      <c r="D1313" s="138" t="s">
        <v>1144</v>
      </c>
      <c r="E1313" s="286" t="s">
        <v>165</v>
      </c>
      <c r="F1313" s="287">
        <v>46314</v>
      </c>
      <c r="G1313" s="288" t="s">
        <v>103</v>
      </c>
      <c r="H1313" s="288">
        <v>109</v>
      </c>
      <c r="I1313" s="289">
        <v>1062.79</v>
      </c>
      <c r="J1313" s="289">
        <v>115844.59</v>
      </c>
      <c r="K1313" s="288" t="s">
        <v>103</v>
      </c>
      <c r="L1313" s="292">
        <v>2.5000000000000001E-3</v>
      </c>
    </row>
    <row r="1314" spans="1:12" ht="15.75" thickBot="1" x14ac:dyDescent="0.3">
      <c r="A1314" s="291" t="s">
        <v>126</v>
      </c>
      <c r="B1314" s="286" t="s">
        <v>1145</v>
      </c>
      <c r="C1314" s="286" t="s">
        <v>1072</v>
      </c>
      <c r="D1314" s="138" t="s">
        <v>1094</v>
      </c>
      <c r="E1314" s="286" t="s">
        <v>165</v>
      </c>
      <c r="F1314" s="287">
        <v>46613</v>
      </c>
      <c r="G1314" s="288" t="s">
        <v>103</v>
      </c>
      <c r="H1314" s="288">
        <v>123</v>
      </c>
      <c r="I1314" s="289">
        <v>1005.32</v>
      </c>
      <c r="J1314" s="289">
        <v>123654.78</v>
      </c>
      <c r="K1314" s="288" t="s">
        <v>103</v>
      </c>
      <c r="L1314" s="292">
        <v>2.7000000000000001E-3</v>
      </c>
    </row>
    <row r="1315" spans="1:12" ht="15.75" thickBot="1" x14ac:dyDescent="0.3">
      <c r="A1315" s="291" t="s">
        <v>126</v>
      </c>
      <c r="B1315" s="286" t="s">
        <v>941</v>
      </c>
      <c r="C1315" s="286" t="s">
        <v>1072</v>
      </c>
      <c r="D1315" s="138" t="s">
        <v>942</v>
      </c>
      <c r="E1315" s="286" t="s">
        <v>165</v>
      </c>
      <c r="F1315" s="287">
        <v>46496</v>
      </c>
      <c r="G1315" s="288" t="s">
        <v>103</v>
      </c>
      <c r="H1315" s="288">
        <v>87</v>
      </c>
      <c r="I1315" s="289">
        <v>1003.35</v>
      </c>
      <c r="J1315" s="289">
        <v>87291.59</v>
      </c>
      <c r="K1315" s="288" t="s">
        <v>103</v>
      </c>
      <c r="L1315" s="292">
        <v>1.9E-3</v>
      </c>
    </row>
    <row r="1316" spans="1:12" ht="15.75" thickBot="1" x14ac:dyDescent="0.3">
      <c r="A1316" s="291" t="s">
        <v>126</v>
      </c>
      <c r="B1316" s="286" t="s">
        <v>1096</v>
      </c>
      <c r="C1316" s="286" t="s">
        <v>1072</v>
      </c>
      <c r="D1316" s="138" t="s">
        <v>1097</v>
      </c>
      <c r="E1316" s="286" t="s">
        <v>165</v>
      </c>
      <c r="F1316" s="288" t="s">
        <v>103</v>
      </c>
      <c r="G1316" s="288" t="s">
        <v>103</v>
      </c>
      <c r="H1316" s="288">
        <v>3</v>
      </c>
      <c r="I1316" s="289">
        <v>37838.620000000003</v>
      </c>
      <c r="J1316" s="289">
        <v>113515.85</v>
      </c>
      <c r="K1316" s="288" t="s">
        <v>103</v>
      </c>
      <c r="L1316" s="292">
        <v>2.3999999999999998E-3</v>
      </c>
    </row>
    <row r="1317" spans="1:12" ht="15.75" thickBot="1" x14ac:dyDescent="0.3">
      <c r="A1317" s="291" t="s">
        <v>127</v>
      </c>
      <c r="B1317" s="286" t="s">
        <v>1152</v>
      </c>
      <c r="C1317" s="286" t="s">
        <v>1072</v>
      </c>
      <c r="D1317" s="138" t="s">
        <v>911</v>
      </c>
      <c r="E1317" s="286" t="s">
        <v>165</v>
      </c>
      <c r="F1317" s="287">
        <v>47257</v>
      </c>
      <c r="G1317" s="288" t="s">
        <v>103</v>
      </c>
      <c r="H1317" s="288">
        <v>85</v>
      </c>
      <c r="I1317" s="289">
        <v>1047.69</v>
      </c>
      <c r="J1317" s="289">
        <v>89053.48</v>
      </c>
      <c r="K1317" s="288" t="s">
        <v>103</v>
      </c>
      <c r="L1317" s="292">
        <v>1.9E-3</v>
      </c>
    </row>
    <row r="1318" spans="1:12" ht="15.75" thickBot="1" x14ac:dyDescent="0.3">
      <c r="A1318" s="291" t="s">
        <v>127</v>
      </c>
      <c r="B1318" s="286" t="s">
        <v>38</v>
      </c>
      <c r="C1318" s="286" t="s">
        <v>1072</v>
      </c>
      <c r="D1318" s="138" t="s">
        <v>238</v>
      </c>
      <c r="E1318" s="286" t="s">
        <v>165</v>
      </c>
      <c r="F1318" s="287">
        <v>46096</v>
      </c>
      <c r="G1318" s="288" t="s">
        <v>1533</v>
      </c>
      <c r="H1318" s="288">
        <v>376</v>
      </c>
      <c r="I1318" s="289">
        <v>713.1</v>
      </c>
      <c r="J1318" s="289">
        <v>268126.55</v>
      </c>
      <c r="K1318" s="288" t="s">
        <v>103</v>
      </c>
      <c r="L1318" s="292">
        <v>5.7999999999999996E-3</v>
      </c>
    </row>
    <row r="1319" spans="1:12" ht="15.75" thickBot="1" x14ac:dyDescent="0.3">
      <c r="A1319" s="291" t="s">
        <v>127</v>
      </c>
      <c r="B1319" s="286" t="s">
        <v>38</v>
      </c>
      <c r="C1319" s="286" t="s">
        <v>1072</v>
      </c>
      <c r="D1319" s="138" t="s">
        <v>1063</v>
      </c>
      <c r="E1319" s="286" t="s">
        <v>165</v>
      </c>
      <c r="F1319" s="287">
        <v>47645</v>
      </c>
      <c r="G1319" s="288" t="s">
        <v>1590</v>
      </c>
      <c r="H1319" s="288">
        <v>89</v>
      </c>
      <c r="I1319" s="289">
        <v>1034.0999999999999</v>
      </c>
      <c r="J1319" s="289">
        <v>92035.29</v>
      </c>
      <c r="K1319" s="288" t="s">
        <v>103</v>
      </c>
      <c r="L1319" s="292">
        <v>2E-3</v>
      </c>
    </row>
    <row r="1320" spans="1:12" ht="15.75" thickBot="1" x14ac:dyDescent="0.3">
      <c r="A1320" s="291" t="s">
        <v>127</v>
      </c>
      <c r="B1320" s="286" t="s">
        <v>258</v>
      </c>
      <c r="C1320" s="286" t="s">
        <v>1072</v>
      </c>
      <c r="D1320" s="138" t="s">
        <v>259</v>
      </c>
      <c r="E1320" s="286" t="s">
        <v>165</v>
      </c>
      <c r="F1320" s="287">
        <v>48168</v>
      </c>
      <c r="G1320" s="288" t="s">
        <v>1591</v>
      </c>
      <c r="H1320" s="288">
        <v>52</v>
      </c>
      <c r="I1320" s="289">
        <v>1059.8499999999999</v>
      </c>
      <c r="J1320" s="289">
        <v>55112.17</v>
      </c>
      <c r="K1320" s="288" t="s">
        <v>103</v>
      </c>
      <c r="L1320" s="292">
        <v>1.1999999999999999E-3</v>
      </c>
    </row>
    <row r="1321" spans="1:12" ht="15.75" thickBot="1" x14ac:dyDescent="0.3">
      <c r="A1321" s="291" t="s">
        <v>127</v>
      </c>
      <c r="B1321" s="286" t="s">
        <v>1098</v>
      </c>
      <c r="C1321" s="286" t="s">
        <v>1072</v>
      </c>
      <c r="D1321" s="138" t="s">
        <v>1099</v>
      </c>
      <c r="E1321" s="286" t="s">
        <v>1488</v>
      </c>
      <c r="F1321" s="287">
        <v>47373</v>
      </c>
      <c r="G1321" s="288" t="s">
        <v>103</v>
      </c>
      <c r="H1321" s="288">
        <v>139</v>
      </c>
      <c r="I1321" s="289">
        <v>1005.93</v>
      </c>
      <c r="J1321" s="289">
        <v>139824.4</v>
      </c>
      <c r="K1321" s="288" t="s">
        <v>103</v>
      </c>
      <c r="L1321" s="292">
        <v>3.0000000000000001E-3</v>
      </c>
    </row>
    <row r="1322" spans="1:12" ht="15.75" thickBot="1" x14ac:dyDescent="0.3">
      <c r="A1322" s="291" t="s">
        <v>127</v>
      </c>
      <c r="B1322" s="286" t="s">
        <v>927</v>
      </c>
      <c r="C1322" s="286" t="s">
        <v>1072</v>
      </c>
      <c r="D1322" s="138" t="s">
        <v>919</v>
      </c>
      <c r="E1322" s="286" t="s">
        <v>1491</v>
      </c>
      <c r="F1322" s="287">
        <v>47922</v>
      </c>
      <c r="G1322" s="288" t="s">
        <v>1592</v>
      </c>
      <c r="H1322" s="288">
        <v>670</v>
      </c>
      <c r="I1322" s="289">
        <v>1034.7</v>
      </c>
      <c r="J1322" s="289">
        <v>693245.72</v>
      </c>
      <c r="K1322" s="288" t="s">
        <v>103</v>
      </c>
      <c r="L1322" s="292">
        <v>1.49E-2</v>
      </c>
    </row>
    <row r="1323" spans="1:12" ht="15.75" thickBot="1" x14ac:dyDescent="0.3">
      <c r="A1323" s="291" t="s">
        <v>127</v>
      </c>
      <c r="B1323" s="286" t="s">
        <v>204</v>
      </c>
      <c r="C1323" s="286" t="s">
        <v>1072</v>
      </c>
      <c r="D1323" s="138" t="s">
        <v>205</v>
      </c>
      <c r="E1323" s="286" t="s">
        <v>165</v>
      </c>
      <c r="F1323" s="287">
        <v>48014</v>
      </c>
      <c r="G1323" s="288" t="s">
        <v>1593</v>
      </c>
      <c r="H1323" s="288">
        <v>235</v>
      </c>
      <c r="I1323" s="289">
        <v>1019.71</v>
      </c>
      <c r="J1323" s="289">
        <v>239630.72</v>
      </c>
      <c r="K1323" s="288" t="s">
        <v>103</v>
      </c>
      <c r="L1323" s="292">
        <v>5.1999999999999998E-3</v>
      </c>
    </row>
    <row r="1324" spans="1:12" ht="15.75" thickBot="1" x14ac:dyDescent="0.3">
      <c r="A1324" s="291" t="s">
        <v>127</v>
      </c>
      <c r="B1324" s="286" t="s">
        <v>204</v>
      </c>
      <c r="C1324" s="286" t="s">
        <v>1072</v>
      </c>
      <c r="D1324" s="138" t="s">
        <v>206</v>
      </c>
      <c r="E1324" s="286" t="s">
        <v>165</v>
      </c>
      <c r="F1324" s="287">
        <v>48014</v>
      </c>
      <c r="G1324" s="288" t="s">
        <v>1594</v>
      </c>
      <c r="H1324" s="288">
        <v>203</v>
      </c>
      <c r="I1324" s="289">
        <v>989.75</v>
      </c>
      <c r="J1324" s="289">
        <v>200918.92</v>
      </c>
      <c r="K1324" s="288" t="s">
        <v>103</v>
      </c>
      <c r="L1324" s="292">
        <v>4.3E-3</v>
      </c>
    </row>
    <row r="1325" spans="1:12" ht="15.75" thickBot="1" x14ac:dyDescent="0.3">
      <c r="A1325" s="291" t="s">
        <v>127</v>
      </c>
      <c r="B1325" s="286" t="s">
        <v>354</v>
      </c>
      <c r="C1325" s="286" t="s">
        <v>1072</v>
      </c>
      <c r="D1325" s="138" t="s">
        <v>957</v>
      </c>
      <c r="E1325" s="286" t="s">
        <v>165</v>
      </c>
      <c r="F1325" s="287">
        <v>47234</v>
      </c>
      <c r="G1325" s="288" t="s">
        <v>103</v>
      </c>
      <c r="H1325" s="288">
        <v>152</v>
      </c>
      <c r="I1325" s="289">
        <v>1060.3900000000001</v>
      </c>
      <c r="J1325" s="289">
        <v>161178.57</v>
      </c>
      <c r="K1325" s="288" t="s">
        <v>103</v>
      </c>
      <c r="L1325" s="292">
        <v>3.5000000000000001E-3</v>
      </c>
    </row>
    <row r="1326" spans="1:12" ht="15.75" thickBot="1" x14ac:dyDescent="0.3">
      <c r="A1326" s="291" t="s">
        <v>127</v>
      </c>
      <c r="B1326" s="286" t="s">
        <v>48</v>
      </c>
      <c r="C1326" s="286" t="s">
        <v>1072</v>
      </c>
      <c r="D1326" s="138" t="s">
        <v>1367</v>
      </c>
      <c r="E1326" s="286" t="s">
        <v>1495</v>
      </c>
      <c r="F1326" s="287">
        <v>51058</v>
      </c>
      <c r="G1326" s="288" t="s">
        <v>1758</v>
      </c>
      <c r="H1326" s="288">
        <v>620</v>
      </c>
      <c r="I1326" s="289">
        <v>961.21</v>
      </c>
      <c r="J1326" s="289">
        <v>595947.4</v>
      </c>
      <c r="K1326" s="288" t="s">
        <v>103</v>
      </c>
      <c r="L1326" s="292">
        <v>1.2800000000000001E-2</v>
      </c>
    </row>
    <row r="1327" spans="1:12" ht="15.75" thickBot="1" x14ac:dyDescent="0.3">
      <c r="A1327" s="291" t="s">
        <v>127</v>
      </c>
      <c r="B1327" s="286" t="s">
        <v>396</v>
      </c>
      <c r="C1327" s="286" t="s">
        <v>1072</v>
      </c>
      <c r="D1327" s="138" t="s">
        <v>1404</v>
      </c>
      <c r="E1327" s="286" t="s">
        <v>165</v>
      </c>
      <c r="F1327" s="287">
        <v>47123</v>
      </c>
      <c r="G1327" s="288" t="s">
        <v>103</v>
      </c>
      <c r="H1327" s="288">
        <v>44</v>
      </c>
      <c r="I1327" s="289">
        <v>447.35</v>
      </c>
      <c r="J1327" s="289">
        <v>19683.47</v>
      </c>
      <c r="K1327" s="288" t="s">
        <v>103</v>
      </c>
      <c r="L1327" s="292">
        <v>4.0000000000000002E-4</v>
      </c>
    </row>
    <row r="1328" spans="1:12" ht="15.75" thickBot="1" x14ac:dyDescent="0.3">
      <c r="A1328" s="291" t="s">
        <v>127</v>
      </c>
      <c r="B1328" s="286" t="s">
        <v>396</v>
      </c>
      <c r="C1328" s="286" t="s">
        <v>1072</v>
      </c>
      <c r="D1328" s="138" t="s">
        <v>1405</v>
      </c>
      <c r="E1328" s="286" t="s">
        <v>165</v>
      </c>
      <c r="F1328" s="287">
        <v>52967</v>
      </c>
      <c r="G1328" s="288" t="s">
        <v>103</v>
      </c>
      <c r="H1328" s="288">
        <v>66</v>
      </c>
      <c r="I1328" s="289">
        <v>79.77</v>
      </c>
      <c r="J1328" s="289">
        <v>5265.12</v>
      </c>
      <c r="K1328" s="288" t="s">
        <v>103</v>
      </c>
      <c r="L1328" s="292">
        <v>1E-4</v>
      </c>
    </row>
    <row r="1329" spans="1:12" ht="15.75" thickBot="1" x14ac:dyDescent="0.3">
      <c r="A1329" s="291" t="s">
        <v>127</v>
      </c>
      <c r="B1329" s="286" t="s">
        <v>759</v>
      </c>
      <c r="C1329" s="286" t="s">
        <v>1072</v>
      </c>
      <c r="D1329" s="138" t="s">
        <v>760</v>
      </c>
      <c r="E1329" s="286" t="s">
        <v>165</v>
      </c>
      <c r="F1329" s="287">
        <v>46959</v>
      </c>
      <c r="G1329" s="288" t="s">
        <v>1759</v>
      </c>
      <c r="H1329" s="288">
        <v>150</v>
      </c>
      <c r="I1329" s="289">
        <v>850.51</v>
      </c>
      <c r="J1329" s="289">
        <v>127576.56</v>
      </c>
      <c r="K1329" s="288" t="s">
        <v>103</v>
      </c>
      <c r="L1329" s="292">
        <v>2.7000000000000001E-3</v>
      </c>
    </row>
    <row r="1330" spans="1:12" ht="15.75" thickBot="1" x14ac:dyDescent="0.3">
      <c r="A1330" s="291" t="s">
        <v>127</v>
      </c>
      <c r="B1330" s="286" t="s">
        <v>37</v>
      </c>
      <c r="C1330" s="286" t="s">
        <v>1072</v>
      </c>
      <c r="D1330" s="138" t="s">
        <v>260</v>
      </c>
      <c r="E1330" s="286" t="s">
        <v>165</v>
      </c>
      <c r="F1330" s="287">
        <v>47065</v>
      </c>
      <c r="G1330" s="288" t="s">
        <v>1427</v>
      </c>
      <c r="H1330" s="288">
        <v>87</v>
      </c>
      <c r="I1330" s="289">
        <v>1059.01</v>
      </c>
      <c r="J1330" s="289">
        <v>92133.6</v>
      </c>
      <c r="K1330" s="288" t="s">
        <v>103</v>
      </c>
      <c r="L1330" s="292">
        <v>2E-3</v>
      </c>
    </row>
    <row r="1331" spans="1:12" ht="15.75" thickBot="1" x14ac:dyDescent="0.3">
      <c r="A1331" s="291" t="s">
        <v>127</v>
      </c>
      <c r="B1331" s="286" t="s">
        <v>1356</v>
      </c>
      <c r="C1331" s="286" t="s">
        <v>1072</v>
      </c>
      <c r="D1331" s="138" t="s">
        <v>1349</v>
      </c>
      <c r="E1331" s="286" t="s">
        <v>1499</v>
      </c>
      <c r="F1331" s="287">
        <v>48959</v>
      </c>
      <c r="G1331" s="288" t="s">
        <v>1376</v>
      </c>
      <c r="H1331" s="290">
        <v>40234</v>
      </c>
      <c r="I1331" s="289">
        <v>9.93</v>
      </c>
      <c r="J1331" s="289">
        <v>399625.57</v>
      </c>
      <c r="K1331" s="288" t="s">
        <v>103</v>
      </c>
      <c r="L1331" s="292">
        <v>8.6E-3</v>
      </c>
    </row>
    <row r="1332" spans="1:12" ht="15.75" thickBot="1" x14ac:dyDescent="0.3">
      <c r="A1332" s="291" t="s">
        <v>127</v>
      </c>
      <c r="B1332" s="286" t="s">
        <v>295</v>
      </c>
      <c r="C1332" s="286" t="s">
        <v>1072</v>
      </c>
      <c r="D1332" s="138" t="s">
        <v>508</v>
      </c>
      <c r="E1332" s="286" t="s">
        <v>165</v>
      </c>
      <c r="F1332" s="287">
        <v>47472</v>
      </c>
      <c r="G1332" s="288" t="s">
        <v>1536</v>
      </c>
      <c r="H1332" s="288">
        <v>203</v>
      </c>
      <c r="I1332" s="289">
        <v>942.77</v>
      </c>
      <c r="J1332" s="289">
        <v>191382.56</v>
      </c>
      <c r="K1332" s="288" t="s">
        <v>103</v>
      </c>
      <c r="L1332" s="292">
        <v>4.1000000000000003E-3</v>
      </c>
    </row>
    <row r="1333" spans="1:12" ht="15.75" thickBot="1" x14ac:dyDescent="0.3">
      <c r="A1333" s="291" t="s">
        <v>127</v>
      </c>
      <c r="B1333" s="286" t="s">
        <v>208</v>
      </c>
      <c r="C1333" s="286" t="s">
        <v>1072</v>
      </c>
      <c r="D1333" s="138" t="s">
        <v>1003</v>
      </c>
      <c r="E1333" s="286" t="s">
        <v>165</v>
      </c>
      <c r="F1333" s="287">
        <v>47289</v>
      </c>
      <c r="G1333" s="288" t="s">
        <v>1411</v>
      </c>
      <c r="H1333" s="288">
        <v>199</v>
      </c>
      <c r="I1333" s="289">
        <v>1012.35</v>
      </c>
      <c r="J1333" s="289">
        <v>201458.29</v>
      </c>
      <c r="K1333" s="288" t="s">
        <v>103</v>
      </c>
      <c r="L1333" s="292">
        <v>4.3E-3</v>
      </c>
    </row>
    <row r="1334" spans="1:12" ht="15.75" thickBot="1" x14ac:dyDescent="0.3">
      <c r="A1334" s="291" t="s">
        <v>127</v>
      </c>
      <c r="B1334" s="286" t="s">
        <v>208</v>
      </c>
      <c r="C1334" s="286" t="s">
        <v>1072</v>
      </c>
      <c r="D1334" s="138" t="s">
        <v>185</v>
      </c>
      <c r="E1334" s="286" t="s">
        <v>165</v>
      </c>
      <c r="F1334" s="287">
        <v>46893</v>
      </c>
      <c r="G1334" s="288" t="s">
        <v>1789</v>
      </c>
      <c r="H1334" s="288">
        <v>101</v>
      </c>
      <c r="I1334" s="289">
        <v>1044.8699999999999</v>
      </c>
      <c r="J1334" s="289">
        <v>105531.38</v>
      </c>
      <c r="K1334" s="288" t="s">
        <v>103</v>
      </c>
      <c r="L1334" s="292">
        <v>2.3E-3</v>
      </c>
    </row>
    <row r="1335" spans="1:12" ht="15.75" thickBot="1" x14ac:dyDescent="0.3">
      <c r="A1335" s="291" t="s">
        <v>127</v>
      </c>
      <c r="B1335" s="286" t="s">
        <v>230</v>
      </c>
      <c r="C1335" s="286" t="s">
        <v>1072</v>
      </c>
      <c r="D1335" s="138" t="s">
        <v>327</v>
      </c>
      <c r="E1335" s="286" t="s">
        <v>165</v>
      </c>
      <c r="F1335" s="287">
        <v>46506</v>
      </c>
      <c r="G1335" s="288" t="s">
        <v>1790</v>
      </c>
      <c r="H1335" s="288">
        <v>95</v>
      </c>
      <c r="I1335" s="289">
        <v>1053.0999999999999</v>
      </c>
      <c r="J1335" s="289">
        <v>100044.94</v>
      </c>
      <c r="K1335" s="288" t="s">
        <v>103</v>
      </c>
      <c r="L1335" s="292">
        <v>2.2000000000000001E-3</v>
      </c>
    </row>
    <row r="1336" spans="1:12" ht="15.75" thickBot="1" x14ac:dyDescent="0.3">
      <c r="A1336" s="291" t="s">
        <v>127</v>
      </c>
      <c r="B1336" s="286" t="s">
        <v>230</v>
      </c>
      <c r="C1336" s="286" t="s">
        <v>1072</v>
      </c>
      <c r="D1336" s="138" t="s">
        <v>211</v>
      </c>
      <c r="E1336" s="286" t="s">
        <v>165</v>
      </c>
      <c r="F1336" s="287">
        <v>45802</v>
      </c>
      <c r="G1336" s="288" t="s">
        <v>1504</v>
      </c>
      <c r="H1336" s="288">
        <v>90</v>
      </c>
      <c r="I1336" s="289">
        <v>347.08</v>
      </c>
      <c r="J1336" s="289">
        <v>31237.24</v>
      </c>
      <c r="K1336" s="288" t="s">
        <v>103</v>
      </c>
      <c r="L1336" s="292">
        <v>6.9999999999999999E-4</v>
      </c>
    </row>
    <row r="1337" spans="1:12" ht="15.75" thickBot="1" x14ac:dyDescent="0.3">
      <c r="A1337" s="291" t="s">
        <v>127</v>
      </c>
      <c r="B1337" s="286" t="s">
        <v>8</v>
      </c>
      <c r="C1337" s="286" t="s">
        <v>1072</v>
      </c>
      <c r="D1337" s="138" t="s">
        <v>137</v>
      </c>
      <c r="E1337" s="286" t="s">
        <v>165</v>
      </c>
      <c r="F1337" s="287">
        <v>46371</v>
      </c>
      <c r="G1337" s="288" t="s">
        <v>1506</v>
      </c>
      <c r="H1337" s="288">
        <v>237</v>
      </c>
      <c r="I1337" s="289">
        <v>695.58</v>
      </c>
      <c r="J1337" s="289">
        <v>164851.45000000001</v>
      </c>
      <c r="K1337" s="288" t="s">
        <v>103</v>
      </c>
      <c r="L1337" s="292">
        <v>3.5999999999999999E-3</v>
      </c>
    </row>
    <row r="1338" spans="1:12" ht="15.75" thickBot="1" x14ac:dyDescent="0.3">
      <c r="A1338" s="291" t="s">
        <v>127</v>
      </c>
      <c r="B1338" s="286" t="s">
        <v>231</v>
      </c>
      <c r="C1338" s="286" t="s">
        <v>1072</v>
      </c>
      <c r="D1338" s="138" t="s">
        <v>221</v>
      </c>
      <c r="E1338" s="286" t="s">
        <v>165</v>
      </c>
      <c r="F1338" s="287">
        <v>48080</v>
      </c>
      <c r="G1338" s="288" t="s">
        <v>1613</v>
      </c>
      <c r="H1338" s="288">
        <v>130</v>
      </c>
      <c r="I1338" s="289">
        <v>1027.33</v>
      </c>
      <c r="J1338" s="289">
        <v>133552.93</v>
      </c>
      <c r="K1338" s="288" t="s">
        <v>103</v>
      </c>
      <c r="L1338" s="292">
        <v>2.8999999999999998E-3</v>
      </c>
    </row>
    <row r="1339" spans="1:12" ht="15.75" thickBot="1" x14ac:dyDescent="0.3">
      <c r="A1339" s="291" t="s">
        <v>127</v>
      </c>
      <c r="B1339" s="286" t="s">
        <v>428</v>
      </c>
      <c r="C1339" s="286" t="s">
        <v>1072</v>
      </c>
      <c r="D1339" s="138" t="s">
        <v>349</v>
      </c>
      <c r="E1339" s="286" t="s">
        <v>1508</v>
      </c>
      <c r="F1339" s="287">
        <v>46541</v>
      </c>
      <c r="G1339" s="288" t="s">
        <v>1760</v>
      </c>
      <c r="H1339" s="288">
        <v>289</v>
      </c>
      <c r="I1339" s="289">
        <v>749.21</v>
      </c>
      <c r="J1339" s="289">
        <v>216523.06</v>
      </c>
      <c r="K1339" s="288" t="s">
        <v>103</v>
      </c>
      <c r="L1339" s="292">
        <v>4.7000000000000002E-3</v>
      </c>
    </row>
    <row r="1340" spans="1:12" ht="15.75" thickBot="1" x14ac:dyDescent="0.3">
      <c r="A1340" s="291" t="s">
        <v>127</v>
      </c>
      <c r="B1340" s="286" t="s">
        <v>505</v>
      </c>
      <c r="C1340" s="286" t="s">
        <v>1072</v>
      </c>
      <c r="D1340" s="138" t="s">
        <v>411</v>
      </c>
      <c r="E1340" s="286" t="s">
        <v>1597</v>
      </c>
      <c r="F1340" s="287">
        <v>48441</v>
      </c>
      <c r="G1340" s="288" t="s">
        <v>1596</v>
      </c>
      <c r="H1340" s="290">
        <v>1213</v>
      </c>
      <c r="I1340" s="289">
        <v>1100.6300000000001</v>
      </c>
      <c r="J1340" s="289">
        <v>1335062.23</v>
      </c>
      <c r="K1340" s="288" t="s">
        <v>103</v>
      </c>
      <c r="L1340" s="292">
        <v>2.8799999999999999E-2</v>
      </c>
    </row>
    <row r="1341" spans="1:12" ht="15.75" thickBot="1" x14ac:dyDescent="0.3">
      <c r="A1341" s="291" t="s">
        <v>127</v>
      </c>
      <c r="B1341" s="286" t="s">
        <v>497</v>
      </c>
      <c r="C1341" s="286" t="s">
        <v>1072</v>
      </c>
      <c r="D1341" s="138" t="s">
        <v>498</v>
      </c>
      <c r="E1341" s="286" t="s">
        <v>165</v>
      </c>
      <c r="F1341" s="287">
        <v>46716</v>
      </c>
      <c r="G1341" s="288" t="s">
        <v>1373</v>
      </c>
      <c r="H1341" s="288">
        <v>254</v>
      </c>
      <c r="I1341" s="289">
        <v>893.84</v>
      </c>
      <c r="J1341" s="289">
        <v>227034.7</v>
      </c>
      <c r="K1341" s="288" t="s">
        <v>103</v>
      </c>
      <c r="L1341" s="292">
        <v>4.8999999999999998E-3</v>
      </c>
    </row>
    <row r="1342" spans="1:12" ht="15.75" thickBot="1" x14ac:dyDescent="0.3">
      <c r="A1342" s="291" t="s">
        <v>127</v>
      </c>
      <c r="B1342" s="286" t="s">
        <v>45</v>
      </c>
      <c r="C1342" s="286" t="s">
        <v>1072</v>
      </c>
      <c r="D1342" s="138" t="s">
        <v>437</v>
      </c>
      <c r="E1342" s="286" t="s">
        <v>165</v>
      </c>
      <c r="F1342" s="287">
        <v>47192</v>
      </c>
      <c r="G1342" s="288" t="s">
        <v>1598</v>
      </c>
      <c r="H1342" s="288">
        <v>176</v>
      </c>
      <c r="I1342" s="289">
        <v>913.19</v>
      </c>
      <c r="J1342" s="289">
        <v>160722.01</v>
      </c>
      <c r="K1342" s="288" t="s">
        <v>103</v>
      </c>
      <c r="L1342" s="292">
        <v>3.5000000000000001E-3</v>
      </c>
    </row>
    <row r="1343" spans="1:12" ht="15.75" thickBot="1" x14ac:dyDescent="0.3">
      <c r="A1343" s="291" t="s">
        <v>127</v>
      </c>
      <c r="B1343" s="286" t="s">
        <v>372</v>
      </c>
      <c r="C1343" s="286" t="s">
        <v>1072</v>
      </c>
      <c r="D1343" s="138" t="s">
        <v>373</v>
      </c>
      <c r="E1343" s="286" t="s">
        <v>165</v>
      </c>
      <c r="F1343" s="287">
        <v>45823</v>
      </c>
      <c r="G1343" s="288" t="s">
        <v>1511</v>
      </c>
      <c r="H1343" s="288">
        <v>288</v>
      </c>
      <c r="I1343" s="289">
        <v>1030.73</v>
      </c>
      <c r="J1343" s="289">
        <v>296850.27</v>
      </c>
      <c r="K1343" s="288" t="s">
        <v>103</v>
      </c>
      <c r="L1343" s="292">
        <v>6.4000000000000003E-3</v>
      </c>
    </row>
    <row r="1344" spans="1:12" ht="15.75" thickBot="1" x14ac:dyDescent="0.3">
      <c r="A1344" s="291" t="s">
        <v>127</v>
      </c>
      <c r="B1344" s="286" t="s">
        <v>778</v>
      </c>
      <c r="C1344" s="286" t="s">
        <v>1072</v>
      </c>
      <c r="D1344" s="138" t="s">
        <v>1109</v>
      </c>
      <c r="E1344" s="286" t="s">
        <v>1513</v>
      </c>
      <c r="F1344" s="287">
        <v>46924</v>
      </c>
      <c r="G1344" s="288" t="s">
        <v>1599</v>
      </c>
      <c r="H1344" s="288">
        <v>192</v>
      </c>
      <c r="I1344" s="289">
        <v>1028.8599999999999</v>
      </c>
      <c r="J1344" s="289">
        <v>197542.05</v>
      </c>
      <c r="K1344" s="288" t="s">
        <v>103</v>
      </c>
      <c r="L1344" s="292">
        <v>4.3E-3</v>
      </c>
    </row>
    <row r="1345" spans="1:12" ht="15.75" thickBot="1" x14ac:dyDescent="0.3">
      <c r="A1345" s="291" t="s">
        <v>127</v>
      </c>
      <c r="B1345" s="286" t="s">
        <v>1410</v>
      </c>
      <c r="C1345" s="286" t="s">
        <v>1072</v>
      </c>
      <c r="D1345" s="138" t="s">
        <v>228</v>
      </c>
      <c r="E1345" s="286" t="s">
        <v>165</v>
      </c>
      <c r="F1345" s="287">
        <v>48106</v>
      </c>
      <c r="G1345" s="288" t="s">
        <v>1515</v>
      </c>
      <c r="H1345" s="288">
        <v>155</v>
      </c>
      <c r="I1345" s="289">
        <v>1044.01</v>
      </c>
      <c r="J1345" s="289">
        <v>161821.16</v>
      </c>
      <c r="K1345" s="288" t="s">
        <v>103</v>
      </c>
      <c r="L1345" s="292">
        <v>3.5000000000000001E-3</v>
      </c>
    </row>
    <row r="1346" spans="1:12" ht="15.75" thickBot="1" x14ac:dyDescent="0.3">
      <c r="A1346" s="291" t="s">
        <v>127</v>
      </c>
      <c r="B1346" s="286" t="s">
        <v>513</v>
      </c>
      <c r="C1346" s="286" t="s">
        <v>1072</v>
      </c>
      <c r="D1346" s="138" t="s">
        <v>514</v>
      </c>
      <c r="E1346" s="286" t="s">
        <v>165</v>
      </c>
      <c r="F1346" s="287">
        <v>46310</v>
      </c>
      <c r="G1346" s="288" t="s">
        <v>1761</v>
      </c>
      <c r="H1346" s="288">
        <v>102</v>
      </c>
      <c r="I1346" s="289">
        <v>1046.93</v>
      </c>
      <c r="J1346" s="289">
        <v>106786.7</v>
      </c>
      <c r="K1346" s="288" t="s">
        <v>103</v>
      </c>
      <c r="L1346" s="292">
        <v>2.3E-3</v>
      </c>
    </row>
    <row r="1347" spans="1:12" ht="15.75" thickBot="1" x14ac:dyDescent="0.3">
      <c r="A1347" s="291" t="s">
        <v>127</v>
      </c>
      <c r="B1347" s="286" t="s">
        <v>167</v>
      </c>
      <c r="C1347" s="286" t="s">
        <v>1072</v>
      </c>
      <c r="D1347" s="138" t="s">
        <v>263</v>
      </c>
      <c r="E1347" s="286" t="s">
        <v>165</v>
      </c>
      <c r="F1347" s="287">
        <v>48167</v>
      </c>
      <c r="G1347" s="288" t="s">
        <v>1600</v>
      </c>
      <c r="H1347" s="288">
        <v>110</v>
      </c>
      <c r="I1347" s="289">
        <v>975.34</v>
      </c>
      <c r="J1347" s="289">
        <v>107287.86</v>
      </c>
      <c r="K1347" s="288" t="s">
        <v>103</v>
      </c>
      <c r="L1347" s="292">
        <v>2.3E-3</v>
      </c>
    </row>
    <row r="1348" spans="1:12" ht="15.75" thickBot="1" x14ac:dyDescent="0.3">
      <c r="A1348" s="291" t="s">
        <v>127</v>
      </c>
      <c r="B1348" s="286" t="s">
        <v>1358</v>
      </c>
      <c r="C1348" s="286" t="s">
        <v>1072</v>
      </c>
      <c r="D1348" s="138" t="s">
        <v>155</v>
      </c>
      <c r="E1348" s="286" t="s">
        <v>165</v>
      </c>
      <c r="F1348" s="287">
        <v>47922</v>
      </c>
      <c r="G1348" s="288" t="s">
        <v>1601</v>
      </c>
      <c r="H1348" s="288">
        <v>177</v>
      </c>
      <c r="I1348" s="289">
        <v>1071.03</v>
      </c>
      <c r="J1348" s="289">
        <v>189572.8</v>
      </c>
      <c r="K1348" s="288" t="s">
        <v>103</v>
      </c>
      <c r="L1348" s="292">
        <v>4.1000000000000003E-3</v>
      </c>
    </row>
    <row r="1349" spans="1:12" ht="15.75" thickBot="1" x14ac:dyDescent="0.3">
      <c r="A1349" s="291" t="s">
        <v>127</v>
      </c>
      <c r="B1349" s="286" t="s">
        <v>1359</v>
      </c>
      <c r="C1349" s="286" t="s">
        <v>1072</v>
      </c>
      <c r="D1349" s="138" t="s">
        <v>210</v>
      </c>
      <c r="E1349" s="286" t="s">
        <v>165</v>
      </c>
      <c r="F1349" s="287">
        <v>48531</v>
      </c>
      <c r="G1349" s="288" t="s">
        <v>103</v>
      </c>
      <c r="H1349" s="288">
        <v>50</v>
      </c>
      <c r="I1349" s="289">
        <v>53.55</v>
      </c>
      <c r="J1349" s="289">
        <v>2677.67</v>
      </c>
      <c r="K1349" s="288" t="s">
        <v>103</v>
      </c>
      <c r="L1349" s="292">
        <v>1E-4</v>
      </c>
    </row>
    <row r="1350" spans="1:12" ht="15.75" thickBot="1" x14ac:dyDescent="0.3">
      <c r="A1350" s="291" t="s">
        <v>127</v>
      </c>
      <c r="B1350" s="286" t="s">
        <v>35</v>
      </c>
      <c r="C1350" s="286" t="s">
        <v>1072</v>
      </c>
      <c r="D1350" s="138" t="s">
        <v>3</v>
      </c>
      <c r="E1350" s="286" t="s">
        <v>165</v>
      </c>
      <c r="F1350" s="287">
        <v>47196</v>
      </c>
      <c r="G1350" s="288" t="s">
        <v>1603</v>
      </c>
      <c r="H1350" s="288">
        <v>23</v>
      </c>
      <c r="I1350" s="289">
        <v>10913.24</v>
      </c>
      <c r="J1350" s="289">
        <v>251004.58</v>
      </c>
      <c r="K1350" s="288" t="s">
        <v>103</v>
      </c>
      <c r="L1350" s="292">
        <v>5.4000000000000003E-3</v>
      </c>
    </row>
    <row r="1351" spans="1:12" ht="15.75" thickBot="1" x14ac:dyDescent="0.3">
      <c r="A1351" s="291" t="s">
        <v>127</v>
      </c>
      <c r="B1351" s="286" t="s">
        <v>309</v>
      </c>
      <c r="C1351" s="286" t="s">
        <v>1072</v>
      </c>
      <c r="D1351" s="138" t="s">
        <v>310</v>
      </c>
      <c r="E1351" s="286" t="s">
        <v>165</v>
      </c>
      <c r="F1351" s="287">
        <v>48014</v>
      </c>
      <c r="G1351" s="288" t="s">
        <v>1791</v>
      </c>
      <c r="H1351" s="288">
        <v>100</v>
      </c>
      <c r="I1351" s="289">
        <v>1058.07</v>
      </c>
      <c r="J1351" s="289">
        <v>105806.73</v>
      </c>
      <c r="K1351" s="288" t="s">
        <v>103</v>
      </c>
      <c r="L1351" s="292">
        <v>2.3E-3</v>
      </c>
    </row>
    <row r="1352" spans="1:12" ht="15.75" thickBot="1" x14ac:dyDescent="0.3">
      <c r="A1352" s="291" t="s">
        <v>127</v>
      </c>
      <c r="B1352" s="286" t="s">
        <v>289</v>
      </c>
      <c r="C1352" s="286" t="s">
        <v>1072</v>
      </c>
      <c r="D1352" s="138" t="s">
        <v>266</v>
      </c>
      <c r="E1352" s="286" t="s">
        <v>165</v>
      </c>
      <c r="F1352" s="287">
        <v>47060</v>
      </c>
      <c r="G1352" s="288" t="s">
        <v>1546</v>
      </c>
      <c r="H1352" s="288">
        <v>30</v>
      </c>
      <c r="I1352" s="289">
        <v>1053.3499999999999</v>
      </c>
      <c r="J1352" s="289">
        <v>31600.45</v>
      </c>
      <c r="K1352" s="288" t="s">
        <v>103</v>
      </c>
      <c r="L1352" s="292">
        <v>6.9999999999999999E-4</v>
      </c>
    </row>
    <row r="1353" spans="1:12" ht="15.75" thickBot="1" x14ac:dyDescent="0.3">
      <c r="A1353" s="291" t="s">
        <v>127</v>
      </c>
      <c r="B1353" s="286" t="s">
        <v>427</v>
      </c>
      <c r="C1353" s="286" t="s">
        <v>1072</v>
      </c>
      <c r="D1353" s="138" t="s">
        <v>469</v>
      </c>
      <c r="E1353" s="286" t="s">
        <v>165</v>
      </c>
      <c r="F1353" s="287">
        <v>46588</v>
      </c>
      <c r="G1353" s="288" t="s">
        <v>1604</v>
      </c>
      <c r="H1353" s="288">
        <v>136</v>
      </c>
      <c r="I1353" s="289">
        <v>1025.21</v>
      </c>
      <c r="J1353" s="289">
        <v>139428.94</v>
      </c>
      <c r="K1353" s="288" t="s">
        <v>103</v>
      </c>
      <c r="L1353" s="292">
        <v>3.0000000000000001E-3</v>
      </c>
    </row>
    <row r="1354" spans="1:12" ht="15.75" thickBot="1" x14ac:dyDescent="0.3">
      <c r="A1354" s="291" t="s">
        <v>127</v>
      </c>
      <c r="B1354" s="286" t="s">
        <v>1526</v>
      </c>
      <c r="C1354" s="286" t="s">
        <v>1072</v>
      </c>
      <c r="D1354" s="138" t="s">
        <v>1463</v>
      </c>
      <c r="E1354" s="286" t="s">
        <v>1528</v>
      </c>
      <c r="F1354" s="287">
        <v>49049</v>
      </c>
      <c r="G1354" s="288" t="s">
        <v>1765</v>
      </c>
      <c r="H1354" s="290">
        <v>1987</v>
      </c>
      <c r="I1354" s="289">
        <v>1017.33</v>
      </c>
      <c r="J1354" s="289">
        <v>2021424.96</v>
      </c>
      <c r="K1354" s="288" t="s">
        <v>103</v>
      </c>
      <c r="L1354" s="292">
        <v>4.3499999999999997E-2</v>
      </c>
    </row>
    <row r="1355" spans="1:12" ht="15.75" thickBot="1" x14ac:dyDescent="0.3">
      <c r="A1355" s="291" t="s">
        <v>127</v>
      </c>
      <c r="B1355" s="286" t="s">
        <v>1166</v>
      </c>
      <c r="C1355" s="286" t="s">
        <v>1072</v>
      </c>
      <c r="D1355" s="138" t="s">
        <v>1167</v>
      </c>
      <c r="E1355" s="286" t="s">
        <v>654</v>
      </c>
      <c r="F1355" s="287">
        <v>49475</v>
      </c>
      <c r="G1355" s="288" t="s">
        <v>1357</v>
      </c>
      <c r="H1355" s="288">
        <v>110</v>
      </c>
      <c r="I1355" s="289">
        <v>1032</v>
      </c>
      <c r="J1355" s="289">
        <v>113519.65</v>
      </c>
      <c r="K1355" s="288" t="s">
        <v>103</v>
      </c>
      <c r="L1355" s="292">
        <v>2.3999999999999998E-3</v>
      </c>
    </row>
    <row r="1356" spans="1:12" ht="15.75" thickBot="1" x14ac:dyDescent="0.3">
      <c r="A1356" s="291" t="s">
        <v>127</v>
      </c>
      <c r="B1356" s="286" t="s">
        <v>758</v>
      </c>
      <c r="C1356" s="286" t="s">
        <v>1072</v>
      </c>
      <c r="D1356" s="138" t="s">
        <v>837</v>
      </c>
      <c r="E1356" s="286" t="s">
        <v>1530</v>
      </c>
      <c r="F1356" s="287">
        <v>47406</v>
      </c>
      <c r="G1356" s="288" t="s">
        <v>1605</v>
      </c>
      <c r="H1356" s="290">
        <v>108150</v>
      </c>
      <c r="I1356" s="289">
        <v>1.07</v>
      </c>
      <c r="J1356" s="289">
        <v>115906.73</v>
      </c>
      <c r="K1356" s="288" t="s">
        <v>103</v>
      </c>
      <c r="L1356" s="292">
        <v>2.5000000000000001E-3</v>
      </c>
    </row>
    <row r="1357" spans="1:12" ht="15.75" thickBot="1" x14ac:dyDescent="0.3">
      <c r="A1357" s="291" t="s">
        <v>127</v>
      </c>
      <c r="B1357" s="286" t="s">
        <v>758</v>
      </c>
      <c r="C1357" s="286" t="s">
        <v>1072</v>
      </c>
      <c r="D1357" s="138" t="s">
        <v>1113</v>
      </c>
      <c r="E1357" s="286" t="s">
        <v>623</v>
      </c>
      <c r="F1357" s="287">
        <v>47741</v>
      </c>
      <c r="G1357" s="288" t="s">
        <v>1766</v>
      </c>
      <c r="H1357" s="288">
        <v>38</v>
      </c>
      <c r="I1357" s="289">
        <v>1050.9100000000001</v>
      </c>
      <c r="J1357" s="289">
        <v>39934.61</v>
      </c>
      <c r="K1357" s="288" t="s">
        <v>103</v>
      </c>
      <c r="L1357" s="292">
        <v>8.9999999999999998E-4</v>
      </c>
    </row>
    <row r="1358" spans="1:12" ht="15.75" thickBot="1" x14ac:dyDescent="0.3">
      <c r="A1358" s="291" t="s">
        <v>127</v>
      </c>
      <c r="B1358" s="286" t="s">
        <v>13</v>
      </c>
      <c r="C1358" s="286" t="s">
        <v>1072</v>
      </c>
      <c r="D1358" s="138" t="s">
        <v>242</v>
      </c>
      <c r="E1358" s="286" t="s">
        <v>165</v>
      </c>
      <c r="F1358" s="287">
        <v>47041</v>
      </c>
      <c r="G1358" s="288" t="s">
        <v>1429</v>
      </c>
      <c r="H1358" s="288">
        <v>193</v>
      </c>
      <c r="I1358" s="289">
        <v>1081.23</v>
      </c>
      <c r="J1358" s="289">
        <v>208676.45</v>
      </c>
      <c r="K1358" s="288" t="s">
        <v>103</v>
      </c>
      <c r="L1358" s="292">
        <v>4.4999999999999997E-3</v>
      </c>
    </row>
    <row r="1359" spans="1:12" ht="15.75" thickBot="1" x14ac:dyDescent="0.3">
      <c r="A1359" s="291" t="s">
        <v>127</v>
      </c>
      <c r="B1359" s="286" t="s">
        <v>33</v>
      </c>
      <c r="C1359" s="286" t="s">
        <v>1072</v>
      </c>
      <c r="D1359" s="138" t="s">
        <v>849</v>
      </c>
      <c r="E1359" s="286" t="s">
        <v>1792</v>
      </c>
      <c r="F1359" s="287">
        <v>48867</v>
      </c>
      <c r="G1359" s="288" t="s">
        <v>1770</v>
      </c>
      <c r="H1359" s="288">
        <v>973</v>
      </c>
      <c r="I1359" s="289">
        <v>1005.48</v>
      </c>
      <c r="J1359" s="289">
        <v>978336.04</v>
      </c>
      <c r="K1359" s="288" t="s">
        <v>103</v>
      </c>
      <c r="L1359" s="292">
        <v>2.1100000000000001E-2</v>
      </c>
    </row>
    <row r="1360" spans="1:12" ht="15.75" thickBot="1" x14ac:dyDescent="0.3">
      <c r="A1360" s="291" t="s">
        <v>127</v>
      </c>
      <c r="B1360" s="286" t="s">
        <v>33</v>
      </c>
      <c r="C1360" s="286" t="s">
        <v>1072</v>
      </c>
      <c r="D1360" s="138" t="s">
        <v>822</v>
      </c>
      <c r="E1360" s="286" t="s">
        <v>165</v>
      </c>
      <c r="F1360" s="287">
        <v>47771</v>
      </c>
      <c r="G1360" s="288" t="s">
        <v>1606</v>
      </c>
      <c r="H1360" s="288">
        <v>33</v>
      </c>
      <c r="I1360" s="289">
        <v>1088.92</v>
      </c>
      <c r="J1360" s="289">
        <v>35934.379999999997</v>
      </c>
      <c r="K1360" s="288" t="s">
        <v>103</v>
      </c>
      <c r="L1360" s="292">
        <v>8.0000000000000004E-4</v>
      </c>
    </row>
    <row r="1361" spans="1:12" ht="15.75" thickBot="1" x14ac:dyDescent="0.3">
      <c r="A1361" s="291" t="s">
        <v>127</v>
      </c>
      <c r="B1361" s="286" t="s">
        <v>975</v>
      </c>
      <c r="C1361" s="286" t="s">
        <v>1072</v>
      </c>
      <c r="D1361" s="138" t="s">
        <v>976</v>
      </c>
      <c r="E1361" s="286" t="s">
        <v>165</v>
      </c>
      <c r="F1361" s="287">
        <v>45950</v>
      </c>
      <c r="G1361" s="288" t="s">
        <v>1539</v>
      </c>
      <c r="H1361" s="288">
        <v>54</v>
      </c>
      <c r="I1361" s="289">
        <v>516.51</v>
      </c>
      <c r="J1361" s="289">
        <v>27891.48</v>
      </c>
      <c r="K1361" s="288" t="s">
        <v>103</v>
      </c>
      <c r="L1361" s="292">
        <v>5.9999999999999995E-4</v>
      </c>
    </row>
    <row r="1362" spans="1:12" ht="15.75" thickBot="1" x14ac:dyDescent="0.3">
      <c r="A1362" s="291" t="s">
        <v>127</v>
      </c>
      <c r="B1362" s="286" t="s">
        <v>156</v>
      </c>
      <c r="C1362" s="286" t="s">
        <v>1072</v>
      </c>
      <c r="D1362" s="138" t="s">
        <v>212</v>
      </c>
      <c r="E1362" s="286" t="s">
        <v>165</v>
      </c>
      <c r="F1362" s="287">
        <v>48075</v>
      </c>
      <c r="G1362" s="288" t="s">
        <v>1793</v>
      </c>
      <c r="H1362" s="288">
        <v>243</v>
      </c>
      <c r="I1362" s="289">
        <v>1025.17</v>
      </c>
      <c r="J1362" s="289">
        <v>249116.52</v>
      </c>
      <c r="K1362" s="288" t="s">
        <v>103</v>
      </c>
      <c r="L1362" s="292">
        <v>5.4000000000000003E-3</v>
      </c>
    </row>
    <row r="1363" spans="1:12" ht="15.75" thickBot="1" x14ac:dyDescent="0.3">
      <c r="A1363" s="291" t="s">
        <v>127</v>
      </c>
      <c r="B1363" s="286" t="s">
        <v>156</v>
      </c>
      <c r="C1363" s="286" t="s">
        <v>1072</v>
      </c>
      <c r="D1363" s="138" t="s">
        <v>1040</v>
      </c>
      <c r="E1363" s="286" t="s">
        <v>165</v>
      </c>
      <c r="F1363" s="287">
        <v>49123</v>
      </c>
      <c r="G1363" s="288" t="s">
        <v>1794</v>
      </c>
      <c r="H1363" s="288">
        <v>129</v>
      </c>
      <c r="I1363" s="289">
        <v>1017.95</v>
      </c>
      <c r="J1363" s="289">
        <v>131314.99</v>
      </c>
      <c r="K1363" s="288" t="s">
        <v>103</v>
      </c>
      <c r="L1363" s="292">
        <v>2.8E-3</v>
      </c>
    </row>
    <row r="1364" spans="1:12" ht="15.75" thickBot="1" x14ac:dyDescent="0.3">
      <c r="A1364" s="291" t="s">
        <v>127</v>
      </c>
      <c r="B1364" s="286" t="s">
        <v>156</v>
      </c>
      <c r="C1364" s="286" t="s">
        <v>1072</v>
      </c>
      <c r="D1364" s="138" t="s">
        <v>1039</v>
      </c>
      <c r="E1364" s="286" t="s">
        <v>165</v>
      </c>
      <c r="F1364" s="287">
        <v>47297</v>
      </c>
      <c r="G1364" s="288" t="s">
        <v>1795</v>
      </c>
      <c r="H1364" s="288">
        <v>79</v>
      </c>
      <c r="I1364" s="289">
        <v>1017.9</v>
      </c>
      <c r="J1364" s="289">
        <v>80414.080000000002</v>
      </c>
      <c r="K1364" s="288" t="s">
        <v>103</v>
      </c>
      <c r="L1364" s="292">
        <v>1.6999999999999999E-3</v>
      </c>
    </row>
    <row r="1365" spans="1:12" ht="15.75" thickBot="1" x14ac:dyDescent="0.3">
      <c r="A1365" s="291" t="s">
        <v>127</v>
      </c>
      <c r="B1365" s="286" t="s">
        <v>345</v>
      </c>
      <c r="C1365" s="286" t="s">
        <v>1072</v>
      </c>
      <c r="D1365" s="138" t="s">
        <v>346</v>
      </c>
      <c r="E1365" s="286" t="s">
        <v>1544</v>
      </c>
      <c r="F1365" s="287">
        <v>48349</v>
      </c>
      <c r="G1365" s="288" t="s">
        <v>1547</v>
      </c>
      <c r="H1365" s="290">
        <v>2117</v>
      </c>
      <c r="I1365" s="289">
        <v>1050.51</v>
      </c>
      <c r="J1365" s="289">
        <v>2223927.41</v>
      </c>
      <c r="K1365" s="288" t="s">
        <v>103</v>
      </c>
      <c r="L1365" s="292">
        <v>4.7899999999999998E-2</v>
      </c>
    </row>
    <row r="1366" spans="1:12" ht="15.75" thickBot="1" x14ac:dyDescent="0.3">
      <c r="A1366" s="291" t="s">
        <v>127</v>
      </c>
      <c r="B1366" s="286" t="s">
        <v>290</v>
      </c>
      <c r="C1366" s="286" t="s">
        <v>1072</v>
      </c>
      <c r="D1366" s="138" t="s">
        <v>240</v>
      </c>
      <c r="E1366" s="286" t="s">
        <v>165</v>
      </c>
      <c r="F1366" s="287">
        <v>47406</v>
      </c>
      <c r="G1366" s="288" t="s">
        <v>1413</v>
      </c>
      <c r="H1366" s="288">
        <v>201</v>
      </c>
      <c r="I1366" s="289">
        <v>840.58</v>
      </c>
      <c r="J1366" s="289">
        <v>168955.67</v>
      </c>
      <c r="K1366" s="288" t="s">
        <v>103</v>
      </c>
      <c r="L1366" s="292">
        <v>3.5999999999999999E-3</v>
      </c>
    </row>
    <row r="1367" spans="1:12" ht="15.75" thickBot="1" x14ac:dyDescent="0.3">
      <c r="A1367" s="291" t="s">
        <v>127</v>
      </c>
      <c r="B1367" s="286" t="s">
        <v>863</v>
      </c>
      <c r="C1367" s="286" t="s">
        <v>1072</v>
      </c>
      <c r="D1367" s="138" t="s">
        <v>864</v>
      </c>
      <c r="E1367" s="286" t="s">
        <v>165</v>
      </c>
      <c r="F1367" s="287">
        <v>45930</v>
      </c>
      <c r="G1367" s="288" t="s">
        <v>1796</v>
      </c>
      <c r="H1367" s="288">
        <v>227</v>
      </c>
      <c r="I1367" s="289">
        <v>1056.73</v>
      </c>
      <c r="J1367" s="289">
        <v>239878.53</v>
      </c>
      <c r="K1367" s="288" t="s">
        <v>103</v>
      </c>
      <c r="L1367" s="292">
        <v>5.1999999999999998E-3</v>
      </c>
    </row>
    <row r="1368" spans="1:12" ht="15.75" thickBot="1" x14ac:dyDescent="0.3">
      <c r="A1368" s="291" t="s">
        <v>127</v>
      </c>
      <c r="B1368" s="286" t="s">
        <v>825</v>
      </c>
      <c r="C1368" s="286" t="s">
        <v>1072</v>
      </c>
      <c r="D1368" s="138" t="s">
        <v>826</v>
      </c>
      <c r="E1368" s="286" t="s">
        <v>165</v>
      </c>
      <c r="F1368" s="287">
        <v>47788</v>
      </c>
      <c r="G1368" s="288" t="s">
        <v>1797</v>
      </c>
      <c r="H1368" s="288">
        <v>101</v>
      </c>
      <c r="I1368" s="289">
        <v>1065.29</v>
      </c>
      <c r="J1368" s="289">
        <v>107594.53</v>
      </c>
      <c r="K1368" s="288" t="s">
        <v>103</v>
      </c>
      <c r="L1368" s="292">
        <v>2.3E-3</v>
      </c>
    </row>
    <row r="1369" spans="1:12" ht="15.75" thickBot="1" x14ac:dyDescent="0.3">
      <c r="A1369" s="291" t="s">
        <v>127</v>
      </c>
      <c r="B1369" s="286" t="s">
        <v>476</v>
      </c>
      <c r="C1369" s="286" t="s">
        <v>1072</v>
      </c>
      <c r="D1369" s="138" t="s">
        <v>470</v>
      </c>
      <c r="E1369" s="286" t="s">
        <v>165</v>
      </c>
      <c r="F1369" s="287">
        <v>46741</v>
      </c>
      <c r="G1369" s="288" t="s">
        <v>1609</v>
      </c>
      <c r="H1369" s="288">
        <v>220</v>
      </c>
      <c r="I1369" s="289">
        <v>991.87</v>
      </c>
      <c r="J1369" s="289">
        <v>218211.26</v>
      </c>
      <c r="K1369" s="288" t="s">
        <v>103</v>
      </c>
      <c r="L1369" s="292">
        <v>4.7000000000000002E-3</v>
      </c>
    </row>
    <row r="1370" spans="1:12" ht="15.75" thickBot="1" x14ac:dyDescent="0.3">
      <c r="A1370" s="291" t="s">
        <v>127</v>
      </c>
      <c r="B1370" s="286" t="s">
        <v>405</v>
      </c>
      <c r="C1370" s="286" t="s">
        <v>1072</v>
      </c>
      <c r="D1370" s="138" t="s">
        <v>406</v>
      </c>
      <c r="E1370" s="286" t="s">
        <v>165</v>
      </c>
      <c r="F1370" s="287">
        <v>46611</v>
      </c>
      <c r="G1370" s="288" t="s">
        <v>103</v>
      </c>
      <c r="H1370" s="288">
        <v>78</v>
      </c>
      <c r="I1370" s="289">
        <v>766.95</v>
      </c>
      <c r="J1370" s="289">
        <v>59822.400000000001</v>
      </c>
      <c r="K1370" s="288" t="s">
        <v>103</v>
      </c>
      <c r="L1370" s="292">
        <v>1.2999999999999999E-3</v>
      </c>
    </row>
    <row r="1371" spans="1:12" ht="15.75" thickBot="1" x14ac:dyDescent="0.3">
      <c r="A1371" s="291" t="s">
        <v>127</v>
      </c>
      <c r="B1371" s="286" t="s">
        <v>418</v>
      </c>
      <c r="C1371" s="286" t="s">
        <v>1072</v>
      </c>
      <c r="D1371" s="138" t="s">
        <v>419</v>
      </c>
      <c r="E1371" s="286" t="s">
        <v>165</v>
      </c>
      <c r="F1371" s="287">
        <v>46609</v>
      </c>
      <c r="G1371" s="288" t="s">
        <v>103</v>
      </c>
      <c r="H1371" s="288">
        <v>106</v>
      </c>
      <c r="I1371" s="289">
        <v>631.25</v>
      </c>
      <c r="J1371" s="289">
        <v>66912.45</v>
      </c>
      <c r="K1371" s="288" t="s">
        <v>103</v>
      </c>
      <c r="L1371" s="292">
        <v>1.4E-3</v>
      </c>
    </row>
    <row r="1372" spans="1:12" ht="15.75" thickBot="1" x14ac:dyDescent="0.3">
      <c r="A1372" s="291" t="s">
        <v>127</v>
      </c>
      <c r="B1372" s="286" t="s">
        <v>944</v>
      </c>
      <c r="C1372" s="286" t="s">
        <v>1072</v>
      </c>
      <c r="D1372" s="138" t="s">
        <v>1174</v>
      </c>
      <c r="E1372" s="286" t="s">
        <v>1798</v>
      </c>
      <c r="F1372" s="287">
        <v>48014</v>
      </c>
      <c r="G1372" s="288" t="s">
        <v>1498</v>
      </c>
      <c r="H1372" s="288">
        <v>990</v>
      </c>
      <c r="I1372" s="289">
        <v>999.63</v>
      </c>
      <c r="J1372" s="289">
        <v>989630.15</v>
      </c>
      <c r="K1372" s="288" t="s">
        <v>103</v>
      </c>
      <c r="L1372" s="292">
        <v>2.1299999999999999E-2</v>
      </c>
    </row>
    <row r="1373" spans="1:12" ht="15.75" thickBot="1" x14ac:dyDescent="0.3">
      <c r="A1373" s="291" t="s">
        <v>127</v>
      </c>
      <c r="B1373" s="286" t="s">
        <v>858</v>
      </c>
      <c r="C1373" s="286" t="s">
        <v>1072</v>
      </c>
      <c r="D1373" s="138" t="s">
        <v>848</v>
      </c>
      <c r="E1373" s="286" t="s">
        <v>1799</v>
      </c>
      <c r="F1373" s="287">
        <v>48349</v>
      </c>
      <c r="G1373" s="288" t="s">
        <v>1610</v>
      </c>
      <c r="H1373" s="288">
        <v>935</v>
      </c>
      <c r="I1373" s="289">
        <v>1041.8399999999999</v>
      </c>
      <c r="J1373" s="289">
        <v>974123.89</v>
      </c>
      <c r="K1373" s="288" t="s">
        <v>103</v>
      </c>
      <c r="L1373" s="292">
        <v>2.1000000000000001E-2</v>
      </c>
    </row>
    <row r="1374" spans="1:12" ht="15.75" thickBot="1" x14ac:dyDescent="0.3">
      <c r="A1374" s="291" t="s">
        <v>127</v>
      </c>
      <c r="B1374" s="286" t="s">
        <v>1034</v>
      </c>
      <c r="C1374" s="286" t="s">
        <v>1072</v>
      </c>
      <c r="D1374" s="138" t="s">
        <v>1173</v>
      </c>
      <c r="E1374" s="286" t="s">
        <v>1800</v>
      </c>
      <c r="F1374" s="287">
        <v>47192</v>
      </c>
      <c r="G1374" s="288" t="s">
        <v>1523</v>
      </c>
      <c r="H1374" s="288">
        <v>925</v>
      </c>
      <c r="I1374" s="289">
        <v>1218.94</v>
      </c>
      <c r="J1374" s="289">
        <v>1127522.79</v>
      </c>
      <c r="K1374" s="288" t="s">
        <v>103</v>
      </c>
      <c r="L1374" s="292">
        <v>2.4299999999999999E-2</v>
      </c>
    </row>
    <row r="1375" spans="1:12" ht="15.75" thickBot="1" x14ac:dyDescent="0.3">
      <c r="A1375" s="291" t="s">
        <v>127</v>
      </c>
      <c r="B1375" s="286" t="s">
        <v>1034</v>
      </c>
      <c r="C1375" s="286" t="s">
        <v>1072</v>
      </c>
      <c r="D1375" s="138" t="s">
        <v>1033</v>
      </c>
      <c r="E1375" s="286" t="s">
        <v>165</v>
      </c>
      <c r="F1375" s="287">
        <v>47284</v>
      </c>
      <c r="G1375" s="288" t="s">
        <v>1611</v>
      </c>
      <c r="H1375" s="288">
        <v>40</v>
      </c>
      <c r="I1375" s="289">
        <v>1038.3499999999999</v>
      </c>
      <c r="J1375" s="289">
        <v>41534.19</v>
      </c>
      <c r="K1375" s="288" t="s">
        <v>103</v>
      </c>
      <c r="L1375" s="292">
        <v>8.9999999999999998E-4</v>
      </c>
    </row>
    <row r="1376" spans="1:12" ht="15.75" thickBot="1" x14ac:dyDescent="0.3">
      <c r="A1376" s="291" t="s">
        <v>127</v>
      </c>
      <c r="B1376" s="286" t="s">
        <v>234</v>
      </c>
      <c r="C1376" s="286" t="s">
        <v>1072</v>
      </c>
      <c r="D1376" s="138" t="s">
        <v>471</v>
      </c>
      <c r="E1376" s="286" t="s">
        <v>165</v>
      </c>
      <c r="F1376" s="287">
        <v>46152</v>
      </c>
      <c r="G1376" s="288" t="s">
        <v>1582</v>
      </c>
      <c r="H1376" s="288">
        <v>147</v>
      </c>
      <c r="I1376" s="289">
        <v>989.13</v>
      </c>
      <c r="J1376" s="289">
        <v>145402.69</v>
      </c>
      <c r="K1376" s="288" t="s">
        <v>103</v>
      </c>
      <c r="L1376" s="292">
        <v>3.0999999999999999E-3</v>
      </c>
    </row>
    <row r="1377" spans="1:12" ht="15.75" thickBot="1" x14ac:dyDescent="0.3">
      <c r="A1377" s="291" t="s">
        <v>127</v>
      </c>
      <c r="B1377" s="286" t="s">
        <v>891</v>
      </c>
      <c r="C1377" s="286" t="s">
        <v>1072</v>
      </c>
      <c r="D1377" s="138" t="s">
        <v>472</v>
      </c>
      <c r="E1377" s="286" t="s">
        <v>165</v>
      </c>
      <c r="F1377" s="287">
        <v>46664</v>
      </c>
      <c r="G1377" s="288" t="s">
        <v>1774</v>
      </c>
      <c r="H1377" s="288">
        <v>205</v>
      </c>
      <c r="I1377" s="289">
        <v>835.34</v>
      </c>
      <c r="J1377" s="289">
        <v>171243.68</v>
      </c>
      <c r="K1377" s="288" t="s">
        <v>103</v>
      </c>
      <c r="L1377" s="292">
        <v>3.7000000000000002E-3</v>
      </c>
    </row>
    <row r="1378" spans="1:12" ht="15.75" thickBot="1" x14ac:dyDescent="0.3">
      <c r="A1378" s="291" t="s">
        <v>127</v>
      </c>
      <c r="B1378" s="286" t="s">
        <v>1435</v>
      </c>
      <c r="C1378" s="286" t="s">
        <v>1072</v>
      </c>
      <c r="D1378" s="138" t="s">
        <v>1226</v>
      </c>
      <c r="E1378" s="286" t="s">
        <v>1553</v>
      </c>
      <c r="F1378" s="287">
        <v>50024</v>
      </c>
      <c r="G1378" s="288" t="s">
        <v>1775</v>
      </c>
      <c r="H1378" s="290">
        <v>1000</v>
      </c>
      <c r="I1378" s="289">
        <v>995.04</v>
      </c>
      <c r="J1378" s="289">
        <v>995035.44</v>
      </c>
      <c r="K1378" s="288" t="s">
        <v>103</v>
      </c>
      <c r="L1378" s="292">
        <v>2.1399999999999999E-2</v>
      </c>
    </row>
    <row r="1379" spans="1:12" ht="15.75" thickBot="1" x14ac:dyDescent="0.3">
      <c r="A1379" s="291" t="s">
        <v>127</v>
      </c>
      <c r="B1379" s="286" t="s">
        <v>429</v>
      </c>
      <c r="C1379" s="286" t="s">
        <v>1072</v>
      </c>
      <c r="D1379" s="138" t="s">
        <v>347</v>
      </c>
      <c r="E1379" s="286" t="s">
        <v>165</v>
      </c>
      <c r="F1379" s="287">
        <v>47250</v>
      </c>
      <c r="G1379" s="288" t="s">
        <v>1612</v>
      </c>
      <c r="H1379" s="288">
        <v>123</v>
      </c>
      <c r="I1379" s="289">
        <v>995.01</v>
      </c>
      <c r="J1379" s="289">
        <v>122386.02</v>
      </c>
      <c r="K1379" s="288" t="s">
        <v>103</v>
      </c>
      <c r="L1379" s="292">
        <v>2.5999999999999999E-3</v>
      </c>
    </row>
    <row r="1380" spans="1:12" ht="15.75" thickBot="1" x14ac:dyDescent="0.3">
      <c r="A1380" s="291" t="s">
        <v>127</v>
      </c>
      <c r="B1380" s="286" t="s">
        <v>429</v>
      </c>
      <c r="C1380" s="286" t="s">
        <v>1072</v>
      </c>
      <c r="D1380" s="138" t="s">
        <v>1172</v>
      </c>
      <c r="E1380" s="286" t="s">
        <v>654</v>
      </c>
      <c r="F1380" s="287">
        <v>48346</v>
      </c>
      <c r="G1380" s="288" t="s">
        <v>1801</v>
      </c>
      <c r="H1380" s="288">
        <v>110</v>
      </c>
      <c r="I1380" s="289">
        <v>998.78</v>
      </c>
      <c r="J1380" s="289">
        <v>109865.43</v>
      </c>
      <c r="K1380" s="288" t="s">
        <v>103</v>
      </c>
      <c r="L1380" s="292">
        <v>2.3999999999999998E-3</v>
      </c>
    </row>
    <row r="1381" spans="1:12" ht="15.75" thickBot="1" x14ac:dyDescent="0.3">
      <c r="A1381" s="291" t="s">
        <v>127</v>
      </c>
      <c r="B1381" s="286" t="s">
        <v>473</v>
      </c>
      <c r="C1381" s="286" t="s">
        <v>1072</v>
      </c>
      <c r="D1381" s="138" t="s">
        <v>1121</v>
      </c>
      <c r="E1381" s="286" t="s">
        <v>165</v>
      </c>
      <c r="F1381" s="287">
        <v>47325</v>
      </c>
      <c r="G1381" s="288" t="s">
        <v>103</v>
      </c>
      <c r="H1381" s="288">
        <v>97</v>
      </c>
      <c r="I1381" s="289">
        <v>43.41</v>
      </c>
      <c r="J1381" s="289">
        <v>4210.33</v>
      </c>
      <c r="K1381" s="288" t="s">
        <v>103</v>
      </c>
      <c r="L1381" s="292">
        <v>1E-4</v>
      </c>
    </row>
    <row r="1382" spans="1:12" ht="15.75" thickBot="1" x14ac:dyDescent="0.3">
      <c r="A1382" s="291" t="s">
        <v>127</v>
      </c>
      <c r="B1382" s="286" t="s">
        <v>10</v>
      </c>
      <c r="C1382" s="286" t="s">
        <v>1072</v>
      </c>
      <c r="D1382" s="138" t="s">
        <v>279</v>
      </c>
      <c r="E1382" s="286" t="s">
        <v>1802</v>
      </c>
      <c r="F1382" s="287">
        <v>48044</v>
      </c>
      <c r="G1382" s="288" t="s">
        <v>1781</v>
      </c>
      <c r="H1382" s="288">
        <v>897</v>
      </c>
      <c r="I1382" s="289">
        <v>1063.18</v>
      </c>
      <c r="J1382" s="289">
        <v>953672.19</v>
      </c>
      <c r="K1382" s="288" t="s">
        <v>103</v>
      </c>
      <c r="L1382" s="292">
        <v>2.0500000000000001E-2</v>
      </c>
    </row>
    <row r="1383" spans="1:12" ht="15.75" thickBot="1" x14ac:dyDescent="0.3">
      <c r="A1383" s="291" t="s">
        <v>127</v>
      </c>
      <c r="B1383" s="286" t="s">
        <v>215</v>
      </c>
      <c r="C1383" s="286" t="s">
        <v>1072</v>
      </c>
      <c r="D1383" s="138" t="s">
        <v>216</v>
      </c>
      <c r="E1383" s="286" t="s">
        <v>165</v>
      </c>
      <c r="F1383" s="287">
        <v>46234</v>
      </c>
      <c r="G1383" s="288" t="s">
        <v>103</v>
      </c>
      <c r="H1383" s="288">
        <v>6</v>
      </c>
      <c r="I1383" s="289">
        <v>546.74</v>
      </c>
      <c r="J1383" s="289">
        <v>3280.45</v>
      </c>
      <c r="K1383" s="288" t="s">
        <v>103</v>
      </c>
      <c r="L1383" s="292">
        <v>1E-4</v>
      </c>
    </row>
    <row r="1384" spans="1:12" ht="15.75" thickBot="1" x14ac:dyDescent="0.3">
      <c r="A1384" s="291" t="s">
        <v>236</v>
      </c>
      <c r="B1384" s="286" t="s">
        <v>270</v>
      </c>
      <c r="C1384" s="286" t="s">
        <v>1072</v>
      </c>
      <c r="D1384" s="138" t="s">
        <v>439</v>
      </c>
      <c r="E1384" s="286" t="s">
        <v>165</v>
      </c>
      <c r="F1384" s="287">
        <v>46196</v>
      </c>
      <c r="G1384" s="288" t="s">
        <v>103</v>
      </c>
      <c r="H1384" s="288">
        <v>272</v>
      </c>
      <c r="I1384" s="289">
        <v>459.86</v>
      </c>
      <c r="J1384" s="289">
        <v>125081.29</v>
      </c>
      <c r="K1384" s="288" t="s">
        <v>103</v>
      </c>
      <c r="L1384" s="292">
        <v>2.7000000000000001E-3</v>
      </c>
    </row>
    <row r="1385" spans="1:12" ht="15.75" thickBot="1" x14ac:dyDescent="0.3">
      <c r="A1385" s="291" t="s">
        <v>236</v>
      </c>
      <c r="B1385" s="286" t="s">
        <v>270</v>
      </c>
      <c r="C1385" s="286" t="s">
        <v>1072</v>
      </c>
      <c r="D1385" s="138" t="s">
        <v>1016</v>
      </c>
      <c r="E1385" s="286" t="s">
        <v>165</v>
      </c>
      <c r="F1385" s="287">
        <v>46001</v>
      </c>
      <c r="G1385" s="288" t="s">
        <v>103</v>
      </c>
      <c r="H1385" s="288">
        <v>86</v>
      </c>
      <c r="I1385" s="289">
        <v>447.47</v>
      </c>
      <c r="J1385" s="289">
        <v>38482.04</v>
      </c>
      <c r="K1385" s="288" t="s">
        <v>103</v>
      </c>
      <c r="L1385" s="292">
        <v>8.0000000000000004E-4</v>
      </c>
    </row>
    <row r="1386" spans="1:12" ht="15.75" thickBot="1" x14ac:dyDescent="0.3">
      <c r="A1386" s="291" t="s">
        <v>236</v>
      </c>
      <c r="B1386" s="286" t="s">
        <v>740</v>
      </c>
      <c r="C1386" s="286" t="s">
        <v>1072</v>
      </c>
      <c r="D1386" s="138" t="s">
        <v>438</v>
      </c>
      <c r="E1386" s="286" t="s">
        <v>165</v>
      </c>
      <c r="F1386" s="287">
        <v>46658</v>
      </c>
      <c r="G1386" s="288" t="s">
        <v>103</v>
      </c>
      <c r="H1386" s="288">
        <v>202</v>
      </c>
      <c r="I1386" s="289">
        <v>638.02</v>
      </c>
      <c r="J1386" s="289">
        <v>128880.8</v>
      </c>
      <c r="K1386" s="288" t="s">
        <v>103</v>
      </c>
      <c r="L1386" s="292">
        <v>2.8E-3</v>
      </c>
    </row>
    <row r="1387" spans="1:12" ht="15.75" thickBot="1" x14ac:dyDescent="0.3">
      <c r="A1387" s="291" t="s">
        <v>131</v>
      </c>
      <c r="B1387" s="286" t="s">
        <v>140</v>
      </c>
      <c r="C1387" s="286" t="s">
        <v>1072</v>
      </c>
      <c r="D1387" s="138">
        <v>760199</v>
      </c>
      <c r="E1387" s="286" t="s">
        <v>165</v>
      </c>
      <c r="F1387" s="287">
        <v>47710</v>
      </c>
      <c r="G1387" s="288" t="s">
        <v>103</v>
      </c>
      <c r="H1387" s="290">
        <v>1741</v>
      </c>
      <c r="I1387" s="289">
        <v>4044.52</v>
      </c>
      <c r="J1387" s="289">
        <v>7041508.1699999999</v>
      </c>
      <c r="K1387" s="288" t="s">
        <v>103</v>
      </c>
      <c r="L1387" s="292">
        <v>0.1517</v>
      </c>
    </row>
    <row r="1388" spans="1:12" ht="15.75" thickBot="1" x14ac:dyDescent="0.3">
      <c r="A1388" s="291" t="s">
        <v>488</v>
      </c>
      <c r="B1388" s="286" t="s">
        <v>767</v>
      </c>
      <c r="C1388" s="286" t="s">
        <v>1072</v>
      </c>
      <c r="D1388" s="138" t="s">
        <v>768</v>
      </c>
      <c r="E1388" s="286" t="s">
        <v>165</v>
      </c>
      <c r="F1388" s="287">
        <v>45870</v>
      </c>
      <c r="G1388" s="288" t="s">
        <v>103</v>
      </c>
      <c r="H1388" s="288">
        <v>118</v>
      </c>
      <c r="I1388" s="289">
        <v>1213.18</v>
      </c>
      <c r="J1388" s="289">
        <v>143155.26999999999</v>
      </c>
      <c r="K1388" s="288" t="s">
        <v>103</v>
      </c>
      <c r="L1388" s="292">
        <v>3.0999999999999999E-3</v>
      </c>
    </row>
    <row r="1389" spans="1:12" ht="15.75" thickBot="1" x14ac:dyDescent="0.3">
      <c r="A1389" s="291" t="s">
        <v>488</v>
      </c>
      <c r="B1389" s="286" t="s">
        <v>1062</v>
      </c>
      <c r="C1389" s="286" t="s">
        <v>1072</v>
      </c>
      <c r="D1389" s="138" t="s">
        <v>1128</v>
      </c>
      <c r="E1389" s="286" t="s">
        <v>165</v>
      </c>
      <c r="F1389" s="287">
        <v>45869</v>
      </c>
      <c r="G1389" s="288" t="s">
        <v>103</v>
      </c>
      <c r="H1389" s="288">
        <v>221</v>
      </c>
      <c r="I1389" s="289">
        <v>1075.45</v>
      </c>
      <c r="J1389" s="289">
        <v>237675.53</v>
      </c>
      <c r="K1389" s="288" t="s">
        <v>103</v>
      </c>
      <c r="L1389" s="292">
        <v>5.1000000000000004E-3</v>
      </c>
    </row>
    <row r="1390" spans="1:12" ht="15.75" thickBot="1" x14ac:dyDescent="0.3">
      <c r="A1390" s="291" t="s">
        <v>488</v>
      </c>
      <c r="B1390" s="286" t="s">
        <v>1062</v>
      </c>
      <c r="C1390" s="286" t="s">
        <v>1072</v>
      </c>
      <c r="D1390" s="138" t="s">
        <v>1146</v>
      </c>
      <c r="E1390" s="286" t="s">
        <v>165</v>
      </c>
      <c r="F1390" s="287">
        <v>45943</v>
      </c>
      <c r="G1390" s="288" t="s">
        <v>103</v>
      </c>
      <c r="H1390" s="288">
        <v>92</v>
      </c>
      <c r="I1390" s="289">
        <v>1048.74</v>
      </c>
      <c r="J1390" s="289">
        <v>96484.04</v>
      </c>
      <c r="K1390" s="288" t="s">
        <v>103</v>
      </c>
      <c r="L1390" s="292">
        <v>2.0999999999999999E-3</v>
      </c>
    </row>
    <row r="1391" spans="1:12" ht="15.75" thickBot="1" x14ac:dyDescent="0.3">
      <c r="A1391" s="293" t="s">
        <v>144</v>
      </c>
      <c r="B1391" s="294" t="s">
        <v>103</v>
      </c>
      <c r="C1391" s="294" t="s">
        <v>1072</v>
      </c>
      <c r="D1391" s="139" t="s">
        <v>144</v>
      </c>
      <c r="E1391" s="294" t="s">
        <v>165</v>
      </c>
      <c r="F1391" s="295" t="s">
        <v>103</v>
      </c>
      <c r="G1391" s="295" t="s">
        <v>103</v>
      </c>
      <c r="H1391" s="295" t="s">
        <v>103</v>
      </c>
      <c r="I1391" s="295" t="s">
        <v>103</v>
      </c>
      <c r="J1391" s="296">
        <v>0</v>
      </c>
      <c r="K1391" s="295" t="s">
        <v>103</v>
      </c>
      <c r="L1391" s="297">
        <v>0</v>
      </c>
    </row>
    <row r="1392" spans="1:12" ht="15.75" thickBot="1" x14ac:dyDescent="0.3">
      <c r="A1392" s="298" t="s">
        <v>103</v>
      </c>
      <c r="B1392" s="299" t="s">
        <v>103</v>
      </c>
      <c r="C1392" s="299" t="s">
        <v>103</v>
      </c>
      <c r="D1392" s="299" t="s">
        <v>103</v>
      </c>
      <c r="E1392" s="299" t="s">
        <v>103</v>
      </c>
      <c r="F1392" s="300" t="s">
        <v>103</v>
      </c>
      <c r="G1392" s="300" t="s">
        <v>103</v>
      </c>
      <c r="H1392" s="301">
        <v>6082436</v>
      </c>
      <c r="I1392" s="300" t="s">
        <v>103</v>
      </c>
      <c r="J1392" s="302">
        <v>46425859.880000003</v>
      </c>
      <c r="K1392" s="302">
        <v>-17150124.399999999</v>
      </c>
      <c r="L1392" s="303">
        <v>1</v>
      </c>
    </row>
    <row r="1393" spans="1:10" x14ac:dyDescent="0.25">
      <c r="A1393" s="304" t="s">
        <v>1803</v>
      </c>
      <c r="B1393"/>
      <c r="C1393"/>
      <c r="D1393"/>
      <c r="E1393"/>
      <c r="F1393"/>
      <c r="G1393"/>
      <c r="H1393"/>
      <c r="I1393"/>
      <c r="J1393"/>
    </row>
  </sheetData>
  <autoFilter ref="A1:L1" xr:uid="{00000000-0001-0000-0400-000000000000}">
    <sortState xmlns:xlrd2="http://schemas.microsoft.com/office/spreadsheetml/2017/richdata2" ref="A2:L1398">
      <sortCondition ref="C1"/>
    </sortState>
  </autoFilter>
  <hyperlinks>
    <hyperlink ref="D4" r:id="rId1" display="https://afinvest.com.br/interno/relatorios/detalhes-de-ativos?id=364&amp;codativo=NTN-B50" xr:uid="{C88CBE73-0EE1-43F6-9F93-9757C524023F}"/>
    <hyperlink ref="D5" r:id="rId2" display="https://afinvest.com.br/interno/relatorios/detalhes-de-ativos?id=2964&amp;codativo=LFT%20mar%2028" xr:uid="{B688FDAE-D648-402A-80C3-25E9809F9428}"/>
    <hyperlink ref="D6" r:id="rId3" display="https://afinvest.com.br/interno/relatorios/detalhes-de-ativos?id=403&amp;codativo=LFT%20set%2025" xr:uid="{EDE5A063-3BE2-464E-BF40-69156ED18611}"/>
    <hyperlink ref="D7" r:id="rId4" display="https://afinvest.com.br/interno/relatorios/detalhes-de-ativos?id=1369&amp;codativo=LFT%20mar%2027" xr:uid="{9804F12A-687A-40EB-9586-22AF0A2B0062}"/>
    <hyperlink ref="D48" r:id="rId5" display="https://afinvest.com.br/interno/relatorios/detalhes-de-ativos?id=821&amp;codativo=LFT%20set%2026" xr:uid="{58F0CC50-7C24-4154-8FD5-6D46E06C07F2}"/>
    <hyperlink ref="D176" r:id="rId6" display="https://afinvest.com.br/interno/relatorios/detalhes-de-ativos?id=9177&amp;codativo=LFT%20mar%2029" xr:uid="{7EAEB146-22CB-4740-9442-0D6780549059}"/>
    <hyperlink ref="D177" r:id="rId7" display="https://afinvest.com.br/interno/relatorios/detalhes-de-ativos?id=3126&amp;codativo=LFTset28" xr:uid="{44309E72-5A6F-40B1-A30E-1B8B392E1959}"/>
    <hyperlink ref="D211" r:id="rId8" display="https://afinvest.com.br/interno/relatorios/detalhes-de-ativos?id=7956&amp;codativo=LFTjun30" xr:uid="{069198BB-3ED8-4449-BB77-92481335FC03}"/>
    <hyperlink ref="D212" r:id="rId9" display="https://afinvest.com.br/interno/relatorios/detalhes-de-ativos?id=821&amp;codativo=LFT%20set%2026" xr:uid="{EC3C1012-DD3F-48E8-B9C5-87DD5DC5D4B7}"/>
    <hyperlink ref="D347" r:id="rId10" display="https://afinvest.com.br/interno/relatorios/detalhes-de-ativos?id=366&amp;codativo=LFT%20mar%2026" xr:uid="{1C2C9CA1-6FBE-4238-A02A-E1A2767C3745}"/>
    <hyperlink ref="D480" r:id="rId11" display="https://afinvest.com.br/interno/relatorios/detalhes-de-ativos?id=821&amp;codativo=LFT%20set%2026" xr:uid="{378006C8-BC9F-4162-A537-73C3A41FC4DF}"/>
    <hyperlink ref="D511" r:id="rId12" display="https://afinvest.com.br/interno/relatorios/detalhes-de-ativos?id=403&amp;codativo=LFT%20set%2025" xr:uid="{91C92069-D80A-4467-AC64-B534D49B92C3}"/>
    <hyperlink ref="D512" r:id="rId13" display="https://afinvest.com.br/interno/relatorios/detalhes-de-ativos?id=821&amp;codativo=LFT%20set%2026" xr:uid="{63F87175-14B3-4E3E-8B27-70D0FE8ABDE2}"/>
    <hyperlink ref="D513" r:id="rId14" display="https://afinvest.com.br/interno/relatorios/detalhes-de-ativos?id=2964&amp;codativo=LFT%20mar%2028" xr:uid="{6668CB7E-DE75-457A-873D-2BCB630E7CB7}"/>
    <hyperlink ref="D736" r:id="rId15" display="https://afinvest.com.br/interno/relatorios/detalhes-de-ativos?id=7956&amp;codativo=LFTjun30" xr:uid="{A571CC9B-8439-4827-A5D4-EAB3E6C7239E}"/>
    <hyperlink ref="D737" r:id="rId16" display="https://afinvest.com.br/interno/relatorios/detalhes-de-ativos?id=402&amp;codativo=LFT%20mar%2025" xr:uid="{92E4C29B-4F3C-4289-B6D6-6567EDEBB8CC}"/>
    <hyperlink ref="D738" r:id="rId17" display="https://afinvest.com.br/interno/relatorios/detalhes-de-ativos?id=1369&amp;codativo=LFT%20mar%2027" xr:uid="{A8A604CF-363F-4A01-9C14-F59A14F47827}"/>
    <hyperlink ref="D1030" r:id="rId18" display="https://afinvest.com.br/interno/relatorios/detalhes-de-ativos?id=366&amp;codativo=LFT%20mar%2026" xr:uid="{28CD57A1-B4CE-4AB5-BB43-A1F4FA84BE7C}"/>
    <hyperlink ref="D1031" r:id="rId19" display="https://afinvest.com.br/interno/relatorios/detalhes-de-ativos?id=821&amp;codativo=LFT%20set%2026" xr:uid="{49ACE335-2077-4621-800B-50904FFA298F}"/>
    <hyperlink ref="D1067" r:id="rId20" display="https://afinvest.com.br/interno/relatorios/detalhes-de-ativos?id=411&amp;codativo=NTN-B26" xr:uid="{773CCF43-2593-4C7E-8415-717236AD5443}"/>
    <hyperlink ref="D213" r:id="rId21" display="https://afinvest.com.br/interno/relatorios/detalhes-de-ativos?id=9357&amp;codativo=CDB1256KW68" xr:uid="{09DB6FA0-411B-41C9-A092-5FC7C2152063}"/>
    <hyperlink ref="D348" r:id="rId22" display="https://afinvest.com.br/interno/relatorios/detalhes-de-ativos?id=9357&amp;codativo=CDB1256KW6A" xr:uid="{49E6C61C-E14D-4114-872C-EB3B770EA316}"/>
    <hyperlink ref="D8" r:id="rId23" display="https://afinvest.com.br/interno/relatorios/detalhes-de-ativos?id=1271&amp;codativo=Provis%C3%A3o" xr:uid="{A6BE88F5-80BC-435B-8E4B-F0A614DA8C8A}"/>
    <hyperlink ref="D49" r:id="rId24" display="https://afinvest.com.br/interno/relatorios/detalhes-de-ativos?id=1271&amp;codativo=Provis%C3%A3o" xr:uid="{786B43E7-3AA0-4EDC-A0EF-66A1AD85AC4B}"/>
    <hyperlink ref="D127" r:id="rId25" display="https://afinvest.com.br/interno/relatorios/detalhes-de-ativos?id=1271&amp;codativo=Provis%C3%A3o" xr:uid="{A48B91FA-F522-4F0B-8772-58AABA416D63}"/>
    <hyperlink ref="D145" r:id="rId26" display="https://afinvest.com.br/interno/relatorios/detalhes-de-ativos?id=1271&amp;codativo=Provis%C3%A3o" xr:uid="{B6ADC512-C198-43D3-B56D-FFF2562B01D3}"/>
    <hyperlink ref="D178" r:id="rId27" display="https://afinvest.com.br/interno/relatorios/detalhes-de-ativos?id=1271&amp;codativo=Provis%C3%A3o" xr:uid="{EC1CD69D-0773-4D4A-8160-9D5E023BF2F8}"/>
    <hyperlink ref="D189" r:id="rId28" display="https://afinvest.com.br/interno/relatorios/detalhes-de-ativos?id=1271&amp;codativo=Provis%C3%A3o" xr:uid="{6D755D10-8DA7-4366-B204-6D12F45BDBEF}"/>
    <hyperlink ref="D198" r:id="rId29" display="https://afinvest.com.br/interno/relatorios/detalhes-de-ativos?id=1271&amp;codativo=Provis%C3%A3o" xr:uid="{C01AA0C0-2D31-41E6-9461-8B004F358929}"/>
    <hyperlink ref="D214" r:id="rId30" display="https://afinvest.com.br/interno/relatorios/detalhes-de-ativos?id=1271&amp;codativo=Provis%C3%A3o" xr:uid="{474554E6-0C80-4030-B953-70ADD35E2371}"/>
    <hyperlink ref="D349" r:id="rId31" display="https://afinvest.com.br/interno/relatorios/detalhes-de-ativos?id=1271&amp;codativo=Provis%C3%A3o" xr:uid="{A5B89906-330F-4171-96E4-4688216A916A}"/>
    <hyperlink ref="D481" r:id="rId32" display="https://afinvest.com.br/interno/relatorios/detalhes-de-ativos?id=1271&amp;codativo=Provis%C3%A3o" xr:uid="{F36723CE-87A9-4941-8555-0CD5BF19407B}"/>
    <hyperlink ref="D514" r:id="rId33" display="https://afinvest.com.br/interno/relatorios/detalhes-de-ativos?id=1271&amp;codativo=Provis%C3%A3o" xr:uid="{DBCC4D0A-893E-4E44-8A25-2B37B775558C}"/>
    <hyperlink ref="D739" r:id="rId34" display="https://afinvest.com.br/interno/relatorios/detalhes-de-ativos?id=1271&amp;codativo=Provis%C3%A3o" xr:uid="{3FA8FB22-54FB-4CB1-9984-3262F76E5325}"/>
    <hyperlink ref="D803" r:id="rId35" display="https://afinvest.com.br/interno/relatorios/detalhes-de-ativos?id=1271&amp;codativo=Provis%C3%A3o" xr:uid="{0C5039BC-F6D0-40C5-B12B-C4273B2E9BEC}"/>
    <hyperlink ref="D1024" r:id="rId36" display="https://afinvest.com.br/interno/relatorios/detalhes-de-ativos?id=1271&amp;codativo=Provis%C3%A3o" xr:uid="{3CE10A16-2914-424A-84AB-AFDF0ECAFB5F}"/>
    <hyperlink ref="D1032" r:id="rId37" display="https://afinvest.com.br/interno/relatorios/detalhes-de-ativos?id=1271&amp;codativo=Provis%C3%A3o" xr:uid="{2DE722C7-97EB-42B1-9DEE-E08CC55BD3CF}"/>
    <hyperlink ref="D1068" r:id="rId38" display="https://afinvest.com.br/interno/relatorios/detalhes-de-ativos?id=1271&amp;codativo=Provis%C3%A3o" xr:uid="{C341366C-71C6-4726-BA55-D974201D5A6E}"/>
    <hyperlink ref="D215" r:id="rId39" display="https://afinvest.com.br/interno/relatorios/detalhes-de-ativos?id=164&amp;codativo=LFSN1900008" xr:uid="{4783FEFF-9DD9-4415-81EC-CEC6F601E328}"/>
    <hyperlink ref="D216" r:id="rId40" display="https://afinvest.com.br/interno/relatorios/detalhes-de-ativos?id=8260&amp;codativo=LFSN1800D4X" xr:uid="{FC58CB4A-323E-42C6-8F4E-A5B66CD998E2}"/>
    <hyperlink ref="D350" r:id="rId41" display="https://afinvest.com.br/interno/relatorios/detalhes-de-ativos?id=6001&amp;codativo=LFSN1900CR5" xr:uid="{0DF172DE-98EE-4924-A040-DC6507C43FC0}"/>
    <hyperlink ref="D217" r:id="rId42" display="https://afinvest.com.br/interno/relatorios/detalhes-de-ativos?id=9040&amp;codativo=LFSN%20RCI" xr:uid="{E0D97AAE-21AD-4015-80B3-F1749307CB59}"/>
    <hyperlink ref="D351" r:id="rId43" display="https://afinvest.com.br/interno/relatorios/detalhes-de-ativos?id=9040&amp;codativo=LFSN%20RCI" xr:uid="{F0DAAB0C-97C7-4759-91D4-CB7C0FBA46B2}"/>
    <hyperlink ref="D218" r:id="rId44" display="https://afinvest.com.br/interno/relatorios/detalhes-de-ativos?id=153&amp;codativo=LFSN19006KN" xr:uid="{FA509F73-F2A7-41D7-9825-0C0294E1E034}"/>
    <hyperlink ref="D515" r:id="rId45" display="https://afinvest.com.br/interno/relatorios/detalhes-de-ativos?id=153&amp;codativo=LFSN19006KM" xr:uid="{80CF8C3D-F6AC-4375-BBC8-34C1AB061933}"/>
    <hyperlink ref="D516" r:id="rId46" display="https://afinvest.com.br/interno/relatorios/detalhes-de-ativos?id=3176&amp;codativo=LFSN210099R" xr:uid="{C3D8E283-7E75-4B91-BE89-56528F855EE0}"/>
    <hyperlink ref="D740" r:id="rId47" display="https://afinvest.com.br/interno/relatorios/detalhes-de-ativos?id=153&amp;codativo=LFSN19006KM" xr:uid="{4E9D8CC0-B154-4DA1-8863-82F291B6FEFD}"/>
    <hyperlink ref="D1033" r:id="rId48" display="https://afinvest.com.br/interno/relatorios/detalhes-de-ativos?id=153&amp;codativo=LFSN19006KM" xr:uid="{F4EF7DD2-A566-4192-AB4D-CC133AEF06DE}"/>
    <hyperlink ref="D1069" r:id="rId49" display="https://afinvest.com.br/interno/relatorios/detalhes-de-ativos?id=153&amp;codativo=LFSN19006KM" xr:uid="{886A8BEA-734A-4A1A-A374-EDBE3F8698C0}"/>
    <hyperlink ref="D219" r:id="rId50" display="https://afinvest.com.br/interno/relatorios/detalhes-de-ativos?id=5821&amp;codativo=LFSN2200E75" xr:uid="{675A2A76-3A62-47D3-BAAE-2C9DC21CABFF}"/>
    <hyperlink ref="D352" r:id="rId51" display="https://afinvest.com.br/interno/relatorios/detalhes-de-ativos?id=5821&amp;codativo=LFSN2200E75" xr:uid="{5140E286-091D-4FA1-87C5-4A8E51ED529E}"/>
    <hyperlink ref="D517" r:id="rId52" display="https://afinvest.com.br/interno/relatorios/detalhes-de-ativos?id=5821&amp;codativo=LFSN2200E75" xr:uid="{D725127D-CF1C-4D1B-A36A-3CA794EDE426}"/>
    <hyperlink ref="D741" r:id="rId53" display="https://afinvest.com.br/interno/relatorios/detalhes-de-ativos?id=5821&amp;codativo=LFSN2200E75" xr:uid="{428702E5-180D-461C-9D49-287E46A044F6}"/>
    <hyperlink ref="D1034" r:id="rId54" display="https://afinvest.com.br/interno/relatorios/detalhes-de-ativos?id=5821&amp;codativo=LFSN2200E75" xr:uid="{508A8345-9502-454D-A14F-6E60BB9D7F69}"/>
    <hyperlink ref="D220" r:id="rId55" display="https://afinvest.com.br/interno/relatorios/detalhes-de-ativos?id=7958&amp;codativo=LFSN19009YU" xr:uid="{015774B0-218F-47CE-BF1E-5EB4B489A84F}"/>
    <hyperlink ref="D353" r:id="rId56" display="https://afinvest.com.br/interno/relatorios/detalhes-de-ativos?id=246&amp;codativo=LFSN1900971" xr:uid="{02186D19-26A9-4E9F-B221-01D510EFFCB8}"/>
    <hyperlink ref="D221" r:id="rId57" display="https://afinvest.com.br/interno/relatorios/detalhes-de-ativos?id=195&amp;codativo=LFSN1800D79" xr:uid="{BC8A1640-81A7-4C85-876C-DE9813545096}"/>
    <hyperlink ref="D222" r:id="rId58" display="https://afinvest.com.br/interno/relatorios/detalhes-de-ativos?id=1092&amp;codativo=LFSN1800E2I" xr:uid="{AC5EAF91-73C3-4D39-9690-27D15A2E5186}"/>
    <hyperlink ref="D223" r:id="rId59" display="https://afinvest.com.br/interno/relatorios/detalhes-de-ativos?id=6006&amp;codativo=LFSN2200G2L" xr:uid="{8030D519-DF91-4156-A156-E34E48E834F0}"/>
    <hyperlink ref="D354" r:id="rId60" display="https://afinvest.com.br/interno/relatorios/detalhes-de-ativos?id=6002&amp;codativo=LFSN2200G7D" xr:uid="{25114FEC-9974-4A15-9EC0-4DDAEC5886AB}"/>
    <hyperlink ref="D355" r:id="rId61" display="https://afinvest.com.br/interno/relatorios/detalhes-de-ativos?id=195&amp;codativo=LFSN1800D79" xr:uid="{AD31168C-87DE-4A5B-976D-0FED2FEC6A18}"/>
    <hyperlink ref="D518" r:id="rId62" display="https://afinvest.com.br/interno/relatorios/detalhes-de-ativos?id=1165&amp;codativo=LFSN1800DS6" xr:uid="{2E163D10-B176-407B-AF4B-0CFC2FBCAB9F}"/>
    <hyperlink ref="D519" r:id="rId63" display="https://afinvest.com.br/interno/relatorios/detalhes-de-ativos?id=6005&amp;codativo=LFSN2200G2K" xr:uid="{8B3FDA4C-D764-44F3-80A0-965250D276BE}"/>
    <hyperlink ref="D520" r:id="rId64" display="https://afinvest.com.br/interno/relatorios/detalhes-de-ativos?id=6005&amp;codativo=LFSN2200G2M" xr:uid="{ABB14B78-FBD3-4B02-B241-AD068FD2A323}"/>
    <hyperlink ref="D742" r:id="rId65" display="https://afinvest.com.br/interno/relatorios/detalhes-de-ativos?id=6005&amp;codativo=LFSN2200G2M" xr:uid="{9B5300FF-2F7B-4538-B0E2-57723F203E5B}"/>
    <hyperlink ref="D1035" r:id="rId66" display="https://afinvest.com.br/interno/relatorios/detalhes-de-ativos?id=1133&amp;codativo=LFSN1800DXV" xr:uid="{6DA6D727-5FD1-4272-AC58-19C5ECC0C06E}"/>
    <hyperlink ref="D1036" r:id="rId67" display="https://afinvest.com.br/interno/relatorios/detalhes-de-ativos?id=2620&amp;codativo=LFSN1800DZX" xr:uid="{D3653068-8393-43D3-940D-B7001CFDF672}"/>
    <hyperlink ref="D1037" r:id="rId68" display="https://afinvest.com.br/interno/relatorios/detalhes-de-ativos?id=1128&amp;codativo=LFSN1800DRJ" xr:uid="{D2A4D978-1511-43EB-A73F-AF4133AE6FAF}"/>
    <hyperlink ref="D1038" r:id="rId69" display="https://afinvest.com.br/interno/relatorios/detalhes-de-ativos?id=1126&amp;codativo=LFSN1800DZH" xr:uid="{5C535259-A4F0-4839-8264-FEA1DCB55516}"/>
    <hyperlink ref="D1070" r:id="rId70" display="https://afinvest.com.br/interno/relatorios/detalhes-de-ativos?id=1165&amp;codativo=LFSN1800DS6" xr:uid="{F3454B27-1342-4F16-ACE6-3D779F534F08}"/>
    <hyperlink ref="D224" r:id="rId71" display="https://afinvest.com.br/interno/relatorios/detalhes-de-ativos?id=7720&amp;codativo=LFSC24000BB" xr:uid="{B347E439-8000-4533-8267-2A3B9A30EF0E}"/>
    <hyperlink ref="D356" r:id="rId72" display="https://afinvest.com.br/interno/relatorios/detalhes-de-ativos?id=7720&amp;codativo=LFSC24000BB" xr:uid="{7524512F-000C-40CF-A841-B2DECE00CA11}"/>
    <hyperlink ref="D521" r:id="rId73" display="https://afinvest.com.br/interno/relatorios/detalhes-de-ativos?id=7720&amp;codativo=LFSC24000BB" xr:uid="{1DFDA5FF-61FB-4787-BB72-086F011B8BFF}"/>
    <hyperlink ref="D743" r:id="rId74" display="https://afinvest.com.br/interno/relatorios/detalhes-de-ativos?id=7720&amp;codativo=LFSC24000BB" xr:uid="{28D64018-B950-4221-9425-7C021BF2638C}"/>
    <hyperlink ref="D1071" r:id="rId75" display="https://afinvest.com.br/interno/relatorios/detalhes-de-ativos?id=7720&amp;codativo=LFSC24000BB" xr:uid="{AA84169A-FBC9-4F9D-913E-8EB99B160528}"/>
    <hyperlink ref="D50" r:id="rId76" display="https://afinvest.com.br/interno/relatorios/detalhes-de-ativos?id=3185&amp;codativo=LFSC190059S" xr:uid="{BBBAD9D1-BC12-476F-9CA3-E25A70F827F6}"/>
    <hyperlink ref="D225" r:id="rId77" display="https://afinvest.com.br/interno/relatorios/detalhes-de-ativos?id=144&amp;codativo=LFSC190054D" xr:uid="{5BCB21D9-88B6-432E-80D0-9D44FBBC784F}"/>
    <hyperlink ref="D357" r:id="rId78" display="https://afinvest.com.br/interno/relatorios/detalhes-de-ativos?id=3081&amp;codativo=LFSC19005FF" xr:uid="{6DC96B58-8DDC-496B-B825-DA43BFCDCC6E}"/>
    <hyperlink ref="D358" r:id="rId79" display="https://afinvest.com.br/interno/relatorios/detalhes-de-ativos?id=2736&amp;codativo=LFSC19005L3" xr:uid="{2BA27D74-CD97-47B4-971B-D3C2F0B3EC9B}"/>
    <hyperlink ref="D359" r:id="rId80" display="https://afinvest.com.br/interno/relatorios/detalhes-de-ativos?id=2639&amp;codativo=LFSC190054I" xr:uid="{C3BB2030-2F25-4152-BA77-6718A8E5E4E9}"/>
    <hyperlink ref="D522" r:id="rId81" display="https://afinvest.com.br/interno/relatorios/detalhes-de-ativos?id=3184&amp;codativo=LFSC19005L1" xr:uid="{F25DAD7F-2FD2-45BD-9C51-444A8B2D478E}"/>
    <hyperlink ref="D523" r:id="rId82" display="https://afinvest.com.br/interno/relatorios/detalhes-de-ativos?id=3081&amp;codativo=LFSC19005FF" xr:uid="{32C6A60B-3288-4739-9769-DF61C1C256F5}"/>
    <hyperlink ref="D524" r:id="rId83" display="https://afinvest.com.br/interno/relatorios/detalhes-de-ativos?id=2639&amp;codativo=LFSC190054I" xr:uid="{82314F29-C47C-45F1-B0C5-3A842FB55B18}"/>
    <hyperlink ref="D525" r:id="rId84" display="https://afinvest.com.br/interno/relatorios/detalhes-de-ativos?id=3188&amp;codativo=LFSC190054C" xr:uid="{287B7E7A-7C08-45F3-95C2-1EF42C38B78B}"/>
    <hyperlink ref="D526" r:id="rId85" display="https://afinvest.com.br/interno/relatorios/detalhes-de-ativos?id=144&amp;codativo=LFSC190054D" xr:uid="{0E48D7B2-CC49-4C25-8539-F6C460A8EFE7}"/>
    <hyperlink ref="D360" r:id="rId86" display="https://afinvest.com.br/interno/relatorios/detalhes-de-ativos?id=243&amp;codativo=LFSC18002A3" xr:uid="{10FFA065-8C8B-4255-BA14-461990EAF008}"/>
    <hyperlink ref="D361" r:id="rId87" display="https://afinvest.com.br/interno/relatorios/detalhes-de-ativos?id=2640&amp;codativo=LFSC18002MR" xr:uid="{34D40C1D-7DD7-416D-BF3F-9CD771A422D4}"/>
    <hyperlink ref="D362" r:id="rId88" display="https://afinvest.com.br/interno/relatorios/detalhes-de-ativos?id=2640&amp;codativo=LFSC18002MT" xr:uid="{F82FEB63-3138-4EC9-BB3C-3D912F9E0007}"/>
    <hyperlink ref="D363" r:id="rId89" display="https://afinvest.com.br/interno/relatorios/detalhes-de-ativos?id=2640&amp;codativo=LFSC18002MZ" xr:uid="{82560D72-BC4A-4861-832F-7C944D277CF2}"/>
    <hyperlink ref="D1072" r:id="rId90" display="https://afinvest.com.br/interno/relatorios/detalhes-de-ativos?id=243&amp;codativo=LFSC18002A6" xr:uid="{B1A2F7DA-3E2E-4575-9A17-BE2E451F9F83}"/>
    <hyperlink ref="D1073" r:id="rId91" display="https://afinvest.com.br/interno/relatorios/detalhes-de-ativos?id=243&amp;codativo=LFSC18002A2" xr:uid="{9B976541-8C0F-49C6-9B94-DF4F8EDD79FE}"/>
    <hyperlink ref="D51" r:id="rId92" display="https://afinvest.com.br/interno/relatorios/detalhes-de-ativos?id=7865&amp;codativo=LFSC24001P6" xr:uid="{9181514D-9B45-45B6-8F1F-AFDA7D963192}"/>
    <hyperlink ref="D226" r:id="rId93" display="https://afinvest.com.br/interno/relatorios/detalhes-de-ativos?id=7859&amp;codativo=LFSC24001JQ" xr:uid="{F0E2321F-8A9F-451E-BF35-D767E2D33863}"/>
    <hyperlink ref="D227" r:id="rId94" display="https://afinvest.com.br/interno/relatorios/detalhes-de-ativos?id=262&amp;codativo=LFSC19000BR" xr:uid="{169E55B2-0E0F-4014-815D-523B3CF99D30}"/>
    <hyperlink ref="D228" r:id="rId95" display="https://afinvest.com.br/interno/relatorios/detalhes-de-ativos?id=9039&amp;codativo=LFSC19003FD" xr:uid="{ABB28A0F-BCE2-4B4E-ACE3-2E869EA01261}"/>
    <hyperlink ref="D364" r:id="rId96" display="https://afinvest.com.br/interno/relatorios/detalhes-de-ativos?id=7859&amp;codativo=LFSC24001JR" xr:uid="{F89805B9-C44C-42A8-A387-25EEB17FE2F8}"/>
    <hyperlink ref="D365" r:id="rId97" display="https://afinvest.com.br/interno/relatorios/detalhes-de-ativos?id=262&amp;codativo=LFSC19000BR" xr:uid="{819F0AF5-AA9D-4CBB-918D-95D6C0ADAB61}"/>
    <hyperlink ref="D366" r:id="rId98" display="https://afinvest.com.br/interno/relatorios/detalhes-de-ativos?id=264&amp;codativo=LFSC19003W4" xr:uid="{307BDEAF-F23B-4E58-8618-4D1EDE41C269}"/>
    <hyperlink ref="D367" r:id="rId99" display="https://afinvest.com.br/interno/relatorios/detalhes-de-ativos?id=262&amp;codativo=LFSC19000BP" xr:uid="{CC24566A-0C4F-47EC-8E4D-519798CCBB93}"/>
    <hyperlink ref="D368" r:id="rId100" display="https://afinvest.com.br/interno/relatorios/detalhes-de-ativos?id=6112&amp;codativo=LFSC19007G2" xr:uid="{BBBB984C-0B1D-4EC3-BA2A-221741F9BB1E}"/>
    <hyperlink ref="D527" r:id="rId101" display="https://afinvest.com.br/interno/relatorios/detalhes-de-ativos?id=7859&amp;codativo=LFSC24001JU" xr:uid="{8A4853B9-D6BA-465A-85AD-B781131CF3FC}"/>
    <hyperlink ref="D528" r:id="rId102" display="https://afinvest.com.br/interno/relatorios/detalhes-de-ativos?id=262&amp;codativo=LFSC19000BR" xr:uid="{AB1558EB-778E-4175-B91D-5D6E459F836B}"/>
    <hyperlink ref="D529" r:id="rId103" display="https://afinvest.com.br/interno/relatorios/detalhes-de-ativos?id=264&amp;codativo=LFSC19003W3" xr:uid="{DAC18097-FA35-49BE-9869-FCD6DECDA9AE}"/>
    <hyperlink ref="D744" r:id="rId104" display="https://afinvest.com.br/interno/relatorios/detalhes-de-ativos?id=262&amp;codativo=LFSC19000BT" xr:uid="{68BA1B34-FAAC-437F-8F3A-E4B54E61099B}"/>
    <hyperlink ref="D745" r:id="rId105" display="https://afinvest.com.br/interno/relatorios/detalhes-de-ativos?id=7859&amp;codativo=LFSC24001JS" xr:uid="{16BA95D7-49C8-45FD-A6E3-FE4ECFAF5E86}"/>
    <hyperlink ref="D1074" r:id="rId106" display="https://afinvest.com.br/interno/relatorios/detalhes-de-ativos?id=262&amp;codativo=LFSC19000BP" xr:uid="{717FD87A-8C97-46BC-A02B-D340DB41F84F}"/>
    <hyperlink ref="D1075" r:id="rId107" display="https://afinvest.com.br/interno/relatorios/detalhes-de-ativos?id=7865&amp;codativo=LFSC24001P5" xr:uid="{5AE69430-105C-431D-BD12-6A9F4173CD8A}"/>
    <hyperlink ref="D229" r:id="rId108" display="https://afinvest.com.br/interno/relatorios/detalhes-de-ativos?id=7896&amp;codativo=LF002400951" xr:uid="{70FB36D7-F904-41FB-BC76-0B4AF475CF49}"/>
    <hyperlink ref="D230" r:id="rId109" display="https://afinvest.com.br/interno/relatorios/detalhes-de-ativos?id=6845&amp;codativo=LF002305R3L" xr:uid="{902FBBA7-EF41-4C72-99CA-7827AA138F31}"/>
    <hyperlink ref="D231" r:id="rId110" display="https://afinvest.com.br/interno/relatorios/detalhes-de-ativos?id=6878&amp;codativo=LF002305RFW" xr:uid="{CE648D46-F7F4-4232-ABFB-48C58F078F56}"/>
    <hyperlink ref="D232" r:id="rId111" display="https://afinvest.com.br/interno/relatorios/detalhes-de-ativos?id=6879&amp;codativo=LF002305RGY" xr:uid="{1D3F56FD-60DB-4594-9804-AA4B864FE85F}"/>
    <hyperlink ref="D369" r:id="rId112" display="https://afinvest.com.br/interno/relatorios/detalhes-de-ativos?id=7896&amp;codativo=LF002400951" xr:uid="{1347F701-0CEC-4CB8-B05C-5D25EB04CBA9}"/>
    <hyperlink ref="D530" r:id="rId113" display="https://afinvest.com.br/interno/relatorios/detalhes-de-ativos?id=6979&amp;codativo=LF002305RGL" xr:uid="{56C809DE-67CE-486A-B555-75E0B4182778}"/>
    <hyperlink ref="D531" r:id="rId114" display="https://afinvest.com.br/interno/relatorios/detalhes-de-ativos?id=7896&amp;codativo=LF002400951" xr:uid="{92DFE1C4-9EA8-4C3E-A835-E50CF182FF7F}"/>
    <hyperlink ref="D746" r:id="rId115" display="https://afinvest.com.br/interno/relatorios/detalhes-de-ativos?id=6880&amp;codativo=LF002305RG9" xr:uid="{13F43DDC-FD0D-493A-9A43-55E5F9764B5B}"/>
    <hyperlink ref="D747" r:id="rId116" display="https://afinvest.com.br/interno/relatorios/detalhes-de-ativos?id=7896&amp;codativo=LF002400951" xr:uid="{A5EF4C05-BDCD-4485-AAE3-3BB08381BFB6}"/>
    <hyperlink ref="D1039" r:id="rId117" display="https://afinvest.com.br/interno/relatorios/detalhes-de-ativos?id=6878&amp;codativo=LF002305RGG" xr:uid="{38B7112B-3022-4833-943A-4C6CD3CBF294}"/>
    <hyperlink ref="D1076" r:id="rId118" display="https://afinvest.com.br/interno/relatorios/detalhes-de-ativos?id=6879&amp;codativo=LF002305RG5" xr:uid="{EEF4B953-7483-4632-8F1B-8DFA78B9F16D}"/>
    <hyperlink ref="D1077" r:id="rId119" display="https://afinvest.com.br/interno/relatorios/detalhes-de-ativos?id=6880&amp;codativo=LF002305RGO" xr:uid="{5A2A2E13-D1DB-4815-8DB6-63AEDAA67443}"/>
    <hyperlink ref="D1078" r:id="rId120" display="https://afinvest.com.br/interno/relatorios/detalhes-de-ativos?id=7896&amp;codativo=LF002400951" xr:uid="{68616F6C-AED2-4DD9-9D13-D02D0819352F}"/>
    <hyperlink ref="D233" r:id="rId121" display="https://afinvest.com.br/interno/relatorios/detalhes-de-ativos?id=9459&amp;codativo=LF002400BZO" xr:uid="{20278133-7F84-48BD-9E11-916624B957D4}"/>
    <hyperlink ref="D370" r:id="rId122" display="https://afinvest.com.br/interno/relatorios/detalhes-de-ativos?id=9459&amp;codativo=LF002400BZO" xr:uid="{00181675-2D22-4868-A1FB-0A284969802C}"/>
    <hyperlink ref="D52" r:id="rId123" display="https://afinvest.com.br/interno/relatorios/detalhes-de-ativos?id=6059&amp;codativo=LF00220097D" xr:uid="{242B70F4-B7B6-4D19-992B-223ECD58A298}"/>
    <hyperlink ref="D234" r:id="rId124" display="https://afinvest.com.br/interno/relatorios/detalhes-de-ativos?id=6059&amp;codativo=LF00220097D" xr:uid="{17F2ED5E-207E-480F-9518-97E4C79E7E2A}"/>
    <hyperlink ref="D235" r:id="rId125" display="https://afinvest.com.br/interno/relatorios/detalhes-de-ativos?id=6058&amp;codativo=LF002200L4W" xr:uid="{B172C552-33DD-4224-9899-B5F6417B6BC1}"/>
    <hyperlink ref="D371" r:id="rId126" display="https://afinvest.com.br/interno/relatorios/detalhes-de-ativos?id=6059&amp;codativo=LF00220097D" xr:uid="{CDAC7074-A748-455D-9979-103E4D14130F}"/>
    <hyperlink ref="D372" r:id="rId127" display="https://afinvest.com.br/interno/relatorios/detalhes-de-ativos?id=6058&amp;codativo=LF002200L4W" xr:uid="{5CC7AB29-232E-42E6-B175-883BD61C8641}"/>
    <hyperlink ref="D53" r:id="rId128" display="https://afinvest.com.br/interno/relatorios/detalhes-de-ativos?id=8350&amp;codativo=LF0024007OE" xr:uid="{9A0B05C0-9239-49D8-B937-F90036020F2D}"/>
    <hyperlink ref="D236" r:id="rId129" display="https://afinvest.com.br/interno/relatorios/detalhes-de-ativos?id=8351&amp;codativo=LF002400GAO" xr:uid="{8EBAAD78-2C5B-4C9C-A5F5-7007C7E0D28E}"/>
    <hyperlink ref="D237" r:id="rId130" display="https://afinvest.com.br/interno/relatorios/detalhes-de-ativos?id=8350&amp;codativo=LF0024007OE" xr:uid="{7B8C8141-0B50-49D1-B38D-154B842D24B0}"/>
    <hyperlink ref="D373" r:id="rId131" display="https://afinvest.com.br/interno/relatorios/detalhes-de-ativos?id=8351&amp;codativo=LF002400GAO" xr:uid="{6A176E37-4AA9-43C9-8613-2A5A01EF9E4B}"/>
    <hyperlink ref="D532" r:id="rId132" display="https://afinvest.com.br/interno/relatorios/detalhes-de-ativos?id=8350&amp;codativo=LF0024007OE" xr:uid="{143ECBA9-2DD8-4B2F-81F7-5EACE1487E01}"/>
    <hyperlink ref="D1079" r:id="rId133" display="https://afinvest.com.br/interno/relatorios/detalhes-de-ativos?id=8350&amp;codativo=LF0024007OE" xr:uid="{7EE8C0FE-A20A-4A58-90C2-4CCB423ED4E0}"/>
    <hyperlink ref="D179" r:id="rId134" display="https://afinvest.com.br/interno/relatorios/detalhes-de-ativos?id=9444&amp;codativo=LF002308CS3" xr:uid="{FA934EAB-B5E7-4EFE-B2EF-E28787246FB5}"/>
    <hyperlink ref="D180" r:id="rId135" display="https://afinvest.com.br/interno/relatorios/detalhes-de-ativos?id=9490&amp;codativo=LF0023082A5" xr:uid="{5C474FE2-A6F1-41B6-A5C4-FA80400439BA}"/>
    <hyperlink ref="D238" r:id="rId136" display="https://afinvest.com.br/interno/relatorios/detalhes-de-ativos?id=8803&amp;codativo=LF002400Q0C" xr:uid="{3ED7E45B-3915-4A15-8B9B-61003A88E67D}"/>
    <hyperlink ref="D239" r:id="rId137" display="https://afinvest.com.br/interno/relatorios/detalhes-de-ativos?id=8803&amp;codativo=LF002400Q0B" xr:uid="{9DE6A948-B648-45D8-A6D0-64934A7ED135}"/>
    <hyperlink ref="D374" r:id="rId138" display="https://afinvest.com.br/interno/relatorios/detalhes-de-ativos?id=8803&amp;codativo=LF002400Q0D" xr:uid="{E22FA569-B793-4666-B9E8-80C313F1C485}"/>
    <hyperlink ref="D1080" r:id="rId139" display="https://afinvest.com.br/interno/relatorios/detalhes-de-ativos?id=8803&amp;codativo=LF002400Q09" xr:uid="{45BA26DD-BEFA-4D4D-B979-9679DC41A1C4}"/>
    <hyperlink ref="D54" r:id="rId140" display="https://afinvest.com.br/interno/relatorios/detalhes-de-ativos?id=8263&amp;codativo=LF002400EY5" xr:uid="{1D9D8C4E-B242-4C37-8F3C-80EDA64FB30D}"/>
    <hyperlink ref="D240" r:id="rId141" display="https://afinvest.com.br/interno/relatorios/detalhes-de-ativos?id=8263&amp;codativo=LF002400EY5" xr:uid="{ABE84E64-C0CE-48A2-ACDC-BCFE1F2B6978}"/>
    <hyperlink ref="D375" r:id="rId142" display="https://afinvest.com.br/interno/relatorios/detalhes-de-ativos?id=8263&amp;codativo=LF002400EY5" xr:uid="{FA9108AE-0741-4B8F-A4DE-915DBA7FE533}"/>
    <hyperlink ref="D748" r:id="rId143" display="https://afinvest.com.br/interno/relatorios/detalhes-de-ativos?id=8263&amp;codativo=LF002400EY5" xr:uid="{180C0301-1A55-45F7-A965-57A7F3FF712A}"/>
    <hyperlink ref="D1081" r:id="rId144" display="https://afinvest.com.br/interno/relatorios/detalhes-de-ativos?id=8263&amp;codativo=LF002400EY5" xr:uid="{F74B16F9-D77B-43CA-B35D-58BEA6E8A861}"/>
    <hyperlink ref="D55" r:id="rId145" display="https://afinvest.com.br/interno/relatorios/detalhes-de-ativos?id=8578&amp;codativo=LF002400KBT" xr:uid="{9EED729B-85D0-412D-B22B-D0573F9B8D1D}"/>
    <hyperlink ref="D241" r:id="rId146" display="https://afinvest.com.br/interno/relatorios/detalhes-de-ativos?id=8578&amp;codativo=LF002400KBW" xr:uid="{F272DF5F-39ED-43A4-879C-3A38FCD357B6}"/>
    <hyperlink ref="D242" r:id="rId147" display="https://afinvest.com.br/interno/relatorios/detalhes-de-ativos?id=8578&amp;codativo=LF002400KBU" xr:uid="{2BE7BEB9-0B62-4696-BC31-05A189C5FA78}"/>
    <hyperlink ref="D376" r:id="rId148" display="https://afinvest.com.br/interno/relatorios/detalhes-de-ativos?id=8578&amp;codativo=LF002400KBY" xr:uid="{4AB46575-AF95-43FD-8FA4-4E729EA99D4A}"/>
    <hyperlink ref="D1082" r:id="rId149" display="https://afinvest.com.br/interno/relatorios/detalhes-de-ativos?id=8578&amp;codativo=LF002400KC2" xr:uid="{593D4C10-DD0E-4BDF-91E0-2DC2AF5F2E04}"/>
    <hyperlink ref="D243" r:id="rId150" display="https://afinvest.com.br/interno/relatorios/detalhes-de-ativos?id=3181&amp;codativo=LF002200DBM" xr:uid="{88562B7C-F929-4719-A412-259B759556A8}"/>
    <hyperlink ref="D1040" r:id="rId151" display="https://afinvest.com.br/interno/relatorios/detalhes-de-ativos?id=3181&amp;codativo=LF002200DBM" xr:uid="{81AD530F-D8DB-43B9-8450-9768ECC3918F}"/>
    <hyperlink ref="D1041" r:id="rId152" display="https://afinvest.com.br/interno/relatorios/detalhes-de-ativos?id=8445&amp;codativo=LF002100EXK" xr:uid="{D9B25BF4-E462-439E-879A-068C90796439}"/>
    <hyperlink ref="D56" r:id="rId153" display="https://afinvest.com.br/interno/relatorios/detalhes-de-ativos?id=8352&amp;codativo=LF0024008ZU" xr:uid="{EC997DCA-5AA6-4B03-851F-D59F31E0712B}"/>
    <hyperlink ref="D57" r:id="rId154" display="https://afinvest.com.br/interno/relatorios/detalhes-de-ativos?id=7998&amp;codativo=LF002400ABF" xr:uid="{EAD7A735-C833-4FB6-B196-3F2B92C04AA9}"/>
    <hyperlink ref="D244" r:id="rId155" display="https://afinvest.com.br/interno/relatorios/detalhes-de-ativos?id=8399&amp;codativo=LF002400GJ4" xr:uid="{4EF70041-116B-4C3D-827B-80CAD39F6049}"/>
    <hyperlink ref="D245" r:id="rId156" display="https://afinvest.com.br/interno/relatorios/detalhes-de-ativos?id=7998&amp;codativo=LF002400ABN" xr:uid="{C152C51A-F0E2-40C4-A109-8A7A6EDF8770}"/>
    <hyperlink ref="D246" r:id="rId157" display="https://afinvest.com.br/interno/relatorios/detalhes-de-ativos?id=8352&amp;codativo=LF0024008ZU" xr:uid="{86912732-1B81-4DA6-B820-9A977E138A5D}"/>
    <hyperlink ref="D247" r:id="rId158" display="https://afinvest.com.br/interno/relatorios/detalhes-de-ativos?id=7998&amp;codativo=LF002400ABK" xr:uid="{50856CAD-28D7-4A87-BA4E-B59DB6F2C225}"/>
    <hyperlink ref="D377" r:id="rId159" display="https://afinvest.com.br/interno/relatorios/detalhes-de-ativos?id=8399&amp;codativo=LF002400GJ4" xr:uid="{031234F6-ACE0-4968-AA4F-EC069CF81093}"/>
    <hyperlink ref="D378" r:id="rId160" display="https://afinvest.com.br/interno/relatorios/detalhes-de-ativos?id=7998&amp;codativo=LF002400ABJ" xr:uid="{FCDCCD10-2690-438A-9001-54F3742A119D}"/>
    <hyperlink ref="D533" r:id="rId161" display="https://afinvest.com.br/interno/relatorios/detalhes-de-ativos?id=8399&amp;codativo=LF002400GJ4" xr:uid="{82444ACE-62CD-4CA4-8C4B-36D761256190}"/>
    <hyperlink ref="D534" r:id="rId162" display="https://afinvest.com.br/interno/relatorios/detalhes-de-ativos?id=8352&amp;codativo=LF0024008ZU" xr:uid="{A2D2EF4D-9289-42AC-8A8A-230C40FFBD09}"/>
    <hyperlink ref="D749" r:id="rId163" display="https://afinvest.com.br/interno/relatorios/detalhes-de-ativos?id=7998&amp;codativo=LF002400ABG" xr:uid="{292FF337-67DB-48FF-AD6B-4101ADAE34E9}"/>
    <hyperlink ref="D1083" r:id="rId164" display="https://afinvest.com.br/interno/relatorios/detalhes-de-ativos?id=8352&amp;codativo=LF0024008ZU" xr:uid="{9E27430B-17E8-49FF-8BCE-115F3C9EBF75}"/>
    <hyperlink ref="D1084" r:id="rId165" display="https://afinvest.com.br/interno/relatorios/detalhes-de-ativos?id=7998&amp;codativo=LF002400ABI" xr:uid="{F6859EC0-7AAE-46BC-A63D-36EB1C764303}"/>
    <hyperlink ref="D248" r:id="rId166" display="https://afinvest.com.br/interno/relatorios/detalhes-de-ativos?id=9045&amp;codativo=LF002400UVP" xr:uid="{77ED3812-39DE-40A2-89D2-62FE474F9DAE}"/>
    <hyperlink ref="D379" r:id="rId167" display="https://afinvest.com.br/interno/relatorios/detalhes-de-ativos?id=9045&amp;codativo=LF002400UVJ" xr:uid="{9FA6112D-0ECA-4E82-93EF-69E2012B7D4C}"/>
    <hyperlink ref="D181" r:id="rId168" display="https://afinvest.com.br/interno/relatorios/detalhes-de-ativos?id=9442&amp;codativo=LF0021008OH" xr:uid="{734ADE09-EA41-47B7-A540-437EFC6538B2}"/>
    <hyperlink ref="D1042" r:id="rId169" display="https://afinvest.com.br/interno/relatorios/detalhes-de-ativos?id=7409&amp;codativo=LF00220095U" xr:uid="{363F0679-F9C4-45D7-BE88-7AE0CF885DAE}"/>
    <hyperlink ref="D58" r:id="rId170" display="https://afinvest.com.br/interno/relatorios/detalhes-de-ativos?id=8111&amp;codativo=LF002400BZZ" xr:uid="{1DCC3C22-CC98-43A5-8919-BA70D012412A}"/>
    <hyperlink ref="D249" r:id="rId171" display="https://afinvest.com.br/interno/relatorios/detalhes-de-ativos?id=8111&amp;codativo=LF002400BZZ" xr:uid="{0DE839BE-E054-40E7-8DDC-AFE079301036}"/>
    <hyperlink ref="D250" r:id="rId172" display="https://afinvest.com.br/interno/relatorios/detalhes-de-ativos?id=5818&amp;codativo=LF002200QQO" xr:uid="{15F16F91-DF08-4C83-ADC6-466934ED15E5}"/>
    <hyperlink ref="D251" r:id="rId173" display="https://afinvest.com.br/interno/relatorios/detalhes-de-ativos?id=8996&amp;codativo=LF%20BMG%20NOV/26" xr:uid="{A36B5BB8-EB62-4E48-B828-75EBBF678F90}"/>
    <hyperlink ref="D380" r:id="rId174" display="https://afinvest.com.br/interno/relatorios/detalhes-de-ativos?id=8111&amp;codativo=LF002400BZZ" xr:uid="{51811D97-1C84-4553-BA56-2E3BC6CF2704}"/>
    <hyperlink ref="D381" r:id="rId175" display="https://afinvest.com.br/interno/relatorios/detalhes-de-ativos?id=5818&amp;codativo=LF002200QQO" xr:uid="{1AE89942-33EA-4C17-A998-5724DC4C74F8}"/>
    <hyperlink ref="D535" r:id="rId176" display="https://afinvest.com.br/interno/relatorios/detalhes-de-ativos?id=8111&amp;codativo=LF002400BZZ" xr:uid="{FB0A8A38-592E-4168-B7C0-0B6DD96DF990}"/>
    <hyperlink ref="D536" r:id="rId177" display="https://afinvest.com.br/interno/relatorios/detalhes-de-ativos?id=5818&amp;codativo=LF002200QQO" xr:uid="{5EC3AD0D-9941-4AEC-B182-58C0769513CF}"/>
    <hyperlink ref="D537" r:id="rId178" display="https://afinvest.com.br/interno/relatorios/detalhes-de-ativos?id=8996&amp;codativo=LF%20BMG%20NOV/26" xr:uid="{A759485C-A6FF-4424-BAC6-1F2376A80082}"/>
    <hyperlink ref="D750" r:id="rId179" display="https://afinvest.com.br/interno/relatorios/detalhes-de-ativos?id=8111&amp;codativo=LF002400BZZ" xr:uid="{014EAA34-9BCB-46C7-9C81-21948DCFEB6E}"/>
    <hyperlink ref="D751" r:id="rId180" display="https://afinvest.com.br/interno/relatorios/detalhes-de-ativos?id=5818&amp;codativo=LF002200QQO" xr:uid="{4FDBF22D-1A61-4043-AC56-5F1C23E564B2}"/>
    <hyperlink ref="D1085" r:id="rId181" display="https://afinvest.com.br/interno/relatorios/detalhes-de-ativos?id=8996&amp;codativo=LF%20BMG%20NOV/26" xr:uid="{620940D3-AF10-4D25-936E-A092AAE277B1}"/>
    <hyperlink ref="D1086" r:id="rId182" display="https://afinvest.com.br/interno/relatorios/detalhes-de-ativos?id=5818&amp;codativo=LF002200QQO" xr:uid="{429B7327-C2BA-4E05-97E2-44FFB1A28A11}"/>
    <hyperlink ref="D59" r:id="rId183" display="https://afinvest.com.br/interno/relatorios/detalhes-de-ativos?id=7100&amp;codativo=LF002307IJ6" xr:uid="{D2D27596-D2E4-4BB3-B123-E6FCB1AB82E9}"/>
    <hyperlink ref="D252" r:id="rId184" display="https://afinvest.com.br/interno/relatorios/detalhes-de-ativos?id=7100&amp;codativo=LF002307IJ6" xr:uid="{5062DF82-B353-47EF-A722-062F6AAEF1BA}"/>
    <hyperlink ref="D382" r:id="rId185" display="https://afinvest.com.br/interno/relatorios/detalhes-de-ativos?id=7100&amp;codativo=LF002307IJ6" xr:uid="{A8E3CDD7-26A7-4B16-8D18-49397348F9C6}"/>
    <hyperlink ref="D538" r:id="rId186" display="https://afinvest.com.br/interno/relatorios/detalhes-de-ativos?id=7100&amp;codativo=LF002307IJ6" xr:uid="{02BD50F0-75F0-4535-95F4-4ECECC55A7E4}"/>
    <hyperlink ref="D1087" r:id="rId187" display="https://afinvest.com.br/interno/relatorios/detalhes-de-ativos?id=7100&amp;codativo=LF002307IJ6" xr:uid="{05A1E035-FD54-4EAC-BC22-42733148C135}"/>
    <hyperlink ref="D9" r:id="rId188" display="https://afinvest.com.br/interno/relatorios/detalhes-de-ativos?id=3090&amp;codativo=DAPMAI35" xr:uid="{5CBB0C17-8D5C-4EC9-BF55-AAED78669D32}"/>
    <hyperlink ref="D10" r:id="rId189" display="https://afinvest.com.br/interno/relatorios/detalhes-de-ativos?id=4099&amp;codativo=DAPAGO32" xr:uid="{FA630E1F-E76D-4FDD-9BE1-031358260FAE}"/>
    <hyperlink ref="D11" r:id="rId190" display="https://afinvest.com.br/interno/relatorios/detalhes-de-ativos?id=4120&amp;codativo=DAPMAI27" xr:uid="{AFC98D7F-556B-4258-807B-6E5FA0966C0D}"/>
    <hyperlink ref="D12" r:id="rId191" display="https://afinvest.com.br/interno/relatorios/detalhes-de-ativos?id=940&amp;codativo=DAPAGO26" xr:uid="{02A63CF4-6D39-445A-977C-0D53D2D5FF2E}"/>
    <hyperlink ref="D13" r:id="rId192" display="https://afinvest.com.br/interno/relatorios/detalhes-de-ativos?id=2957&amp;codativo=DAPAGO28" xr:uid="{DB764672-3D96-4F0E-80D6-A4A49EB27CE4}"/>
    <hyperlink ref="D14" r:id="rId193" display="https://afinvest.com.br/interno/relatorios/detalhes-de-ativos?id=3254&amp;codativo=DAPMAI25" xr:uid="{1C72EA21-1995-4D61-9DC4-C665DC3FCC5D}"/>
    <hyperlink ref="D15" r:id="rId194" display="https://afinvest.com.br/interno/relatorios/detalhes-de-ativos?id=1417&amp;codativo=DAPAGO30" xr:uid="{1AB594B7-08C3-4368-94FC-083139925251}"/>
    <hyperlink ref="D60" r:id="rId195" display="https://afinvest.com.br/interno/relatorios/detalhes-de-ativos?id=2957&amp;codativo=DAPAGO28" xr:uid="{C780B161-6181-4787-9AEB-65019A68B22F}"/>
    <hyperlink ref="D253" r:id="rId196" display="https://afinvest.com.br/interno/relatorios/detalhes-de-ativos?id=3254&amp;codativo=DAPMAI25" xr:uid="{78220C98-69CA-470D-B7B9-167AE3874378}"/>
    <hyperlink ref="D254" r:id="rId197" display="https://afinvest.com.br/interno/relatorios/detalhes-de-ativos?id=395&amp;codativo=DI1JAN27" xr:uid="{AA48DA57-FCC8-43EE-97D0-4CFE4E2B64B9}"/>
    <hyperlink ref="D255" r:id="rId198" display="https://afinvest.com.br/interno/relatorios/detalhes-de-ativos?id=940&amp;codativo=DAPAGO26" xr:uid="{B735B18C-7013-4C44-8779-F472F0A3A665}"/>
    <hyperlink ref="D256" r:id="rId199" display="https://afinvest.com.br/interno/relatorios/detalhes-de-ativos?id=1417&amp;codativo=DAPAGO30" xr:uid="{EE91C216-55B0-437A-BA77-C800D14EEF8D}"/>
    <hyperlink ref="D257" r:id="rId200" display="https://afinvest.com.br/interno/relatorios/detalhes-de-ativos?id=4297&amp;codativo=DI1JUL26" xr:uid="{2813D81F-DE44-44A5-950F-741D878CF6AE}"/>
    <hyperlink ref="D258" r:id="rId201" display="https://afinvest.com.br/interno/relatorios/detalhes-de-ativos?id=4281&amp;codativo=DI1JAN26" xr:uid="{6151B06E-E506-45A9-89D3-79467AB471EB}"/>
    <hyperlink ref="D259" r:id="rId202" display="https://afinvest.com.br/interno/relatorios/detalhes-de-ativos?id=2677&amp;codativo=DI1JAN29" xr:uid="{D17B55E9-4EEA-46F2-8460-9DF82979CFC8}"/>
    <hyperlink ref="D260" r:id="rId203" display="https://afinvest.com.br/interno/relatorios/detalhes-de-ativos?id=2957&amp;codativo=DAPAGO28" xr:uid="{17B8F880-7233-4357-A4BC-59E060B0B990}"/>
    <hyperlink ref="D383" r:id="rId204" display="https://afinvest.com.br/interno/relatorios/detalhes-de-ativos?id=3254&amp;codativo=DAPMAI25" xr:uid="{0D64825D-D47B-4DFD-A7BD-7C9B542F763F}"/>
    <hyperlink ref="D384" r:id="rId205" display="https://afinvest.com.br/interno/relatorios/detalhes-de-ativos?id=395&amp;codativo=DI1JAN27" xr:uid="{4335250A-2695-4873-AC3F-8CC6BCED24A1}"/>
    <hyperlink ref="D385" r:id="rId206" display="https://afinvest.com.br/interno/relatorios/detalhes-de-ativos?id=940&amp;codativo=DAPAGO26" xr:uid="{FEE169E4-CC6A-47AE-8967-A217A8428E01}"/>
    <hyperlink ref="D386" r:id="rId207" display="https://afinvest.com.br/interno/relatorios/detalhes-de-ativos?id=2677&amp;codativo=DI1JAN29" xr:uid="{05417F06-0A70-4474-A25E-26A6D2815B35}"/>
    <hyperlink ref="D387" r:id="rId208" display="https://afinvest.com.br/interno/relatorios/detalhes-de-ativos?id=4281&amp;codativo=DI1JAN26" xr:uid="{B8E5C6C2-5FC6-4555-B45D-51EC01391F70}"/>
    <hyperlink ref="D388" r:id="rId209" display="https://afinvest.com.br/interno/relatorios/detalhes-de-ativos?id=2957&amp;codativo=DAPAGO28" xr:uid="{EEA2FC41-70FF-4765-85F7-92218BF7699C}"/>
    <hyperlink ref="D482" r:id="rId210" display="https://afinvest.com.br/interno/relatorios/detalhes-de-ativos?id=8625&amp;codativo=T10MAR25" xr:uid="{CAD75186-4338-4D9A-ABD6-602A1C72A7B2}"/>
    <hyperlink ref="D483" r:id="rId211" display="https://afinvest.com.br/interno/relatorios/detalhes-de-ativos?id=9080&amp;codativo=T10JUN25" xr:uid="{33035E9F-1558-4DC8-995F-768656C9593E}"/>
    <hyperlink ref="D484" r:id="rId212" display="https://afinvest.com.br/interno/relatorios/detalhes-de-ativos?id=7861&amp;codativo=WDOMAR25" xr:uid="{35259BDA-C0E3-461B-B039-2397DEDF5995}"/>
    <hyperlink ref="D485" r:id="rId213" display="https://afinvest.com.br/interno/relatorios/detalhes-de-ativos?id=7795&amp;codativo=DOLMAR25" xr:uid="{8B802301-0205-48AD-9CEE-28E387A54A02}"/>
    <hyperlink ref="D539" r:id="rId214" display="https://afinvest.com.br/interno/relatorios/detalhes-de-ativos?id=8625&amp;codativo=T10MAR25" xr:uid="{F618C6E3-31C5-48CD-BB4D-311D0CCEC02B}"/>
    <hyperlink ref="D540" r:id="rId215" display="https://afinvest.com.br/interno/relatorios/detalhes-de-ativos?id=9080&amp;codativo=T10JUN25" xr:uid="{4841F889-126B-4396-B6F8-26C0CBC640B4}"/>
    <hyperlink ref="D541" r:id="rId216" display="https://afinvest.com.br/interno/relatorios/detalhes-de-ativos?id=3254&amp;codativo=DAPMAI25" xr:uid="{AC06751A-A6A0-43E3-9EBE-74077E3601C8}"/>
    <hyperlink ref="D542" r:id="rId217" display="https://afinvest.com.br/interno/relatorios/detalhes-de-ativos?id=4212&amp;codativo=DDIABR25" xr:uid="{3C0F952D-D4B2-4959-88ED-352D031CB075}"/>
    <hyperlink ref="D543" r:id="rId218" display="https://afinvest.com.br/interno/relatorios/detalhes-de-ativos?id=2842&amp;codativo=DDIJAN27" xr:uid="{C66C40F4-9B6C-48A4-BD32-AE9296E58D42}"/>
    <hyperlink ref="D544" r:id="rId219" display="https://afinvest.com.br/interno/relatorios/detalhes-de-ativos?id=2677&amp;codativo=DI1JAN29" xr:uid="{33EDCB26-2E88-4357-AC5D-7468DA86EA3E}"/>
    <hyperlink ref="D545" r:id="rId220" display="https://afinvest.com.br/interno/relatorios/detalhes-de-ativos?id=940&amp;codativo=DAPAGO26" xr:uid="{980C4D2F-52CC-4F75-976F-B10A340EDB74}"/>
    <hyperlink ref="D546" r:id="rId221" display="https://afinvest.com.br/interno/relatorios/detalhes-de-ativos?id=4281&amp;codativo=DI1JAN26" xr:uid="{E8CD213B-8AE2-4AE1-A094-25C7C0C62169}"/>
    <hyperlink ref="D547" r:id="rId222" display="https://afinvest.com.br/interno/relatorios/detalhes-de-ativos?id=7861&amp;codativo=WDOMAR25" xr:uid="{5B6D670F-075F-4DA8-8876-ACEF163D9D04}"/>
    <hyperlink ref="D548" r:id="rId223" display="https://afinvest.com.br/interno/relatorios/detalhes-de-ativos?id=2957&amp;codativo=DAPAGO28" xr:uid="{B6FDAA87-D313-494D-9E3B-DB8423A8A9FD}"/>
    <hyperlink ref="D549" r:id="rId224" display="https://afinvest.com.br/interno/relatorios/detalhes-de-ativos?id=7795&amp;codativo=DOLMAR25" xr:uid="{172A7BD9-ED75-43DA-97F5-ADB87D15AEEB}"/>
    <hyperlink ref="D550" r:id="rId225" display="https://afinvest.com.br/interno/relatorios/detalhes-de-ativos?id=2952&amp;codativo=DDIJAN31" xr:uid="{590538A8-D3B3-417D-919B-9DEAA879E41E}"/>
    <hyperlink ref="D752" r:id="rId226" display="https://afinvest.com.br/interno/relatorios/detalhes-de-ativos?id=2677&amp;codativo=DI1JAN29" xr:uid="{ABC42D31-9107-4635-92DC-14642FE98D7D}"/>
    <hyperlink ref="D1043" r:id="rId227" display="https://afinvest.com.br/interno/relatorios/detalhes-de-ativos?id=4281&amp;codativo=DI1JAN26" xr:uid="{EF71C2E5-4F5B-4C3E-A5CE-4BD2A10603C7}"/>
    <hyperlink ref="D1044" r:id="rId228" display="https://afinvest.com.br/interno/relatorios/detalhes-de-ativos?id=2957&amp;codativo=DAPAGO28" xr:uid="{023FE1BE-87DF-4A4A-A4C1-EE81252EF215}"/>
    <hyperlink ref="D1045" r:id="rId229" display="https://afinvest.com.br/interno/relatorios/detalhes-de-ativos?id=2677&amp;codativo=DI1JAN29" xr:uid="{CA10DC16-6F8C-4243-9CE6-DDADAC22E4E0}"/>
    <hyperlink ref="D1088" r:id="rId230" display="https://afinvest.com.br/interno/relatorios/detalhes-de-ativos?id=3254&amp;codativo=DAPMAI25" xr:uid="{9C69A7B1-1F2C-48BB-8200-D332396514B1}"/>
    <hyperlink ref="D1089" r:id="rId231" display="https://afinvest.com.br/interno/relatorios/detalhes-de-ativos?id=940&amp;codativo=DAPAGO26" xr:uid="{5B8E35B3-CB66-4821-B948-6B30558489E6}"/>
    <hyperlink ref="D1090" r:id="rId232" display="https://afinvest.com.br/interno/relatorios/detalhes-de-ativos?id=4281&amp;codativo=DI1JAN26" xr:uid="{2B897C00-0795-4AC6-97E0-EED8D3A9BAFD}"/>
    <hyperlink ref="D1091" r:id="rId233" display="https://afinvest.com.br/interno/relatorios/detalhes-de-ativos?id=2957&amp;codativo=DAPAGO28" xr:uid="{B279C4F4-065E-45BB-91A7-D25C709BDA07}"/>
    <hyperlink ref="D1092" r:id="rId234" display="https://afinvest.com.br/interno/relatorios/detalhes-de-ativos?id=1411&amp;codativo=KAPITALO%20K10%20FIQ%20FIM" xr:uid="{1453FF5D-02ED-4964-81C8-529874AFEB96}"/>
    <hyperlink ref="D1025" r:id="rId235" display="https://afinvest.com.br/interno/relatorios/detalhes-de-ativos?id=2889&amp;codativo=HORIZONTE%20FIM%20CP" xr:uid="{2A4E79C5-3BA7-4C25-8695-4D950E46ACE2}"/>
    <hyperlink ref="D1093" r:id="rId236" display="https://afinvest.com.br/interno/relatorios/detalhes-de-ativos?id=1285&amp;codativo=ABSOLUTE%20VERTEX%20II%20FIC%20FIM" xr:uid="{A836D53B-117C-4644-A1C6-34B5B98BED49}"/>
    <hyperlink ref="D1094" r:id="rId237" display="https://afinvest.com.br/interno/relatorios/detalhes-de-ativos?id=391&amp;codativo=GERAES%2030" xr:uid="{ABC9D85E-3684-4E79-AA34-FC5CDEED7E4E}"/>
    <hyperlink ref="D389" r:id="rId238" display="https://afinvest.com.br/interno/relatorios/detalhes-de-ativos?id=343&amp;codativo=GERAES" xr:uid="{BF225059-9635-4555-84EF-3B64C17A0DAC}"/>
    <hyperlink ref="D486" r:id="rId239" display="https://afinvest.com.br/interno/relatorios/detalhes-de-ativos?id=343&amp;codativo=GERAES" xr:uid="{7C60A186-1689-4A9D-880C-E7776FA6F5A9}"/>
    <hyperlink ref="D1026" r:id="rId240" display="https://afinvest.com.br/interno/relatorios/detalhes-de-ativos?id=343&amp;codativo=GERAES" xr:uid="{EDAD1F6C-F8C2-413F-AD50-E06005B15184}"/>
    <hyperlink ref="D1027" r:id="rId241" display="https://afinvest.com.br/interno/relatorios/detalhes-de-ativos?id=2936&amp;codativo=AF%20DEBENTURES%20INCENTIVADAS" xr:uid="{116ADC4D-9FF6-4BEA-A2E9-39165A0FEF72}"/>
    <hyperlink ref="D61" r:id="rId242" display="https://afinvest.com.br/interno/relatorios/detalhes-de-ativos?id=873&amp;codativo=AF%20GLOBAL%20BONDS%20FI%20RF%20CP%20IE" xr:uid="{C69168F8-9E44-4B37-A977-4611497151D7}"/>
    <hyperlink ref="D390" r:id="rId243" display="https://afinvest.com.br/interno/relatorios/detalhes-de-ativos?id=873&amp;codativo=AF%20GLOBAL%20BONDS%20FI%20RF%20CP%20IE" xr:uid="{8FCC924E-CE38-4089-92B4-73A1A609CA62}"/>
    <hyperlink ref="D1095" r:id="rId244" display="https://afinvest.com.br/interno/relatorios/detalhes-de-ativos?id=873&amp;codativo=AF%20GLOBAL%20BONDS%20FI%20RF%20CP%20IE" xr:uid="{BE290754-2D56-4451-8873-5752FBAE6613}"/>
    <hyperlink ref="D487" r:id="rId245" display="https://afinvest.com.br/interno/relatorios/detalhes-de-ativos?id=3247&amp;codativo=SANTANDER%20CASH%20ORANGE" xr:uid="{13DED830-A7FC-4C55-BF8E-34D94F24012D}"/>
    <hyperlink ref="D1065" r:id="rId246" display="https://afinvest.com.br/interno/relatorios/detalhes-de-ativos?id=3247&amp;codativo=SANTANDER%20CASH%20ORANGE" xr:uid="{F42F6D0D-8A69-4C54-B0EA-087A7302B1CE}"/>
    <hyperlink ref="D488" r:id="rId247" display="https://afinvest.com.br/interno/relatorios/detalhes-de-ativos?id=1104&amp;codativo=CASH%20BLUE" xr:uid="{DBB24367-A2F2-4BF9-9AFE-BE2C6A89F7BD}"/>
    <hyperlink ref="D1046" r:id="rId248" display="https://afinvest.com.br/interno/relatorios/detalhes-de-ativos?id=1104&amp;codativo=CASH%20BLUE" xr:uid="{287D496E-027F-40CE-BC59-0AF868F75523}"/>
    <hyperlink ref="D1066" r:id="rId249" display="https://afinvest.com.br/interno/relatorios/detalhes-de-ativos?id=1104&amp;codativo=CASH%20BLUE" xr:uid="{5DBA3163-64F4-47E2-BC2B-DA185A24C600}"/>
    <hyperlink ref="D62" r:id="rId250" display="https://afinvest.com.br/interno/relatorios/detalhes-de-ativos?id=2710&amp;codativo=Santander%20CashBlack" xr:uid="{14CA3D82-2FC6-4267-9F4A-6EFAE8885E2D}"/>
    <hyperlink ref="D146" r:id="rId251" display="https://afinvest.com.br/interno/relatorios/detalhes-de-ativos?id=2710&amp;codativo=Santander%20CashBlack" xr:uid="{A99A461A-CEE1-487E-995D-90BF419BEBC7}"/>
    <hyperlink ref="D1047" r:id="rId252" display="https://afinvest.com.br/interno/relatorios/detalhes-de-ativos?id=2710&amp;codativo=Santander%20CashBlack" xr:uid="{E45141A2-0052-4A69-A1AA-9B47A3DD3A67}"/>
    <hyperlink ref="D63" r:id="rId253" display="https://afinvest.com.br/interno/relatorios/detalhes-de-ativos?id=7743&amp;codativo=SANTANDER%20CASH%20BLACK%20VIII" xr:uid="{7FFFE213-4D38-4B2D-A240-60B653E4B314}"/>
    <hyperlink ref="D64" r:id="rId254" display="https://afinvest.com.br/interno/relatorios/detalhes-de-ativos?id=7744&amp;codativo=SANTANDER%20CASH%20BLACK%20II" xr:uid="{5AE518BA-A2C2-442C-A7F2-C3E14C819EAA}"/>
    <hyperlink ref="D65" r:id="rId255" display="https://afinvest.com.br/interno/relatorios/detalhes-de-ativos?id=7742&amp;codativo=SANTANDER%20CASH%20BLACK%20V" xr:uid="{38865C6B-146C-4F7B-B463-34828B43909C}"/>
    <hyperlink ref="D66" r:id="rId256" display="https://afinvest.com.br/interno/relatorios/detalhes-de-ativos?id=7740&amp;codativo=SANTANDER%20CASH%20BLACK%20IX" xr:uid="{E2A2EF0F-EBF9-4465-9E05-32DE3A21DF55}"/>
    <hyperlink ref="D67" r:id="rId257" display="https://afinvest.com.br/interno/relatorios/detalhes-de-ativos?id=7739&amp;codativo=SANTANDER%20CASH%20BLACK%20III" xr:uid="{96AA48AD-D006-40EA-9832-1956C3419B84}"/>
    <hyperlink ref="D68" r:id="rId258" display="https://afinvest.com.br/interno/relatorios/detalhes-de-ativos?id=7745&amp;codativo=SANTANDER%20CASH%20BLACK%20IV" xr:uid="{3801726C-6CD7-46AE-AC04-4ABD9F30431D}"/>
    <hyperlink ref="D69" r:id="rId259" display="https://afinvest.com.br/interno/relatorios/detalhes-de-ativos?id=7747&amp;codativo=SANTANDER%20CASH%20BLACK%20VI" xr:uid="{134EF0E2-61A1-4C62-A411-A7B0C0A6703F}"/>
    <hyperlink ref="D70" r:id="rId260" display="https://afinvest.com.br/interno/relatorios/detalhes-de-ativos?id=7746&amp;codativo=SANTANDER%20CASH%20BLACK%20VII" xr:uid="{4DD113A8-C889-4253-8C3B-8F428F575AB4}"/>
    <hyperlink ref="D71" r:id="rId261" display="https://afinvest.com.br/interno/relatorios/detalhes-de-ativos?id=7741&amp;codativo=SANTANDER%20CASH%20BLACK%20X" xr:uid="{EB04E182-B9CA-4F32-96E4-DC1AFD9718A6}"/>
    <hyperlink ref="D147" r:id="rId262" display="https://afinvest.com.br/interno/relatorios/detalhes-de-ativos?id=7740&amp;codativo=SANTANDER%20CASH%20BLACK%20IX" xr:uid="{50ACE144-5743-4256-971A-C1F3A27F3BC8}"/>
    <hyperlink ref="D148" r:id="rId263" display="https://afinvest.com.br/interno/relatorios/detalhes-de-ativos?id=7744&amp;codativo=SANTANDER%20CASH%20BLACK%20II" xr:uid="{900D1355-9494-45B6-B3B0-7537A7882CBA}"/>
    <hyperlink ref="D149" r:id="rId264" display="https://afinvest.com.br/interno/relatorios/detalhes-de-ativos?id=7739&amp;codativo=SANTANDER%20CASH%20BLACK%20III" xr:uid="{031B9359-C6C9-4634-BCB7-649C0DFB7C64}"/>
    <hyperlink ref="D150" r:id="rId265" display="https://afinvest.com.br/interno/relatorios/detalhes-de-ativos?id=7742&amp;codativo=SANTANDER%20CASH%20BLACK%20V" xr:uid="{DB747DC2-8676-4051-B5D6-5AD1063A9F24}"/>
    <hyperlink ref="D151" r:id="rId266" display="https://afinvest.com.br/interno/relatorios/detalhes-de-ativos?id=7745&amp;codativo=SANTANDER%20CASH%20BLACK%20IV" xr:uid="{FF4E3441-3AFF-48DC-A9E9-5108AACC9992}"/>
    <hyperlink ref="D152" r:id="rId267" display="https://afinvest.com.br/interno/relatorios/detalhes-de-ativos?id=7743&amp;codativo=SANTANDER%20CASH%20BLACK%20VIII" xr:uid="{5DF93016-335D-4671-BB08-35DC64B45F19}"/>
    <hyperlink ref="D153" r:id="rId268" display="https://afinvest.com.br/interno/relatorios/detalhes-de-ativos?id=7741&amp;codativo=SANTANDER%20CASH%20BLACK%20X" xr:uid="{D59EC43D-BB6C-4170-B10E-5416A8664A17}"/>
    <hyperlink ref="D154" r:id="rId269" display="https://afinvest.com.br/interno/relatorios/detalhes-de-ativos?id=7746&amp;codativo=SANTANDER%20CASH%20BLACK%20VII" xr:uid="{D9E8C170-30BA-44AC-8123-9BB073547D22}"/>
    <hyperlink ref="D155" r:id="rId270" display="https://afinvest.com.br/interno/relatorios/detalhes-de-ativos?id=7747&amp;codativo=SANTANDER%20CASH%20BLACK%20VI" xr:uid="{DB0E2083-2803-4604-844D-EA44052F5EB4}"/>
    <hyperlink ref="D1048" r:id="rId271" display="https://afinvest.com.br/interno/relatorios/detalhes-de-ativos?id=7744&amp;codativo=SANTANDER%20CASH%20BLACK%20II" xr:uid="{A83B4BE7-AB3E-4F28-94F6-1C9B6E6D4E85}"/>
    <hyperlink ref="D1049" r:id="rId272" display="https://afinvest.com.br/interno/relatorios/detalhes-de-ativos?id=7740&amp;codativo=SANTANDER%20CASH%20BLACK%20IX" xr:uid="{0C39D059-3840-4D44-846F-F15F806F6D05}"/>
    <hyperlink ref="D1050" r:id="rId273" display="https://afinvest.com.br/interno/relatorios/detalhes-de-ativos?id=7739&amp;codativo=SANTANDER%20CASH%20BLACK%20III" xr:uid="{09A502C4-B50D-4267-AF28-9E096E7974B7}"/>
    <hyperlink ref="D1051" r:id="rId274" display="https://afinvest.com.br/interno/relatorios/detalhes-de-ativos?id=7743&amp;codativo=SANTANDER%20CASH%20BLACK%20VIII" xr:uid="{CAADEFA4-0F0E-4FC2-9D7F-D6182A8E4823}"/>
    <hyperlink ref="D1052" r:id="rId275" display="https://afinvest.com.br/interno/relatorios/detalhes-de-ativos?id=7742&amp;codativo=SANTANDER%20CASH%20BLACK%20V" xr:uid="{FC305ACF-1EC7-4922-8F38-F63D028CF600}"/>
    <hyperlink ref="D1053" r:id="rId276" display="https://afinvest.com.br/interno/relatorios/detalhes-de-ativos?id=7745&amp;codativo=SANTANDER%20CASH%20BLACK%20IV" xr:uid="{69E24508-3314-43E8-A14E-7AC15A17AC38}"/>
    <hyperlink ref="D1054" r:id="rId277" display="https://afinvest.com.br/interno/relatorios/detalhes-de-ativos?id=7746&amp;codativo=SANTANDER%20CASH%20BLACK%20VII" xr:uid="{5F5B376B-4399-4C4A-93EA-BDFA0E3C1745}"/>
    <hyperlink ref="D1055" r:id="rId278" display="https://afinvest.com.br/interno/relatorios/detalhes-de-ativos?id=7747&amp;codativo=SANTANDER%20CASH%20BLACK%20VI" xr:uid="{F587FA2E-7871-4102-B3F9-F72279080518}"/>
    <hyperlink ref="D1056" r:id="rId279" display="https://afinvest.com.br/interno/relatorios/detalhes-de-ativos?id=7741&amp;codativo=SANTANDER%20CASH%20BLACK%20X" xr:uid="{6D54CD0E-8FAC-47E6-9EE6-9C20886958FB}"/>
    <hyperlink ref="D551" r:id="rId280" display="https://afinvest.com.br/interno/relatorios/detalhes-de-ativos?id=408&amp;codativo=FIDC%20Sifra%20Plus%20Sr" xr:uid="{11795D4E-711F-4662-93B1-EAB23BA73958}"/>
    <hyperlink ref="D1096" r:id="rId281" display="https://afinvest.com.br/interno/relatorios/detalhes-de-ativos?id=408&amp;codativo=FIDC%20Sifra%20Plus%20Sr" xr:uid="{0072560D-EBDD-4801-BCE6-E332D5FE8107}"/>
    <hyperlink ref="D261" r:id="rId282" display="https://afinvest.com.br/interno/relatorios/detalhes-de-ativos?id=2845&amp;codativo=FIDC%20Red%20Multissetorial" xr:uid="{83698E0F-18CE-4B76-8084-AFE13DE4A357}"/>
    <hyperlink ref="D391" r:id="rId283" display="https://afinvest.com.br/interno/relatorios/detalhes-de-ativos?id=2845&amp;codativo=FIDC%20Red%20Multissetorial" xr:uid="{FB70617D-0904-4D7E-A230-45A811FA1696}"/>
    <hyperlink ref="D552" r:id="rId284" display="https://afinvest.com.br/interno/relatorios/detalhes-de-ativos?id=2845&amp;codativo=FIDC%20Red%20Multissetorial" xr:uid="{07937672-CA35-423D-AD21-5B250C6E0740}"/>
    <hyperlink ref="D1097" r:id="rId285" display="https://afinvest.com.br/interno/relatorios/detalhes-de-ativos?id=2845&amp;codativo=FIDC%20Red%20Multissetorial" xr:uid="{B06BD80A-B0F1-474F-BC06-8FAEEFCFA622}"/>
    <hyperlink ref="D72" r:id="rId286" display="https://afinvest.com.br/interno/relatorios/detalhes-de-ativos?id=7680&amp;codativo=FIDC%20Pagbem%20Sr%207" xr:uid="{58B56C00-3AD6-4B91-A9B4-9BBF7B3AA6F8}"/>
    <hyperlink ref="D262" r:id="rId287" display="https://afinvest.com.br/interno/relatorios/detalhes-de-ativos?id=7680&amp;codativo=FIDC%20Pagbem%20Sr%207" xr:uid="{6E9CFEE9-5033-40DE-8DE1-EFDD388497D3}"/>
    <hyperlink ref="D392" r:id="rId288" display="https://afinvest.com.br/interno/relatorios/detalhes-de-ativos?id=7680&amp;codativo=FIDC%20Pagbem%20Sr%207" xr:uid="{119274A8-3ECE-4242-A47D-1A1A2B04AA93}"/>
    <hyperlink ref="D553" r:id="rId289" display="https://afinvest.com.br/interno/relatorios/detalhes-de-ativos?id=7680&amp;codativo=FIDC%20Pagbem%20Sr%207" xr:uid="{0BB070C5-0069-428D-A866-CE423532EF32}"/>
    <hyperlink ref="D753" r:id="rId290" display="https://afinvest.com.br/interno/relatorios/detalhes-de-ativos?id=7680&amp;codativo=FIDC%20Pagbem%20Sr%207" xr:uid="{B04A1B85-1439-45F6-89CA-1DB6DD092B9F}"/>
    <hyperlink ref="D1098" r:id="rId291" display="https://afinvest.com.br/interno/relatorios/detalhes-de-ativos?id=7680&amp;codativo=FIDC%20Pagbem%20Sr%207" xr:uid="{713C3766-7E56-493C-BC38-BA5D66E9B6DB}"/>
    <hyperlink ref="D263" r:id="rId292" display="https://afinvest.com.br/interno/relatorios/detalhes-de-ativos?id=7810&amp;codativo=FIDC%20ACR%20Fast" xr:uid="{12DCA797-B2D4-46BC-ABCF-0F9E18CE00AA}"/>
    <hyperlink ref="D393" r:id="rId293" display="https://afinvest.com.br/interno/relatorios/detalhes-de-ativos?id=7810&amp;codativo=FIDC%20ACR%20Fast" xr:uid="{25715E8B-1B3C-4FCE-9ACC-EC7A49D8A244}"/>
    <hyperlink ref="D73" r:id="rId294" display="https://afinvest.com.br/interno/relatorios/detalhes-de-ativos?id=8473&amp;codativo=FIDC%20ICred%20Sr" xr:uid="{0C2B245A-3893-4CE8-8D25-025560E43416}"/>
    <hyperlink ref="D264" r:id="rId295" display="https://afinvest.com.br/interno/relatorios/detalhes-de-ativos?id=8473&amp;codativo=FIDC%20ICred%20Sr" xr:uid="{120597D5-2402-4915-89FD-87DCB4C715EC}"/>
    <hyperlink ref="D394" r:id="rId296" display="https://afinvest.com.br/interno/relatorios/detalhes-de-ativos?id=8473&amp;codativo=FIDC%20ICred%20Sr" xr:uid="{6237F3D0-863E-4350-A7AB-6F4ACCD2B679}"/>
    <hyperlink ref="D554" r:id="rId297" display="https://afinvest.com.br/interno/relatorios/detalhes-de-ativos?id=8477&amp;codativo=FIDC%20iCred%20Meza%202" xr:uid="{0EA5CB88-EAF9-4153-B603-40BB4767FD41}"/>
    <hyperlink ref="D1099" r:id="rId298" display="https://afinvest.com.br/interno/relatorios/detalhes-de-ativos?id=8473&amp;codativo=FIDC%20ICred%20Sr" xr:uid="{34F2CEA5-110E-43F0-9A86-76D4E296AD64}"/>
    <hyperlink ref="D74" r:id="rId299" display="https://afinvest.com.br/interno/relatorios/detalhes-de-ativos?id=8328&amp;codativo=FIDC%20Guardian%20MC%20II%20Sr" xr:uid="{A03D633A-F7E7-463E-8238-6319426DB550}"/>
    <hyperlink ref="D265" r:id="rId300" display="https://afinvest.com.br/interno/relatorios/detalhes-de-ativos?id=8328&amp;codativo=FIDC%20Guardian%20MC%20II%20Sr" xr:uid="{21B366FF-EFA0-492D-9ED8-72EBB1F7C0CD}"/>
    <hyperlink ref="D395" r:id="rId301" display="https://afinvest.com.br/interno/relatorios/detalhes-de-ativos?id=8328&amp;codativo=FIDC%20Guardian%20MC%20II%20Sr" xr:uid="{CC258CB1-8466-49C9-8ACD-FC71615C3278}"/>
    <hyperlink ref="D555" r:id="rId302" display="https://afinvest.com.br/interno/relatorios/detalhes-de-ativos?id=8328&amp;codativo=FIDC%20Guardian%20MC%20II%20Sr" xr:uid="{2F2F22D2-6971-4684-8452-B6634647C7B3}"/>
    <hyperlink ref="D754" r:id="rId303" display="https://afinvest.com.br/interno/relatorios/detalhes-de-ativos?id=8328&amp;codativo=FIDC%20Guardian%20MC%20II%20Sr" xr:uid="{329280CF-B9BF-4E05-A0D2-874E7E21D5D6}"/>
    <hyperlink ref="D1100" r:id="rId304" display="https://afinvest.com.br/interno/relatorios/detalhes-de-ativos?id=8328&amp;codativo=FIDC%20Guardian%20MC%20II%20Sr" xr:uid="{9BB6E5BD-9FE6-4954-BE49-E2DEF1D069FC}"/>
    <hyperlink ref="D556" r:id="rId305" display="https://afinvest.com.br/interno/relatorios/detalhes-de-ativos?id=3131&amp;codativo=FIDC%20TMAQ21" xr:uid="{EE1D87EA-28A3-4D72-916E-A43EF0D20723}"/>
    <hyperlink ref="D557" r:id="rId306" display="https://afinvest.com.br/interno/relatorios/detalhes-de-ativos?id=2938&amp;codativo=FIDC%20FORTBRASIL" xr:uid="{618FCE3B-3D89-44AF-B6DC-9A9E46C841B4}"/>
    <hyperlink ref="D75" r:id="rId307" display="https://afinvest.com.br/interno/relatorios/detalhes-de-ativos?id=5743&amp;codativo=FIDC%20FS%20FORTALECE" xr:uid="{1E3A0B12-C3B2-45B0-A8C3-DE230E0618AB}"/>
    <hyperlink ref="D266" r:id="rId308" display="https://afinvest.com.br/interno/relatorios/detalhes-de-ativos?id=5743&amp;codativo=FIDC%20FS%20FORTALECE" xr:uid="{E5B72A6B-3331-495D-9E38-3B7F9B774A8B}"/>
    <hyperlink ref="D396" r:id="rId309" display="https://afinvest.com.br/interno/relatorios/detalhes-de-ativos?id=5743&amp;codativo=FIDC%20FS%20FORTALECE" xr:uid="{52B447C1-4D4E-48D8-AAEC-14F85C40BFAA}"/>
    <hyperlink ref="D558" r:id="rId310" display="https://afinvest.com.br/interno/relatorios/detalhes-de-ativos?id=5743&amp;codativo=FIDC%20FS%20FORTALECE" xr:uid="{1B490033-CEAB-4B81-801A-951258FC9DAD}"/>
    <hyperlink ref="D755" r:id="rId311" display="https://afinvest.com.br/interno/relatorios/detalhes-de-ativos?id=5743&amp;codativo=FIDC%20FS%20FORTALECE" xr:uid="{1AB86C4D-A522-4E47-94F2-75465DE7832F}"/>
    <hyperlink ref="D1101" r:id="rId312" display="https://afinvest.com.br/interno/relatorios/detalhes-de-ativos?id=5743&amp;codativo=FIDC%20FS%20FORTALECE" xr:uid="{2EF83109-837A-4460-86AB-6BB806E8DE26}"/>
    <hyperlink ref="D76" r:id="rId313" display="https://afinvest.com.br/interno/relatorios/detalhes-de-ativos?id=3505&amp;codativo=FIDC%20URA%20Agro%20SR" xr:uid="{F2107A6C-4B28-42DD-A0CD-3BFB752A5114}"/>
    <hyperlink ref="D267" r:id="rId314" display="https://afinvest.com.br/interno/relatorios/detalhes-de-ativos?id=3505&amp;codativo=FIDC%20URA%20Agro%20SR" xr:uid="{B543C844-8CB5-4F21-86FC-628D053EEFE4}"/>
    <hyperlink ref="D397" r:id="rId315" display="https://afinvest.com.br/interno/relatorios/detalhes-de-ativos?id=3505&amp;codativo=FIDC%20URA%20Agro%20SR" xr:uid="{691CB995-EA88-4490-8C3E-0989F1D9B301}"/>
    <hyperlink ref="D559" r:id="rId316" display="https://afinvest.com.br/interno/relatorios/detalhes-de-ativos?id=3505&amp;codativo=FIDC%20URA%20Agro%20SR" xr:uid="{1AC760A0-FB7D-4BED-B6D3-A25B68C437AB}"/>
    <hyperlink ref="D756" r:id="rId317" display="https://afinvest.com.br/interno/relatorios/detalhes-de-ativos?id=3505&amp;codativo=FIDC%20URA%20Agro%20SR" xr:uid="{8E222914-0C75-4E5F-BE9E-4E37D642241F}"/>
    <hyperlink ref="D1102" r:id="rId318" display="https://afinvest.com.br/interno/relatorios/detalhes-de-ativos?id=3505&amp;codativo=FIDC%20URA%20Agro%20SR" xr:uid="{393A5E45-953F-4919-8B94-EE0548846BF8}"/>
    <hyperlink ref="D77" r:id="rId319" display="https://afinvest.com.br/interno/relatorios/detalhes-de-ativos?id=1220&amp;codativo=FIDC%20SIMPAR" xr:uid="{D7BE35DE-725A-466F-AE90-FAA9BFE4BB6B}"/>
    <hyperlink ref="D398" r:id="rId320" display="https://afinvest.com.br/interno/relatorios/detalhes-de-ativos?id=1220&amp;codativo=FIDC%20SIMPAR" xr:uid="{7B3FF467-1B78-489E-8849-96D0C25CBE56}"/>
    <hyperlink ref="D560" r:id="rId321" display="https://afinvest.com.br/interno/relatorios/detalhes-de-ativos?id=1220&amp;codativo=FIDC%20SIMPAR" xr:uid="{EB5BD5D4-0AEB-4EA1-A2A9-2750F08AD84E}"/>
    <hyperlink ref="D561" r:id="rId322" display="https://afinvest.com.br/interno/relatorios/detalhes-de-ativos?id=8922&amp;codativo=FIDC%20Precavida" xr:uid="{A13E0615-C12F-486F-8B3D-F4858401AD79}"/>
    <hyperlink ref="D1103" r:id="rId323" display="https://afinvest.com.br/interno/relatorios/detalhes-de-ativos?id=8922&amp;codativo=FIDC%20Precavida" xr:uid="{0935FD61-2E19-4BF3-8155-9ED7F8E878E0}"/>
    <hyperlink ref="D268" r:id="rId324" display="https://afinvest.com.br/interno/relatorios/detalhes-de-ativos?id=9223&amp;codativo=FIDC%20PICPAY%20FGTS%20SR" xr:uid="{FCED315A-089E-4C29-B5B7-C54C5285B31A}"/>
    <hyperlink ref="D399" r:id="rId325" display="https://afinvest.com.br/interno/relatorios/detalhes-de-ativos?id=9223&amp;codativo=FIDC%20PICPAY%20FGTS%20SR" xr:uid="{185BC4E9-25FE-47E6-AFB8-6D6637E02DDA}"/>
    <hyperlink ref="D562" r:id="rId326" display="https://afinvest.com.br/interno/relatorios/detalhes-de-ativos?id=9223&amp;codativo=FIDC%20PICPAY%20FGTS%20SR" xr:uid="{6F71F3E2-533A-4DD8-A949-F2876F473550}"/>
    <hyperlink ref="D757" r:id="rId327" display="https://afinvest.com.br/interno/relatorios/detalhes-de-ativos?id=9223&amp;codativo=FIDC%20PICPAY%20FGTS%20SR" xr:uid="{88DD91EE-90BA-4B77-8376-B262EB7D3150}"/>
    <hyperlink ref="D78" r:id="rId328" display="https://afinvest.com.br/interno/relatorios/detalhes-de-ativos?id=387&amp;codativo=FIDC%20LF%20I%20SR4" xr:uid="{416F780B-3DCF-4B2C-A305-06BEF19CD071}"/>
    <hyperlink ref="D269" r:id="rId329" display="https://afinvest.com.br/interno/relatorios/detalhes-de-ativos?id=387&amp;codativo=FIDC%20LF%20I%20SR4" xr:uid="{26412C4B-DD75-48CD-971A-39243315BDDF}"/>
    <hyperlink ref="D400" r:id="rId330" display="https://afinvest.com.br/interno/relatorios/detalhes-de-ativos?id=387&amp;codativo=FIDC%20LF%20I%20SR4" xr:uid="{5EFA64F3-B4FD-46E3-A806-965A3EB52FA8}"/>
    <hyperlink ref="D563" r:id="rId331" display="https://afinvest.com.br/interno/relatorios/detalhes-de-ativos?id=387&amp;codativo=FIDC%20LF%20I%20SR4" xr:uid="{1E6AC2E4-3E83-4CFB-8F06-EE18D3C4711F}"/>
    <hyperlink ref="D1104" r:id="rId332" display="https://afinvest.com.br/interno/relatorios/detalhes-de-ativos?id=387&amp;codativo=FIDC%20LF%20I%20SR4" xr:uid="{C91ED025-8567-4BB2-8268-98F62A2AE810}"/>
    <hyperlink ref="D270" r:id="rId333" display="https://afinvest.com.br/interno/relatorios/detalhes-de-ativos?id=9487&amp;codativo=FIDC%20Icred%20INSS" xr:uid="{77B3F760-1E7A-4FAB-9BD8-6711884E346F}"/>
    <hyperlink ref="D401" r:id="rId334" display="https://afinvest.com.br/interno/relatorios/detalhes-de-ativos?id=9487&amp;codativo=FIDC%20Icred%20INSS" xr:uid="{BDC12CB0-65C9-495C-B461-581670F1E899}"/>
    <hyperlink ref="D758" r:id="rId335" display="https://afinvest.com.br/interno/relatorios/detalhes-de-ativos?id=9487&amp;codativo=FIDC%20Icred%20INSS" xr:uid="{F56ECD5D-D6A1-4988-A552-2AAA1A0AF33C}"/>
    <hyperlink ref="D79" r:id="rId336" display="https://afinvest.com.br/interno/relatorios/detalhes-de-ativos?id=3409&amp;codativo=FIDC%20Bemol" xr:uid="{CCBD9E7F-0A3C-41A9-9138-E10E714466F4}"/>
    <hyperlink ref="D402" r:id="rId337" display="https://afinvest.com.br/interno/relatorios/detalhes-de-ativos?id=3409&amp;codativo=FIDC%20Bemol" xr:uid="{8C841416-9D1B-4CF7-B055-F4CD0AF2C0DC}"/>
    <hyperlink ref="D564" r:id="rId338" display="https://afinvest.com.br/interno/relatorios/detalhes-de-ativos?id=2959&amp;codativo=FIDC%20Auto%20Loans" xr:uid="{C85FBB96-3E08-46AB-BEFC-8F2F98787C9D}"/>
    <hyperlink ref="D403" r:id="rId339" display="https://afinvest.com.br/interno/relatorios/detalhes-de-ativos?id=475&amp;codativo=FIDC%20Ideal%20Invest%2029" xr:uid="{C2F39282-66FE-42C9-879F-ACFFC15B0B53}"/>
    <hyperlink ref="D80" r:id="rId340" display="https://afinvest.com.br/interno/relatorios/detalhes-de-ativos?id=8007&amp;codativo=FIDC%20CloudWalk%20II" xr:uid="{682CD664-3912-4FE5-B908-7B21698059E4}"/>
    <hyperlink ref="D271" r:id="rId341" display="https://afinvest.com.br/interno/relatorios/detalhes-de-ativos?id=8007&amp;codativo=FIDC%20CloudWalk%20II" xr:uid="{A01C8088-368B-4B70-9F4E-C16428E4F47F}"/>
    <hyperlink ref="D404" r:id="rId342" display="https://afinvest.com.br/interno/relatorios/detalhes-de-ativos?id=8007&amp;codativo=FIDC%20CloudWalk%20II" xr:uid="{E6856F28-301C-4219-93DB-1F8288EBE6D4}"/>
    <hyperlink ref="D759" r:id="rId343" display="https://afinvest.com.br/interno/relatorios/detalhes-de-ativos?id=8007&amp;codativo=FIDC%20CloudWalk%20II" xr:uid="{6DB28976-854A-46B9-AD8A-B7A5671A5F98}"/>
    <hyperlink ref="D1105" r:id="rId344" display="https://afinvest.com.br/interno/relatorios/detalhes-de-ativos?id=8007&amp;codativo=FIDC%20CloudWalk%20II" xr:uid="{B10B6153-2472-42C8-8C0E-EADF3247CD70}"/>
    <hyperlink ref="D405" r:id="rId345" display="https://afinvest.com.br/interno/relatorios/detalhes-de-ativos?id=8877&amp;codativo=FIDC%20Artico%20Sr" xr:uid="{62000AA1-C161-4CFA-93C9-7587F5E9B64E}"/>
    <hyperlink ref="D565" r:id="rId346" display="https://afinvest.com.br/interno/relatorios/detalhes-de-ativos?id=8877&amp;codativo=FIDC%20Artico%20Sr" xr:uid="{36ABE68F-7986-42CC-B02F-CA8F077378E7}"/>
    <hyperlink ref="D1106" r:id="rId347" display="https://afinvest.com.br/interno/relatorios/detalhes-de-ativos?id=8877&amp;codativo=FIDC%20Artico%20Sr" xr:uid="{4C3DF938-31ED-480D-A436-426613EF0458}"/>
    <hyperlink ref="D81" r:id="rId348" display="https://afinvest.com.br/interno/relatorios/detalhes-de-ativos?id=7806&amp;codativo=VEBMA4" xr:uid="{EE5D76EB-56FA-4DBC-8F70-8337087967A9}"/>
    <hyperlink ref="D272" r:id="rId349" display="https://afinvest.com.br/interno/relatorios/detalhes-de-ativos?id=7806&amp;codativo=VEBMA4" xr:uid="{B93641FF-2879-4DDA-B2E6-1D83B74C2CB1}"/>
    <hyperlink ref="D406" r:id="rId350" display="https://afinvest.com.br/interno/relatorios/detalhes-de-ativos?id=7806&amp;codativo=VEBMA4" xr:uid="{D33B54BC-BE51-4254-8EFA-24896C8CC578}"/>
    <hyperlink ref="D566" r:id="rId351" display="https://afinvest.com.br/interno/relatorios/detalhes-de-ativos?id=7806&amp;codativo=VEBMA4" xr:uid="{7F619E22-EDD1-4185-A369-4038FE7E8523}"/>
    <hyperlink ref="D1107" r:id="rId352" display="https://afinvest.com.br/interno/relatorios/detalhes-de-ativos?id=7806&amp;codativo=VEBMA4" xr:uid="{2B0EB8AC-2A50-41B4-A009-1BFA5B5E94EC}"/>
    <hyperlink ref="D273" r:id="rId353" display="https://afinvest.com.br/interno/relatorios/detalhes-de-ativos?id=2721&amp;codativo=VIXL14" xr:uid="{0E0B0977-9220-4BF4-B77F-7F9C5B286872}"/>
    <hyperlink ref="D274" r:id="rId354" display="https://afinvest.com.br/interno/relatorios/detalhes-de-ativos?id=8583&amp;codativo=VIXL18" xr:uid="{00D4768A-D1A8-495F-9175-56D4899ECDD6}"/>
    <hyperlink ref="D407" r:id="rId355" display="https://afinvest.com.br/interno/relatorios/detalhes-de-ativos?id=2721&amp;codativo=VIXL14" xr:uid="{24C7CF68-E550-4681-8178-72267E426A8B}"/>
    <hyperlink ref="D408" r:id="rId356" display="https://afinvest.com.br/interno/relatorios/detalhes-de-ativos?id=8583&amp;codativo=VIXL18" xr:uid="{DD98D458-E97D-444E-8D9D-89A7CF47AC41}"/>
    <hyperlink ref="D567" r:id="rId357" display="https://afinvest.com.br/interno/relatorios/detalhes-de-ativos?id=8583&amp;codativo=VIXL18" xr:uid="{ADA18D90-BD22-4029-9128-67B2BF5FCE01}"/>
    <hyperlink ref="D568" r:id="rId358" display="https://afinvest.com.br/interno/relatorios/detalhes-de-ativos?id=2721&amp;codativo=VIXL14" xr:uid="{A0066922-E0DA-49FA-852A-7B381520D8DF}"/>
    <hyperlink ref="D82" r:id="rId359" display="https://afinvest.com.br/interno/relatorios/detalhes-de-ativos?id=2927&amp;codativo=VBBR24" xr:uid="{B1369AF4-554B-4AAD-A6BA-E05C66908D38}"/>
    <hyperlink ref="D156" r:id="rId360" display="https://afinvest.com.br/interno/relatorios/detalhes-de-ativos?id=2927&amp;codativo=VBBR24" xr:uid="{716E687C-1011-48EC-8CFA-B42C7DD5F26D}"/>
    <hyperlink ref="D275" r:id="rId361" display="https://afinvest.com.br/interno/relatorios/detalhes-de-ativos?id=2927&amp;codativo=VBBR24" xr:uid="{1A029274-2EF3-4A7D-9026-67FE0D064CAE}"/>
    <hyperlink ref="D409" r:id="rId362" display="https://afinvest.com.br/interno/relatorios/detalhes-de-ativos?id=2927&amp;codativo=VBBR24" xr:uid="{A3676E3B-BD3D-4391-9246-02EE68BA56F8}"/>
    <hyperlink ref="D569" r:id="rId363" display="https://afinvest.com.br/interno/relatorios/detalhes-de-ativos?id=2927&amp;codativo=VBBR24" xr:uid="{13156D74-6C67-48F9-9D46-E4991845A0AA}"/>
    <hyperlink ref="D1108" r:id="rId364" display="https://afinvest.com.br/interno/relatorios/detalhes-de-ativos?id=2927&amp;codativo=VBBR24" xr:uid="{0000C77F-2CAE-4525-8A18-02A528848A30}"/>
    <hyperlink ref="D276" r:id="rId365" display="https://afinvest.com.br/interno/relatorios/detalhes-de-ativos?id=3424&amp;codativo=VECS11" xr:uid="{93F5FDC3-7389-4E8D-8A71-81267F7CE95E}"/>
    <hyperlink ref="D410" r:id="rId366" display="https://afinvest.com.br/interno/relatorios/detalhes-de-ativos?id=3424&amp;codativo=VECS11" xr:uid="{48F3B33E-501D-41CD-94A7-CAD8A21382AA}"/>
    <hyperlink ref="D760" r:id="rId367" display="https://afinvest.com.br/interno/relatorios/detalhes-de-ativos?id=3424&amp;codativo=VECS11" xr:uid="{9BA4EB9B-0D9A-479B-A466-C98335E991B4}"/>
    <hyperlink ref="D1109" r:id="rId368" display="https://afinvest.com.br/interno/relatorios/detalhes-de-ativos?id=3424&amp;codativo=VECS11" xr:uid="{1DB1B838-A44A-44E5-B743-DA28BBFF0F92}"/>
    <hyperlink ref="D83" r:id="rId369" display="https://afinvest.com.br/interno/relatorios/detalhes-de-ativos?id=8807&amp;codativo=VSCF17" xr:uid="{44E54868-B591-42EF-B09B-DC5F260A41BD}"/>
    <hyperlink ref="D277" r:id="rId370" display="https://afinvest.com.br/interno/relatorios/detalhes-de-ativos?id=8807&amp;codativo=VSCF17" xr:uid="{D618BED7-C933-4F9D-BF28-77B7D1656C9A}"/>
    <hyperlink ref="D411" r:id="rId371" display="https://afinvest.com.br/interno/relatorios/detalhes-de-ativos?id=8807&amp;codativo=VSCF17" xr:uid="{FF3D7DB3-D165-486E-932F-A8736DFC5576}"/>
    <hyperlink ref="D1110" r:id="rId372" display="https://afinvest.com.br/interno/relatorios/detalhes-de-ativos?id=8807&amp;codativo=VSCF17" xr:uid="{08669E97-C3C7-4326-980E-47BF1713F34D}"/>
    <hyperlink ref="D278" r:id="rId373" display="https://afinvest.com.br/interno/relatorios/detalhes-de-ativos?id=8726&amp;codativo=VVRT11" xr:uid="{07272CC6-C8D6-43B9-8C0C-AA67F3063D57}"/>
    <hyperlink ref="D412" r:id="rId374" display="https://afinvest.com.br/interno/relatorios/detalhes-de-ativos?id=8726&amp;codativo=VVRT11" xr:uid="{E2C6EAD6-D6FB-4BB9-BEE1-7EA3A27E0093}"/>
    <hyperlink ref="D16" r:id="rId375" display="https://afinvest.com.br/interno/relatorios/detalhes-de-ativos?id=7868&amp;codativo=VERO13" xr:uid="{557C7963-88C3-45A3-83B5-E20157436FB1}"/>
    <hyperlink ref="D17" r:id="rId376" display="https://afinvest.com.br/interno/relatorios/detalhes-de-ativos?id=1462&amp;codativo=VAMO33" xr:uid="{A48497B9-A450-436A-B386-4B40619767BC}"/>
    <hyperlink ref="D279" r:id="rId377" display="https://afinvest.com.br/interno/relatorios/detalhes-de-ativos?id=1464&amp;codativo=VAMO23" xr:uid="{E4AB34C3-E2C6-4265-B117-408E1588E9C4}"/>
    <hyperlink ref="D280" r:id="rId378" display="https://afinvest.com.br/interno/relatorios/detalhes-de-ativos?id=1463&amp;codativo=VAMO13" xr:uid="{BFA5F0F8-5361-44F2-B692-9DFD00B68CCE}"/>
    <hyperlink ref="D413" r:id="rId379" display="https://afinvest.com.br/interno/relatorios/detalhes-de-ativos?id=1463&amp;codativo=VAMO13" xr:uid="{AAE86C34-9E89-4B34-A098-15BFE6BE3558}"/>
    <hyperlink ref="D414" r:id="rId380" display="https://afinvest.com.br/interno/relatorios/detalhes-de-ativos?id=1464&amp;codativo=VAMO23" xr:uid="{48EDE528-FF5C-46FE-935E-85DB8A409D3E}"/>
    <hyperlink ref="D761" r:id="rId381" display="https://afinvest.com.br/interno/relatorios/detalhes-de-ativos?id=1464&amp;codativo=VAMO23" xr:uid="{E027A814-23F3-4064-854A-B62CDCFFC814}"/>
    <hyperlink ref="D762" r:id="rId382" display="https://afinvest.com.br/interno/relatorios/detalhes-de-ativos?id=1463&amp;codativo=VAMO13" xr:uid="{E05233FE-8804-41F6-8BC1-2A3DECA4153D}"/>
    <hyperlink ref="D1111" r:id="rId383" display="https://afinvest.com.br/interno/relatorios/detalhes-de-ativos?id=1464&amp;codativo=VAMO23" xr:uid="{9352ACCF-06D9-40DB-AEFC-53FA9C139022}"/>
    <hyperlink ref="D84" r:id="rId384" display="https://afinvest.com.br/interno/relatorios/detalhes-de-ativos?id=8116&amp;codativo=VLIDA0" xr:uid="{3EF5BE80-DFF7-430D-AAB7-B6793BCCF14C}"/>
    <hyperlink ref="D281" r:id="rId385" display="https://afinvest.com.br/interno/relatorios/detalhes-de-ativos?id=8116&amp;codativo=VLIDA0" xr:uid="{5C302724-1F88-49BC-9E79-6B81E83B4F4C}"/>
    <hyperlink ref="D415" r:id="rId386" display="https://afinvest.com.br/interno/relatorios/detalhes-de-ativos?id=8116&amp;codativo=VLIDA0" xr:uid="{B8534BB4-ABE9-4734-9854-AA619286547B}"/>
    <hyperlink ref="D570" r:id="rId387" display="https://afinvest.com.br/interno/relatorios/detalhes-de-ativos?id=8116&amp;codativo=VLIDA0" xr:uid="{0548D892-C250-4DBF-804C-C9ED59D82078}"/>
    <hyperlink ref="D763" r:id="rId388" display="https://afinvest.com.br/interno/relatorios/detalhes-de-ativos?id=8116&amp;codativo=VLIDA0" xr:uid="{C7F41367-DE82-4225-A41F-E9EA07D5B500}"/>
    <hyperlink ref="D1112" r:id="rId389" display="https://afinvest.com.br/interno/relatorios/detalhes-de-ativos?id=8116&amp;codativo=VLIDA0" xr:uid="{BABFD3DF-44FE-4A6F-B932-4019936B096C}"/>
    <hyperlink ref="D489" r:id="rId390" display="https://afinvest.com.br/interno/relatorios/detalhes-de-ativos?id=3091&amp;codativo=CVRDA6" xr:uid="{942239B3-DC0F-49BD-B220-C6FDAE68EBE7}"/>
    <hyperlink ref="D571" r:id="rId391" display="https://afinvest.com.br/interno/relatorios/detalhes-de-ativos?id=3091&amp;codativo=CVRDA6" xr:uid="{0F44F4F2-5340-4F5B-A73D-45E7D1DE9013}"/>
    <hyperlink ref="D85" r:id="rId392" display="https://afinvest.com.br/interno/relatorios/detalhes-de-ativos?id=9446&amp;codativo=VERT18%20(nota%20reestruturada)" xr:uid="{631AF286-C93E-455B-B5CB-8BCF5FA00DF2}"/>
    <hyperlink ref="D86" r:id="rId393" display="https://afinvest.com.br/interno/relatorios/detalhes-de-ativos?id=9445&amp;codativo=VERT19%20(nota%20participativa)" xr:uid="{38726C83-CD5E-48B0-9548-5173A181553C}"/>
    <hyperlink ref="D157" r:id="rId394" display="https://afinvest.com.br/interno/relatorios/detalhes-de-ativos?id=9446&amp;codativo=VERT18%20(nota%20reestruturada)" xr:uid="{6493430B-BE98-47E7-BBEC-7C0D20C86EA3}"/>
    <hyperlink ref="D158" r:id="rId395" display="https://afinvest.com.br/interno/relatorios/detalhes-de-ativos?id=9445&amp;codativo=VERT19%20(nota%20participativa)" xr:uid="{FE3186CD-A273-4267-8B50-3F09262D9698}"/>
    <hyperlink ref="D282" r:id="rId396" display="https://afinvest.com.br/interno/relatorios/detalhes-de-ativos?id=9446&amp;codativo=VERT18%20(nota%20reestruturada)" xr:uid="{800DE319-47D9-4AB0-B823-F8927C4820F2}"/>
    <hyperlink ref="D283" r:id="rId397" display="https://afinvest.com.br/interno/relatorios/detalhes-de-ativos?id=9445&amp;codativo=VERT19%20(nota%20participativa)" xr:uid="{970F79FB-5D1D-4644-8549-4156072A3B6E}"/>
    <hyperlink ref="D416" r:id="rId398" display="https://afinvest.com.br/interno/relatorios/detalhes-de-ativos?id=9446&amp;codativo=VERT18%20(nota%20reestruturada)" xr:uid="{07905EE9-ACF6-4C07-854A-875A16686B28}"/>
    <hyperlink ref="D417" r:id="rId399" display="https://afinvest.com.br/interno/relatorios/detalhes-de-ativos?id=9445&amp;codativo=VERT19%20(nota%20participativa)" xr:uid="{44C31A6B-6954-40A3-A187-CD7B17F4A742}"/>
    <hyperlink ref="D1057" r:id="rId400" display="https://afinvest.com.br/interno/relatorios/detalhes-de-ativos?id=9446&amp;codativo=VERT18%20(nota%20reestruturada)" xr:uid="{F7F0AD08-9EB5-473C-B153-58680839BF50}"/>
    <hyperlink ref="D1058" r:id="rId401" display="https://afinvest.com.br/interno/relatorios/detalhes-de-ativos?id=9445&amp;codativo=VERT19%20(nota%20participativa)" xr:uid="{681469B3-E0A1-46B1-9DF5-255A447FEC3C}"/>
    <hyperlink ref="D1113" r:id="rId402" display="https://afinvest.com.br/interno/relatorios/detalhes-de-ativos?id=9446&amp;codativo=VERT18%20(nota%20reestruturada)" xr:uid="{AE09C2F5-D2AD-4D32-BF92-BF1FE28CDDAA}"/>
    <hyperlink ref="D1114" r:id="rId403" display="https://afinvest.com.br/interno/relatorios/detalhes-de-ativos?id=9445&amp;codativo=VERT19%20(nota%20participativa)" xr:uid="{D546AC31-48B3-4270-BB62-03731C204896}"/>
    <hyperlink ref="D18" r:id="rId404" display="https://afinvest.com.br/interno/relatorios/detalhes-de-ativos?id=3417&amp;codativo=TBCR18" xr:uid="{950841CE-676F-4674-BD90-C96DE5F659E3}"/>
    <hyperlink ref="D87" r:id="rId405" display="https://afinvest.com.br/interno/relatorios/detalhes-de-ativos?id=6795&amp;codativo=TBSP11" xr:uid="{B0A8995C-F10F-4013-B23F-357ECDBA908C}"/>
    <hyperlink ref="D284" r:id="rId406" display="https://afinvest.com.br/interno/relatorios/detalhes-de-ativos?id=6795&amp;codativo=TBSP11" xr:uid="{035D0A7C-27FC-4672-88AA-DC76521D7997}"/>
    <hyperlink ref="D418" r:id="rId407" display="https://afinvest.com.br/interno/relatorios/detalhes-de-ativos?id=6795&amp;codativo=TBSP11" xr:uid="{0E1AC842-DEC6-4F44-B4E3-15D2267C47EE}"/>
    <hyperlink ref="D572" r:id="rId408" display="https://afinvest.com.br/interno/relatorios/detalhes-de-ativos?id=6795&amp;codativo=TBSP11" xr:uid="{2EBE9423-A0C3-4FC7-BAD5-13ECFB5D055D}"/>
    <hyperlink ref="D764" r:id="rId409" display="https://afinvest.com.br/interno/relatorios/detalhes-de-ativos?id=6795&amp;codativo=TBSP11" xr:uid="{D821D87C-481A-4B95-82F7-4822F941C25C}"/>
    <hyperlink ref="D1115" r:id="rId410" display="https://afinvest.com.br/interno/relatorios/detalhes-de-ativos?id=6795&amp;codativo=TBSP11" xr:uid="{4EFA5D7C-B3A8-4251-AB87-578710657FDA}"/>
    <hyperlink ref="D285" r:id="rId411" display="https://afinvest.com.br/interno/relatorios/detalhes-de-ativos?id=2918&amp;codativo=SULA29" xr:uid="{E76A9592-2BBB-4193-A5E2-01AE84C72717}"/>
    <hyperlink ref="D573" r:id="rId412" display="https://afinvest.com.br/interno/relatorios/detalhes-de-ativos?id=2918&amp;codativo=SULA29" xr:uid="{EE14AB38-F3C5-4550-9D64-588CC5834D28}"/>
    <hyperlink ref="D765" r:id="rId413" display="https://afinvest.com.br/interno/relatorios/detalhes-de-ativos?id=2918&amp;codativo=SULA29" xr:uid="{1DD962A6-BB7C-490D-852A-AE0DF24C6684}"/>
    <hyperlink ref="D1116" r:id="rId414" display="https://afinvest.com.br/interno/relatorios/detalhes-de-ativos?id=2918&amp;codativo=SULA29" xr:uid="{17B2A51E-4EB7-40E9-A7B6-734E266E191B}"/>
    <hyperlink ref="D19" r:id="rId415" display="https://afinvest.com.br/interno/relatorios/detalhes-de-ativos?id=2968&amp;codativo=JSMLB5" xr:uid="{A3877733-7CF7-4548-AE20-8587A8AB3043}"/>
    <hyperlink ref="D88" r:id="rId416" display="https://afinvest.com.br/interno/relatorios/detalhes-de-ativos?id=3004&amp;codativo=JSMLA5" xr:uid="{CC2AD6D9-35BE-432A-90F6-8BC452BD5342}"/>
    <hyperlink ref="D286" r:id="rId417" display="https://afinvest.com.br/interno/relatorios/detalhes-de-ativos?id=6041&amp;codativo=SIMH16" xr:uid="{9B043113-101B-4F43-9A9C-4BA5542C342D}"/>
    <hyperlink ref="D287" r:id="rId418" display="https://afinvest.com.br/interno/relatorios/detalhes-de-ativos?id=3004&amp;codativo=JSMLA5" xr:uid="{FCE7D348-0CD9-4297-BDD4-519AFAA701B5}"/>
    <hyperlink ref="D419" r:id="rId419" display="https://afinvest.com.br/interno/relatorios/detalhes-de-ativos?id=6041&amp;codativo=SIMH16" xr:uid="{479360FE-1C42-4DE2-B36B-9CAD204F84F2}"/>
    <hyperlink ref="D574" r:id="rId420" display="https://afinvest.com.br/interno/relatorios/detalhes-de-ativos?id=3004&amp;codativo=JSMLA5" xr:uid="{0316A0F9-27EA-459A-A133-F930D3F9ACE6}"/>
    <hyperlink ref="D575" r:id="rId421" display="https://afinvest.com.br/interno/relatorios/detalhes-de-ativos?id=6041&amp;codativo=SIMH16" xr:uid="{F61AEA18-2F8B-40B6-854B-91457D396F68}"/>
    <hyperlink ref="D1117" r:id="rId422" display="https://afinvest.com.br/interno/relatorios/detalhes-de-ativos?id=6041&amp;codativo=SIMH16" xr:uid="{3A784236-80D5-444F-8753-589C8B0B15FD}"/>
    <hyperlink ref="D89" r:id="rId423" display="https://afinvest.com.br/interno/relatorios/detalhes-de-ativos?id=8398&amp;codativo=ASAIA0" xr:uid="{A7C8A5A4-6AE3-47B4-ABB1-F0028125267F}"/>
    <hyperlink ref="D90" r:id="rId424" display="https://afinvest.com.br/interno/relatorios/detalhes-de-ativos?id=1410&amp;codativo=ASAI22" xr:uid="{4169F578-F2FD-479A-93FA-E9BA09987BFA}"/>
    <hyperlink ref="D288" r:id="rId425" display="https://afinvest.com.br/interno/relatorios/detalhes-de-ativos?id=1410&amp;codativo=ASAI22" xr:uid="{BF85FC8A-CFAE-4BC0-8833-41485B8F6C8A}"/>
    <hyperlink ref="D289" r:id="rId426" display="https://afinvest.com.br/interno/relatorios/detalhes-de-ativos?id=8398&amp;codativo=ASAIA0" xr:uid="{73217662-6293-48F1-A53B-6F4BB9D6E1DD}"/>
    <hyperlink ref="D420" r:id="rId427" display="https://afinvest.com.br/interno/relatorios/detalhes-de-ativos?id=8398&amp;codativo=ASAIA0" xr:uid="{8C13C681-F889-4748-BE07-50DBFD842C4E}"/>
    <hyperlink ref="D421" r:id="rId428" display="https://afinvest.com.br/interno/relatorios/detalhes-de-ativos?id=1410&amp;codativo=ASAI22" xr:uid="{5C7DFF6B-1BC9-4D25-981D-C152D48A8316}"/>
    <hyperlink ref="D576" r:id="rId429" display="https://afinvest.com.br/interno/relatorios/detalhes-de-ativos?id=1410&amp;codativo=ASAI22" xr:uid="{C61CB95D-C3A6-4EA4-9061-AF19476DA871}"/>
    <hyperlink ref="D577" r:id="rId430" display="https://afinvest.com.br/interno/relatorios/detalhes-de-ativos?id=8398&amp;codativo=ASAIA0" xr:uid="{7C80C6B1-BB37-45B3-8236-820B093FEB58}"/>
    <hyperlink ref="D766" r:id="rId431" display="https://afinvest.com.br/interno/relatorios/detalhes-de-ativos?id=1410&amp;codativo=ASAI22" xr:uid="{258E7F10-400B-49CB-A431-91BDB40AD39D}"/>
    <hyperlink ref="D767" r:id="rId432" display="https://afinvest.com.br/interno/relatorios/detalhes-de-ativos?id=8398&amp;codativo=ASAIA0" xr:uid="{BBCEEA08-34FF-4AD1-BAA2-75960A8DC4D3}"/>
    <hyperlink ref="D1118" r:id="rId433" display="https://afinvest.com.br/interno/relatorios/detalhes-de-ativos?id=8398&amp;codativo=ASAIA0" xr:uid="{DE72812F-6828-41EE-9579-BDE94CF5576A}"/>
    <hyperlink ref="D1119" r:id="rId434" display="https://afinvest.com.br/interno/relatorios/detalhes-de-ativos?id=1410&amp;codativo=ASAI22" xr:uid="{F505B2C2-4723-46CA-907E-3A79E260C5AE}"/>
    <hyperlink ref="D91" r:id="rId435" display="https://afinvest.com.br/interno/relatorios/detalhes-de-ativos?id=3175&amp;codativo=SBFC13" xr:uid="{5316E2BB-46B8-4F58-B090-900FA7E8A944}"/>
    <hyperlink ref="D159" r:id="rId436" display="https://afinvest.com.br/interno/relatorios/detalhes-de-ativos?id=1420&amp;codativo=SBFC12" xr:uid="{9F41F3EE-B8C6-49AC-BE7A-D3AA29C71981}"/>
    <hyperlink ref="D290" r:id="rId437" display="https://afinvest.com.br/interno/relatorios/detalhes-de-ativos?id=3175&amp;codativo=SBFC13" xr:uid="{7E494419-F600-44DD-B28E-C5FAB6836AC0}"/>
    <hyperlink ref="D291" r:id="rId438" display="https://afinvest.com.br/interno/relatorios/detalhes-de-ativos?id=1420&amp;codativo=SBFC12" xr:uid="{C790A829-2E7E-447E-941C-FB331728D442}"/>
    <hyperlink ref="D422" r:id="rId439" display="https://afinvest.com.br/interno/relatorios/detalhes-de-ativos?id=1420&amp;codativo=SBFC12" xr:uid="{AF270E04-8337-4E7F-80BB-6FA16AB14E9B}"/>
    <hyperlink ref="D423" r:id="rId440" display="https://afinvest.com.br/interno/relatorios/detalhes-de-ativos?id=3175&amp;codativo=SBFC13" xr:uid="{197734BA-10AF-4AD4-A8C7-A7149DF98314}"/>
    <hyperlink ref="D578" r:id="rId441" display="https://afinvest.com.br/interno/relatorios/detalhes-de-ativos?id=3175&amp;codativo=SBFC13" xr:uid="{CFC20E86-2D2F-4A67-8217-A811F7BBDC52}"/>
    <hyperlink ref="D768" r:id="rId442" display="https://afinvest.com.br/interno/relatorios/detalhes-de-ativos?id=3175&amp;codativo=SBFC13" xr:uid="{935EE27F-DF29-4085-8333-0B4F05BAEA8E}"/>
    <hyperlink ref="D1120" r:id="rId443" display="https://afinvest.com.br/interno/relatorios/detalhes-de-ativos?id=3175&amp;codativo=SBFC13" xr:uid="{4EDDC10A-0D27-4AD7-9857-7F05BB97EB4D}"/>
    <hyperlink ref="D20" r:id="rId444" display="https://afinvest.com.br/interno/relatorios/detalhes-de-ativos?id=3047&amp;codativo=GASC23" xr:uid="{6E6F3EEE-2EF5-4FF4-92A1-D76717E4A5A3}"/>
    <hyperlink ref="D292" r:id="rId445" display="https://afinvest.com.br/interno/relatorios/detalhes-de-ativos?id=1214&amp;codativo=RDCO10" xr:uid="{5E59CDE2-30D0-4CCB-BBAE-2F569BCFFC9E}"/>
    <hyperlink ref="D424" r:id="rId446" display="https://afinvest.com.br/interno/relatorios/detalhes-de-ativos?id=1214&amp;codativo=RDCO10" xr:uid="{F6DBA8BC-3843-4F1B-8BA6-7C4C846FC821}"/>
    <hyperlink ref="D579" r:id="rId447" display="https://afinvest.com.br/interno/relatorios/detalhes-de-ativos?id=1214&amp;codativo=RDCO10" xr:uid="{3DFF6A2D-E181-46E7-A186-9AC869BF2398}"/>
    <hyperlink ref="D769" r:id="rId448" display="https://afinvest.com.br/interno/relatorios/detalhes-de-ativos?id=1214&amp;codativo=RDCO10" xr:uid="{BBF86534-AD51-4120-B118-04BBAD470A5E}"/>
    <hyperlink ref="D1121" r:id="rId449" display="https://afinvest.com.br/interno/relatorios/detalhes-de-ativos?id=1214&amp;codativo=RDCO10" xr:uid="{C5E2AA07-70E5-45DD-800E-77D0681A273C}"/>
    <hyperlink ref="D92" r:id="rId450" display="https://afinvest.com.br/interno/relatorios/detalhes-de-ativos?id=2723&amp;codativo=RDORB9" xr:uid="{A06ED30E-FFA6-4D9A-A73E-FEC8172C73F2}"/>
    <hyperlink ref="D293" r:id="rId451" display="https://afinvest.com.br/interno/relatorios/detalhes-de-ativos?id=2723&amp;codativo=RDORB9" xr:uid="{675DA5F8-1BF1-482A-AE19-9C265C71C13C}"/>
    <hyperlink ref="D425" r:id="rId452" display="https://afinvest.com.br/interno/relatorios/detalhes-de-ativos?id=2723&amp;codativo=RDORB9" xr:uid="{BE76D2A9-FDDA-4E21-8E83-98DAD197AA1C}"/>
    <hyperlink ref="D426" r:id="rId453" display="https://afinvest.com.br/interno/relatorios/detalhes-de-ativos?id=3014&amp;codativo=RDORC9" xr:uid="{5F7A2E84-ABA0-4460-A066-0843181FE3C2}"/>
    <hyperlink ref="D580" r:id="rId454" display="https://afinvest.com.br/interno/relatorios/detalhes-de-ativos?id=2723&amp;codativo=RDORB9" xr:uid="{57109A14-3162-42E4-94BE-68D944CBFB94}"/>
    <hyperlink ref="D581" r:id="rId455" display="https://afinvest.com.br/interno/relatorios/detalhes-de-ativos?id=3014&amp;codativo=RDORC9" xr:uid="{77723557-5F09-407B-82B2-7336026ADA87}"/>
    <hyperlink ref="D770" r:id="rId456" display="https://afinvest.com.br/interno/relatorios/detalhes-de-ativos?id=2723&amp;codativo=RDORB9" xr:uid="{4215C196-682A-4595-B098-1E1621AF5140}"/>
    <hyperlink ref="D1122" r:id="rId457" display="https://afinvest.com.br/interno/relatorios/detalhes-de-ativos?id=2723&amp;codativo=RDORB9" xr:uid="{359AC2BB-45DF-4104-AC00-C8311FE5EE5A}"/>
    <hyperlink ref="D93" r:id="rId458" display="https://afinvest.com.br/interno/relatorios/detalhes-de-ativos?id=3368&amp;codativo=QUAL16" xr:uid="{8B966CBE-2F70-4F6D-AD08-F0C923B6888C}"/>
    <hyperlink ref="D294" r:id="rId459" display="https://afinvest.com.br/interno/relatorios/detalhes-de-ativos?id=3368&amp;codativo=QUAL16" xr:uid="{A562AEA1-7212-4A1D-AB3F-67511C0CD43B}"/>
    <hyperlink ref="D427" r:id="rId460" display="https://afinvest.com.br/interno/relatorios/detalhes-de-ativos?id=3368&amp;codativo=QUAL16" xr:uid="{3DCA4E1F-3B7A-4ED2-BA2A-04F7A5AE12B3}"/>
    <hyperlink ref="D582" r:id="rId461" display="https://afinvest.com.br/interno/relatorios/detalhes-de-ativos?id=3368&amp;codativo=QUAL16" xr:uid="{0479AAA8-CE68-40AE-B5D2-4A4463CBC269}"/>
    <hyperlink ref="D1123" r:id="rId462" display="https://afinvest.com.br/interno/relatorios/detalhes-de-ativos?id=3368&amp;codativo=QUAL16" xr:uid="{42175DC2-11B6-45CD-85AC-D63BEDC200BF}"/>
    <hyperlink ref="D21" r:id="rId463" display="https://afinvest.com.br/interno/relatorios/detalhes-de-ativos?id=3468&amp;codativo=PEJA11" xr:uid="{97BE6D8E-B730-4734-BD88-D567AF6D41FE}"/>
    <hyperlink ref="D94" r:id="rId464" display="https://afinvest.com.br/interno/relatorios/detalhes-de-ativos?id=5906&amp;codativo=PEJA21" xr:uid="{A9B0D0CB-8DFF-4B53-A360-09D21FF2AE86}"/>
    <hyperlink ref="D295" r:id="rId465" display="https://afinvest.com.br/interno/relatorios/detalhes-de-ativos?id=5906&amp;codativo=PEJA21" xr:uid="{AC43D562-57CA-46BE-8495-9D222FD5CDA3}"/>
    <hyperlink ref="D428" r:id="rId466" display="https://afinvest.com.br/interno/relatorios/detalhes-de-ativos?id=5906&amp;codativo=PEJA21" xr:uid="{87129335-4F89-479D-8078-9F014A363BAF}"/>
    <hyperlink ref="D583" r:id="rId467" display="https://afinvest.com.br/interno/relatorios/detalhes-de-ativos?id=5906&amp;codativo=PEJA21" xr:uid="{23ECE8B1-AEE3-4BEA-B67E-92CB6D81E9C2}"/>
    <hyperlink ref="D95" r:id="rId468" display="https://afinvest.com.br/interno/relatorios/detalhes-de-ativos?id=5840&amp;codativo=ONCO19" xr:uid="{F5E38806-2790-4D1A-9B42-3ED22FDCBA33}"/>
    <hyperlink ref="D160" r:id="rId469" display="https://afinvest.com.br/interno/relatorios/detalhes-de-ativos?id=5840&amp;codativo=ONCO19" xr:uid="{4855FFED-905E-485A-A877-FD733081975A}"/>
    <hyperlink ref="D296" r:id="rId470" display="https://afinvest.com.br/interno/relatorios/detalhes-de-ativos?id=5840&amp;codativo=ONCO19" xr:uid="{8CCB0EF1-42CD-4C33-A739-5450007B27B5}"/>
    <hyperlink ref="D429" r:id="rId471" display="https://afinvest.com.br/interno/relatorios/detalhes-de-ativos?id=5840&amp;codativo=ONCO19" xr:uid="{AE52A513-2B7D-41C5-A04D-857B9C177691}"/>
    <hyperlink ref="D1124" r:id="rId472" display="https://afinvest.com.br/interno/relatorios/detalhes-de-ativos?id=5840&amp;codativo=ONCO19" xr:uid="{BF02B2DA-AB4D-42D8-BB68-2851F6551837}"/>
    <hyperlink ref="D96" r:id="rId473" display="https://afinvest.com.br/interno/relatorios/detalhes-de-ativos?id=2626&amp;codativo=OMGE13" xr:uid="{798B0B92-D6C9-4963-AD70-7B505A114B7C}"/>
    <hyperlink ref="D297" r:id="rId474" display="https://afinvest.com.br/interno/relatorios/detalhes-de-ativos?id=2626&amp;codativo=OMGE13" xr:uid="{7504CBE0-D3B8-4D27-9A8C-4949BC765E2A}"/>
    <hyperlink ref="D430" r:id="rId475" display="https://afinvest.com.br/interno/relatorios/detalhes-de-ativos?id=2626&amp;codativo=OMGE13" xr:uid="{A6D6A857-D97E-4902-B40C-B68CF85216FD}"/>
    <hyperlink ref="D771" r:id="rId476" display="https://afinvest.com.br/interno/relatorios/detalhes-de-ativos?id=2626&amp;codativo=OMGE13" xr:uid="{4266FDA4-AEFF-4936-A0D8-4CABA46F7C63}"/>
    <hyperlink ref="D1125" r:id="rId477" display="https://afinvest.com.br/interno/relatorios/detalhes-de-ativos?id=2626&amp;codativo=OMGE13" xr:uid="{440C0398-1AE4-47C0-AC67-140BCC0047E0}"/>
    <hyperlink ref="D584" r:id="rId478" display="https://afinvest.com.br/interno/relatorios/detalhes-de-ativos?id=3395&amp;codativo=OGDS11" xr:uid="{23D3B5F2-3D17-45E2-B986-F58B882A9639}"/>
    <hyperlink ref="D1126" r:id="rId479" display="https://afinvest.com.br/interno/relatorios/detalhes-de-ativos?id=3395&amp;codativo=OGDS11" xr:uid="{6BA80954-EA57-45BD-AB4D-00E45B5C09AA}"/>
    <hyperlink ref="D97" r:id="rId480" display="https://afinvest.com.br/interno/relatorios/detalhes-de-ativos?id=8875&amp;codativo=NTSD17" xr:uid="{18E67DA2-DAD1-4861-8D30-E290B153BFF2}"/>
    <hyperlink ref="D298" r:id="rId481" display="https://afinvest.com.br/interno/relatorios/detalhes-de-ativos?id=8875&amp;codativo=NTSD17" xr:uid="{ACAEF826-4FDF-48AF-845E-BF7109DCC510}"/>
    <hyperlink ref="D431" r:id="rId482" display="https://afinvest.com.br/interno/relatorios/detalhes-de-ativos?id=8875&amp;codativo=NTSD17" xr:uid="{DB45C553-0DB1-4C27-B7B6-9F3C55407E2C}"/>
    <hyperlink ref="D585" r:id="rId483" display="https://afinvest.com.br/interno/relatorios/detalhes-de-ativos?id=5686&amp;codativo=NTSD35" xr:uid="{7BF12EC3-2474-4FE7-9514-F9ACAC72B46C}"/>
    <hyperlink ref="D1127" r:id="rId484" display="https://afinvest.com.br/interno/relatorios/detalhes-de-ativos?id=8875&amp;codativo=NTSD17" xr:uid="{D8037621-DF31-4B8C-9020-1F1AAF7916B6}"/>
    <hyperlink ref="D22" r:id="rId485" display="https://afinvest.com.br/interno/relatorios/detalhes-de-ativos?id=1861&amp;codativo=NEOE26" xr:uid="{A7792E05-9CD0-4556-BD96-59D4CB264E38}"/>
    <hyperlink ref="D23" r:id="rId486" display="https://afinvest.com.br/interno/relatorios/detalhes-de-ativos?id=2766&amp;codativo=MOVI37" xr:uid="{C001F571-1B83-4ABE-9675-EF69728630B9}"/>
    <hyperlink ref="D98" r:id="rId487" display="https://afinvest.com.br/interno/relatorios/detalhes-de-ativos?id=9425&amp;codativo=MVLV19" xr:uid="{46C97773-7ACC-4F19-9F82-9F4878F71C6B}"/>
    <hyperlink ref="D299" r:id="rId488" display="https://afinvest.com.br/interno/relatorios/detalhes-de-ativos?id=9425&amp;codativo=MVLV19" xr:uid="{668485C4-96D0-45FC-AA7D-D6FA70AAABB7}"/>
    <hyperlink ref="D432" r:id="rId489" display="https://afinvest.com.br/interno/relatorios/detalhes-de-ativos?id=9425&amp;codativo=MVLV19" xr:uid="{DAF2BAF7-431C-4B74-B0DE-7D3F1EF5CA92}"/>
    <hyperlink ref="D586" r:id="rId490" display="https://afinvest.com.br/interno/relatorios/detalhes-de-ativos?id=223&amp;codativo=MOVI34" xr:uid="{66265DC2-7B7B-48A8-86B8-3C3CED1E9119}"/>
    <hyperlink ref="D1128" r:id="rId491" display="https://afinvest.com.br/interno/relatorios/detalhes-de-ativos?id=2766&amp;codativo=MOVI37" xr:uid="{0F0EE624-E7C9-465E-93DA-90A84EA7D399}"/>
    <hyperlink ref="D300" r:id="rId492" display="https://afinvest.com.br/interno/relatorios/detalhes-de-ativos?id=3059&amp;codativo=MNRVA1" xr:uid="{D2FCA5A7-9D54-44B0-A28F-55722719F31D}"/>
    <hyperlink ref="D433" r:id="rId493" display="https://afinvest.com.br/interno/relatorios/detalhes-de-ativos?id=3059&amp;codativo=MNRVA1" xr:uid="{FAB8937D-7015-47DD-9517-8F513FA6F895}"/>
    <hyperlink ref="D587" r:id="rId494" display="https://afinvest.com.br/interno/relatorios/detalhes-de-ativos?id=3059&amp;codativo=MNRVA1" xr:uid="{195D6F46-3B88-44E2-92D5-1247A3F181C3}"/>
    <hyperlink ref="D772" r:id="rId495" display="https://afinvest.com.br/interno/relatorios/detalhes-de-ativos?id=3059&amp;codativo=MNRVA1" xr:uid="{F36BDA76-B5EE-4367-AE23-3BBDABDD8AF5}"/>
    <hyperlink ref="D1129" r:id="rId496" display="https://afinvest.com.br/interno/relatorios/detalhes-de-ativos?id=3059&amp;codativo=MNRVA1" xr:uid="{CA85A0FC-56D3-4234-9407-36CF1DC2298F}"/>
    <hyperlink ref="D24" r:id="rId497" display="https://afinvest.com.br/interno/relatorios/detalhes-de-ativos?id=2934&amp;codativo=MSGT33" xr:uid="{D258E0F0-7A88-4A7F-B526-454C6E61990B}"/>
    <hyperlink ref="D25" r:id="rId498" display="https://afinvest.com.br/interno/relatorios/detalhes-de-ativos?id=2933&amp;codativo=MSGT13" xr:uid="{6EBBE81D-6D63-4626-957B-8E50362F97BF}"/>
    <hyperlink ref="D301" r:id="rId499" display="https://afinvest.com.br/interno/relatorios/detalhes-de-ativos?id=7539&amp;codativo=LCAMC3" xr:uid="{92E690C0-F550-40D9-98A9-BF7573CCE4A8}"/>
    <hyperlink ref="D434" r:id="rId500" display="https://afinvest.com.br/interno/relatorios/detalhes-de-ativos?id=7539&amp;codativo=LCAMC3" xr:uid="{88BEB030-EA68-45E7-B175-8635F1262BA6}"/>
    <hyperlink ref="D588" r:id="rId501" display="https://afinvest.com.br/interno/relatorios/detalhes-de-ativos?id=2785&amp;codativo=LCAMB2" xr:uid="{9D888931-B989-4BCF-804F-B2FA5D6CCC97}"/>
    <hyperlink ref="D589" r:id="rId502" display="https://afinvest.com.br/interno/relatorios/detalhes-de-ativos?id=7539&amp;codativo=LCAMC3" xr:uid="{A078C722-1C0E-4E2C-B05C-79A545CE0A7A}"/>
    <hyperlink ref="D590" r:id="rId503" display="https://afinvest.com.br/interno/relatorios/detalhes-de-ativos?id=3082&amp;codativo=LORTB9" xr:uid="{54E6D9E6-CFFE-4C9C-9AD0-476E08384106}"/>
    <hyperlink ref="D99" r:id="rId504" display="https://afinvest.com.br/interno/relatorios/detalhes-de-ativos?id=1427&amp;codativo=LIGH1B" xr:uid="{63654FD8-B08F-4E7F-BB61-5F227CC47BEA}"/>
    <hyperlink ref="D100" r:id="rId505" display="https://afinvest.com.br/interno/relatorios/detalhes-de-ativos?id=9215&amp;codativo=LIGT11" xr:uid="{5A41B06C-4974-4855-8C26-80BBAD6E0A41}"/>
    <hyperlink ref="D101" r:id="rId506" display="https://afinvest.com.br/interno/relatorios/detalhes-de-ativos?id=9179&amp;codativo=LIGH2B" xr:uid="{A6848D17-B1F0-4340-B509-48C12258188E}"/>
    <hyperlink ref="D161" r:id="rId507" display="https://afinvest.com.br/interno/relatorios/detalhes-de-ativos?id=1427&amp;codativo=LIGH1B" xr:uid="{622B8EBE-E3F9-4822-929C-B5287799CC30}"/>
    <hyperlink ref="D162" r:id="rId508" display="https://afinvest.com.br/interno/relatorios/detalhes-de-ativos?id=9215&amp;codativo=LIGT11" xr:uid="{BD5FC311-1D97-4A2A-8220-C16E0122CB14}"/>
    <hyperlink ref="D163" r:id="rId509" display="https://afinvest.com.br/interno/relatorios/detalhes-de-ativos?id=215&amp;codativo=LIGHB6" xr:uid="{DDCF1651-A9D3-421D-BC6C-2E7318967439}"/>
    <hyperlink ref="D164" r:id="rId510" display="https://afinvest.com.br/interno/relatorios/detalhes-de-ativos?id=9179&amp;codativo=LIGH2B" xr:uid="{852BA36F-2B85-4F97-85E3-6BD0F927E709}"/>
    <hyperlink ref="D165" r:id="rId511" display="https://afinvest.com.br/interno/relatorios/detalhes-de-ativos?id=1637&amp;codativo=LIGHC6" xr:uid="{3A72BF94-B53B-4D9E-B5A6-573D8AF57E18}"/>
    <hyperlink ref="D190" r:id="rId512" display="https://afinvest.com.br/interno/relatorios/detalhes-de-ativos?id=1427&amp;codativo=LIGH1B" xr:uid="{38D2116C-9A51-460F-AC9D-B1928F22EF43}"/>
    <hyperlink ref="D191" r:id="rId513" display="https://afinvest.com.br/interno/relatorios/detalhes-de-ativos?id=9215&amp;codativo=LIGT11" xr:uid="{C2CBF124-8ABD-42A1-95AF-8B746DC1A507}"/>
    <hyperlink ref="D192" r:id="rId514" display="https://afinvest.com.br/interno/relatorios/detalhes-de-ativos?id=9179&amp;codativo=LIGH2B" xr:uid="{887A12E0-5430-4375-A4D6-CDCECE9F0ED5}"/>
    <hyperlink ref="D302" r:id="rId515" display="https://afinvest.com.br/interno/relatorios/detalhes-de-ativos?id=1427&amp;codativo=LIGH1B" xr:uid="{A9DB837D-9E7C-4DF5-8D40-53A6EA0FDB2D}"/>
    <hyperlink ref="D303" r:id="rId516" display="https://afinvest.com.br/interno/relatorios/detalhes-de-ativos?id=9215&amp;codativo=LIGT11" xr:uid="{198ADE02-AA5C-4BD6-AF3C-AB1236140E7C}"/>
    <hyperlink ref="D304" r:id="rId517" display="https://afinvest.com.br/interno/relatorios/detalhes-de-ativos?id=215&amp;codativo=LIGHB6" xr:uid="{59DD5431-E536-44A8-B790-82347ACD7175}"/>
    <hyperlink ref="D305" r:id="rId518" display="https://afinvest.com.br/interno/relatorios/detalhes-de-ativos?id=9179&amp;codativo=LIGH2B" xr:uid="{33503CFE-977A-4B4F-8120-6C7BD17F4238}"/>
    <hyperlink ref="D306" r:id="rId519" display="https://afinvest.com.br/interno/relatorios/detalhes-de-ativos?id=1637&amp;codativo=LIGHC6" xr:uid="{180DC450-509D-4CE7-AA9D-6A741E1FB24C}"/>
    <hyperlink ref="D435" r:id="rId520" display="https://afinvest.com.br/interno/relatorios/detalhes-de-ativos?id=1427&amp;codativo=LIGH1B" xr:uid="{0DC333FB-CCDD-4A69-BF31-195A1FE76BC3}"/>
    <hyperlink ref="D436" r:id="rId521" display="https://afinvest.com.br/interno/relatorios/detalhes-de-ativos?id=9215&amp;codativo=LIGT11" xr:uid="{930DF27F-F0E2-4E08-A325-87C2AED020B6}"/>
    <hyperlink ref="D437" r:id="rId522" display="https://afinvest.com.br/interno/relatorios/detalhes-de-ativos?id=215&amp;codativo=LIGHB6" xr:uid="{DFB66BD2-5020-4E70-ADE1-3F77765A151B}"/>
    <hyperlink ref="D438" r:id="rId523" display="https://afinvest.com.br/interno/relatorios/detalhes-de-ativos?id=9179&amp;codativo=LIGH2B" xr:uid="{BD8F7A06-0CE2-4BC5-B413-D3B30EE241B9}"/>
    <hyperlink ref="D439" r:id="rId524" display="https://afinvest.com.br/interno/relatorios/detalhes-de-ativos?id=1637&amp;codativo=LIGHC6" xr:uid="{1CDD860F-FF89-4658-AAA1-B6A59BE6513F}"/>
    <hyperlink ref="D591" r:id="rId525" display="https://afinvest.com.br/interno/relatorios/detalhes-de-ativos?id=1427&amp;codativo=LIGH1B" xr:uid="{A663C490-A454-4D15-9295-9C9B473E17F2}"/>
    <hyperlink ref="D592" r:id="rId526" display="https://afinvest.com.br/interno/relatorios/detalhes-de-ativos?id=9215&amp;codativo=LIGT11" xr:uid="{E62C873D-8063-48AA-89EB-6AF211618AFE}"/>
    <hyperlink ref="D593" r:id="rId527" display="https://afinvest.com.br/interno/relatorios/detalhes-de-ativos?id=9179&amp;codativo=LIGH2B" xr:uid="{68622527-6606-4C93-9BE0-3DA13BFE501A}"/>
    <hyperlink ref="D1059" r:id="rId528" display="https://afinvest.com.br/interno/relatorios/detalhes-de-ativos?id=215&amp;codativo=LIGHB6" xr:uid="{56C1DA47-BF0E-45B3-B6F3-93A917FB336C}"/>
    <hyperlink ref="D1060" r:id="rId529" display="https://afinvest.com.br/interno/relatorios/detalhes-de-ativos?id=9215&amp;codativo=LIGT11" xr:uid="{7BCA93B0-FC96-4C1C-B37D-0788AD182360}"/>
    <hyperlink ref="D1061" r:id="rId530" display="https://afinvest.com.br/interno/relatorios/detalhes-de-ativos?id=1637&amp;codativo=LIGHC6" xr:uid="{2AFBF56B-854B-4B2F-803D-6D93D374F241}"/>
    <hyperlink ref="D307" r:id="rId531" display="https://afinvest.com.br/interno/relatorios/detalhes-de-ativos?id=308&amp;codativo=KLBNA2" xr:uid="{E5A00937-3556-4C14-8E53-2927D72E8EC2}"/>
    <hyperlink ref="D440" r:id="rId532" display="https://afinvest.com.br/interno/relatorios/detalhes-de-ativos?id=308&amp;codativo=KLBNA2" xr:uid="{78A58B74-EB77-4F17-AAAB-A167CA7DA4A1}"/>
    <hyperlink ref="D594" r:id="rId533" display="https://afinvest.com.br/interno/relatorios/detalhes-de-ativos?id=308&amp;codativo=KLBNA2" xr:uid="{0BE123F7-2C7A-47FF-93F5-A2A1384AB332}"/>
    <hyperlink ref="D1130" r:id="rId534" display="https://afinvest.com.br/interno/relatorios/detalhes-de-ativos?id=308&amp;codativo=KLBNA2" xr:uid="{322A935F-89A4-4E00-9DAE-843EEC728981}"/>
    <hyperlink ref="D102" r:id="rId535" display="https://afinvest.com.br/interno/relatorios/detalhes-de-ativos?id=2846&amp;codativo=JSLGA5" xr:uid="{9E41D7A3-B6F3-408A-8198-503826E98E2C}"/>
    <hyperlink ref="D308" r:id="rId536" display="https://afinvest.com.br/interno/relatorios/detalhes-de-ativos?id=2846&amp;codativo=JSLGA5" xr:uid="{D589D957-A03C-4713-BEB0-1F06F8A51428}"/>
    <hyperlink ref="D441" r:id="rId537" display="https://afinvest.com.br/interno/relatorios/detalhes-de-ativos?id=2846&amp;codativo=JSLGA5" xr:uid="{941C4884-C18E-48E6-BA26-CA91E41DAB0F}"/>
    <hyperlink ref="D773" r:id="rId538" display="https://afinvest.com.br/interno/relatorios/detalhes-de-ativos?id=2846&amp;codativo=JSLGA5" xr:uid="{52C1A6D6-AA28-4D05-8F69-32C9F8B79E43}"/>
    <hyperlink ref="D1131" r:id="rId539" display="https://afinvest.com.br/interno/relatorios/detalhes-de-ativos?id=2846&amp;codativo=JSLGA5" xr:uid="{2CF49999-B43C-4BD1-859D-227AE518C2A3}"/>
    <hyperlink ref="D595" r:id="rId540" display="https://afinvest.com.br/interno/relatorios/detalhes-de-ativos?id=2829&amp;codativo=ITSA24" xr:uid="{23E2BA60-7027-4308-8946-BCEEA3947873}"/>
    <hyperlink ref="D774" r:id="rId541" display="https://afinvest.com.br/interno/relatorios/detalhes-de-ativos?id=2829&amp;codativo=ITSA24" xr:uid="{D05E01D1-7F9F-48AE-945A-C2C8B985EF42}"/>
    <hyperlink ref="D1132" r:id="rId542" display="https://afinvest.com.br/interno/relatorios/detalhes-de-ativos?id=2829&amp;codativo=ITSA24" xr:uid="{84C10949-9A8B-4DBE-AE80-9D70A219FBC9}"/>
    <hyperlink ref="D26" r:id="rId543" display="https://afinvest.com.br/interno/relatorios/detalhes-de-ativos?id=1168&amp;codativo=IGSN15" xr:uid="{7DEA8F38-0EA8-4FC1-8BDD-66B7D5A5BA75}"/>
    <hyperlink ref="D166" r:id="rId544" display="https://afinvest.com.br/interno/relatorios/detalhes-de-ativos?id=2844&amp;codativo=MATD11" xr:uid="{C15871ED-DEFD-4DFE-9B00-B13A99021F1E}"/>
    <hyperlink ref="D309" r:id="rId545" display="https://afinvest.com.br/interno/relatorios/detalhes-de-ativos?id=2844&amp;codativo=MATD11" xr:uid="{71E25B4F-06AB-443F-B7DC-0D2313566A41}"/>
    <hyperlink ref="D442" r:id="rId546" display="https://afinvest.com.br/interno/relatorios/detalhes-de-ativos?id=2844&amp;codativo=MATD11" xr:uid="{5657862B-8C44-429A-9255-23B592DA9D4A}"/>
    <hyperlink ref="D1133" r:id="rId547" display="https://afinvest.com.br/interno/relatorios/detalhes-de-ativos?id=2844&amp;codativo=MATD11" xr:uid="{1BF3B133-4D6D-428C-B801-D93D0554F27F}"/>
    <hyperlink ref="D103" r:id="rId548" display="https://afinvest.com.br/interno/relatorios/detalhes-de-ativos?id=5764&amp;codativo=HBSA12" xr:uid="{77794734-1D0C-4F1E-8928-013670FB80B7}"/>
    <hyperlink ref="D310" r:id="rId549" display="https://afinvest.com.br/interno/relatorios/detalhes-de-ativos?id=5764&amp;codativo=HBSA12" xr:uid="{E55DB994-0DCF-4455-A772-3A83317C4598}"/>
    <hyperlink ref="D443" r:id="rId550" display="https://afinvest.com.br/interno/relatorios/detalhes-de-ativos?id=5764&amp;codativo=HBSA12" xr:uid="{4C04611E-9E45-42FA-BA32-6E356A7A638E}"/>
    <hyperlink ref="D596" r:id="rId551" display="https://afinvest.com.br/interno/relatorios/detalhes-de-ativos?id=5764&amp;codativo=HBSA12" xr:uid="{2B54BB7A-6EF4-419D-87E3-277595019BD4}"/>
    <hyperlink ref="D775" r:id="rId552" display="https://afinvest.com.br/interno/relatorios/detalhes-de-ativos?id=5764&amp;codativo=HBSA12" xr:uid="{FD372EBD-E47F-44D4-A142-45513D2C2377}"/>
    <hyperlink ref="D1134" r:id="rId553" display="https://afinvest.com.br/interno/relatorios/detalhes-de-ativos?id=5764&amp;codativo=HBSA12" xr:uid="{04822EE8-0D60-4F9E-A8F7-B51DD7D118BB}"/>
    <hyperlink ref="D311" r:id="rId554" display="https://afinvest.com.br/interno/relatorios/detalhes-de-ativos?id=2877&amp;codativo=HAPV22" xr:uid="{DDAD9070-AB8A-408A-8EE9-74D60D96CA85}"/>
    <hyperlink ref="D444" r:id="rId555" display="https://afinvest.com.br/interno/relatorios/detalhes-de-ativos?id=2877&amp;codativo=HAPV22" xr:uid="{179F8697-5C39-4C66-9394-8B31999A9A9C}"/>
    <hyperlink ref="D597" r:id="rId556" display="https://afinvest.com.br/interno/relatorios/detalhes-de-ativos?id=2877&amp;codativo=HAPV22" xr:uid="{F57AA36C-9027-413E-9F2B-1D2D9DD4971A}"/>
    <hyperlink ref="D776" r:id="rId557" display="https://afinvest.com.br/interno/relatorios/detalhes-de-ativos?id=2877&amp;codativo=HAPV22" xr:uid="{2A3A39A2-95D3-4268-B6F9-7FAA00957A29}"/>
    <hyperlink ref="D1135" r:id="rId558" display="https://afinvest.com.br/interno/relatorios/detalhes-de-ativos?id=2877&amp;codativo=HAPV22" xr:uid="{F3CABB8A-05F7-442F-B4D0-900DE804EC6C}"/>
    <hyperlink ref="D445" r:id="rId559" display="https://afinvest.com.br/interno/relatorios/detalhes-de-ativos?id=9151&amp;codativo=AEGE17" xr:uid="{99D8B6B7-45F4-49FF-894F-E393128938E1}"/>
    <hyperlink ref="D598" r:id="rId560" display="https://afinvest.com.br/interno/relatorios/detalhes-de-ativos?id=9151&amp;codativo=AEGE17" xr:uid="{7816C640-35AE-4FD9-B26D-A8162C7BA0F6}"/>
    <hyperlink ref="D777" r:id="rId561" display="https://afinvest.com.br/interno/relatorios/detalhes-de-ativos?id=9151&amp;codativo=AEGE17" xr:uid="{D7ACA76A-F3AA-4762-9CE0-45A53EEB0D54}"/>
    <hyperlink ref="D1136" r:id="rId562" display="https://afinvest.com.br/interno/relatorios/detalhes-de-ativos?id=9151&amp;codativo=AEGE17" xr:uid="{5F34EF68-DB1A-461C-9B3B-18431E2280C1}"/>
    <hyperlink ref="D27" r:id="rId563" display="https://afinvest.com.br/interno/relatorios/detalhes-de-ativos?id=1833&amp;codativo=EQTR11" xr:uid="{A0BCD18C-35F2-4F4F-ACDE-1F0747F7B57D}"/>
    <hyperlink ref="D104" r:id="rId564" display="https://afinvest.com.br/interno/relatorios/detalhes-de-ativos?id=7270&amp;codativo=CGOS14" xr:uid="{6ED21D2D-65CD-4153-A902-EDD7F3F36215}"/>
    <hyperlink ref="D105" r:id="rId565" display="https://afinvest.com.br/interno/relatorios/detalhes-de-ativos?id=8876&amp;codativo=CGOS18" xr:uid="{67F5E428-615F-450C-A913-8C046C2C9237}"/>
    <hyperlink ref="D312" r:id="rId566" display="https://afinvest.com.br/interno/relatorios/detalhes-de-ativos?id=7270&amp;codativo=CGOS14" xr:uid="{FC20770B-6E46-4914-8185-198AB7A24804}"/>
    <hyperlink ref="D313" r:id="rId567" display="https://afinvest.com.br/interno/relatorios/detalhes-de-ativos?id=8876&amp;codativo=CGOS18" xr:uid="{137CCDCD-9CB5-445E-926C-D4C9AC8C58B8}"/>
    <hyperlink ref="D446" r:id="rId568" display="https://afinvest.com.br/interno/relatorios/detalhes-de-ativos?id=7270&amp;codativo=CGOS14" xr:uid="{140A291F-D9A4-4C25-8FDB-54144AA12969}"/>
    <hyperlink ref="D447" r:id="rId569" display="https://afinvest.com.br/interno/relatorios/detalhes-de-ativos?id=8876&amp;codativo=CGOS18" xr:uid="{5623C845-1619-437B-AE9F-3C77E3E917F5}"/>
    <hyperlink ref="D599" r:id="rId570" display="https://afinvest.com.br/interno/relatorios/detalhes-de-ativos?id=8876&amp;codativo=CGOS18" xr:uid="{DAF79BE8-4F33-409F-AB1F-997F2181BA3D}"/>
    <hyperlink ref="D600" r:id="rId571" display="https://afinvest.com.br/interno/relatorios/detalhes-de-ativos?id=7270&amp;codativo=CGOS14" xr:uid="{01A85AB7-8EDD-4CF8-815E-C4B4588CA8DA}"/>
    <hyperlink ref="D778" r:id="rId572" display="https://afinvest.com.br/interno/relatorios/detalhes-de-ativos?id=7270&amp;codativo=CGOS14" xr:uid="{489F5E07-D3C0-4424-854B-0EDD999C7153}"/>
    <hyperlink ref="D1137" r:id="rId573" display="https://afinvest.com.br/interno/relatorios/detalhes-de-ativos?id=7270&amp;codativo=CGOS14" xr:uid="{6714E868-9E4C-4442-818E-FCFF322DCB80}"/>
    <hyperlink ref="D1138" r:id="rId574" display="https://afinvest.com.br/interno/relatorios/detalhes-de-ativos?id=8876&amp;codativo=CGOS18" xr:uid="{967813E3-79AD-4CA7-951A-862D1CF2AF4E}"/>
    <hyperlink ref="D28" r:id="rId575" display="https://afinvest.com.br/interno/relatorios/detalhes-de-ativos?id=1807&amp;codativo=ENEV32" xr:uid="{E413F515-B592-4494-8078-5B8C23BD5904}"/>
    <hyperlink ref="D106" r:id="rId576" display="https://afinvest.com.br/interno/relatorios/detalhes-de-ativos?id=2839&amp;codativo=ENGIC5" xr:uid="{B36B5373-3ECA-4C22-B50B-AF8DD23CB462}"/>
    <hyperlink ref="D314" r:id="rId577" display="https://afinvest.com.br/interno/relatorios/detalhes-de-ativos?id=2839&amp;codativo=ENGIC5" xr:uid="{C852FFAB-F712-44FB-8DE4-B5DE148EE96A}"/>
    <hyperlink ref="D315" r:id="rId578" display="https://afinvest.com.br/interno/relatorios/detalhes-de-ativos?id=886&amp;codativo=ENGIA3" xr:uid="{E22A1FF2-5281-4C4F-BD8A-9F3BA3ACA3BA}"/>
    <hyperlink ref="D448" r:id="rId579" display="https://afinvest.com.br/interno/relatorios/detalhes-de-ativos?id=2839&amp;codativo=ENGIC5" xr:uid="{967F52F3-66D1-4C48-B8E5-772676B34C51}"/>
    <hyperlink ref="D449" r:id="rId580" display="https://afinvest.com.br/interno/relatorios/detalhes-de-ativos?id=886&amp;codativo=ENGIA3" xr:uid="{E7C0395E-8834-4594-90B8-8D0D4C1D6B3F}"/>
    <hyperlink ref="D1139" r:id="rId581" display="https://afinvest.com.br/interno/relatorios/detalhes-de-ativos?id=2839&amp;codativo=ENGIC5" xr:uid="{CCEF90A2-3C8B-413A-AF02-4081F6EFB57D}"/>
    <hyperlink ref="D29" r:id="rId582" display="https://afinvest.com.br/interno/relatorios/detalhes-de-ativos?id=3038&amp;codativo=ESULA6" xr:uid="{5666D709-35FB-4917-8E44-73AC59436094}"/>
    <hyperlink ref="D30" r:id="rId583" display="https://afinvest.com.br/interno/relatorios/detalhes-de-ativos?id=8430&amp;codativo=ENAT14" xr:uid="{36733CA3-97DC-4835-A46F-66ECD9D4812C}"/>
    <hyperlink ref="D31" r:id="rId584" display="https://afinvest.com.br/interno/relatorios/detalhes-de-ativos?id=7269&amp;codativo=ERDVC3" xr:uid="{AB81284B-39E0-4FDB-A994-9DC0AF429E68}"/>
    <hyperlink ref="D107" r:id="rId585" display="https://afinvest.com.br/interno/relatorios/detalhes-de-ativos?id=7268&amp;codativo=ERDVB3" xr:uid="{2E304605-A746-4C68-8494-8941725F0BAF}"/>
    <hyperlink ref="D316" r:id="rId586" display="https://afinvest.com.br/interno/relatorios/detalhes-de-ativos?id=6635&amp;codativo=ERDVA2" xr:uid="{D6989EEB-8A6D-41AD-92AD-38BF8F90D9A3}"/>
    <hyperlink ref="D317" r:id="rId587" display="https://afinvest.com.br/interno/relatorios/detalhes-de-ativos?id=7268&amp;codativo=ERDVB3" xr:uid="{344D8E9E-FF8A-4231-981C-933D4FA29505}"/>
    <hyperlink ref="D450" r:id="rId588" display="https://afinvest.com.br/interno/relatorios/detalhes-de-ativos?id=6635&amp;codativo=ERDVA2" xr:uid="{DAC2D286-6C81-4B94-9841-15163BD835B5}"/>
    <hyperlink ref="D451" r:id="rId589" display="https://afinvest.com.br/interno/relatorios/detalhes-de-ativos?id=7268&amp;codativo=ERDVB3" xr:uid="{51ACA81C-D1DC-459D-A5F6-D5AE8A0ED347}"/>
    <hyperlink ref="D601" r:id="rId590" display="https://afinvest.com.br/interno/relatorios/detalhes-de-ativos?id=7268&amp;codativo=ERDVB3" xr:uid="{51FD5004-8D2A-4F7B-B074-0EE8A8954370}"/>
    <hyperlink ref="D602" r:id="rId591" display="https://afinvest.com.br/interno/relatorios/detalhes-de-ativos?id=6635&amp;codativo=ERDVA2" xr:uid="{4F9F0C90-AC0E-4671-B2FD-25DC9C349624}"/>
    <hyperlink ref="D779" r:id="rId592" display="https://afinvest.com.br/interno/relatorios/detalhes-de-ativos?id=7268&amp;codativo=ERDVB3" xr:uid="{AB740764-7969-41C2-B990-0F49F6DBDF64}"/>
    <hyperlink ref="D1140" r:id="rId593" display="https://afinvest.com.br/interno/relatorios/detalhes-de-ativos?id=7268&amp;codativo=ERDVB3" xr:uid="{0F58CC78-9682-4240-B7A3-FD9B28561D52}"/>
    <hyperlink ref="D32" r:id="rId594" display="https://afinvest.com.br/interno/relatorios/detalhes-de-ativos?id=1767&amp;codativo=ECHP11" xr:uid="{B0B6C842-9572-4DCB-A1FF-B691D31633FF}"/>
    <hyperlink ref="D108" r:id="rId595" display="https://afinvest.com.br/interno/relatorios/detalhes-de-ativos?id=1596&amp;codativo=DASAA4" xr:uid="{8E0A1147-7B35-4ADE-B632-78500B5AED2C}"/>
    <hyperlink ref="D167" r:id="rId596" display="https://afinvest.com.br/interno/relatorios/detalhes-de-ativos?id=1596&amp;codativo=DASAA4" xr:uid="{3FC8A076-2DED-4EAC-B8D8-103DEC9D5F7C}"/>
    <hyperlink ref="D318" r:id="rId597" display="https://afinvest.com.br/interno/relatorios/detalhes-de-ativos?id=1596&amp;codativo=DASAA4" xr:uid="{3D09E730-3DC5-4A7A-993D-CE1AA17B83D8}"/>
    <hyperlink ref="D452" r:id="rId598" display="https://afinvest.com.br/interno/relatorios/detalhes-de-ativos?id=1596&amp;codativo=DASAA4" xr:uid="{CFD38C21-D645-4FF8-A5AA-022F6172DD67}"/>
    <hyperlink ref="D603" r:id="rId599" display="https://afinvest.com.br/interno/relatorios/detalhes-de-ativos?id=1596&amp;codativo=DASAA4" xr:uid="{71B42B30-3381-4AD7-BB9F-0F2A060BCA3F}"/>
    <hyperlink ref="D1141" r:id="rId600" display="https://afinvest.com.br/interno/relatorios/detalhes-de-ativos?id=1596&amp;codativo=DASAA4" xr:uid="{1AB38867-D87A-4E5F-AC63-169F6AE9163F}"/>
    <hyperlink ref="D109" r:id="rId601" display="https://afinvest.com.br/interno/relatorios/detalhes-de-ativos?id=8432&amp;codativo=CSANB0" xr:uid="{B2490A96-3365-4A78-9780-A8FC4FC4400A}"/>
    <hyperlink ref="D110" r:id="rId602" display="https://afinvest.com.br/interno/relatorios/detalhes-de-ativos?id=8431&amp;codativo=CSANA0" xr:uid="{5580BC78-2F7E-485F-AD8E-A6A80D6AD868}"/>
    <hyperlink ref="D319" r:id="rId603" display="https://afinvest.com.br/interno/relatorios/detalhes-de-ativos?id=3187&amp;codativo=CSAN24" xr:uid="{A20B3451-B5E4-4929-97CD-A82D26696DB9}"/>
    <hyperlink ref="D320" r:id="rId604" display="https://afinvest.com.br/interno/relatorios/detalhes-de-ativos?id=8431&amp;codativo=CSANA0" xr:uid="{BCAD550F-9C48-4300-AE38-4C0F5DF31F36}"/>
    <hyperlink ref="D453" r:id="rId605" display="https://afinvest.com.br/interno/relatorios/detalhes-de-ativos?id=3187&amp;codativo=CSAN24" xr:uid="{30449812-92CE-4C8E-A3DA-F7511A0A0219}"/>
    <hyperlink ref="D454" r:id="rId606" display="https://afinvest.com.br/interno/relatorios/detalhes-de-ativos?id=8431&amp;codativo=CSANA0" xr:uid="{8417584B-0F11-47D4-8723-BC06613636AF}"/>
    <hyperlink ref="D604" r:id="rId607" display="https://afinvest.com.br/interno/relatorios/detalhes-de-ativos?id=2689&amp;codativo=CSAN23" xr:uid="{EBDD48D5-B670-4266-B686-EA1EEED33156}"/>
    <hyperlink ref="D605" r:id="rId608" display="https://afinvest.com.br/interno/relatorios/detalhes-de-ativos?id=3187&amp;codativo=CSAN24" xr:uid="{95A15E41-D9CD-4380-8135-E7CE4FFB26FB}"/>
    <hyperlink ref="D780" r:id="rId609" display="https://afinvest.com.br/interno/relatorios/detalhes-de-ativos?id=8432&amp;codativo=CSANB0" xr:uid="{CAC73EE0-08DA-4FFF-83A0-E1589C0EF980}"/>
    <hyperlink ref="D781" r:id="rId610" display="https://afinvest.com.br/interno/relatorios/detalhes-de-ativos?id=8431&amp;codativo=CSANA0" xr:uid="{EC87A009-683D-4842-A6F2-0036E675FC3D}"/>
    <hyperlink ref="D1142" r:id="rId611" display="https://afinvest.com.br/interno/relatorios/detalhes-de-ativos?id=8432&amp;codativo=CSANB0" xr:uid="{F0F0B078-7A5B-4159-8B26-4DCF0B437E09}"/>
    <hyperlink ref="D1143" r:id="rId612" display="https://afinvest.com.br/interno/relatorios/detalhes-de-ativos?id=8431&amp;codativo=CSANA0" xr:uid="{8BDF4FCA-E5CF-47EB-85C7-5A6AE2CE57E9}"/>
    <hyperlink ref="D33" r:id="rId613" display="https://afinvest.com.br/interno/relatorios/detalhes-de-ativos?id=3364&amp;codativo=CPLD37" xr:uid="{2DACA9C9-DFE3-49F1-BFA5-DE7B39297A40}"/>
    <hyperlink ref="D111" r:id="rId614" display="https://afinvest.com.br/interno/relatorios/detalhes-de-ativos?id=2833&amp;codativo=CGBP13" xr:uid="{B50E05CA-9D20-4788-853D-4B280A344810}"/>
    <hyperlink ref="D321" r:id="rId615" display="https://afinvest.com.br/interno/relatorios/detalhes-de-ativos?id=2833&amp;codativo=CGBP13" xr:uid="{F517D140-B003-499C-969C-0A9391370553}"/>
    <hyperlink ref="D455" r:id="rId616" display="https://afinvest.com.br/interno/relatorios/detalhes-de-ativos?id=2833&amp;codativo=CGBP13" xr:uid="{A5CABE72-8C74-482E-99B9-A0C83F82FC1B}"/>
    <hyperlink ref="D782" r:id="rId617" display="https://afinvest.com.br/interno/relatorios/detalhes-de-ativos?id=2833&amp;codativo=CGBP13" xr:uid="{D4088DFF-E745-42C9-A5C0-A96F218D1BB1}"/>
    <hyperlink ref="D1144" r:id="rId618" display="https://afinvest.com.br/interno/relatorios/detalhes-de-ativos?id=2833&amp;codativo=CGBP13" xr:uid="{060628BA-6CFA-4DCE-BF41-7C31FA574B7A}"/>
    <hyperlink ref="D112" r:id="rId619" display="https://afinvest.com.br/interno/relatorios/detalhes-de-ativos?id=7543&amp;codativo=CRNP11" xr:uid="{49E35DD1-35C4-4917-B1A0-176D047D09AF}"/>
    <hyperlink ref="D168" r:id="rId620" display="https://afinvest.com.br/interno/relatorios/detalhes-de-ativos?id=7543&amp;codativo=CRNP11" xr:uid="{A103C773-2CF5-4012-B423-B557073F3C8B}"/>
    <hyperlink ref="D606" r:id="rId621" display="https://afinvest.com.br/interno/relatorios/detalhes-de-ativos?id=7543&amp;codativo=CRNP11" xr:uid="{A7A9FD92-FE15-4872-9283-2C6E152D5E71}"/>
    <hyperlink ref="D1145" r:id="rId622" display="https://afinvest.com.br/interno/relatorios/detalhes-de-ativos?id=7543&amp;codativo=CRNP11" xr:uid="{2D1D2431-9104-42F5-95F2-D794430F045B}"/>
    <hyperlink ref="D113" r:id="rId623" display="https://afinvest.com.br/interno/relatorios/detalhes-de-ativos?id=7260&amp;codativo=PASS12" xr:uid="{BF15B9C1-D059-4A86-9FCB-31C612734200}"/>
    <hyperlink ref="D322" r:id="rId624" display="https://afinvest.com.br/interno/relatorios/detalhes-de-ativos?id=7260&amp;codativo=PASS12" xr:uid="{8683BE60-4415-43FA-B47F-789DDE75B804}"/>
    <hyperlink ref="D456" r:id="rId625" display="https://afinvest.com.br/interno/relatorios/detalhes-de-ativos?id=7260&amp;codativo=PASS12" xr:uid="{5CEE44CF-19F4-430C-A3C2-690767AD4E12}"/>
    <hyperlink ref="D607" r:id="rId626" display="https://afinvest.com.br/interno/relatorios/detalhes-de-ativos?id=7260&amp;codativo=PASS12" xr:uid="{FA06C349-BDB3-4203-A5DC-FE015F0D39F6}"/>
    <hyperlink ref="D783" r:id="rId627" display="https://afinvest.com.br/interno/relatorios/detalhes-de-ativos?id=7260&amp;codativo=PASS12" xr:uid="{D5759A23-17DA-4B68-9ABC-528CAE7EB7F5}"/>
    <hyperlink ref="D1146" r:id="rId628" display="https://afinvest.com.br/interno/relatorios/detalhes-de-ativos?id=7260&amp;codativo=PASS12" xr:uid="{E86BC294-844F-4012-BE80-F09D76CFA04C}"/>
    <hyperlink ref="D114" r:id="rId629" display="https://afinvest.com.br/interno/relatorios/detalhes-de-ativos?id=5729&amp;codativo=CSNAA2" xr:uid="{B70EE971-6B21-4EC3-969D-D5200C76D21A}"/>
    <hyperlink ref="D323" r:id="rId630" display="https://afinvest.com.br/interno/relatorios/detalhes-de-ativos?id=5729&amp;codativo=CSNAA2" xr:uid="{4BEBC130-80C0-4AA7-BA60-733500EF3EAB}"/>
    <hyperlink ref="D457" r:id="rId631" display="https://afinvest.com.br/interno/relatorios/detalhes-de-ativos?id=5729&amp;codativo=CSNAA2" xr:uid="{4AC4697E-9D98-4A80-84C7-030ED0A7B265}"/>
    <hyperlink ref="D608" r:id="rId632" display="https://afinvest.com.br/interno/relatorios/detalhes-de-ativos?id=3155&amp;codativo=CSNAA1" xr:uid="{6AB3E38B-458C-475A-A41A-E09E8EF63E04}"/>
    <hyperlink ref="D609" r:id="rId633" display="https://afinvest.com.br/interno/relatorios/detalhes-de-ativos?id=5729&amp;codativo=CSNAA2" xr:uid="{B36C776D-84B2-4811-931D-2CFFEFE16B5E}"/>
    <hyperlink ref="D784" r:id="rId634" display="https://afinvest.com.br/interno/relatorios/detalhes-de-ativos?id=5729&amp;codativo=CSNAA2" xr:uid="{DACC48B4-6A92-42A2-B238-0B5FE4425E39}"/>
    <hyperlink ref="D1147" r:id="rId635" display="https://afinvest.com.br/interno/relatorios/detalhes-de-ativos?id=5729&amp;codativo=CSNAA2" xr:uid="{87FCE078-422D-4079-B728-F527799EEA76}"/>
    <hyperlink ref="D169" r:id="rId636" display="https://afinvest.com.br/interno/relatorios/detalhes-de-ativos?id=3460&amp;codativo=VTII12" xr:uid="{66D98134-2985-4D71-8DBE-B262C5F0A9BE}"/>
    <hyperlink ref="D610" r:id="rId637" display="https://afinvest.com.br/interno/relatorios/detalhes-de-ativos?id=3460&amp;codativo=VTII12" xr:uid="{AC7DFECB-260B-43C7-B08E-4551F24EE724}"/>
    <hyperlink ref="D1148" r:id="rId638" display="https://afinvest.com.br/interno/relatorios/detalhes-de-ativos?id=3460&amp;codativo=VTII12" xr:uid="{5F96F440-ECEE-477E-B75F-2E0FC452F61D}"/>
    <hyperlink ref="D324" r:id="rId639" display="https://afinvest.com.br/interno/relatorios/detalhes-de-ativos?id=3508&amp;codativo=CRCG12" xr:uid="{C0E55B98-62DF-457D-8AEA-80B60947908B}"/>
    <hyperlink ref="D458" r:id="rId640" display="https://afinvest.com.br/interno/relatorios/detalhes-de-ativos?id=3508&amp;codativo=CRCG12" xr:uid="{AFEE7147-E724-49B4-AB46-8B3A1531F035}"/>
    <hyperlink ref="D785" r:id="rId641" display="https://afinvest.com.br/interno/relatorios/detalhes-de-ativos?id=3508&amp;codativo=CRCG12" xr:uid="{EDDDEAAC-DF40-4534-86BC-9B0947FFEA35}"/>
    <hyperlink ref="D1149" r:id="rId642" display="https://afinvest.com.br/interno/relatorios/detalhes-de-ativos?id=3508&amp;codativo=CRCG12" xr:uid="{207FBA2C-A65B-4FE6-BEC6-C58C9A25BF1E}"/>
    <hyperlink ref="D115" r:id="rId643" display="https://afinvest.com.br/interno/relatorios/detalhes-de-ativos?id=8005&amp;codativo=CHSF12" xr:uid="{72092BC5-6F7D-4586-B459-B3220CABB54F}"/>
    <hyperlink ref="D325" r:id="rId644" display="https://afinvest.com.br/interno/relatorios/detalhes-de-ativos?id=8005&amp;codativo=CHSF12" xr:uid="{0E88A2FC-CF80-4233-95BF-6B1DECDCA279}"/>
    <hyperlink ref="D459" r:id="rId645" display="https://afinvest.com.br/interno/relatorios/detalhes-de-ativos?id=8005&amp;codativo=CHSF12" xr:uid="{07401B48-FD55-4044-A268-2057AED82C51}"/>
    <hyperlink ref="D786" r:id="rId646" display="https://afinvest.com.br/interno/relatorios/detalhes-de-ativos?id=8005&amp;codativo=CHSF12" xr:uid="{C1A488C3-B11C-4E2A-A1DD-5852560C50A1}"/>
    <hyperlink ref="D1150" r:id="rId647" display="https://afinvest.com.br/interno/relatorios/detalhes-de-ativos?id=8005&amp;codativo=CHSF12" xr:uid="{0275FAC1-90EE-464A-8D83-92865040AB66}"/>
    <hyperlink ref="D34" r:id="rId648" display="https://afinvest.com.br/interno/relatorios/detalhes-de-ativos?id=5638&amp;codativo=COCE18" xr:uid="{367EB2D1-B5D3-42F7-A123-F5439DCC40BA}"/>
    <hyperlink ref="D611" r:id="rId649" display="https://afinvest.com.br/interno/relatorios/detalhes-de-ativos?id=3179&amp;codativo=MTRO12" xr:uid="{FEDF3B7C-D98B-4D8D-A8AE-E89B173FB1F0}"/>
    <hyperlink ref="D35" r:id="rId650" display="https://afinvest.com.br/interno/relatorios/detalhes-de-ativos?id=9077&amp;codativo=CTEE29" xr:uid="{4A2128BC-921D-45A8-82DA-4B19EA5A36D2}"/>
    <hyperlink ref="D36" r:id="rId651" display="https://afinvest.com.br/interno/relatorios/detalhes-de-ativos?id=8443&amp;codativo=CAEC12" xr:uid="{9E40405A-1E3E-4921-A206-F2E4595651F4}"/>
    <hyperlink ref="D116" r:id="rId652" display="https://afinvest.com.br/interno/relatorios/detalhes-de-ativos?id=8444&amp;codativo=CAEC22" xr:uid="{56684674-B95D-4A8F-8168-20D3DBA5C27D}"/>
    <hyperlink ref="D326" r:id="rId653" display="https://afinvest.com.br/interno/relatorios/detalhes-de-ativos?id=8444&amp;codativo=CAEC22" xr:uid="{7F87C80C-1B6F-49A6-B6E9-24215278BF80}"/>
    <hyperlink ref="D460" r:id="rId654" display="https://afinvest.com.br/interno/relatorios/detalhes-de-ativos?id=8444&amp;codativo=CAEC22" xr:uid="{230CDD66-B688-4714-BAC2-CCF164CE7E52}"/>
    <hyperlink ref="D612" r:id="rId655" display="https://afinvest.com.br/interno/relatorios/detalhes-de-ativos?id=8444&amp;codativo=CAEC22" xr:uid="{955E1322-587C-4D80-BBFC-26BDC98613F0}"/>
    <hyperlink ref="D787" r:id="rId656" display="https://afinvest.com.br/interno/relatorios/detalhes-de-ativos?id=8444&amp;codativo=CAEC22" xr:uid="{5A6D94A4-403A-41E6-AD5A-9430677B4167}"/>
    <hyperlink ref="D1151" r:id="rId657" display="https://afinvest.com.br/interno/relatorios/detalhes-de-ativos?id=8444&amp;codativo=CAEC22" xr:uid="{954DC4A7-6CE4-424E-AF41-604BF489AD7D}"/>
    <hyperlink ref="D117" r:id="rId658" display="https://afinvest.com.br/interno/relatorios/detalhes-de-ativos?id=2780&amp;codativo=CBRDB8" xr:uid="{6AD72F03-645B-48F2-B88B-FCA5CC26F49A}"/>
    <hyperlink ref="D327" r:id="rId659" display="https://afinvest.com.br/interno/relatorios/detalhes-de-ativos?id=2779&amp;codativo=CBRDA8" xr:uid="{21A4E355-FA27-4451-91B5-1B17410BF369}"/>
    <hyperlink ref="D328" r:id="rId660" display="https://afinvest.com.br/interno/relatorios/detalhes-de-ativos?id=2780&amp;codativo=CBRDB8" xr:uid="{38EB7C72-0E72-42B7-82A0-54CD98D6D152}"/>
    <hyperlink ref="D461" r:id="rId661" display="https://afinvest.com.br/interno/relatorios/detalhes-de-ativos?id=2779&amp;codativo=CBRDA8" xr:uid="{02E29BD3-D6D2-4568-975C-D95CFE16567F}"/>
    <hyperlink ref="D462" r:id="rId662" display="https://afinvest.com.br/interno/relatorios/detalhes-de-ativos?id=2780&amp;codativo=CBRDB8" xr:uid="{34B9522E-35B8-4121-8250-DAD7CA4E9746}"/>
    <hyperlink ref="D613" r:id="rId663" display="https://afinvest.com.br/interno/relatorios/detalhes-de-ativos?id=2779&amp;codativo=CBRDA8" xr:uid="{71AE8E89-9D94-4806-AA79-9CDE422C5207}"/>
    <hyperlink ref="D614" r:id="rId664" display="https://afinvest.com.br/interno/relatorios/detalhes-de-ativos?id=2780&amp;codativo=CBRDB8" xr:uid="{3E3AC1FA-DFF7-433C-AE4A-1A1C54758100}"/>
    <hyperlink ref="D788" r:id="rId665" display="https://afinvest.com.br/interno/relatorios/detalhes-de-ativos?id=2779&amp;codativo=CBRDA8" xr:uid="{EB02FE3B-0579-423C-ACE6-7485767CE0AC}"/>
    <hyperlink ref="D789" r:id="rId666" display="https://afinvest.com.br/interno/relatorios/detalhes-de-ativos?id=2780&amp;codativo=CBRDB8" xr:uid="{6220DA57-3999-43A3-A8CE-C5E74B9CBCB4}"/>
    <hyperlink ref="D1152" r:id="rId667" display="https://afinvest.com.br/interno/relatorios/detalhes-de-ativos?id=2779&amp;codativo=CBRDA8" xr:uid="{77041A6E-0757-492C-8562-FE46CE41F6B0}"/>
    <hyperlink ref="D615" r:id="rId668" display="https://afinvest.com.br/interno/relatorios/detalhes-de-ativos?id=8478&amp;codativo=CEDO13" xr:uid="{E05BA87B-D1E1-41CD-A37C-9383B064AD9B}"/>
    <hyperlink ref="D37" r:id="rId669" display="https://afinvest.com.br/interno/relatorios/detalhes-de-ativos?id=3042&amp;codativo=CEEBC3" xr:uid="{E23EC41F-C983-4128-BB3B-0351EC5B52C2}"/>
    <hyperlink ref="D118" r:id="rId670" display="https://afinvest.com.br/interno/relatorios/detalhes-de-ativos?id=5722&amp;codativo=AALR13" xr:uid="{69BB8922-1AD1-44FA-BEAB-E10293E04EBC}"/>
    <hyperlink ref="D170" r:id="rId671" display="https://afinvest.com.br/interno/relatorios/detalhes-de-ativos?id=5722&amp;codativo=AALR13" xr:uid="{C2A8D99E-AE16-44FC-9A59-D5A46B1BC61E}"/>
    <hyperlink ref="D329" r:id="rId672" display="https://afinvest.com.br/interno/relatorios/detalhes-de-ativos?id=5722&amp;codativo=AALR13" xr:uid="{357AD980-EE79-4C3A-8AE8-9B6687708C46}"/>
    <hyperlink ref="D463" r:id="rId673" display="https://afinvest.com.br/interno/relatorios/detalhes-de-ativos?id=5722&amp;codativo=AALR13" xr:uid="{1600E714-5B84-4287-9D18-36185B171968}"/>
    <hyperlink ref="D616" r:id="rId674" display="https://afinvest.com.br/interno/relatorios/detalhes-de-ativos?id=5722&amp;codativo=AALR13" xr:uid="{F34AE967-7B16-4218-8134-A6C8E878BC09}"/>
    <hyperlink ref="D1153" r:id="rId675" display="https://afinvest.com.br/interno/relatorios/detalhes-de-ativos?id=5722&amp;codativo=AALR13" xr:uid="{9D837D54-A02D-4752-BABF-0C0E6421065F}"/>
    <hyperlink ref="D38" r:id="rId676" display="https://afinvest.com.br/interno/relatorios/detalhes-de-ativos?id=7030&amp;codativo=ELET14" xr:uid="{D03E38D9-E675-4D56-827E-5221262B369F}"/>
    <hyperlink ref="D330" r:id="rId677" display="https://afinvest.com.br/interno/relatorios/detalhes-de-ativos?id=3194&amp;codativo=BRKPA0" xr:uid="{1F28B8D2-8A0D-4961-AE8F-F9F1ED4C3881}"/>
    <hyperlink ref="D464" r:id="rId678" display="https://afinvest.com.br/interno/relatorios/detalhes-de-ativos?id=3194&amp;codativo=BRKPA0" xr:uid="{557BB221-CA61-47A4-A308-7BCEB4F2ACCA}"/>
    <hyperlink ref="D617" r:id="rId679" display="https://afinvest.com.br/interno/relatorios/detalhes-de-ativos?id=3194&amp;codativo=BRKPA0" xr:uid="{A28197EE-5762-4BD2-B841-712E50018AEB}"/>
    <hyperlink ref="D1154" r:id="rId680" display="https://afinvest.com.br/interno/relatorios/detalhes-de-ativos?id=3194&amp;codativo=BRKPA0" xr:uid="{884074E7-860C-4B1A-B263-9457E358BC5C}"/>
    <hyperlink ref="D39" r:id="rId681" display="https://afinvest.com.br/interno/relatorios/detalhes-de-ativos?id=5807&amp;codativo=RMSA12" xr:uid="{614006BA-84D5-4776-AF65-CECDC4EEA7DB}"/>
    <hyperlink ref="D119" r:id="rId682" display="https://afinvest.com.br/interno/relatorios/detalhes-de-ativos?id=6410&amp;codativo=BRFS31" xr:uid="{E603FD8B-0830-46D9-BE24-C4D7D3C6395F}"/>
    <hyperlink ref="D331" r:id="rId683" display="https://afinvest.com.br/interno/relatorios/detalhes-de-ativos?id=6410&amp;codativo=BRFS31" xr:uid="{05B508E3-9A59-4CBC-A68A-6A79B1339AB6}"/>
    <hyperlink ref="D465" r:id="rId684" display="https://afinvest.com.br/interno/relatorios/detalhes-de-ativos?id=6410&amp;codativo=BRFS31" xr:uid="{5EC03064-A15D-48FE-8507-878FE44C7304}"/>
    <hyperlink ref="D618" r:id="rId685" display="https://afinvest.com.br/interno/relatorios/detalhes-de-ativos?id=6410&amp;codativo=BRFS31" xr:uid="{03B1E51D-6EFE-4A70-8211-CA4D73560FF5}"/>
    <hyperlink ref="D1155" r:id="rId686" display="https://afinvest.com.br/interno/relatorios/detalhes-de-ativos?id=6410&amp;codativo=BRFS31" xr:uid="{0D1A3206-69C4-46B8-9795-EBF580B40494}"/>
    <hyperlink ref="D332" r:id="rId687" display="https://afinvest.com.br/interno/relatorios/detalhes-de-ativos?id=3357&amp;codativo=BRKMA6" xr:uid="{B8A616A8-258D-434B-BCC4-12D771B78EC1}"/>
    <hyperlink ref="D466" r:id="rId688" display="https://afinvest.com.br/interno/relatorios/detalhes-de-ativos?id=3357&amp;codativo=BRKMA6" xr:uid="{1FCA3FC6-6527-4A82-9041-1D2238D64954}"/>
    <hyperlink ref="D619" r:id="rId689" display="https://afinvest.com.br/interno/relatorios/detalhes-de-ativos?id=3357&amp;codativo=BRKMA6" xr:uid="{608BB7E4-F1EE-4641-A079-9C9639E02A38}"/>
    <hyperlink ref="D620" r:id="rId690" display="https://afinvest.com.br/interno/relatorios/detalhes-de-ativos?id=5870&amp;codativo=BRKMB8" xr:uid="{61ED3291-5D1F-470B-908E-D39BF7849092}"/>
    <hyperlink ref="D790" r:id="rId691" display="https://afinvest.com.br/interno/relatorios/detalhes-de-ativos?id=3358&amp;codativo=BRKMB6" xr:uid="{CB7FFD40-374C-4011-93B3-F2565B1ED066}"/>
    <hyperlink ref="D1156" r:id="rId692" display="https://afinvest.com.br/interno/relatorios/detalhes-de-ativos?id=3357&amp;codativo=BRKMA6" xr:uid="{0EAED4B2-AD2C-4C0C-B5CB-428F99CC73DF}"/>
    <hyperlink ref="D1157" r:id="rId693" display="https://afinvest.com.br/interno/relatorios/detalhes-de-ativos?id=3358&amp;codativo=BRKMB6" xr:uid="{1D5B38BA-42C4-4456-B0C8-1E56D3C7C75C}"/>
    <hyperlink ref="D40" r:id="rId694" display="https://afinvest.com.br/interno/relatorios/detalhes-de-ativos?id=7942&amp;codativo=BHSA11" xr:uid="{B95EF83F-F651-496D-8DEE-3AF4BA6BF5F8}"/>
    <hyperlink ref="D41" r:id="rId695" display="https://afinvest.com.br/interno/relatorios/detalhes-de-ativos?id=1708&amp;codativo=ARTR19" xr:uid="{C230671A-4DB5-4ACF-9D3B-BD06D26E8BB4}"/>
    <hyperlink ref="D171" r:id="rId696" display="https://afinvest.com.br/interno/relatorios/detalhes-de-ativos?id=8804&amp;codativo=AMERF2" xr:uid="{59E2E437-1213-474A-88C3-AD686F603C10}"/>
    <hyperlink ref="D193" r:id="rId697" display="https://afinvest.com.br/interno/relatorios/detalhes-de-ativos?id=8804&amp;codativo=AMERF2" xr:uid="{C15B76E0-A594-4B68-ACEE-EE3A686E3E2A}"/>
    <hyperlink ref="D333" r:id="rId698" display="https://afinvest.com.br/interno/relatorios/detalhes-de-ativos?id=8804&amp;codativo=AMERF2" xr:uid="{F5F89BAD-9B42-4B72-8B6A-ABC6F8085DB9}"/>
    <hyperlink ref="D467" r:id="rId699" display="https://afinvest.com.br/interno/relatorios/detalhes-de-ativos?id=8804&amp;codativo=AMERF2" xr:uid="{2E5AC77B-7ABA-4D01-9E68-8455012150C9}"/>
    <hyperlink ref="D490" r:id="rId700" display="https://afinvest.com.br/interno/relatorios/detalhes-de-ativos?id=8801&amp;codativo=AMERG2" xr:uid="{AE560684-94CE-4311-81BF-36658DE29A1C}"/>
    <hyperlink ref="D621" r:id="rId701" display="https://afinvest.com.br/interno/relatorios/detalhes-de-ativos?id=8801&amp;codativo=AMERG2" xr:uid="{0B8B31E4-DDE1-430A-8087-A2921A25B0CA}"/>
    <hyperlink ref="D622" r:id="rId702" display="https://afinvest.com.br/interno/relatorios/detalhes-de-ativos?id=8804&amp;codativo=AMERF2" xr:uid="{CAD4198F-BE9C-4784-AB8D-7C1355E116DB}"/>
    <hyperlink ref="D42" r:id="rId703" display="https://afinvest.com.br/interno/relatorios/detalhes-de-ativos?id=2891&amp;codativo=ALGAB1" xr:uid="{D3DAA749-C555-42B9-A77B-8494642E8780}"/>
    <hyperlink ref="D334" r:id="rId704" display="https://afinvest.com.br/interno/relatorios/detalhes-de-ativos?id=7040&amp;codativo=ALGTA3" xr:uid="{2596211F-6B9D-4914-8E02-AB75B454AD4A}"/>
    <hyperlink ref="D468" r:id="rId705" display="https://afinvest.com.br/interno/relatorios/detalhes-de-ativos?id=7040&amp;codativo=ALGTA3" xr:uid="{002819CF-2CE8-4974-837E-F8B3165FEE95}"/>
    <hyperlink ref="D623" r:id="rId706" display="https://afinvest.com.br/interno/relatorios/detalhes-de-ativos?id=7040&amp;codativo=ALGTA3" xr:uid="{08E57005-7FCB-4361-B4EC-AFC8BAA015A3}"/>
    <hyperlink ref="D791" r:id="rId707" display="https://afinvest.com.br/interno/relatorios/detalhes-de-ativos?id=7040&amp;codativo=ALGTA3" xr:uid="{F9DEB4E8-CAF4-4ED0-A413-DD8DAB7D85A8}"/>
    <hyperlink ref="D1158" r:id="rId708" display="https://afinvest.com.br/interno/relatorios/detalhes-de-ativos?id=7040&amp;codativo=ALGTA3" xr:uid="{BB06F805-8495-49ED-97A2-902B29F3DFC8}"/>
    <hyperlink ref="D43" r:id="rId709" display="https://afinvest.com.br/interno/relatorios/detalhes-de-ativos?id=5641&amp;codativo=GSTS14" xr:uid="{30BDA4A5-C334-4F58-887B-2B2955B15F8A}"/>
    <hyperlink ref="D44" r:id="rId710" display="https://afinvest.com.br/interno/relatorios/detalhes-de-ativos?id=1700&amp;codativo=TIET29" xr:uid="{E9574E50-9072-4E6B-BEC0-3301C23A7E95}"/>
    <hyperlink ref="D624" r:id="rId711" display="https://afinvest.com.br/interno/relatorios/detalhes-de-ativos?id=315&amp;codativo=TIET19" xr:uid="{BF88167A-17B4-4FBB-ACBA-FAF39A9EE165}"/>
    <hyperlink ref="D1159" r:id="rId712" display="https://afinvest.com.br/interno/relatorios/detalhes-de-ativos?id=315&amp;codativo=TIET19" xr:uid="{6FF8A473-0C76-4ABE-8D44-3324AD25DF1A}"/>
    <hyperlink ref="D172" r:id="rId713" display="https://afinvest.com.br/interno/relatorios/detalhes-de-ativos?id=2693&amp;codativo=AERI12" xr:uid="{1241A675-2450-4844-9962-AB3071410C26}"/>
    <hyperlink ref="D335" r:id="rId714" display="https://afinvest.com.br/interno/relatorios/detalhes-de-ativos?id=2693&amp;codativo=AERI12" xr:uid="{2D23941B-433B-452B-9995-44153F42BCD3}"/>
    <hyperlink ref="D469" r:id="rId715" display="https://afinvest.com.br/interno/relatorios/detalhes-de-ativos?id=2693&amp;codativo=AERI12" xr:uid="{DEC287B9-A17E-4687-93D7-22F07510DA5D}"/>
    <hyperlink ref="D1160" r:id="rId716" display="https://afinvest.com.br/interno/relatorios/detalhes-de-ativos?id=2693&amp;codativo=AERI12" xr:uid="{03742A14-DDC5-4E65-A391-39D99E34096A}"/>
    <hyperlink ref="D120" r:id="rId717" display="https://afinvest.com.br/interno/relatorios/detalhes-de-ativos?id=2808&amp;codativo=AEGP19" xr:uid="{F9A4028B-E883-492A-82B5-1664B42A36F0}"/>
    <hyperlink ref="D336" r:id="rId718" display="https://afinvest.com.br/interno/relatorios/detalhes-de-ativos?id=2808&amp;codativo=AEGP19" xr:uid="{92A961B8-F01F-4333-9557-A1D9A92A5874}"/>
    <hyperlink ref="D470" r:id="rId719" display="https://afinvest.com.br/interno/relatorios/detalhes-de-ativos?id=2808&amp;codativo=AEGP19" xr:uid="{604953CD-CCC2-4576-8FEB-BDF50FB090F9}"/>
    <hyperlink ref="D792" r:id="rId720" display="https://afinvest.com.br/interno/relatorios/detalhes-de-ativos?id=2808&amp;codativo=AEGP19" xr:uid="{265D341F-6039-4247-8E93-71F1BB9109B1}"/>
    <hyperlink ref="D337" r:id="rId721" display="https://afinvest.com.br/interno/relatorios/detalhes-de-ativos?id=7681&amp;codativo=RRRP14" xr:uid="{DD4C8D80-D35E-4763-BCF7-66CA05E5AFEA}"/>
    <hyperlink ref="D471" r:id="rId722" display="https://afinvest.com.br/interno/relatorios/detalhes-de-ativos?id=7681&amp;codativo=RRRP14" xr:uid="{B7724D66-C0DA-4DE6-8675-BA07AF585F33}"/>
    <hyperlink ref="D793" r:id="rId723" display="https://afinvest.com.br/interno/relatorios/detalhes-de-ativos?id=7681&amp;codativo=RRRP14" xr:uid="{E3462D18-DBE9-4FAB-BB71-5E11026B6987}"/>
    <hyperlink ref="D1161" r:id="rId724" display="https://afinvest.com.br/interno/relatorios/detalhes-de-ativos?id=7681&amp;codativo=RRRP14" xr:uid="{B849200E-7C89-449C-B531-7FC6324D2923}"/>
    <hyperlink ref="D1162" r:id="rId725" display="https://afinvest.com.br/interno/relatorios/detalhes-de-ativos?id=2795&amp;codativo=CRI%20Bem%20Brasil" xr:uid="{9C032B42-B3EE-4FA1-B002-FF3BD7CEA1F6}"/>
    <hyperlink ref="D121" r:id="rId726" display="https://afinvest.com.br/interno/relatorios/detalhes-de-ativos?id=9081&amp;codativo=CRI%20Vic%20Engenharia%201%C2%AA%20Emiss%C3%A3o" xr:uid="{422009FF-BB51-47E2-B780-F1953F54C570}"/>
    <hyperlink ref="D122" r:id="rId727" display="https://afinvest.com.br/interno/relatorios/detalhes-de-ativos?id=7897&amp;codativo=CRI%20PERNAMBUCO%2035%C2%AA%20(23J1753853)" xr:uid="{4F7F4D15-AFDD-4802-8D66-369571B5D18A}"/>
    <hyperlink ref="D625" r:id="rId728" display="https://afinvest.com.br/interno/relatorios/detalhes-de-ativos?id=9081&amp;codativo=CRI%20Vic%20Engenharia%201%C2%AA%20Emiss%C3%A3o" xr:uid="{4D984FC1-F3BD-456C-A7A9-04A99BB3882E}"/>
    <hyperlink ref="D626" r:id="rId729" display="https://afinvest.com.br/interno/relatorios/detalhes-de-ativos?id=7897&amp;codativo=CRI%20PERNAMBUCO%2035%C2%AA%20(23J1753853)" xr:uid="{0A72791B-4E7D-43DA-A00E-7F2397254B72}"/>
    <hyperlink ref="D1163" r:id="rId730" display="https://afinvest.com.br/interno/relatorios/detalhes-de-ativos?id=9081&amp;codativo=CRI%20Vic%20Engenharia%201%C2%AA%20Emiss%C3%A3o" xr:uid="{8FBCE4D1-3E5D-4A01-9B2B-44CE18FA799D}"/>
    <hyperlink ref="D1164" r:id="rId731" display="https://afinvest.com.br/interno/relatorios/detalhes-de-ativos?id=7897&amp;codativo=CRI%20PERNAMBUCO%2035%C2%AA%20(23J1753853)" xr:uid="{531DC6E5-DEDF-445B-B3F6-5A735F78EC43}"/>
    <hyperlink ref="D123" r:id="rId732" display="https://afinvest.com.br/interno/relatorios/detalhes-de-ativos?id=5671&amp;codativo=CRI%20Vic%20Engenharia%202%C2%AA%20Emiss%C3%A3o" xr:uid="{EC7AE754-DB1E-488A-B612-C11EB6CE7F01}"/>
    <hyperlink ref="D627" r:id="rId733" display="https://afinvest.com.br/interno/relatorios/detalhes-de-ativos?id=5671&amp;codativo=CRI%20Vic%20Engenharia%202%C2%AA%20Emiss%C3%A3o" xr:uid="{973121D9-3682-4236-87E3-473C13BB6EFA}"/>
    <hyperlink ref="D1165" r:id="rId734" display="https://afinvest.com.br/interno/relatorios/detalhes-de-ativos?id=5671&amp;codativo=CRI%20Vic%20Engenharia%202%C2%AA%20Emiss%C3%A3o" xr:uid="{72A718EA-8E18-4338-9032-1E9813CBD58E}"/>
    <hyperlink ref="D124" r:id="rId735" display="https://afinvest.com.br/interno/relatorios/detalhes-de-ativos?id=1459&amp;codativo=CRA%20Ferroeste%202%C2%AA%20S%C3%A9rie" xr:uid="{71A6CA6E-9014-48CC-8C26-292E16A13C5C}"/>
    <hyperlink ref="D338" r:id="rId736" display="https://afinvest.com.br/interno/relatorios/detalhes-de-ativos?id=1459&amp;codativo=CRA%20Ferroeste%202%C2%AA%20S%C3%A9rie" xr:uid="{84F2730B-A426-4BB9-A901-D8ECD29FDD8A}"/>
    <hyperlink ref="D472" r:id="rId737" display="https://afinvest.com.br/interno/relatorios/detalhes-de-ativos?id=1459&amp;codativo=CRA%20Ferroeste%202%C2%AA%20S%C3%A9rie" xr:uid="{6BCB728C-228D-461D-9CE9-280D12B887C4}"/>
    <hyperlink ref="D628" r:id="rId738" display="https://afinvest.com.br/interno/relatorios/detalhes-de-ativos?id=1459&amp;codativo=CRA%20Ferroeste%202%C2%AA%20S%C3%A9rie" xr:uid="{56F47D1C-7877-4241-8FC4-81D304598276}"/>
    <hyperlink ref="D629" r:id="rId739" display="https://afinvest.com.br/interno/relatorios/detalhes-de-ativos?id=1458&amp;codativo=CRA%20Ferroeste%201%C2%AA%20S%C3%A9rie" xr:uid="{B88A6C94-7A0D-4DCF-836F-8D0F4EA67A8F}"/>
    <hyperlink ref="D1166" r:id="rId740" display="https://afinvest.com.br/interno/relatorios/detalhes-de-ativos?id=1459&amp;codativo=CRA%20Ferroeste%202%C2%AA%20S%C3%A9rie" xr:uid="{1DF33CE4-88FB-4F4A-9F3A-D368931ABCE5}"/>
    <hyperlink ref="D630" r:id="rId741" display="https://afinvest.com.br/interno/relatorios/detalhes-de-ativos?id=3031&amp;codativo=CORURI27" xr:uid="{9C244650-8254-4342-B108-B1C8B9EA0E77}"/>
    <hyperlink ref="D491" r:id="rId742" display="https://afinvest.com.br/interno/relatorios/detalhes-de-ativos?id=9435&amp;codativo=Unigel%20nota%20reestruturada" xr:uid="{D7351E95-3F9B-42B9-BC2D-E708BB96FE5A}"/>
    <hyperlink ref="D492" r:id="rId743" display="https://afinvest.com.br/interno/relatorios/detalhes-de-ativos?id=9443&amp;codativo=Unigel%20nota%20dinheiro%20novo" xr:uid="{D796F16A-C4B5-4D6A-A261-5B655F579035}"/>
    <hyperlink ref="D493" r:id="rId744" display="https://afinvest.com.br/interno/relatorios/detalhes-de-ativos?id=9436&amp;codativo=Unigel%20nota%20participativa" xr:uid="{A929FF45-079C-422F-8BBF-BC2FBD7B21D4}"/>
    <hyperlink ref="D631" r:id="rId745" display="https://afinvest.com.br/interno/relatorios/detalhes-de-ativos?id=9443&amp;codativo=Unigel%20nota%20dinheiro%20novo" xr:uid="{B4C29A57-ABE2-4A0C-8385-9AF573FB990F}"/>
    <hyperlink ref="D632" r:id="rId746" display="https://afinvest.com.br/interno/relatorios/detalhes-de-ativos?id=9435&amp;codativo=Unigel%20nota%20reestruturada" xr:uid="{138C3498-5CD1-4D6C-8E66-4756E0DB81D3}"/>
    <hyperlink ref="D633" r:id="rId747" display="https://afinvest.com.br/interno/relatorios/detalhes-de-ativos?id=9436&amp;codativo=Unigel%20nota%20participativa" xr:uid="{5345BAB1-5BCF-4E5B-ADBB-19A00832BB57}"/>
    <hyperlink ref="D494" r:id="rId748" display="https://afinvest.com.br/interno/relatorios/detalhes-de-ativos?id=1281&amp;codativo=TUPY31" xr:uid="{912CE4D9-7D15-4BF6-AF3D-ECCA41832EA8}"/>
    <hyperlink ref="D495" r:id="rId749" display="https://afinvest.com.br/interno/relatorios/detalhes-de-ativos?id=8711&amp;codativo=USP8T88JAA61" xr:uid="{A64B8E17-78EF-4ACA-9228-DEEDB7CD1F98}"/>
    <hyperlink ref="D634" r:id="rId750" display="https://afinvest.com.br/interno/relatorios/detalhes-de-ativos?id=8711&amp;codativo=USG588" xr:uid="{E89678E1-1B33-4852-997E-9C67050F0C78}"/>
    <hyperlink ref="D496" r:id="rId751" display="https://afinvest.com.br/interno/relatorios/detalhes-de-ativos?id=1260&amp;codativo=SIMHBZ31" xr:uid="{95AF694C-F06A-4945-BB5C-783E169B8C02}"/>
    <hyperlink ref="D497" r:id="rId752" display="https://afinvest.com.br/interno/relatorios/detalhes-de-ativos?id=1416&amp;codativo=PRIOBZ26" xr:uid="{066255F9-12A5-4EDC-B690-A358098454AE}"/>
    <hyperlink ref="D635" r:id="rId753" display="https://afinvest.com.br/interno/relatorios/detalhes-de-ativos?id=3130&amp;codativo=NATURA29" xr:uid="{B54EB169-C19B-41D1-AE6D-52F9A00FB0A7}"/>
    <hyperlink ref="D498" r:id="rId754" display="https://afinvest.com.br/interno/relatorios/detalhes-de-ativos?id=8479&amp;codativo=USL65266AC91" xr:uid="{B3970810-09CC-45EA-8168-6C1C6ABB2429}"/>
    <hyperlink ref="D636" r:id="rId755" display="https://afinvest.com.br/interno/relatorios/detalhes-de-ativos?id=8479&amp;codativo=MOVIBZ00001" xr:uid="{B621BEBF-9817-424B-820A-EE947D231420}"/>
    <hyperlink ref="D499" r:id="rId756" display="https://afinvest.com.br/interno/relatorios/detalhes-de-ativos?id=1399&amp;codativo=IOCMXW28" xr:uid="{6A8D3315-6E91-4ABB-B231-6DD555185912}"/>
    <hyperlink ref="D500" r:id="rId757" display="https://afinvest.com.br/interno/relatorios/detalhes-de-ativos?id=2577&amp;codativo=ECOPET43" xr:uid="{A3BB75E1-7545-42BB-A489-1BD572AE3A74}"/>
    <hyperlink ref="D501" r:id="rId758" display="https://afinvest.com.br/interno/relatorios/detalhes-de-ativos?id=2611&amp;codativo=CSANBZ%20PERP" xr:uid="{CC481FE1-E8CD-472F-BEFC-594C8C5C6548}"/>
    <hyperlink ref="D637" r:id="rId759" display="https://afinvest.com.br/interno/relatorios/detalhes-de-ativos?id=2611&amp;codativo=CSANBZ%20PERP" xr:uid="{410B42FE-0F7C-4F13-8F36-BB22A5F0B0B5}"/>
    <hyperlink ref="D502" r:id="rId760" display="https://afinvest.com.br/interno/relatorios/detalhes-de-ativos?id=1306&amp;codativo=BANORT%207%20%E2%85%9D%20PERP" xr:uid="{07E0409C-B479-4264-A9E5-F95C4B82FC41}"/>
    <hyperlink ref="D503" r:id="rId761" display="https://afinvest.com.br/interno/relatorios/detalhes-de-ativos?id=2251&amp;codativo=BCOLO27" xr:uid="{41EFC4F5-1FA8-428C-9D36-2B969E945E04}"/>
    <hyperlink ref="D45" r:id="rId762" display="https://afinvest.com.br/interno/relatorios/detalhes-de-ativos?id=3420&amp;codativo=760199" xr:uid="{F966717C-BDE4-470C-B120-744AB44CC2B6}"/>
    <hyperlink ref="D46" r:id="rId763" display="https://afinvest.com.br/interno/relatorios/detalhes-de-ativos?id=3359&amp;codativo=760199" xr:uid="{2595E853-9EDD-4DE4-B2AD-354B3842775C}"/>
    <hyperlink ref="D128" r:id="rId764" display="https://afinvest.com.br/interno/relatorios/detalhes-de-ativos?id=2800&amp;codativo=760199" xr:uid="{7D4E6484-506A-4CEF-927D-A2C7C502CB34}"/>
    <hyperlink ref="D182" r:id="rId765" display="https://afinvest.com.br/interno/relatorios/detalhes-de-ativos?id=2800&amp;codativo=760199" xr:uid="{41A87EBC-ABAC-4119-8B25-15CB4EA79473}"/>
    <hyperlink ref="D194" r:id="rId766" display="https://afinvest.com.br/interno/relatorios/detalhes-de-ativos?id=3420&amp;codativo=760199" xr:uid="{C21D6080-327F-4BDB-8004-1C8746B6E7AE}"/>
    <hyperlink ref="D199" r:id="rId767" display="https://afinvest.com.br/interno/relatorios/detalhes-de-ativos?id=2798&amp;codativo=760199" xr:uid="{E0CBEDD5-720B-4AB4-A604-979B2C094F31}"/>
    <hyperlink ref="D339" r:id="rId768" display="https://afinvest.com.br/interno/relatorios/detalhes-de-ativos?id=9342&amp;codativo=100000" xr:uid="{ED1C2D3C-5726-44E4-90DF-4CAB1AB367B9}"/>
    <hyperlink ref="D473" r:id="rId769" display="https://afinvest.com.br/interno/relatorios/detalhes-de-ativos?id=7580&amp;codativo=760199" xr:uid="{07BFD192-F809-4ED9-95A7-7819EC9A0E5F}"/>
    <hyperlink ref="D638" r:id="rId770" display="https://afinvest.com.br/interno/relatorios/detalhes-de-ativos?id=2798&amp;codativo=760199" xr:uid="{FFCFE328-D8CB-4B27-9861-6B1049B25DDD}"/>
    <hyperlink ref="D794" r:id="rId771" display="https://afinvest.com.br/interno/relatorios/detalhes-de-ativos?id=7580&amp;codativo=760199" xr:uid="{67D84E92-D069-4014-96B6-F604DC733C67}"/>
    <hyperlink ref="D804" r:id="rId772" display="https://afinvest.com.br/interno/relatorios/detalhes-de-ativos?id=3420&amp;codativo=760199" xr:uid="{9F9A4557-0C65-4DD7-A0C7-EF8D479C0E7D}"/>
    <hyperlink ref="D1028" r:id="rId773" display="https://afinvest.com.br/interno/relatorios/detalhes-de-ativos?id=2798&amp;codativo=760199" xr:uid="{25948112-EEFB-4045-866F-D0BCA5EF22CA}"/>
    <hyperlink ref="D1167" r:id="rId774" display="https://afinvest.com.br/interno/relatorios/detalhes-de-ativos?id=7580&amp;codativo=760199" xr:uid="{C8FA39EE-F789-4E6A-9B99-193DA5BA1F4B}"/>
    <hyperlink ref="D795" r:id="rId775" display="https://afinvest.com.br/interno/relatorios/detalhes-de-ativos?id=9354&amp;codativo=CDB1256KW65" xr:uid="{0EE2479A-2459-4959-82BD-642DF472CD73}"/>
    <hyperlink ref="D340" r:id="rId776" display="https://afinvest.com.br/interno/relatorios/detalhes-de-ativos?id=6827&amp;codativo=CDB323EWULR" xr:uid="{9A9AA18B-9359-4EA9-B940-75310099C29C}"/>
    <hyperlink ref="D639" r:id="rId777" display="https://afinvest.com.br/interno/relatorios/detalhes-de-ativos?id=6827&amp;codativo=CDB323EWULR" xr:uid="{7157F30D-ED05-4D79-AF2F-78FA4B22B050}"/>
    <hyperlink ref="D796" r:id="rId778" display="https://afinvest.com.br/interno/relatorios/detalhes-de-ativos?id=6827&amp;codativo=CDB323EWULR" xr:uid="{10BD7F1E-4208-45D2-BB1B-707461F68BEA}"/>
    <hyperlink ref="D1062" r:id="rId779" display="https://afinvest.com.br/interno/relatorios/detalhes-de-ativos?id=6827&amp;codativo=CDB323EWULR" xr:uid="{5AEDE258-682E-447A-AEF0-B60BCEC9A735}"/>
    <hyperlink ref="D1168" r:id="rId780" display="https://afinvest.com.br/interno/relatorios/detalhes-de-ativos?id=6827&amp;codativo=CDB323EWULR" xr:uid="{0FCF0DBC-3C34-4EAD-8EEB-9F6C4F96E9E0}"/>
    <hyperlink ref="D183" r:id="rId781" display="https://afinvest.com.br/interno/relatorios/detalhes-de-ativos?id=8119&amp;codativo=CDB424F0EOB" xr:uid="{9A12286E-5251-45E2-B67C-05CC06012AE5}"/>
    <hyperlink ref="D184" r:id="rId782" display="https://afinvest.com.br/interno/relatorios/detalhes-de-ativos?id=8101&amp;codativo=CDB424EERW3" xr:uid="{C3095253-0D05-44B3-9952-CCB5BF5DF78E}"/>
    <hyperlink ref="D185" r:id="rId783" display="https://afinvest.com.br/interno/relatorios/detalhes-de-ativos?id=8772&amp;codativo=CDB9248TSCO" xr:uid="{1AEC3ECD-C304-448F-A6C5-0399899E447C}"/>
    <hyperlink ref="D1063" r:id="rId784" display="https://afinvest.com.br/interno/relatorios/detalhes-de-ativos?id=8772&amp;codativo=CDB9248TSCN" xr:uid="{1058837C-960C-4E92-A922-51B811C8C070}"/>
    <hyperlink ref="D341" r:id="rId785" display="https://afinvest.com.br/interno/relatorios/detalhes-de-ativos?id=8710&amp;codativo=CDB824AAYU8" xr:uid="{1FB065E2-DCCD-4A36-9E34-1E213AD69DE8}"/>
    <hyperlink ref="D474" r:id="rId786" display="https://afinvest.com.br/interno/relatorios/detalhes-de-ativos?id=8710&amp;codativo=CDB824AAYUC" xr:uid="{86B892BB-9D57-48B8-B672-9F0910C74435}"/>
    <hyperlink ref="D797" r:id="rId787" display="https://afinvest.com.br/interno/relatorios/detalhes-de-ativos?id=8710&amp;codativo=CDB824AAYU9" xr:uid="{02A03123-AE5A-426C-A5E1-46D4ABF8FB4A}"/>
    <hyperlink ref="D1169" r:id="rId788" display="https://afinvest.com.br/interno/relatorios/detalhes-de-ativos?id=8710&amp;codativo=CDB824AAYUA" xr:uid="{EDCCDE63-094D-46DA-8241-549A345E1575}"/>
    <hyperlink ref="D125" r:id="rId789" display="https://afinvest.com.br/interno/relatorios/detalhes-de-ativos?id=8852&amp;codativo=CDB924AJYNR" xr:uid="{FA74BBE3-FEE3-467F-A337-EB5715134701}"/>
    <hyperlink ref="D342" r:id="rId790" display="https://afinvest.com.br/interno/relatorios/detalhes-de-ativos?id=9175&amp;codativo=CDBC241I1TI" xr:uid="{E24C9101-0992-4CC9-9FE9-0581DD1B14DE}"/>
    <hyperlink ref="D343" r:id="rId791" display="https://afinvest.com.br/interno/relatorios/detalhes-de-ativos?id=8852&amp;codativo=CDB924AJYNT" xr:uid="{F42BE8F4-7ECF-4569-A772-A5274433C89F}"/>
    <hyperlink ref="D475" r:id="rId792" display="https://afinvest.com.br/interno/relatorios/detalhes-de-ativos?id=9175&amp;codativo=CDBC241I1TE" xr:uid="{9D5E4747-84D9-4C26-96F3-008A493453ED}"/>
    <hyperlink ref="D476" r:id="rId793" display="https://afinvest.com.br/interno/relatorios/detalhes-de-ativos?id=8852&amp;codativo=CDB924AJYNO" xr:uid="{1E47AFB1-2BFA-4869-B46D-A24B8E373EB1}"/>
    <hyperlink ref="D798" r:id="rId794" display="https://afinvest.com.br/interno/relatorios/detalhes-de-ativos?id=9175&amp;codativo=CDBC241I1TG" xr:uid="{18537971-422E-49AF-AE10-16B84FB299E5}"/>
    <hyperlink ref="D799" r:id="rId795" display="https://afinvest.com.br/interno/relatorios/detalhes-de-ativos?id=8852&amp;codativo=CDB924AJYNU" xr:uid="{7D2F9F3B-0333-42AD-8D9E-26E9EC1AF831}"/>
    <hyperlink ref="D1170" r:id="rId796" display="https://afinvest.com.br/interno/relatorios/detalhes-de-ativos?id=8852&amp;codativo=CDB924AJYNP" xr:uid="{6B81F58E-5BB5-48EA-A1F8-84C5D49A4E5B}"/>
    <hyperlink ref="D186" r:id="rId797" display="https://afinvest.com.br/interno/relatorios/detalhes-de-ativos?id=8100&amp;codativo=CDB424EEPNN" xr:uid="{C7C94A72-4797-48D8-BCEB-DA83D31D0A73}"/>
    <hyperlink ref="D187" r:id="rId798" display="https://afinvest.com.br/interno/relatorios/detalhes-de-ativos?id=8333&amp;codativo=CDB6246HKQG" xr:uid="{C1B10CA2-1114-40FF-B5B3-08C76F2BB7FB}"/>
    <hyperlink ref="D344" r:id="rId799" display="https://afinvest.com.br/interno/relatorios/detalhes-de-ativos?id=8887&amp;codativo=CDB%20MERCANTIL%20OUT25" xr:uid="{07B1CAFA-3A97-4C2A-8748-7B1942EA2ECF}"/>
    <hyperlink ref="D345" r:id="rId800" display="https://afinvest.com.br/interno/relatorios/detalhes-de-ativos?id=8577&amp;codativo=CDB724BH6RG" xr:uid="{B0CA66EE-5F77-4B98-A7B9-4BBCEA527A11}"/>
    <hyperlink ref="D477" r:id="rId801" display="https://afinvest.com.br/interno/relatorios/detalhes-de-ativos?id=8577&amp;codativo=CDB724BH6RG" xr:uid="{3A18DC00-7597-48C0-A14A-FD3CF872A681}"/>
    <hyperlink ref="D478" r:id="rId802" display="https://afinvest.com.br/interno/relatorios/detalhes-de-ativos?id=8887&amp;codativo=CDB%20MERCANTIL%20OUT25" xr:uid="{2690A7F9-8FDF-44CD-B254-B4DF75E908EF}"/>
    <hyperlink ref="D800" r:id="rId803" display="https://afinvest.com.br/interno/relatorios/detalhes-de-ativos?id=8577&amp;codativo=CDB724BH6RG" xr:uid="{DC8BE1B9-346A-41C7-A6A2-47786A7B5456}"/>
    <hyperlink ref="D801" r:id="rId804" display="https://afinvest.com.br/interno/relatorios/detalhes-de-ativos?id=8887&amp;codativo=CDB%20MERCANTIL%20OUT25" xr:uid="{B1AEFCF5-97B2-4434-9DB0-6A4DCC0AF39E}"/>
    <hyperlink ref="D1171" r:id="rId805" display="https://afinvest.com.br/interno/relatorios/detalhes-de-ativos?id=8577&amp;codativo=CDB724BH6RG" xr:uid="{D5AF148C-266F-4EF8-9E0D-91E2912DCFE8}"/>
    <hyperlink ref="D1172" r:id="rId806" display="https://afinvest.com.br/interno/relatorios/detalhes-de-ativos?id=8887&amp;codativo=CDB%20MERCANTIL%20OUT25" xr:uid="{0B4156E3-BF65-42BA-9721-ABBF0179B53D}"/>
    <hyperlink ref="D47" r:id="rId807" display="https://afinvest.com.br/interno/relatorios/detalhes-de-ativos?id=1249&amp;codativo=CAIXA" xr:uid="{55FCC12F-9D31-4106-B162-D812990898D2}"/>
    <hyperlink ref="D126" r:id="rId808" display="https://afinvest.com.br/interno/relatorios/detalhes-de-ativos?id=1249&amp;codativo=CAIXA" xr:uid="{CFE12C1F-D1CC-485B-8208-4069EBFE070C}"/>
    <hyperlink ref="D129" r:id="rId809" display="https://afinvest.com.br/interno/relatorios/detalhes-de-ativos?id=1249&amp;codativo=CAIXA" xr:uid="{7F7837FB-00F5-4F2A-846F-B3FC199F18D3}"/>
    <hyperlink ref="D173" r:id="rId810" display="https://afinvest.com.br/interno/relatorios/detalhes-de-ativos?id=1249&amp;codativo=CAIXA" xr:uid="{2F0C79B9-3F0C-495C-A746-28A9348D2A1A}"/>
    <hyperlink ref="D188" r:id="rId811" display="https://afinvest.com.br/interno/relatorios/detalhes-de-ativos?id=1249&amp;codativo=CAIXA" xr:uid="{F455ABD8-77C7-4E7F-9267-ADCBD1397370}"/>
    <hyperlink ref="D195" r:id="rId812" display="https://afinvest.com.br/interno/relatorios/detalhes-de-ativos?id=1249&amp;codativo=CAIXA" xr:uid="{9F50EB66-9E2E-48F4-9C38-40D2DA650931}"/>
    <hyperlink ref="D200" r:id="rId813" display="https://afinvest.com.br/interno/relatorios/detalhes-de-ativos?id=1249&amp;codativo=CAIXA" xr:uid="{44561029-F1F5-42CE-8517-1953D7521A7B}"/>
    <hyperlink ref="D346" r:id="rId814" display="https://afinvest.com.br/interno/relatorios/detalhes-de-ativos?id=1249&amp;codativo=CAIXA" xr:uid="{D467ADCC-441B-4C6C-A76F-18F10650CE26}"/>
    <hyperlink ref="D479" r:id="rId815" display="https://afinvest.com.br/interno/relatorios/detalhes-de-ativos?id=1249&amp;codativo=CAIXA" xr:uid="{B82A0546-E6CD-4EA3-B2AE-7AD399D3A718}"/>
    <hyperlink ref="D504" r:id="rId816" display="https://afinvest.com.br/interno/relatorios/detalhes-de-ativos?id=1249&amp;codativo=CAIXA" xr:uid="{2EF0B3F6-10A0-4908-B4BD-1C576A141E1D}"/>
    <hyperlink ref="D640" r:id="rId817" display="https://afinvest.com.br/interno/relatorios/detalhes-de-ativos?id=1249&amp;codativo=CAIXA" xr:uid="{6C5050CA-1421-4428-867B-75456FB815B7}"/>
    <hyperlink ref="D802" r:id="rId818" display="https://afinvest.com.br/interno/relatorios/detalhes-de-ativos?id=1249&amp;codativo=CAIXA" xr:uid="{E2757FC7-78EF-44CF-93ED-F998593FC39A}"/>
    <hyperlink ref="D805" r:id="rId819" display="https://afinvest.com.br/interno/relatorios/detalhes-de-ativos?id=1249&amp;codativo=CAIXA" xr:uid="{976487FE-44E5-4D98-8191-77C57FAB51FB}"/>
    <hyperlink ref="D1029" r:id="rId820" display="https://afinvest.com.br/interno/relatorios/detalhes-de-ativos?id=1249&amp;codativo=CAIXA" xr:uid="{32A9FC4C-88AE-47D3-8DA3-E464E0650269}"/>
    <hyperlink ref="D1064" r:id="rId821" display="https://afinvest.com.br/interno/relatorios/detalhes-de-ativos?id=1249&amp;codativo=CAIXA" xr:uid="{A976AC8A-768E-47B2-A242-2BA3E7F2961F}"/>
    <hyperlink ref="D1173" r:id="rId822" display="https://afinvest.com.br/interno/relatorios/detalhes-de-ativos?id=1249&amp;codativo=CAIXA" xr:uid="{E5C51FA8-42C9-4D60-A1CD-CBB72F7D2EAD}"/>
    <hyperlink ref="D130" r:id="rId823" display="https://afinvest.com.br/interno/relatorios/detalhes-de-ativos?id=20&amp;codativo=YDUQ3" xr:uid="{68B16F3C-32B7-47BE-B886-B4EB56B723DC}"/>
    <hyperlink ref="D131" r:id="rId824" display="https://afinvest.com.br/interno/relatorios/detalhes-de-ativos?id=8285&amp;codativo=VTRU3" xr:uid="{607FEDCC-B2A7-4747-B970-0AB9393D7944}"/>
    <hyperlink ref="D201" r:id="rId825" display="https://afinvest.com.br/interno/relatorios/detalhes-de-ativos?id=8285&amp;codativo=VTRU3" xr:uid="{69A2097C-8BA4-43E9-946F-DEF6D2058D56}"/>
    <hyperlink ref="D132" r:id="rId826" display="https://afinvest.com.br/interno/relatorios/detalhes-de-ativos?id=958&amp;codativo=TUPY3" xr:uid="{B1588E8E-7D20-49F8-AAC6-B2CD3DC9FCBA}"/>
    <hyperlink ref="D202" r:id="rId827" display="https://afinvest.com.br/interno/relatorios/detalhes-de-ativos?id=958&amp;codativo=TUPY3" xr:uid="{2ED0FB5A-592B-4BC6-B182-C72DC83B6FBB}"/>
    <hyperlink ref="D203" r:id="rId828" display="https://afinvest.com.br/interno/relatorios/detalhes-de-ativos?id=874&amp;codativo=SIMH3" xr:uid="{EA0CEF0F-720F-40F5-8EB3-1930EA2D6EA9}"/>
    <hyperlink ref="D806" r:id="rId829" display="https://afinvest.com.br/interno/relatorios/detalhes-de-ativos?id=874&amp;codativo=SIMH3" xr:uid="{A2E80693-A56B-44AB-BFF4-6A9ABD34833E}"/>
    <hyperlink ref="D204" r:id="rId830" display="https://afinvest.com.br/interno/relatorios/detalhes-de-ativos?id=1370&amp;codativo=ASAI3" xr:uid="{4EE11F33-C680-4B4A-A6A5-D558A01C2BBD}"/>
    <hyperlink ref="D133" r:id="rId831" display="https://afinvest.com.br/interno/relatorios/detalhes-de-ativos?id=850&amp;codativo=PRIO3" xr:uid="{AB86B482-1A4A-4D3F-B4A4-079960616C42}"/>
    <hyperlink ref="D134" r:id="rId832" display="https://afinvest.com.br/interno/relatorios/detalhes-de-ativos?id=6111&amp;codativo=MLAS3" xr:uid="{FB411CA0-5E18-40AF-B58B-CFFDECA29778}"/>
    <hyperlink ref="D135" r:id="rId833" display="https://afinvest.com.br/interno/relatorios/detalhes-de-ativos?id=838&amp;codativo=MOVI3" xr:uid="{1FEA78CB-6BFD-4E4B-AA08-C752106C8DC4}"/>
    <hyperlink ref="D205" r:id="rId834" display="https://afinvest.com.br/interno/relatorios/detalhes-de-ativos?id=838&amp;codativo=MOVI3" xr:uid="{ADE60AA3-8E8D-440F-A9DE-BBE8FE162B97}"/>
    <hyperlink ref="D807" r:id="rId835" display="https://afinvest.com.br/interno/relatorios/detalhes-de-ativos?id=838&amp;codativo=MOVI3" xr:uid="{0E59D8B7-6D50-4AAC-897C-20A6037D2CD9}"/>
    <hyperlink ref="D136" r:id="rId836" display="https://afinvest.com.br/interno/relatorios/detalhes-de-ativos?id=7894&amp;codativo=MELK3" xr:uid="{38047310-FC6D-4880-9CA1-80B6456C4E43}"/>
    <hyperlink ref="D206" r:id="rId837" display="https://afinvest.com.br/interno/relatorios/detalhes-de-ativos?id=7894&amp;codativo=MELK3" xr:uid="{59362EAE-9CFE-4841-9886-0C107097AED2}"/>
    <hyperlink ref="D174" r:id="rId838" display="https://afinvest.com.br/interno/relatorios/detalhes-de-ativos?id=1473&amp;codativo=AMER3" xr:uid="{D2FEC40F-2FCA-47C8-86BB-C2F6C49D05C7}"/>
    <hyperlink ref="D196" r:id="rId839" display="https://afinvest.com.br/interno/relatorios/detalhes-de-ativos?id=1473&amp;codativo=AMER3" xr:uid="{71F1B831-4AAC-4C39-8474-5D057CB0B0D4}"/>
    <hyperlink ref="D641" r:id="rId840" display="https://afinvest.com.br/interno/relatorios/detalhes-de-ativos?id=1473&amp;codativo=AMER3" xr:uid="{B28CF9ED-7DFC-4A15-9EF2-5C437C953FFB}"/>
    <hyperlink ref="D505" r:id="rId841" display="https://afinvest.com.br/interno/relatorios/detalhes-de-ativos?id=3077&amp;codativo=LQD%20US" xr:uid="{B02897A8-745B-4BEC-BD49-E77E8B4D35C5}"/>
    <hyperlink ref="D642" r:id="rId842" display="https://afinvest.com.br/interno/relatorios/detalhes-de-ativos?id=3077&amp;codativo=LQD%20US" xr:uid="{82284549-49A3-4387-906F-31E271E6E83F}"/>
    <hyperlink ref="D137" r:id="rId843" display="https://afinvest.com.br/interno/relatorios/detalhes-de-ativos?id=896&amp;codativo=MYPK3" xr:uid="{9AEC9F05-7649-4127-8537-26E541DA5669}"/>
    <hyperlink ref="D207" r:id="rId844" display="https://afinvest.com.br/interno/relatorios/detalhes-de-ativos?id=896&amp;codativo=MYPK3" xr:uid="{8464E9CD-A359-4611-B0F9-3328450C80BD}"/>
    <hyperlink ref="D643" r:id="rId845" display="https://afinvest.com.br/interno/relatorios/detalhes-de-ativos?id=2769&amp;codativo=GOLD11" xr:uid="{4B50686D-17CC-4A9D-8E6D-5595B5C18103}"/>
    <hyperlink ref="D138" r:id="rId846" display="https://afinvest.com.br/interno/relatorios/detalhes-de-ativos?id=501&amp;codativo=CSAN3" xr:uid="{4ECA4A70-3AFD-454C-A93D-F8A8A0659798}"/>
    <hyperlink ref="D208" r:id="rId847" display="https://afinvest.com.br/interno/relatorios/detalhes-de-ativos?id=501&amp;codativo=CSAN3" xr:uid="{8F29CBB0-8C5F-48EE-903A-AC98764046F7}"/>
    <hyperlink ref="D139" r:id="rId848" display="https://afinvest.com.br/interno/relatorios/detalhes-de-ativos?id=7&amp;codativo=COGN3" xr:uid="{FBB5CF05-A58B-4B3E-8FD1-8F268A1FCA68}"/>
    <hyperlink ref="D209" r:id="rId849" display="https://afinvest.com.br/interno/relatorios/detalhes-de-ativos?id=7&amp;codativo=COGN3" xr:uid="{C1704DFB-B69D-4817-96F0-903F08E54E48}"/>
    <hyperlink ref="D506" r:id="rId850" display="https://afinvest.com.br/interno/relatorios/detalhes-de-ativos?id=5741&amp;codativo=BMEF11" xr:uid="{BD973AAC-2035-4C36-B19A-BE21FAE3F764}"/>
    <hyperlink ref="D140" r:id="rId851" display="https://afinvest.com.br/interno/relatorios/detalhes-de-ativos?id=6110&amp;codativo=INBR32" xr:uid="{A422AF6D-A0A1-4004-B89D-D0990A4FEEDB}"/>
    <hyperlink ref="D141" r:id="rId852" display="https://afinvest.com.br/interno/relatorios/detalhes-de-ativos?id=855&amp;codativo=BBAS3" xr:uid="{80E4DD4F-D4F3-415E-BA54-86F8E2DC1085}"/>
    <hyperlink ref="D142" r:id="rId853" display="https://afinvest.com.br/interno/relatorios/detalhes-de-ativos?id=937&amp;codativo=ABCB4" xr:uid="{5AADA12B-D3FD-4A44-ACA8-D9B9C97E90FE}"/>
    <hyperlink ref="D143" r:id="rId854" display="https://afinvest.com.br/interno/relatorios/detalhes-de-ativos?id=885&amp;codativo=ANIM3" xr:uid="{E0A7ED48-6782-4B78-9813-95A73AD3C3F7}"/>
    <hyperlink ref="D210" r:id="rId855" display="https://afinvest.com.br/interno/relatorios/detalhes-de-ativos?id=885&amp;codativo=ANIM3" xr:uid="{A6E11B36-EDAE-48C9-950D-B918003AC1BF}"/>
    <hyperlink ref="D175" r:id="rId856" display="https://afinvest.com.br/interno/relatorios/detalhes-de-ativos?id=8523&amp;codativo=AMER11" xr:uid="{E316395B-8450-43A5-A136-86073407C32A}"/>
    <hyperlink ref="D197" r:id="rId857" display="https://afinvest.com.br/interno/relatorios/detalhes-de-ativos?id=8523&amp;codativo=AMER11" xr:uid="{C583A393-2833-4BA9-ABE3-2D94B5971F32}"/>
    <hyperlink ref="D507" r:id="rId858" display="https://afinvest.com.br/interno/relatorios/detalhes-de-ativos?id=8523&amp;codativo=AMER11" xr:uid="{C8CA71BF-5A4D-4037-AD7F-AEE89E464DC6}"/>
    <hyperlink ref="D644" r:id="rId859" display="https://afinvest.com.br/interno/relatorios/detalhes-de-ativos?id=8523&amp;codativo=AMER11" xr:uid="{DB9F8CE8-0EEE-4F8D-BD4E-D7B1C01A499F}"/>
    <hyperlink ref="D144" r:id="rId860" display="https://afinvest.com.br/interno/relatorios/detalhes-de-ativos?id=8117&amp;codativo=ALOS3" xr:uid="{6B6510C5-7F20-4EFD-B0E6-D0030F6F11C0}"/>
    <hyperlink ref="D508" r:id="rId861" display="https://afinvest.com.br/interno/relatorios/detalhes-de-ativos?id=6895&amp;codativo=TIP%20US" xr:uid="{0DB1BD1E-3297-4ABD-96E4-396660C33BE4}"/>
    <hyperlink ref="D509" r:id="rId862" display="https://afinvest.com.br/interno/relatorios/detalhes-de-ativos?id=6896&amp;codativo=TLT%20US" xr:uid="{31A88A0F-2D20-4A31-8BF2-248828C22636}"/>
    <hyperlink ref="D510" r:id="rId863" display="https://afinvest.com.br/interno/relatorios/detalhes-de-ativos?id=9460&amp;codativo=US8605701189" xr:uid="{337F8E91-22B3-42F1-93C0-57B35B7696A7}"/>
    <hyperlink ref="D645" r:id="rId864" display="https://afinvest.com.br/interno/relatorios/detalhes-de-ativos?id=6895&amp;codativo=TIP%20US" xr:uid="{AEFA09A1-03EC-4C15-993A-685C6A35EAB2}"/>
    <hyperlink ref="D646" r:id="rId865" display="https://afinvest.com.br/interno/relatorios/detalhes-de-ativos?id=9460&amp;codativo=US8605701189" xr:uid="{FD346D81-C270-44E2-9C98-5F91AA6ACD40}"/>
    <hyperlink ref="D647" r:id="rId866" display="https://afinvest.com.br/interno/relatorios/detalhes-de-ativos?id=7956&amp;codativo=LFTjun30" xr:uid="{4CC3E71F-2996-463C-A691-52CAE53DF0C9}"/>
    <hyperlink ref="D648" r:id="rId867" display="https://afinvest.com.br/interno/relatorios/detalhes-de-ativos?id=2964&amp;codativo=LFT%20mar%2028" xr:uid="{FA5B4235-FA45-4C90-9FA1-60AE26E8C2F4}"/>
    <hyperlink ref="D649" r:id="rId868" display="https://afinvest.com.br/interno/relatorios/detalhes-de-ativos?id=402&amp;codativo=LFT%20mar%2025" xr:uid="{57BC988A-E1F3-4D3E-85E6-70C78C06BF4F}"/>
    <hyperlink ref="D808" r:id="rId869" display="https://afinvest.com.br/interno/relatorios/detalhes-de-ativos?id=2681&amp;codativo=LFT%20set%2027" xr:uid="{6A7071FE-EBB6-47C2-9E49-4CC869187E62}"/>
    <hyperlink ref="D809" r:id="rId870" display="https://afinvest.com.br/interno/relatorios/detalhes-de-ativos?id=9357&amp;codativo=CDB1256KW67" xr:uid="{8ABDE129-3F79-4E9E-BC3B-0D2CE5382105}"/>
    <hyperlink ref="D650" r:id="rId871" display="https://afinvest.com.br/interno/relatorios/detalhes-de-ativos?id=1271&amp;codativo=Provis%C3%A3o" xr:uid="{59C243E2-281C-438C-9B8B-F0EB7FC16DF0}"/>
    <hyperlink ref="D810" r:id="rId872" display="https://afinvest.com.br/interno/relatorios/detalhes-de-ativos?id=1271&amp;codativo=Provis%C3%A3o" xr:uid="{44D8C6EC-9525-434F-9576-76D1B6C4EB54}"/>
    <hyperlink ref="D651" r:id="rId873" display="https://afinvest.com.br/interno/relatorios/detalhes-de-ativos?id=3428&amp;codativo=LFSN1800DS5" xr:uid="{85B363EB-6332-4263-9B3C-CF8367BA9D4A}"/>
    <hyperlink ref="D652" r:id="rId874" display="https://afinvest.com.br/interno/relatorios/detalhes-de-ativos?id=8260&amp;codativo=LFSN1800D4W" xr:uid="{ACC58375-D0DF-4AF4-ADFC-D7253D6EEF81}"/>
    <hyperlink ref="D811" r:id="rId875" display="https://afinvest.com.br/interno/relatorios/detalhes-de-ativos?id=153&amp;codativo=LFSN19006KM" xr:uid="{C1C9FF6A-0B8F-4440-BD44-2F50AE0226D7}"/>
    <hyperlink ref="D653" r:id="rId876" display="https://afinvest.com.br/interno/relatorios/detalhes-de-ativos?id=8438&amp;codativo=LFSN1800DG1" xr:uid="{86E5E3BF-C083-481D-BCB2-9D37DCE946C9}"/>
    <hyperlink ref="D654" r:id="rId877" display="https://afinvest.com.br/interno/relatorios/detalhes-de-ativos?id=8439&amp;codativo=LFSN1800DC9" xr:uid="{58AE853A-85F9-49D0-8A0C-EE9853FCD348}"/>
    <hyperlink ref="D812" r:id="rId878" display="https://afinvest.com.br/interno/relatorios/detalhes-de-ativos?id=5821&amp;codativo=LFSN2200E75" xr:uid="{99262891-0CC3-4376-9BA4-C7AB568E585F}"/>
    <hyperlink ref="D655" r:id="rId879" display="https://afinvest.com.br/interno/relatorios/detalhes-de-ativos?id=195&amp;codativo=LFSN1800D79" xr:uid="{D7FB5106-0DB6-4B9A-8C80-328294A1C348}"/>
    <hyperlink ref="D656" r:id="rId880" display="https://afinvest.com.br/interno/relatorios/detalhes-de-ativos?id=192&amp;codativo=LFSN1800CUH" xr:uid="{EE5983B2-83B4-407E-A85A-8D435668B2F4}"/>
    <hyperlink ref="D813" r:id="rId881" display="https://afinvest.com.br/interno/relatorios/detalhes-de-ativos?id=6005&amp;codativo=LFSN2200G2K" xr:uid="{AE111D3D-D961-47B7-BDF5-FA8360141B90}"/>
    <hyperlink ref="D814" r:id="rId882" display="https://afinvest.com.br/interno/relatorios/detalhes-de-ativos?id=7720&amp;codativo=LFSC24000BB" xr:uid="{EABCA977-17FF-4BE0-8D4E-24259DED110B}"/>
    <hyperlink ref="D815" r:id="rId883" display="https://afinvest.com.br/interno/relatorios/detalhes-de-ativos?id=2640&amp;codativo=LFSC18002MY" xr:uid="{A453AC64-E35A-4812-8807-3DB339564F63}"/>
    <hyperlink ref="D816" r:id="rId884" display="https://afinvest.com.br/interno/relatorios/detalhes-de-ativos?id=2640&amp;codativo=LFSC18002DF" xr:uid="{31DC29E7-374E-4981-99D1-CDD90029BDA8}"/>
    <hyperlink ref="D817" r:id="rId885" display="https://afinvest.com.br/interno/relatorios/detalhes-de-ativos?id=2640&amp;codativo=LFSC18002MS" xr:uid="{116CC25D-13CC-47CE-800A-935461438CCF}"/>
    <hyperlink ref="D818" r:id="rId886" display="https://afinvest.com.br/interno/relatorios/detalhes-de-ativos?id=7859&amp;codativo=LFSC24001JV" xr:uid="{00BDC885-AB95-4234-985D-3C92CD95AD88}"/>
    <hyperlink ref="D819" r:id="rId887" display="https://afinvest.com.br/interno/relatorios/detalhes-de-ativos?id=262&amp;codativo=LFSC19000BP" xr:uid="{8DA5364A-9EED-4308-96DE-135ACE4E1178}"/>
    <hyperlink ref="D657" r:id="rId888" display="https://afinvest.com.br/interno/relatorios/detalhes-de-ativos?id=7896&amp;codativo=LF002400951" xr:uid="{8C44FCC2-DFAF-4B8C-A2FF-D7F8D1A2603D}"/>
    <hyperlink ref="D658" r:id="rId889" display="https://afinvest.com.br/interno/relatorios/detalhes-de-ativos?id=6885&amp;codativo=LF002305RGQ" xr:uid="{B8BAD014-2DAD-4AA8-969D-0E89BDF59408}"/>
    <hyperlink ref="D659" r:id="rId890" display="https://afinvest.com.br/interno/relatorios/detalhes-de-ativos?id=6882&amp;codativo=LF002305RGD" xr:uid="{E28B4868-FB6E-46A6-BC3B-7259289E3BCB}"/>
    <hyperlink ref="D660" r:id="rId891" display="https://afinvest.com.br/interno/relatorios/detalhes-de-ativos?id=6884&amp;codativo=LF002305RGT" xr:uid="{CDC6C399-6770-401F-9366-6AC30E00042B}"/>
    <hyperlink ref="D820" r:id="rId892" display="https://afinvest.com.br/interno/relatorios/detalhes-de-ativos?id=6883&amp;codativo=LF002305RGI" xr:uid="{EB04FA09-DFA4-4A60-8183-D6ADFD9F61BF}"/>
    <hyperlink ref="D821" r:id="rId893" display="https://afinvest.com.br/interno/relatorios/detalhes-de-ativos?id=6882&amp;codativo=LF002305RGM" xr:uid="{C6057F11-9046-4B28-AC91-6182A7B74A75}"/>
    <hyperlink ref="D661" r:id="rId894" display="https://afinvest.com.br/interno/relatorios/detalhes-de-ativos?id=9459&amp;codativo=LF002400BZO" xr:uid="{1C22BDB6-667A-4115-BD6A-E4DDB0E4A9C6}"/>
    <hyperlink ref="D822" r:id="rId895" display="https://afinvest.com.br/interno/relatorios/detalhes-de-ativos?id=9459&amp;codativo=LF002400BZO" xr:uid="{B235F78C-9CE6-482E-A104-3D6B1B3BB445}"/>
    <hyperlink ref="D662" r:id="rId896" display="https://afinvest.com.br/interno/relatorios/detalhes-de-ativos?id=6059&amp;codativo=LF00220097D" xr:uid="{08D95F6E-D424-4D10-815C-E87E1EBB1AE9}"/>
    <hyperlink ref="D663" r:id="rId897" display="https://afinvest.com.br/interno/relatorios/detalhes-de-ativos?id=6058&amp;codativo=LF002200L4W" xr:uid="{E9B79F28-DC45-4705-A4B6-F9D993D0CF1E}"/>
    <hyperlink ref="D664" r:id="rId898" display="https://afinvest.com.br/interno/relatorios/detalhes-de-ativos?id=8351&amp;codativo=LF002400GAO" xr:uid="{7D434FB5-C058-46DC-9641-36CF05434D27}"/>
    <hyperlink ref="D665" r:id="rId899" display="https://afinvest.com.br/interno/relatorios/detalhes-de-ativos?id=8350&amp;codativo=LF0024007OE" xr:uid="{C8712CA6-5DD3-42A6-9747-AFABD166DBB2}"/>
    <hyperlink ref="D823" r:id="rId900" display="https://afinvest.com.br/interno/relatorios/detalhes-de-ativos?id=8350&amp;codativo=LF0024007OE" xr:uid="{F5762132-108E-4535-B1EF-227E68A066F8}"/>
    <hyperlink ref="D666" r:id="rId901" display="https://afinvest.com.br/interno/relatorios/detalhes-de-ativos?id=8121&amp;codativo=LF00200088U" xr:uid="{27F1112E-B264-4084-A19C-554C61115CC3}"/>
    <hyperlink ref="D667" r:id="rId902" display="https://afinvest.com.br/interno/relatorios/detalhes-de-ativos?id=8123&amp;codativo=LF0020009XX" xr:uid="{37B7DD79-660B-40B1-9476-D72972404A8C}"/>
    <hyperlink ref="D668" r:id="rId903" display="https://afinvest.com.br/interno/relatorios/detalhes-de-ativos?id=8122&amp;codativo=LF0020008IV" xr:uid="{DE2FE221-8EDC-4A83-AF74-FEC0581C90BC}"/>
    <hyperlink ref="D669" r:id="rId904" display="https://afinvest.com.br/interno/relatorios/detalhes-de-ativos?id=8012&amp;codativo=LF002000977" xr:uid="{3A5CBD86-01B3-4E4E-A82E-B42784342146}"/>
    <hyperlink ref="D670" r:id="rId905" display="https://afinvest.com.br/interno/relatorios/detalhes-de-ativos?id=3258&amp;codativo=LF002200G90" xr:uid="{E9390B7A-B73E-4298-A22A-930497E9EB11}"/>
    <hyperlink ref="D824" r:id="rId906" display="https://afinvest.com.br/interno/relatorios/detalhes-de-ativos?id=8803&amp;codativo=LF002400Q0A" xr:uid="{285FBF2B-C5F2-41D0-8A51-10D13443CBF5}"/>
    <hyperlink ref="D671" r:id="rId907" display="https://afinvest.com.br/interno/relatorios/detalhes-de-ativos?id=8263&amp;codativo=LF002400EY5" xr:uid="{067FF7C6-531A-423F-811B-835ECF85E3C9}"/>
    <hyperlink ref="D825" r:id="rId908" display="https://afinvest.com.br/interno/relatorios/detalhes-de-ativos?id=8263&amp;codativo=LF002400EY5" xr:uid="{C54AD9BC-F70D-484B-9FDC-AFE953E993FF}"/>
    <hyperlink ref="D672" r:id="rId909" display="https://afinvest.com.br/interno/relatorios/detalhes-de-ativos?id=8578&amp;codativo=LF002400KC0" xr:uid="{A252E60C-1FFE-4856-99E0-8577EFF2EEC4}"/>
    <hyperlink ref="D826" r:id="rId910" display="https://afinvest.com.br/interno/relatorios/detalhes-de-ativos?id=8578&amp;codativo=LF002400KC1" xr:uid="{90D979E0-9B2F-434E-847B-0B8792CFFAC0}"/>
    <hyperlink ref="D673" r:id="rId911" display="https://afinvest.com.br/interno/relatorios/detalhes-de-ativos?id=3399&amp;codativo=LF002200IOA" xr:uid="{3B8DD28D-558A-44D1-9C90-2E260F9A3C18}"/>
    <hyperlink ref="D674" r:id="rId912" display="https://afinvest.com.br/interno/relatorios/detalhes-de-ativos?id=3181&amp;codativo=LF002200DBM" xr:uid="{DF6C1C4F-7057-4C04-9D64-50633905EFE4}"/>
    <hyperlink ref="D827" r:id="rId913" display="https://afinvest.com.br/interno/relatorios/detalhes-de-ativos?id=3181&amp;codativo=LF002200DBM" xr:uid="{6684406A-16C6-4A95-A0AA-2EF08B2594EC}"/>
    <hyperlink ref="D675" r:id="rId914" display="https://afinvest.com.br/interno/relatorios/detalhes-de-ativos?id=3370&amp;codativo=LF002200HQZ" xr:uid="{5EA83CFC-81CD-4D6E-84AE-9A88E34ACCDD}"/>
    <hyperlink ref="D676" r:id="rId915" display="https://afinvest.com.br/interno/relatorios/detalhes-de-ativos?id=7998&amp;codativo=LF002400ABL" xr:uid="{ACD969A5-072B-4FAD-92A4-494A26CC9C31}"/>
    <hyperlink ref="D828" r:id="rId916" display="https://afinvest.com.br/interno/relatorios/detalhes-de-ativos?id=8352&amp;codativo=LF0024008ZU" xr:uid="{15EA3483-B9D3-4374-8597-E2353897C1A4}"/>
    <hyperlink ref="D829" r:id="rId917" display="https://afinvest.com.br/interno/relatorios/detalhes-de-ativos?id=7998&amp;codativo=LF002400ABM" xr:uid="{CA232514-1FCB-4089-9CED-E190734689CC}"/>
    <hyperlink ref="D830" r:id="rId918" display="https://afinvest.com.br/interno/relatorios/detalhes-de-ativos?id=9045&amp;codativo=LF002400UVM" xr:uid="{349B1E68-5C4A-4694-A8F9-21AD8C4E0987}"/>
    <hyperlink ref="D677" r:id="rId919" display="https://afinvest.com.br/interno/relatorios/detalhes-de-ativos?id=7445&amp;codativo=LF002308DXP" xr:uid="{228B1A19-DB22-4321-8E7E-D45C38354BF0}"/>
    <hyperlink ref="D831" r:id="rId920" display="https://afinvest.com.br/interno/relatorios/detalhes-de-ativos?id=8996&amp;codativo=LF%20BMG%20NOV/26" xr:uid="{314916BB-7837-4575-AE27-7A1DED95A1FC}"/>
    <hyperlink ref="D832" r:id="rId921" display="https://afinvest.com.br/interno/relatorios/detalhes-de-ativos?id=8111&amp;codativo=LF002400BZZ" xr:uid="{E7F58FCA-F3C3-4272-8021-F1F7AA08EEFB}"/>
    <hyperlink ref="D833" r:id="rId922" display="https://afinvest.com.br/interno/relatorios/detalhes-de-ativos?id=5818&amp;codativo=LF002200QQO" xr:uid="{A06FF825-5848-4BFF-BE7E-CC0BF608BCD3}"/>
    <hyperlink ref="D678" r:id="rId923" display="https://afinvest.com.br/interno/relatorios/detalhes-de-ativos?id=7100&amp;codativo=LF002307IJ6" xr:uid="{9FF13958-488F-4310-A8BF-BC038F48C010}"/>
    <hyperlink ref="D834" r:id="rId924" display="https://afinvest.com.br/interno/relatorios/detalhes-de-ativos?id=7100&amp;codativo=LF002307IJ6" xr:uid="{0B3DAF03-B9DD-43DB-BBCD-A68EAFA26307}"/>
    <hyperlink ref="D679" r:id="rId925" display="https://afinvest.com.br/interno/relatorios/detalhes-de-ativos?id=4297&amp;codativo=DI1JUL26" xr:uid="{9CA31F86-90D9-4FD6-A625-B974E32ECF49}"/>
    <hyperlink ref="D680" r:id="rId926" display="https://afinvest.com.br/interno/relatorios/detalhes-de-ativos?id=3254&amp;codativo=DAPMAI25" xr:uid="{02EA00B4-0A53-4459-99FA-505B419D12A1}"/>
    <hyperlink ref="D681" r:id="rId927" display="https://afinvest.com.br/interno/relatorios/detalhes-de-ativos?id=4281&amp;codativo=DI1JAN26" xr:uid="{74399CFA-D954-4A05-AD47-0E51A08359CB}"/>
    <hyperlink ref="D682" r:id="rId928" display="https://afinvest.com.br/interno/relatorios/detalhes-de-ativos?id=8625&amp;codativo=T10MAR25" xr:uid="{1D39E82A-789F-467D-A0C7-D080E894F62C}"/>
    <hyperlink ref="D683" r:id="rId929" display="https://afinvest.com.br/interno/relatorios/detalhes-de-ativos?id=940&amp;codativo=DAPAGO26" xr:uid="{093A4919-08C5-4948-BB42-2F453F57DC93}"/>
    <hyperlink ref="D684" r:id="rId930" display="https://afinvest.com.br/interno/relatorios/detalhes-de-ativos?id=395&amp;codativo=DI1JAN27" xr:uid="{193331A4-5B4C-480E-9ABE-27295E24676A}"/>
    <hyperlink ref="D685" r:id="rId931" display="https://afinvest.com.br/interno/relatorios/detalhes-de-ativos?id=4120&amp;codativo=DAPMAI27" xr:uid="{ABFA1A61-C29C-4902-8432-0BE9D6CFA1E8}"/>
    <hyperlink ref="D835" r:id="rId932" display="https://afinvest.com.br/interno/relatorios/detalhes-de-ativos?id=2957&amp;codativo=DAPAGO28" xr:uid="{029E625E-1AD3-4F16-8E9B-569B148B1E5B}"/>
    <hyperlink ref="D836" r:id="rId933" display="https://afinvest.com.br/interno/relatorios/detalhes-de-ativos?id=395&amp;codativo=DI1JAN27" xr:uid="{F2D28B74-627A-4586-9B6E-6F3C0136D440}"/>
    <hyperlink ref="D837" r:id="rId934" display="https://afinvest.com.br/interno/relatorios/detalhes-de-ativos?id=3254&amp;codativo=DAPMAI25" xr:uid="{C2AB4B83-D38A-44F3-9A7D-6C427B087DCC}"/>
    <hyperlink ref="D838" r:id="rId935" display="https://afinvest.com.br/interno/relatorios/detalhes-de-ativos?id=2677&amp;codativo=DI1JAN29" xr:uid="{1D3C5F6C-BA4F-4CB6-B666-E7FACF1C68D1}"/>
    <hyperlink ref="D839" r:id="rId936" display="https://afinvest.com.br/interno/relatorios/detalhes-de-ativos?id=940&amp;codativo=DAPAGO26" xr:uid="{13EA125D-70B1-4635-B32F-69C14A12124F}"/>
    <hyperlink ref="D840" r:id="rId937" display="https://afinvest.com.br/interno/relatorios/detalhes-de-ativos?id=4120&amp;codativo=DAPMAI27" xr:uid="{EE8AE3A8-8315-47BD-A6CC-00A3310CC351}"/>
    <hyperlink ref="D686" r:id="rId938" display="https://afinvest.com.br/interno/relatorios/detalhes-de-ativos?id=2684&amp;codativo=AFHI11" xr:uid="{FFDE6F60-D19C-4429-9ADD-FF048AFD8F16}"/>
    <hyperlink ref="D841" r:id="rId939" display="https://afinvest.com.br/interno/relatorios/detalhes-de-ativos?id=2684&amp;codativo=AFHI11" xr:uid="{99D34A19-A003-4D66-84A4-B248C06B6A45}"/>
    <hyperlink ref="D687" r:id="rId940" display="https://afinvest.com.br/interno/relatorios/detalhes-de-ativos?id=3066&amp;codativo=KAPITALO%20K10%20ADVISORY%20FIC%20FIM" xr:uid="{8530F26F-B198-429F-9C6B-C41FA2967496}"/>
    <hyperlink ref="D688" r:id="rId941" display="https://afinvest.com.br/interno/relatorios/detalhes-de-ativos?id=2889&amp;codativo=HORIZONTE%20FIM%20CP" xr:uid="{F9FDC170-4F4D-4693-8B86-CAA5CA4D724B}"/>
    <hyperlink ref="D842" r:id="rId942" display="https://afinvest.com.br/interno/relatorios/detalhes-de-ativos?id=2889&amp;codativo=HORIZONTE%20FIM%20CP" xr:uid="{13C3F542-A795-4C01-9357-C5CE16393EE9}"/>
    <hyperlink ref="D689" r:id="rId943" display="https://afinvest.com.br/interno/relatorios/detalhes-de-ativos?id=3065&amp;codativo=ABSOLUTE%20VERTEX%20ADVISORY%20FIC%20FIM" xr:uid="{82EADC36-0D41-4152-ACF6-7705BE506A9E}"/>
    <hyperlink ref="D690" r:id="rId944" display="https://afinvest.com.br/interno/relatorios/detalhes-de-ativos?id=5842&amp;codativo=V8%20VANQUISH%20TERMO%20FUNDO%20DE%20INVESTIMENTO%20RENDA%20FIXA" xr:uid="{A4CC6195-2DEF-47C1-BE36-265485A0DDBF}"/>
    <hyperlink ref="D691" r:id="rId945" display="https://afinvest.com.br/interno/relatorios/detalhes-de-ativos?id=391&amp;codativo=GERAES%2030" xr:uid="{6076A707-BFA4-4FAC-82E8-70CE010727B7}"/>
    <hyperlink ref="D843" r:id="rId946" display="https://afinvest.com.br/interno/relatorios/detalhes-de-ativos?id=391&amp;codativo=GERAES%2030" xr:uid="{D726E786-6FA0-43F0-B2F9-D77FB5FA0B22}"/>
    <hyperlink ref="D692" r:id="rId947" display="https://afinvest.com.br/interno/relatorios/detalhes-de-ativos?id=343&amp;codativo=GERAES" xr:uid="{F179DB4B-77DF-4B2E-B1AB-7AA15A0E7633}"/>
    <hyperlink ref="D844" r:id="rId948" display="https://afinvest.com.br/interno/relatorios/detalhes-de-ativos?id=343&amp;codativo=GERAES" xr:uid="{83794A5A-34C7-45D6-BD53-FD127BF2B82A}"/>
    <hyperlink ref="D693" r:id="rId949" display="https://afinvest.com.br/interno/relatorios/detalhes-de-ativos?id=873&amp;codativo=AF%20GLOBAL%20BONDS%20FI%20RF%20CP%20IE" xr:uid="{363A847D-7241-4540-84C1-C4C6EE8F5FDE}"/>
    <hyperlink ref="D845" r:id="rId950" display="https://afinvest.com.br/interno/relatorios/detalhes-de-ativos?id=873&amp;codativo=AF%20GLOBAL%20BONDS%20FI%20RF%20CP%20IE" xr:uid="{564159D7-0152-4CC0-841A-C361DB16D7A2}"/>
    <hyperlink ref="D694" r:id="rId951" display="https://afinvest.com.br/interno/relatorios/detalhes-de-ativos?id=1107&amp;codativo=AF%20MINAS" xr:uid="{2017692A-3278-4A72-965D-0302BCBFAE03}"/>
    <hyperlink ref="D846" r:id="rId952" display="https://afinvest.com.br/interno/relatorios/detalhes-de-ativos?id=1107&amp;codativo=AF%20MINAS" xr:uid="{98A5EF12-AE0D-44AC-8CEB-06206DA68597}"/>
    <hyperlink ref="D695" r:id="rId953" display="https://afinvest.com.br/interno/relatorios/detalhes-de-ativos?id=2710&amp;codativo=Santander%20CashBlack" xr:uid="{6AE1B7D1-BD8B-4D54-9E03-EFB8895AD30A}"/>
    <hyperlink ref="D847" r:id="rId954" display="https://afinvest.com.br/interno/relatorios/detalhes-de-ativos?id=2710&amp;codativo=Santander%20CashBlack" xr:uid="{2849FA3B-8329-4C47-863E-D59D0108C781}"/>
    <hyperlink ref="D696" r:id="rId955" display="https://afinvest.com.br/interno/relatorios/detalhes-de-ativos?id=7740&amp;codativo=SANTANDER%20CASH%20BLACK%20IX" xr:uid="{92800B42-2177-4C10-A56B-8BE7F8A670E5}"/>
    <hyperlink ref="D697" r:id="rId956" display="https://afinvest.com.br/interno/relatorios/detalhes-de-ativos?id=7744&amp;codativo=SANTANDER%20CASH%20BLACK%20II" xr:uid="{C1B73C67-325C-499C-9707-ED93DB9F6EA9}"/>
    <hyperlink ref="D698" r:id="rId957" display="https://afinvest.com.br/interno/relatorios/detalhes-de-ativos?id=7743&amp;codativo=SANTANDER%20CASH%20BLACK%20VIII" xr:uid="{ECE12B6F-DE68-4F6C-843E-74AAB58C876F}"/>
    <hyperlink ref="D699" r:id="rId958" display="https://afinvest.com.br/interno/relatorios/detalhes-de-ativos?id=7739&amp;codativo=SANTANDER%20CASH%20BLACK%20III" xr:uid="{0BEED6D8-33B9-41E7-BE59-2C481DB7B94A}"/>
    <hyperlink ref="D700" r:id="rId959" display="https://afinvest.com.br/interno/relatorios/detalhes-de-ativos?id=7742&amp;codativo=SANTANDER%20CASH%20BLACK%20V" xr:uid="{F61FEED2-3772-4ED9-8C2C-E625832CC1C4}"/>
    <hyperlink ref="D701" r:id="rId960" display="https://afinvest.com.br/interno/relatorios/detalhes-de-ativos?id=7745&amp;codativo=SANTANDER%20CASH%20BLACK%20IV" xr:uid="{234BE543-F3F8-4A66-9A2E-844153A1DCF4}"/>
    <hyperlink ref="D702" r:id="rId961" display="https://afinvest.com.br/interno/relatorios/detalhes-de-ativos?id=7747&amp;codativo=SANTANDER%20CASH%20BLACK%20VI" xr:uid="{56232EE4-84E7-49B6-B57F-5D595822D7EB}"/>
    <hyperlink ref="D703" r:id="rId962" display="https://afinvest.com.br/interno/relatorios/detalhes-de-ativos?id=7746&amp;codativo=SANTANDER%20CASH%20BLACK%20VII" xr:uid="{B30CD569-A8C7-4F6E-9C15-D49F7EE3F8D3}"/>
    <hyperlink ref="D704" r:id="rId963" display="https://afinvest.com.br/interno/relatorios/detalhes-de-ativos?id=7741&amp;codativo=SANTANDER%20CASH%20BLACK%20X" xr:uid="{1DB2E9D3-13BB-476B-86EF-9F2464D5DC6E}"/>
    <hyperlink ref="D848" r:id="rId964" display="https://afinvest.com.br/interno/relatorios/detalhes-de-ativos?id=7744&amp;codativo=SANTANDER%20CASH%20BLACK%20II" xr:uid="{FD930D19-82A8-4A9B-8E39-92E78B8598D1}"/>
    <hyperlink ref="D849" r:id="rId965" display="https://afinvest.com.br/interno/relatorios/detalhes-de-ativos?id=7740&amp;codativo=SANTANDER%20CASH%20BLACK%20IX" xr:uid="{1A654ECB-A04B-47D7-B0D2-13A4A6F83A38}"/>
    <hyperlink ref="D850" r:id="rId966" display="https://afinvest.com.br/interno/relatorios/detalhes-de-ativos?id=7739&amp;codativo=SANTANDER%20CASH%20BLACK%20III" xr:uid="{7C43EB4F-FDF7-4F9D-834A-F90CF824C9D5}"/>
    <hyperlink ref="D851" r:id="rId967" display="https://afinvest.com.br/interno/relatorios/detalhes-de-ativos?id=7742&amp;codativo=SANTANDER%20CASH%20BLACK%20V" xr:uid="{852CAB14-D187-47B1-AB50-F478F71FB066}"/>
    <hyperlink ref="D852" r:id="rId968" display="https://afinvest.com.br/interno/relatorios/detalhes-de-ativos?id=7743&amp;codativo=SANTANDER%20CASH%20BLACK%20VIII" xr:uid="{244181EC-E861-4D7D-A4ED-E0B948A5AF83}"/>
    <hyperlink ref="D853" r:id="rId969" display="https://afinvest.com.br/interno/relatorios/detalhes-de-ativos?id=7745&amp;codativo=SANTANDER%20CASH%20BLACK%20IV" xr:uid="{3A25BA46-8CE7-43B9-A5C3-9A2EC3FA943F}"/>
    <hyperlink ref="D854" r:id="rId970" display="https://afinvest.com.br/interno/relatorios/detalhes-de-ativos?id=7747&amp;codativo=SANTANDER%20CASH%20BLACK%20VI" xr:uid="{376EE8FA-8D28-4BBA-A199-ECB18CFABA35}"/>
    <hyperlink ref="D855" r:id="rId971" display="https://afinvest.com.br/interno/relatorios/detalhes-de-ativos?id=7746&amp;codativo=SANTANDER%20CASH%20BLACK%20VII" xr:uid="{D7F99C1F-85C0-42DB-930B-D6DAA826AD29}"/>
    <hyperlink ref="D856" r:id="rId972" display="https://afinvest.com.br/interno/relatorios/detalhes-de-ativos?id=7741&amp;codativo=SANTANDER%20CASH%20BLACK%20X" xr:uid="{71C2D060-57DA-43F4-957E-8C4F72F1E90C}"/>
    <hyperlink ref="D705" r:id="rId973" display="https://afinvest.com.br/interno/relatorios/detalhes-de-ativos?id=408&amp;codativo=FIDC%20Sifra%20Plus%20Sr" xr:uid="{0B746444-4DB0-4B15-AB5F-6922B5F3AC51}"/>
    <hyperlink ref="D857" r:id="rId974" display="https://afinvest.com.br/interno/relatorios/detalhes-de-ativos?id=408&amp;codativo=FIDC%20Sifra%20Plus%20Sr" xr:uid="{194A51B8-AD57-4129-8B28-D541CCA3A169}"/>
    <hyperlink ref="D706" r:id="rId975" display="https://afinvest.com.br/interno/relatorios/detalhes-de-ativos?id=7680&amp;codativo=FIDC%20Pagbem%20Sr%207" xr:uid="{985FC44E-9DBC-44BF-BE98-6BDBD6D04DCE}"/>
    <hyperlink ref="D858" r:id="rId976" display="https://afinvest.com.br/interno/relatorios/detalhes-de-ativos?id=7680&amp;codativo=FIDC%20Pagbem%20Sr%207" xr:uid="{1A93CE64-9E7D-4071-95DB-B7D7DC2F6992}"/>
    <hyperlink ref="D707" r:id="rId977" display="https://afinvest.com.br/interno/relatorios/detalhes-de-ativos?id=7810&amp;codativo=FIDC%20ACR%20Fast" xr:uid="{07EA2B98-0775-482F-9F23-30302752F971}"/>
    <hyperlink ref="D859" r:id="rId978" display="https://afinvest.com.br/interno/relatorios/detalhes-de-ativos?id=7810&amp;codativo=FIDC%20ACR%20Fast" xr:uid="{39EB2B3D-AEAC-484B-8CEB-7ED2215CDC63}"/>
    <hyperlink ref="D860" r:id="rId979" display="https://afinvest.com.br/interno/relatorios/detalhes-de-ativos?id=8473&amp;codativo=FIDC%20ICred%20Sr" xr:uid="{F1E2E5C2-59DC-4A14-A0E2-3D8EBDAD3307}"/>
    <hyperlink ref="D861" r:id="rId980" display="https://afinvest.com.br/interno/relatorios/detalhes-de-ativos?id=8328&amp;codativo=FIDC%20Guardian%20MC%20II%20Sr" xr:uid="{A8209190-6EFA-45A6-B198-098B13855421}"/>
    <hyperlink ref="D862" r:id="rId981" display="https://afinvest.com.br/interno/relatorios/detalhes-de-ativos?id=5743&amp;codativo=FIDC%20FS%20FORTALECE" xr:uid="{735703F6-B3CE-4D50-BC31-5CB8928D2DCE}"/>
    <hyperlink ref="D863" r:id="rId982" display="https://afinvest.com.br/interno/relatorios/detalhes-de-ativos?id=3505&amp;codativo=FIDC%20URA%20Agro%20SR" xr:uid="{50CC4A72-D041-4923-BD93-4034034DF95F}"/>
    <hyperlink ref="D708" r:id="rId983" display="https://afinvest.com.br/interno/relatorios/detalhes-de-ativos?id=1220&amp;codativo=FIDC%20SIMPAR" xr:uid="{0D90ECE3-FFFE-42B8-A728-6E37356C2500}"/>
    <hyperlink ref="D864" r:id="rId984" display="https://afinvest.com.br/interno/relatorios/detalhes-de-ativos?id=1220&amp;codativo=FIDC%20SIMPAR" xr:uid="{59E6774C-B38D-4C34-B6DF-F3E1571AE28E}"/>
    <hyperlink ref="D865" r:id="rId985" display="https://afinvest.com.br/interno/relatorios/detalhes-de-ativos?id=8922&amp;codativo=FIDC%20Precavida" xr:uid="{560894DA-3122-42B8-AE38-7672CE5EB845}"/>
    <hyperlink ref="D866" r:id="rId986" display="https://afinvest.com.br/interno/relatorios/detalhes-de-ativos?id=9223&amp;codativo=FIDC%20PICPAY%20FGTS%20SR" xr:uid="{43B33D76-8071-4132-BA30-3701E07621BE}"/>
    <hyperlink ref="D867" r:id="rId987" display="https://afinvest.com.br/interno/relatorios/detalhes-de-ativos?id=387&amp;codativo=FIDC%20LF%20I%20SR4" xr:uid="{3EC239F8-4F0E-4E14-9EAD-D02D999C7DC9}"/>
    <hyperlink ref="D868" r:id="rId988" display="https://afinvest.com.br/interno/relatorios/detalhes-de-ativos?id=9487&amp;codativo=FIDC%20Icred%20INSS" xr:uid="{7F1A397C-4E95-4466-B3FD-089E37D8D0AB}"/>
    <hyperlink ref="D869" r:id="rId989" display="https://afinvest.com.br/interno/relatorios/detalhes-de-ativos?id=8007&amp;codativo=FIDC%20CloudWalk%20II" xr:uid="{B6F1D853-B96A-4228-A766-76DDB072E89F}"/>
    <hyperlink ref="D709" r:id="rId990" display="https://afinvest.com.br/interno/relatorios/detalhes-de-ativos?id=8877&amp;codativo=FIDC%20Artico%20Sr" xr:uid="{76FAB82E-F6FD-45C4-98A3-A8CD5973418E}"/>
    <hyperlink ref="D870" r:id="rId991" display="https://afinvest.com.br/interno/relatorios/detalhes-de-ativos?id=7806&amp;codativo=VEBMA4" xr:uid="{34330C3C-0B89-4F32-B9A5-9FF1A1D89C38}"/>
    <hyperlink ref="D710" r:id="rId992" display="https://afinvest.com.br/interno/relatorios/detalhes-de-ativos?id=2721&amp;codativo=VIXL14" xr:uid="{6512D543-65E3-4A5A-86DD-2DF6AE01D37C}"/>
    <hyperlink ref="D871" r:id="rId993" display="https://afinvest.com.br/interno/relatorios/detalhes-de-ativos?id=2721&amp;codativo=VIXL14" xr:uid="{50924CB7-6C3D-4E8F-8366-42009A73DB97}"/>
    <hyperlink ref="D872" r:id="rId994" display="https://afinvest.com.br/interno/relatorios/detalhes-de-ativos?id=8583&amp;codativo=VIXL18" xr:uid="{5204BB2A-559D-467D-8CD5-7E3244E82E51}"/>
    <hyperlink ref="D711" r:id="rId995" display="https://afinvest.com.br/interno/relatorios/detalhes-de-ativos?id=7864&amp;codativo=BRDT11" xr:uid="{01A27BBE-DD3D-401D-81CE-3B23B40E89F7}"/>
    <hyperlink ref="D873" r:id="rId996" display="https://afinvest.com.br/interno/relatorios/detalhes-de-ativos?id=2927&amp;codativo=VBBR24" xr:uid="{300DD721-DFF7-4CCB-A0C5-111725426EAC}"/>
    <hyperlink ref="D712" r:id="rId997" display="https://afinvest.com.br/interno/relatorios/detalhes-de-ativos?id=3424&amp;codativo=VECS11" xr:uid="{0899008B-843A-4DD5-98A2-62270C9A5D8B}"/>
    <hyperlink ref="D874" r:id="rId998" display="https://afinvest.com.br/interno/relatorios/detalhes-de-ativos?id=3424&amp;codativo=VECS11" xr:uid="{487A79D9-55DC-49F3-BF39-7D79089196F9}"/>
    <hyperlink ref="D875" r:id="rId999" display="https://afinvest.com.br/interno/relatorios/detalhes-de-ativos?id=8807&amp;codativo=VSCF17" xr:uid="{43161610-BAD0-4DAF-9364-993382C3E3B0}"/>
    <hyperlink ref="D713" r:id="rId1000" display="https://afinvest.com.br/interno/relatorios/detalhes-de-ativos?id=1692&amp;codativo=VAMO22" xr:uid="{8E8DB8E8-6841-4050-9248-2064227C8B00}"/>
    <hyperlink ref="D876" r:id="rId1001" display="https://afinvest.com.br/interno/relatorios/detalhes-de-ativos?id=1464&amp;codativo=VAMO23" xr:uid="{F2F2A20D-DF8F-4077-99AF-A1EF75C66B7C}"/>
    <hyperlink ref="D877" r:id="rId1002" display="https://afinvest.com.br/interno/relatorios/detalhes-de-ativos?id=1463&amp;codativo=VAMO13" xr:uid="{5A9E222C-FF3E-450C-8254-781FDC531E9B}"/>
    <hyperlink ref="D878" r:id="rId1003" display="https://afinvest.com.br/interno/relatorios/detalhes-de-ativos?id=8116&amp;codativo=VLIDA0" xr:uid="{F5CD21AB-9CCF-4296-A651-B6D828AA2800}"/>
    <hyperlink ref="D879" r:id="rId1004" display="https://afinvest.com.br/interno/relatorios/detalhes-de-ativos?id=9446&amp;codativo=VERT18%20(nota%20reestruturada)" xr:uid="{AC86CE53-B081-4C02-9DF6-1FD29AE78FD8}"/>
    <hyperlink ref="D880" r:id="rId1005" display="https://afinvest.com.br/interno/relatorios/detalhes-de-ativos?id=9445&amp;codativo=VERT19%20(nota%20participativa)" xr:uid="{3C46DC12-842F-40BA-99D4-24F8A33D5EE3}"/>
    <hyperlink ref="D881" r:id="rId1006" display="https://afinvest.com.br/interno/relatorios/detalhes-de-ativos?id=6795&amp;codativo=TBSP11" xr:uid="{9071AF89-09D2-42F5-BA72-B784346C2A9E}"/>
    <hyperlink ref="D882" r:id="rId1007" display="https://afinvest.com.br/interno/relatorios/detalhes-de-ativos?id=2918&amp;codativo=SULA29" xr:uid="{3C4E3982-FD43-4074-BC37-1FBF75DA2795}"/>
    <hyperlink ref="D883" r:id="rId1008" display="https://afinvest.com.br/interno/relatorios/detalhes-de-ativos?id=3004&amp;codativo=JSMLA5" xr:uid="{61A23B0D-77BF-4E12-938E-8C543029EBA0}"/>
    <hyperlink ref="D884" r:id="rId1009" display="https://afinvest.com.br/interno/relatorios/detalhes-de-ativos?id=6041&amp;codativo=SIMH16" xr:uid="{B959B008-14E4-4413-A69B-6F660E39037C}"/>
    <hyperlink ref="D885" r:id="rId1010" display="https://afinvest.com.br/interno/relatorios/detalhes-de-ativos?id=1410&amp;codativo=ASAI22" xr:uid="{E3993EBA-22D4-4FD7-BCE9-DFC885000A06}"/>
    <hyperlink ref="D886" r:id="rId1011" display="https://afinvest.com.br/interno/relatorios/detalhes-de-ativos?id=8398&amp;codativo=ASAIA0" xr:uid="{A2D7BA72-BEFD-4372-9347-C7779531E52A}"/>
    <hyperlink ref="D714" r:id="rId1012" display="https://afinvest.com.br/interno/relatorios/detalhes-de-ativos?id=1420&amp;codativo=SBFC12" xr:uid="{B7663C19-E89A-4A7F-B478-D5ECD58551A0}"/>
    <hyperlink ref="D887" r:id="rId1013" display="https://afinvest.com.br/interno/relatorios/detalhes-de-ativos?id=3175&amp;codativo=SBFC13" xr:uid="{2A353475-396C-4445-BF39-A7DB6936C641}"/>
    <hyperlink ref="D888" r:id="rId1014" display="https://afinvest.com.br/interno/relatorios/detalhes-de-ativos?id=1420&amp;codativo=SBFC12" xr:uid="{3C852581-001E-4BDA-9215-7D8793301086}"/>
    <hyperlink ref="D889" r:id="rId1015" display="https://afinvest.com.br/interno/relatorios/detalhes-de-ativos?id=1214&amp;codativo=RDCO10" xr:uid="{7FF87685-468A-485C-880D-5A1B48393C3A}"/>
    <hyperlink ref="D890" r:id="rId1016" display="https://afinvest.com.br/interno/relatorios/detalhes-de-ativos?id=2723&amp;codativo=RDORB9" xr:uid="{22318DB4-AD98-4CFE-8466-ACA07E3339F7}"/>
    <hyperlink ref="D891" r:id="rId1017" display="https://afinvest.com.br/interno/relatorios/detalhes-de-ativos?id=3368&amp;codativo=QUAL16" xr:uid="{99C5C01C-0315-49AE-B2D3-B2D085FE918D}"/>
    <hyperlink ref="D892" r:id="rId1018" display="https://afinvest.com.br/interno/relatorios/detalhes-de-ativos?id=5906&amp;codativo=PEJA21" xr:uid="{D5EA629E-A733-44FF-BCD2-A62585118499}"/>
    <hyperlink ref="D893" r:id="rId1019" display="https://afinvest.com.br/interno/relatorios/detalhes-de-ativos?id=5840&amp;codativo=ONCO19" xr:uid="{66EA5385-ED90-4909-B3F9-C41F5DD8DDD4}"/>
    <hyperlink ref="D715" r:id="rId1020" display="https://afinvest.com.br/interno/relatorios/detalhes-de-ativos?id=2626&amp;codativo=OMGE13" xr:uid="{3EE6F3DD-B31F-4222-8E21-15277F1B33A5}"/>
    <hyperlink ref="D716" r:id="rId1021" display="https://afinvest.com.br/interno/relatorios/detalhes-de-ativos?id=3395&amp;codativo=OGDS11" xr:uid="{A8CB5006-2772-4FF3-B604-8AC7F71515A9}"/>
    <hyperlink ref="D894" r:id="rId1022" display="https://afinvest.com.br/interno/relatorios/detalhes-de-ativos?id=3395&amp;codativo=OGDS11" xr:uid="{D5859E18-14CB-44AF-A957-4326323BD60D}"/>
    <hyperlink ref="D895" r:id="rId1023" display="https://afinvest.com.br/interno/relatorios/detalhes-de-ativos?id=8875&amp;codativo=NTSD17" xr:uid="{04450E46-B469-4A63-AB01-368E3A00CD1E}"/>
    <hyperlink ref="D896" r:id="rId1024" display="https://afinvest.com.br/interno/relatorios/detalhes-de-ativos?id=9425&amp;codativo=MVLV19" xr:uid="{051CED10-71D1-44CF-9761-22FB38C881A0}"/>
    <hyperlink ref="D897" r:id="rId1025" display="https://afinvest.com.br/interno/relatorios/detalhes-de-ativos?id=3059&amp;codativo=MNRVA1" xr:uid="{59505370-A20A-42D7-8A9D-223C92928252}"/>
    <hyperlink ref="D717" r:id="rId1026" display="https://afinvest.com.br/interno/relatorios/detalhes-de-ativos?id=215&amp;codativo=LIGHB6" xr:uid="{91955692-B81E-4CB4-82E7-6F5FD1095948}"/>
    <hyperlink ref="D718" r:id="rId1027" display="https://afinvest.com.br/interno/relatorios/detalhes-de-ativos?id=9215&amp;codativo=LIGT11" xr:uid="{229BE66E-8707-450E-BD8E-18476B3F6B4B}"/>
    <hyperlink ref="D719" r:id="rId1028" display="https://afinvest.com.br/interno/relatorios/detalhes-de-ativos?id=1427&amp;codativo=LIGH1B" xr:uid="{7D850A18-EE02-4B11-BE57-83DCB0F8A9B2}"/>
    <hyperlink ref="D720" r:id="rId1029" display="https://afinvest.com.br/interno/relatorios/detalhes-de-ativos?id=1637&amp;codativo=LIGHC6" xr:uid="{712F740A-A0DE-4586-8ECE-ABF3BC29B6F4}"/>
    <hyperlink ref="D721" r:id="rId1030" display="https://afinvest.com.br/interno/relatorios/detalhes-de-ativos?id=9179&amp;codativo=LIGH2B" xr:uid="{56CDDCBE-4252-4A6C-B317-F3EBADA685BB}"/>
    <hyperlink ref="D898" r:id="rId1031" display="https://afinvest.com.br/interno/relatorios/detalhes-de-ativos?id=1427&amp;codativo=LIGH1B" xr:uid="{726A5EA7-9733-4689-9186-01341D96701C}"/>
    <hyperlink ref="D899" r:id="rId1032" display="https://afinvest.com.br/interno/relatorios/detalhes-de-ativos?id=9215&amp;codativo=LIGT11" xr:uid="{FC1E8237-E990-4CA0-9995-76F91732F70D}"/>
    <hyperlink ref="D900" r:id="rId1033" display="https://afinvest.com.br/interno/relatorios/detalhes-de-ativos?id=215&amp;codativo=LIGHB6" xr:uid="{9A6C75CD-9E8D-42C9-B163-A23BD726226B}"/>
    <hyperlink ref="D901" r:id="rId1034" display="https://afinvest.com.br/interno/relatorios/detalhes-de-ativos?id=9179&amp;codativo=LIGH2B" xr:uid="{F2B00F7C-C75A-4264-B6A0-3CD861A726CC}"/>
    <hyperlink ref="D902" r:id="rId1035" display="https://afinvest.com.br/interno/relatorios/detalhes-de-ativos?id=1637&amp;codativo=LIGHC6" xr:uid="{5B6BB839-F9BE-4E3C-8E8D-C0DB6FCA864B}"/>
    <hyperlink ref="D903" r:id="rId1036" display="https://afinvest.com.br/interno/relatorios/detalhes-de-ativos?id=308&amp;codativo=KLBNA2" xr:uid="{2E36936D-21EF-4641-A6C7-8FB6E027ADD0}"/>
    <hyperlink ref="D904" r:id="rId1037" display="https://afinvest.com.br/interno/relatorios/detalhes-de-ativos?id=2829&amp;codativo=ITSA24" xr:uid="{5B46FD17-3EC5-4236-9930-678A721D4A00}"/>
    <hyperlink ref="D905" r:id="rId1038" display="https://afinvest.com.br/interno/relatorios/detalhes-de-ativos?id=2844&amp;codativo=MATD11" xr:uid="{FBC5CB78-DF90-4A2C-8DAC-53B049326FD3}"/>
    <hyperlink ref="D906" r:id="rId1039" display="https://afinvest.com.br/interno/relatorios/detalhes-de-ativos?id=5764&amp;codativo=HBSA12" xr:uid="{3D4F1954-B153-483A-B9C8-BB2857490F76}"/>
    <hyperlink ref="D722" r:id="rId1040" display="https://afinvest.com.br/interno/relatorios/detalhes-de-ativos?id=212&amp;codativo=HAPV21" xr:uid="{DE69AAE8-33E8-46CD-931C-0D0FA54069B9}"/>
    <hyperlink ref="D907" r:id="rId1041" display="https://afinvest.com.br/interno/relatorios/detalhes-de-ativos?id=2877&amp;codativo=HAPV22" xr:uid="{0B681F15-D349-4425-816D-904E82C9E01F}"/>
    <hyperlink ref="D908" r:id="rId1042" display="https://afinvest.com.br/interno/relatorios/detalhes-de-ativos?id=9151&amp;codativo=AEGE17" xr:uid="{005731D0-DB5F-4146-81C8-85CA80599984}"/>
    <hyperlink ref="D909" r:id="rId1043" display="https://afinvest.com.br/interno/relatorios/detalhes-de-ativos?id=7270&amp;codativo=CGOS14" xr:uid="{4101A7EF-866A-4261-AADB-1BD37FCED5D1}"/>
    <hyperlink ref="D910" r:id="rId1044" display="https://afinvest.com.br/interno/relatorios/detalhes-de-ativos?id=8876&amp;codativo=CGOS18" xr:uid="{BCB6974D-5E70-44B2-AE09-A313F129D257}"/>
    <hyperlink ref="D911" r:id="rId1045" display="https://afinvest.com.br/interno/relatorios/detalhes-de-ativos?id=2839&amp;codativo=ENGIC5" xr:uid="{9AEDDA98-C37D-4FEF-A105-CCDFFD90438E}"/>
    <hyperlink ref="D912" r:id="rId1046" display="https://afinvest.com.br/interno/relatorios/detalhes-de-ativos?id=7268&amp;codativo=ERDVB3" xr:uid="{53E3C6B2-6104-4A86-A6E8-2B87041644A1}"/>
    <hyperlink ref="D723" r:id="rId1047" display="https://afinvest.com.br/interno/relatorios/detalhes-de-ativos?id=1596&amp;codativo=DASAA4" xr:uid="{3A97930F-FB00-4E75-90CC-CFD6756C7C75}"/>
    <hyperlink ref="D913" r:id="rId1048" display="https://afinvest.com.br/interno/relatorios/detalhes-de-ativos?id=1596&amp;codativo=DASAA4" xr:uid="{46BDCBF2-9FF3-4965-99B7-9F39A5BAEA28}"/>
    <hyperlink ref="D914" r:id="rId1049" display="https://afinvest.com.br/interno/relatorios/detalhes-de-ativos?id=8432&amp;codativo=CSANB0" xr:uid="{44030FB4-E867-4D33-BA3D-CA8CDD31EB00}"/>
    <hyperlink ref="D915" r:id="rId1050" display="https://afinvest.com.br/interno/relatorios/detalhes-de-ativos?id=8431&amp;codativo=CSANA0" xr:uid="{071D6DAA-8DA1-4147-B0E8-A31831AF385F}"/>
    <hyperlink ref="D916" r:id="rId1051" display="https://afinvest.com.br/interno/relatorios/detalhes-de-ativos?id=2833&amp;codativo=CGBP13" xr:uid="{D0E676E6-33A4-4A2A-8945-E67A7B498F09}"/>
    <hyperlink ref="D724" r:id="rId1052" display="https://afinvest.com.br/interno/relatorios/detalhes-de-ativos?id=7543&amp;codativo=CRNP11" xr:uid="{304906AC-7E45-4FF4-8526-2F3DCD6E8732}"/>
    <hyperlink ref="D917" r:id="rId1053" display="https://afinvest.com.br/interno/relatorios/detalhes-de-ativos?id=7543&amp;codativo=CRNP11" xr:uid="{548CF530-91D1-4917-B4AD-38030605FC63}"/>
    <hyperlink ref="D918" r:id="rId1054" display="https://afinvest.com.br/interno/relatorios/detalhes-de-ativos?id=7260&amp;codativo=PASS12" xr:uid="{878788CC-6CC3-4F70-91C8-A918AB49662D}"/>
    <hyperlink ref="D919" r:id="rId1055" display="https://afinvest.com.br/interno/relatorios/detalhes-de-ativos?id=5729&amp;codativo=CSNAA2" xr:uid="{EBF16C3A-D731-44E0-BD5F-6EB5BE7D9C09}"/>
    <hyperlink ref="D920" r:id="rId1056" display="https://afinvest.com.br/interno/relatorios/detalhes-de-ativos?id=3460&amp;codativo=VTII12" xr:uid="{170DC1C9-EB6D-472A-AE1B-AF42794F1D43}"/>
    <hyperlink ref="D921" r:id="rId1057" display="https://afinvest.com.br/interno/relatorios/detalhes-de-ativos?id=3508&amp;codativo=CRCG12" xr:uid="{FB22A4C9-3DD7-4BF3-BF46-1B64967C2347}"/>
    <hyperlink ref="D922" r:id="rId1058" display="https://afinvest.com.br/interno/relatorios/detalhes-de-ativos?id=8005&amp;codativo=CHSF12" xr:uid="{C7D83ABC-153E-481A-A47B-E9844EB615EB}"/>
    <hyperlink ref="D923" r:id="rId1059" display="https://afinvest.com.br/interno/relatorios/detalhes-de-ativos?id=8444&amp;codativo=CAEC22" xr:uid="{6B5CEFA8-26E2-4417-9226-30A3DBBE72DC}"/>
    <hyperlink ref="D725" r:id="rId1060" display="https://afinvest.com.br/interno/relatorios/detalhes-de-ativos?id=2779&amp;codativo=CBRDA8" xr:uid="{81DD2479-B5D5-468C-832E-30365696FEF4}"/>
    <hyperlink ref="D924" r:id="rId1061" display="https://afinvest.com.br/interno/relatorios/detalhes-de-ativos?id=2779&amp;codativo=CBRDA8" xr:uid="{5BF04F0F-3CB1-4EC2-8484-044F4BE1AB58}"/>
    <hyperlink ref="D925" r:id="rId1062" display="https://afinvest.com.br/interno/relatorios/detalhes-de-ativos?id=2780&amp;codativo=CBRDB8" xr:uid="{660CE524-CDD5-44D0-8EFD-81687D3C95E6}"/>
    <hyperlink ref="D926" r:id="rId1063" display="https://afinvest.com.br/interno/relatorios/detalhes-de-ativos?id=5722&amp;codativo=AALR13" xr:uid="{6F3918B6-6CB5-43ED-B82B-F6F7AA4AC49F}"/>
    <hyperlink ref="D927" r:id="rId1064" display="https://afinvest.com.br/interno/relatorios/detalhes-de-ativos?id=3194&amp;codativo=BRKPA0" xr:uid="{5B915688-03B5-49D8-A4AA-1EA074470521}"/>
    <hyperlink ref="D726" r:id="rId1065" display="https://afinvest.com.br/interno/relatorios/detalhes-de-ativos?id=6410&amp;codativo=BRFS31" xr:uid="{3BFEA771-C8F4-4E19-98D3-BA091BA9EB26}"/>
    <hyperlink ref="D928" r:id="rId1066" display="https://afinvest.com.br/interno/relatorios/detalhes-de-ativos?id=6410&amp;codativo=BRFS31" xr:uid="{6750A837-A04A-4770-B55F-FB3BA17B7288}"/>
    <hyperlink ref="D929" r:id="rId1067" display="https://afinvest.com.br/interno/relatorios/detalhes-de-ativos?id=3357&amp;codativo=BRKMA6" xr:uid="{BA05D5DB-1840-476B-9390-3903111B1100}"/>
    <hyperlink ref="D930" r:id="rId1068" display="https://afinvest.com.br/interno/relatorios/detalhes-de-ativos?id=8804&amp;codativo=AMERF2" xr:uid="{6F8EAF75-F1BC-4B50-819C-33CA4A3E66D8}"/>
    <hyperlink ref="D931" r:id="rId1069" display="https://afinvest.com.br/interno/relatorios/detalhes-de-ativos?id=7040&amp;codativo=ALGTA3" xr:uid="{124F620C-AFAB-49EF-8112-375A3056678A}"/>
    <hyperlink ref="D932" r:id="rId1070" display="https://afinvest.com.br/interno/relatorios/detalhes-de-ativos?id=315&amp;codativo=TIET19" xr:uid="{90997A1D-2B93-4DEC-A4A5-CE6CA2F44F96}"/>
    <hyperlink ref="D933" r:id="rId1071" display="https://afinvest.com.br/interno/relatorios/detalhes-de-ativos?id=2693&amp;codativo=AERI12" xr:uid="{C510D106-2041-4E3D-8C53-621FC2001370}"/>
    <hyperlink ref="D934" r:id="rId1072" display="https://afinvest.com.br/interno/relatorios/detalhes-de-ativos?id=2808&amp;codativo=AEGP19" xr:uid="{3D97DE08-2ED9-4420-9379-8E55D711B38F}"/>
    <hyperlink ref="D935" r:id="rId1073" display="https://afinvest.com.br/interno/relatorios/detalhes-de-ativos?id=7681&amp;codativo=RRRP14" xr:uid="{47A0E8D1-3600-4D63-AE24-3B882D7A4FA7}"/>
    <hyperlink ref="D936" r:id="rId1074" display="https://afinvest.com.br/interno/relatorios/detalhes-de-ativos?id=2795&amp;codativo=CRI%20Bem%20Brasil" xr:uid="{B106BD7F-6AA8-470D-BBCB-3443F583F7EA}"/>
    <hyperlink ref="D727" r:id="rId1075" display="https://afinvest.com.br/interno/relatorios/detalhes-de-ativos?id=7897&amp;codativo=CRI%20PERNAMBUCO%2035%C2%AA%20(23J1753853)" xr:uid="{DB55CDEB-6BB1-4925-9099-D32FBDEDB0AB}"/>
    <hyperlink ref="D937" r:id="rId1076" display="https://afinvest.com.br/interno/relatorios/detalhes-de-ativos?id=9081&amp;codativo=CRI%20Vic%20Engenharia%201%C2%AA%20Emiss%C3%A3o" xr:uid="{552D5290-3804-45A2-AC1D-6D0F998159BC}"/>
    <hyperlink ref="D938" r:id="rId1077" display="https://afinvest.com.br/interno/relatorios/detalhes-de-ativos?id=7897&amp;codativo=CRI%20PERNAMBUCO%2035%C2%AA%20(23J1753853)" xr:uid="{6F74AFD5-D263-48B6-BB2B-55172DD31D49}"/>
    <hyperlink ref="D939" r:id="rId1078" display="https://afinvest.com.br/interno/relatorios/detalhes-de-ativos?id=5671&amp;codativo=CRI%20Vic%20Engenharia%202%C2%AA%20Emiss%C3%A3o" xr:uid="{C677E8B8-D758-46DC-B919-583C81666CE3}"/>
    <hyperlink ref="D728" r:id="rId1079" display="https://afinvest.com.br/interno/relatorios/detalhes-de-ativos?id=1458&amp;codativo=CRA%20Ferroeste%201%C2%AA%20S%C3%A9rie" xr:uid="{485EECC6-492E-44A0-A889-FDFA34638413}"/>
    <hyperlink ref="D940" r:id="rId1080" display="https://afinvest.com.br/interno/relatorios/detalhes-de-ativos?id=1459&amp;codativo=CRA%20Ferroeste%202%C2%AA%20S%C3%A9rie" xr:uid="{3B1AD069-66F6-4303-A82F-C1C1F66B4259}"/>
    <hyperlink ref="D941" r:id="rId1081" display="https://afinvest.com.br/interno/relatorios/detalhes-de-ativos?id=1458&amp;codativo=CRA%20Ferroeste%201%C2%AA%20S%C3%A9rie" xr:uid="{A9BA2DD8-E312-4BAE-9554-AA9CBDF49697}"/>
    <hyperlink ref="D729" r:id="rId1082" display="https://afinvest.com.br/interno/relatorios/detalhes-de-ativos?id=6827&amp;codativo=CDB323EWULR" xr:uid="{5AF63A4E-AABE-4D70-9FDD-A95F0B7DE27A}"/>
    <hyperlink ref="D942" r:id="rId1083" display="https://afinvest.com.br/interno/relatorios/detalhes-de-ativos?id=6827&amp;codativo=CDB323EWULR" xr:uid="{576764E5-3903-43FB-8298-89CC0B902FAA}"/>
    <hyperlink ref="D730" r:id="rId1084" display="https://afinvest.com.br/interno/relatorios/detalhes-de-ativos?id=8710&amp;codativo=CDB824AAYU7" xr:uid="{2B013783-295E-46BA-87E3-B3FF8ADDFD6E}"/>
    <hyperlink ref="D943" r:id="rId1085" display="https://afinvest.com.br/interno/relatorios/detalhes-de-ativos?id=8710&amp;codativo=CDB824AAYUB" xr:uid="{82710C89-E552-4393-ABCD-F39926BA4D66}"/>
    <hyperlink ref="D731" r:id="rId1086" display="https://afinvest.com.br/interno/relatorios/detalhes-de-ativos?id=8852&amp;codativo=CDB924AJYNQ" xr:uid="{B4FE00CA-BE95-4A8B-9B1D-FB45C48551F0}"/>
    <hyperlink ref="D732" r:id="rId1087" display="https://afinvest.com.br/interno/relatorios/detalhes-de-ativos?id=9175&amp;codativo=CDBC241I1TF" xr:uid="{3E73129C-5671-4445-A723-FCA3CDF660DB}"/>
    <hyperlink ref="D944" r:id="rId1088" display="https://afinvest.com.br/interno/relatorios/detalhes-de-ativos?id=9175&amp;codativo=CDBC241I1TH" xr:uid="{D6F6E17E-ADDD-43FC-A177-A05906A69A05}"/>
    <hyperlink ref="D945" r:id="rId1089" display="https://afinvest.com.br/interno/relatorios/detalhes-de-ativos?id=8852&amp;codativo=CDB924AJYNS" xr:uid="{F7A9FFA7-F333-4557-9A3A-6058DACD0139}"/>
    <hyperlink ref="D733" r:id="rId1090" display="https://afinvest.com.br/interno/relatorios/detalhes-de-ativos?id=8577&amp;codativo=CDB724BH6RG" xr:uid="{46B7C150-D629-444A-B6DC-EB54150B04BE}"/>
    <hyperlink ref="D946" r:id="rId1091" display="https://afinvest.com.br/interno/relatorios/detalhes-de-ativos?id=8577&amp;codativo=CDB724BH6RG" xr:uid="{D6EC8C71-04A0-4999-B09B-80A7AF2B3D1C}"/>
    <hyperlink ref="D734" r:id="rId1092" display="https://afinvest.com.br/interno/relatorios/detalhes-de-ativos?id=1249&amp;codativo=CAIXA" xr:uid="{9F40BD1F-00AC-4AF9-A666-52192C91120C}"/>
    <hyperlink ref="D947" r:id="rId1093" display="https://afinvest.com.br/interno/relatorios/detalhes-de-ativos?id=1249&amp;codativo=CAIXA" xr:uid="{6AD85C20-F5E6-43F9-A010-E99562AA003E}"/>
    <hyperlink ref="D948" r:id="rId1094" display="https://afinvest.com.br/interno/relatorios/detalhes-de-ativos?id=1473&amp;codativo=AMER3" xr:uid="{595F09A1-F653-4832-9462-9235E16EA349}"/>
    <hyperlink ref="D735" r:id="rId1095" display="https://afinvest.com.br/interno/relatorios/detalhes-de-ativos?id=2769&amp;codativo=GOLD11" xr:uid="{E4A3D354-E72E-4692-8BFD-2748B8C8A410}"/>
    <hyperlink ref="D949" r:id="rId1096" display="https://afinvest.com.br/interno/relatorios/detalhes-de-ativos?id=2769&amp;codativo=GOLD11" xr:uid="{29234631-CC5E-4676-BA08-0B4C7DCCBBC0}"/>
    <hyperlink ref="D950" r:id="rId1097" display="https://afinvest.com.br/interno/relatorios/detalhes-de-ativos?id=8523&amp;codativo=AMER11" xr:uid="{70397A7E-C410-45C6-BCAF-5709D5F7941C}"/>
    <hyperlink ref="D951" r:id="rId1098" display="https://afinvest.com.br/interno/relatorios/detalhes-de-ativos?id=1369&amp;codativo=LFT%20mar%2027" xr:uid="{876B4BCF-AE7C-4087-B14E-40DEAC4E54D1}"/>
    <hyperlink ref="D952" r:id="rId1099" display="https://afinvest.com.br/interno/relatorios/detalhes-de-ativos?id=347&amp;codativo=NTN-B30" xr:uid="{84029852-3077-40AA-831C-064D6941AC76}"/>
    <hyperlink ref="D953" r:id="rId1100" display="https://afinvest.com.br/interno/relatorios/detalhes-de-ativos?id=361&amp;codativo=NTN-B28" xr:uid="{20272920-A441-480E-A10F-BA97BFC950A8}"/>
    <hyperlink ref="D954" r:id="rId1101" display="https://afinvest.com.br/interno/relatorios/detalhes-de-ativos?id=2965&amp;codativo=NTN-B32" xr:uid="{4F82B640-E74C-495D-8DCD-3375F8BBCC7F}"/>
    <hyperlink ref="D955" r:id="rId1102" display="https://afinvest.com.br/interno/relatorios/detalhes-de-ativos?id=9567&amp;codativo=LF002400ATX" xr:uid="{F5E44FC7-79FD-49B0-83A2-05E38399AEE5}"/>
    <hyperlink ref="D956" r:id="rId1103" display="https://afinvest.com.br/interno/relatorios/detalhes-de-ativos?id=1271&amp;codativo=Provis%C3%A3o" xr:uid="{50A0830B-4DC0-466F-9DC7-E08412C5A9E9}"/>
    <hyperlink ref="D957" r:id="rId1104" display="https://afinvest.com.br/interno/relatorios/detalhes-de-ativos?id=9578&amp;codativo=BRREDCCTF053" xr:uid="{94D8A826-2A83-4F0F-BFAD-3C4008E6715E}"/>
    <hyperlink ref="D958" r:id="rId1105" display="https://afinvest.com.br/interno/relatorios/detalhes-de-ativos?id=9576&amp;codativo=BR0460CTF016" xr:uid="{D0FD1176-E976-4F8C-A181-38EC6F3AB228}"/>
    <hyperlink ref="D959" r:id="rId1106" display="https://afinvest.com.br/interno/relatorios/detalhes-de-ativos?id=9575&amp;codativo=BR04PXCTF002" xr:uid="{A4E84118-892B-425C-81C3-6B2546AC7B86}"/>
    <hyperlink ref="D960" r:id="rId1107" display="https://afinvest.com.br/interno/relatorios/detalhes-de-ativos?id=9574&amp;codativo=BRSUR5CTF0E3" xr:uid="{80EA40BF-533A-4450-A24B-480A90B3C2C7}"/>
    <hyperlink ref="D961" r:id="rId1108" display="https://afinvest.com.br/interno/relatorios/detalhes-de-ativos?id=9577&amp;codativo=BR07S4CTF068" xr:uid="{D7312154-1848-427A-844C-9AF9E8EFCAB4}"/>
    <hyperlink ref="D962" r:id="rId1109" display="https://afinvest.com.br/interno/relatorios/detalhes-de-ativos?id=9579&amp;codativo=BR03UACTF002" xr:uid="{36B36C30-7663-4F94-9183-BE5AE8E2A016}"/>
    <hyperlink ref="D963" r:id="rId1110" display="https://afinvest.com.br/interno/relatorios/detalhes-de-ativos?id=9573&amp;codativo=BRGASFCTF006" xr:uid="{CA02F79F-569A-4147-B91D-0D355073D75C}"/>
    <hyperlink ref="D964" r:id="rId1111" display="https://afinvest.com.br/interno/relatorios/detalhes-de-ativos?id=9572&amp;codativo=BR0BHCCTF046" xr:uid="{0D1DAA37-DA35-4FA9-9F4A-6E69F3A1729B}"/>
    <hyperlink ref="D965" r:id="rId1112" display="https://afinvest.com.br/interno/relatorios/detalhes-de-ativos?id=9383&amp;codativo=CDES11" xr:uid="{F6A201CB-8DA8-437C-A93F-580967711356}"/>
    <hyperlink ref="D966" r:id="rId1113" display="https://afinvest.com.br/interno/relatorios/detalhes-de-ativos?id=2999&amp;codativo=UHSM12" xr:uid="{3DFC2DC4-E569-4D33-B059-A7DE7FC343F7}"/>
    <hyperlink ref="D967" r:id="rId1114" display="https://afinvest.com.br/interno/relatorios/detalhes-de-ativos?id=7172&amp;codativo=SUZBA0" xr:uid="{28265E6F-2C1E-48B0-9878-D720914BF720}"/>
    <hyperlink ref="D968" r:id="rId1115" display="https://afinvest.com.br/interno/relatorios/detalhes-de-ativos?id=6920&amp;codativo=RISP22" xr:uid="{B7F97C60-43F6-4A91-8B44-B8CD2C28DB2F}"/>
    <hyperlink ref="D969" r:id="rId1116" display="https://afinvest.com.br/interno/relatorios/detalhes-de-ativos?id=8796&amp;codativo=GASC17" xr:uid="{0DB4AAD5-9722-4F97-9C48-5532CC3DF142}"/>
    <hyperlink ref="D970" r:id="rId1117" display="https://afinvest.com.br/interno/relatorios/detalhes-de-ativos?id=8030&amp;codativo=GASC25" xr:uid="{BD5DA058-A093-4E33-BB9C-FFE2BF27387B}"/>
    <hyperlink ref="D971" r:id="rId1118" display="https://afinvest.com.br/interno/relatorios/detalhes-de-ativos?id=2826&amp;codativo=RIPR22" xr:uid="{39B95046-FD47-4C58-BB93-F2B6BBE7B6E1}"/>
    <hyperlink ref="D972" r:id="rId1119" display="https://afinvest.com.br/interno/relatorios/detalhes-de-ativos?id=3484&amp;codativo=RDVE11" xr:uid="{0DBBAE86-DD90-409D-B4F8-2AAC36E1C4FA}"/>
    <hyperlink ref="D973" r:id="rId1120" display="https://afinvest.com.br/interno/relatorios/detalhes-de-ativos?id=9110&amp;codativo=RAIZ23" xr:uid="{AB575455-5414-4D5B-8C7A-9C386F37C10F}"/>
    <hyperlink ref="D974" r:id="rId1121" display="https://afinvest.com.br/interno/relatorios/detalhes-de-ativos?id=7874&amp;codativo=PEJA22" xr:uid="{5F6B61E3-80E4-4B36-9352-50128D0AFD22}"/>
    <hyperlink ref="D975" r:id="rId1122" display="https://afinvest.com.br/interno/relatorios/detalhes-de-ativos?id=3468&amp;codativo=PEJA11" xr:uid="{E20FBB38-C6E6-419F-AE23-5CFBA7F2A41F}"/>
    <hyperlink ref="D976" r:id="rId1123" display="https://afinvest.com.br/interno/relatorios/detalhes-de-ativos?id=1864&amp;codativo=NTEN11" xr:uid="{293DB6C7-4992-4379-B5D0-F79324066F99}"/>
    <hyperlink ref="D977" r:id="rId1124" display="https://afinvest.com.br/interno/relatorios/detalhes-de-ativos?id=9390&amp;codativo=NMCH11" xr:uid="{41EDE915-DF80-435E-A50E-2D494F871782}"/>
    <hyperlink ref="D978" r:id="rId1125" display="https://afinvest.com.br/interno/relatorios/detalhes-de-ativos?id=8988&amp;codativo=MRSAB2" xr:uid="{CF3E44D3-D7CF-4BB0-ABE6-88347E0B861D}"/>
    <hyperlink ref="D979" r:id="rId1126" display="https://afinvest.com.br/interno/relatorios/detalhes-de-ativos?id=7167&amp;codativo=MRSAB1" xr:uid="{074A12D9-3BAD-4284-BA00-D888C0B2F259}"/>
    <hyperlink ref="D980" r:id="rId1127" display="https://afinvest.com.br/interno/relatorios/detalhes-de-ativos?id=7168&amp;codativo=MRSAC1" xr:uid="{877FB0B2-9475-4A24-A67A-CC62FB5EE41E}"/>
    <hyperlink ref="D981" r:id="rId1128" display="https://afinvest.com.br/interno/relatorios/detalhes-de-ativos?id=2934&amp;codativo=MSGT33" xr:uid="{909CE330-08A1-4482-9D01-12C226BCCBB5}"/>
    <hyperlink ref="D982" r:id="rId1129" display="https://afinvest.com.br/interno/relatorios/detalhes-de-ativos?id=3227&amp;codativo=LTTE15" xr:uid="{AB70078B-14B1-44D7-BF0F-8C35D3B9BEE9}"/>
    <hyperlink ref="D983" r:id="rId1130" display="https://afinvest.com.br/interno/relatorios/detalhes-de-ativos?id=8798&amp;codativo=KLBNA5" xr:uid="{1BA18FA6-C89E-43F5-8C0C-CAD69B05C60F}"/>
    <hyperlink ref="D984" r:id="rId1131" display="https://afinvest.com.br/interno/relatorios/detalhes-de-ativos?id=3048&amp;codativo=HARG11" xr:uid="{959872EB-5D92-4CF3-B9EC-3485A9ECFCB5}"/>
    <hyperlink ref="D985" r:id="rId1132" display="https://afinvest.com.br/interno/relatorios/detalhes-de-ativos?id=3482&amp;codativo=HVSP11" xr:uid="{A19F4CDA-DC56-4FB1-8045-F4632C07B0B7}"/>
    <hyperlink ref="D986" r:id="rId1133" display="https://afinvest.com.br/interno/relatorios/detalhes-de-ativos?id=3431&amp;codativo=GBSP11" xr:uid="{97DEE78A-B68E-4305-9A0F-D2E062994B9E}"/>
    <hyperlink ref="D987" r:id="rId1134" display="https://afinvest.com.br/interno/relatorios/detalhes-de-ativos?id=7317&amp;codativo=CGOS34" xr:uid="{AFF6D4ED-CDE7-40D3-BD30-ED47B23279BA}"/>
    <hyperlink ref="D988" r:id="rId1135" display="https://afinvest.com.br/interno/relatorios/detalhes-de-ativos?id=1821&amp;codativo=ENTV12" xr:uid="{E8C45696-EB88-40C0-B923-43CB65AE279E}"/>
    <hyperlink ref="D989" r:id="rId1136" display="https://afinvest.com.br/interno/relatorios/detalhes-de-ativos?id=8506&amp;codativo=EGIEB2" xr:uid="{C23B2395-E6B3-48ED-BD12-21E4F6ADEFE1}"/>
    <hyperlink ref="D990" r:id="rId1137" display="https://afinvest.com.br/interno/relatorios/detalhes-de-ativos?id=7472&amp;codativo=EGIEA1" xr:uid="{DEA24F5A-6A6C-4273-A85D-ED2C33C434F7}"/>
    <hyperlink ref="D991" r:id="rId1138" display="https://afinvest.com.br/interno/relatorios/detalhes-de-ativos?id=8207&amp;codativo=ENEVB0" xr:uid="{12ADE01B-8EDE-4F4E-89EE-39190E31FE67}"/>
    <hyperlink ref="D992" r:id="rId1139" display="https://afinvest.com.br/interno/relatorios/detalhes-de-ativos?id=3475&amp;codativo=ENEV18" xr:uid="{18258ABF-7B69-4F63-88B7-8D1F18293F6F}"/>
    <hyperlink ref="D993" r:id="rId1140" display="https://afinvest.com.br/interno/relatorios/detalhes-de-ativos?id=7320&amp;codativo=ENGIB9" xr:uid="{B61CBE78-A2C3-473A-9BB9-E2D48BBA01EC}"/>
    <hyperlink ref="D994" r:id="rId1141" display="https://afinvest.com.br/interno/relatorios/detalhes-de-ativos?id=9107&amp;codativo=ENGIB2" xr:uid="{BEBFD83D-2769-4228-AADC-C2B46766620B}"/>
    <hyperlink ref="D995" r:id="rId1142" display="https://afinvest.com.br/interno/relatorios/detalhes-de-ativos?id=1782&amp;codativo=ESAM14" xr:uid="{0AD3B976-BA48-4A8B-8A77-C3BDA26AC3CE}"/>
    <hyperlink ref="D996" r:id="rId1143" display="https://afinvest.com.br/interno/relatorios/detalhes-de-ativos?id=3474&amp;codativo=ELPLA7" xr:uid="{559A687E-65DC-47C7-9493-E06D36FF4BDE}"/>
    <hyperlink ref="D997" r:id="rId1144" display="https://afinvest.com.br/interno/relatorios/detalhes-de-ativos?id=8512&amp;codativo=ERDVB4" xr:uid="{67828F6C-AC80-4435-8506-2E5EA46B5EDD}"/>
    <hyperlink ref="D998" r:id="rId1145" display="https://afinvest.com.br/interno/relatorios/detalhes-de-ativos?id=8388&amp;codativo=EEELB1" xr:uid="{E3E4F665-9D85-43FF-82D9-2F693C9AA46C}"/>
    <hyperlink ref="D999" r:id="rId1146" display="https://afinvest.com.br/interno/relatorios/detalhes-de-ativos?id=8505&amp;codativo=CPLD29" xr:uid="{818785E3-75F4-4363-9795-8A8CF1E61FE2}"/>
    <hyperlink ref="D1000" r:id="rId1147" display="https://afinvest.com.br/interno/relatorios/detalhes-de-ativos?id=1746&amp;codativo=CBAN32" xr:uid="{2B0CFBFC-A073-4399-8E06-EB529BBC5EF7}"/>
    <hyperlink ref="D1001" r:id="rId1148" display="https://afinvest.com.br/interno/relatorios/detalhes-de-ativos?id=1747&amp;codativo=CBAN52" xr:uid="{96597B70-11E7-4DAB-AFF9-CD127D5840E1}"/>
    <hyperlink ref="D1002" r:id="rId1149" display="https://afinvest.com.br/interno/relatorios/detalhes-de-ativos?id=3041&amp;codativo=CART13" xr:uid="{1F0CC975-049F-46F0-9478-9C2B369B76C4}"/>
    <hyperlink ref="D1003" r:id="rId1150" display="https://afinvest.com.br/interno/relatorios/detalhes-de-ativos?id=8516&amp;codativo=IVIAA0" xr:uid="{CB1EA3E7-7D20-459B-8789-7456515659BE}"/>
    <hyperlink ref="D1004" r:id="rId1151" display="https://afinvest.com.br/interno/relatorios/detalhes-de-ativos?id=8991&amp;codativo=RSAN26" xr:uid="{1102B680-884C-4F07-B436-E163EC28531F}"/>
    <hyperlink ref="D1005" r:id="rId1152" display="https://afinvest.com.br/interno/relatorios/detalhes-de-ativos?id=7475&amp;codativo=PALFB3" xr:uid="{13DA4827-58B6-41FE-817D-AA85DD69F15B}"/>
    <hyperlink ref="D1006" r:id="rId1153" display="https://afinvest.com.br/interno/relatorios/detalhes-de-ativos?id=8504&amp;codativo=CHSF13" xr:uid="{C65A6ED9-E9FE-41F7-BF45-D45C6E34CABF}"/>
    <hyperlink ref="D1007" r:id="rId1154" display="https://afinvest.com.br/interno/relatorios/detalhes-de-ativos?id=8667&amp;codativo=CSMGB9" xr:uid="{88490101-6776-43F2-82B9-4224C768EEFF}"/>
    <hyperlink ref="D1008" r:id="rId1155" display="https://afinvest.com.br/interno/relatorios/detalhes-de-ativos?id=7030&amp;codativo=ELET14" xr:uid="{73154F14-6632-48FB-B13C-6EA89A4EB516}"/>
    <hyperlink ref="D1009" r:id="rId1156" display="https://afinvest.com.br/interno/relatorios/detalhes-de-ativos?id=8984&amp;codativo=CMGDB1" xr:uid="{3B35B01D-F5A9-4E4C-85B9-770D427E4BBA}"/>
    <hyperlink ref="D1010" r:id="rId1157" display="https://afinvest.com.br/interno/relatorios/detalhes-de-ativos?id=8666&amp;codativo=CLCD27" xr:uid="{35E1F2FA-D82C-4D59-9122-91A37D0AD23F}"/>
    <hyperlink ref="D1011" r:id="rId1158" display="https://afinvest.com.br/interno/relatorios/detalhes-de-ativos?id=3222&amp;codativo=CCROB6" xr:uid="{0156130D-16AD-4649-BD21-C88EBEC8A9F5}"/>
    <hyperlink ref="D1012" r:id="rId1159" display="https://afinvest.com.br/interno/relatorios/detalhes-de-ativos?id=9254&amp;codativo=TEPA12" xr:uid="{5130EFCF-0B1F-4B51-9579-CEEC00941DEF}"/>
    <hyperlink ref="D1013" r:id="rId1160" display="https://afinvest.com.br/interno/relatorios/detalhes-de-ativos?id=8664&amp;codativo=BARU11" xr:uid="{D6A1A903-8183-4135-99DE-CC70B602C27B}"/>
    <hyperlink ref="D1014" r:id="rId1161" display="https://afinvest.com.br/interno/relatorios/detalhes-de-ativos?id=8663&amp;codativo=ACRC21" xr:uid="{35AAE722-D834-4973-84D9-50E6390E9C63}"/>
    <hyperlink ref="D1015" r:id="rId1162" display="https://afinvest.com.br/interno/relatorios/detalhes-de-ativos?id=8033&amp;codativo=RIS424" xr:uid="{15B31955-14DF-498A-A49F-643ED96C7DEC}"/>
    <hyperlink ref="D1016" r:id="rId1163" display="https://afinvest.com.br/interno/relatorios/detalhes-de-ativos?id=6918&amp;codativo=RIS422" xr:uid="{3B22ECE2-B456-4BBE-829C-9FAF7249F538}"/>
    <hyperlink ref="D1017" r:id="rId1164" display="https://afinvest.com.br/interno/relatorios/detalhes-de-ativos?id=5642&amp;codativo=GSTS24" xr:uid="{D72F368F-09C4-4C7E-BA64-56DAD9E5A0C9}"/>
    <hyperlink ref="D1018" r:id="rId1165" display="https://afinvest.com.br/interno/relatorios/detalhes-de-ativos?id=9571&amp;codativo=TRRG12" xr:uid="{225A50F2-32A4-4198-B9FF-56F3BAAE39DA}"/>
    <hyperlink ref="D1019" r:id="rId1166" display="https://afinvest.com.br/interno/relatorios/detalhes-de-ativos?id=9570&amp;codativo=SBSPE3" xr:uid="{5CB7316B-38FE-485D-8A7C-CD75DD30E66A}"/>
    <hyperlink ref="D1020" r:id="rId1167" display="https://afinvest.com.br/interno/relatorios/detalhes-de-ativos?id=9568&amp;codativo=CESE32" xr:uid="{43E1F7D9-61A6-4666-9076-8F2B6E26926C}"/>
    <hyperlink ref="D1021" r:id="rId1168" display="https://afinvest.com.br/interno/relatorios/detalhes-de-ativos?id=9569&amp;codativo=HZTC14" xr:uid="{0E2C975B-BEB4-426A-B70E-37FE5B00C53D}"/>
    <hyperlink ref="D1022" r:id="rId1169" display="https://afinvest.com.br/interno/relatorios/detalhes-de-ativos?id=9342&amp;codativo=100000" xr:uid="{3842DCAF-93EE-42AF-BCA3-2CC3183B54AA}"/>
    <hyperlink ref="D1023" r:id="rId1170" display="https://afinvest.com.br/interno/relatorios/detalhes-de-ativos?id=1249&amp;codativo=CAIXA" xr:uid="{9AD4FD4E-DEB8-4EEF-9802-9482662B4F97}"/>
    <hyperlink ref="D1174" r:id="rId1171" display="https://afinvest.com.br/interno/relatorios/detalhes-de-ativos?id=7956&amp;codativo=LFTjun30" xr:uid="{C280DD18-1EAD-43F7-8EBB-B3BDD05F07DD}"/>
    <hyperlink ref="D1175" r:id="rId1172" display="https://afinvest.com.br/interno/relatorios/detalhes-de-ativos?id=6707&amp;codativo=LFTset29" xr:uid="{82E0A4BB-BBAF-4F82-A4B6-17C8F4494352}"/>
    <hyperlink ref="D1176" r:id="rId1173" display="https://afinvest.com.br/interno/relatorios/detalhes-de-ativos?id=1271&amp;codativo=Provis%C3%A3o" xr:uid="{AA0D0248-ABBB-41E4-9A58-AF26326F7B9D}"/>
    <hyperlink ref="D1177" r:id="rId1174" display="https://afinvest.com.br/interno/relatorios/detalhes-de-ativos?id=151&amp;codativo=LFSN19001BH" xr:uid="{0E9D837B-25BC-4AC9-A9C5-3BAC2E4FC03B}"/>
    <hyperlink ref="D1178" r:id="rId1175" display="https://afinvest.com.br/interno/relatorios/detalhes-de-ativos?id=3176&amp;codativo=LFSN210099R" xr:uid="{D982AF9C-4153-4015-8D02-3E06248E2A6B}"/>
    <hyperlink ref="D1179" r:id="rId1176" display="https://afinvest.com.br/interno/relatorios/detalhes-de-ativos?id=5821&amp;codativo=LFSN2200E75" xr:uid="{FEF243E7-128D-42F0-B84C-E13A296A9AAB}"/>
    <hyperlink ref="D1180" r:id="rId1177" display="https://afinvest.com.br/interno/relatorios/detalhes-de-ativos?id=7958&amp;codativo=LFSN19009YU" xr:uid="{7CCD5798-5BD5-4087-AE21-31892D0B9C4D}"/>
    <hyperlink ref="D1181" r:id="rId1178" display="https://afinvest.com.br/interno/relatorios/detalhes-de-ativos?id=192&amp;codativo=LFSN1800CUH" xr:uid="{42B18C9D-E06E-4E9F-88BE-B86974DC0D8F}"/>
    <hyperlink ref="D1182" r:id="rId1179" display="https://afinvest.com.br/interno/relatorios/detalhes-de-ativos?id=7720&amp;codativo=LFSC24000BB" xr:uid="{44339648-9DF0-42D8-B254-3E7C1C71065E}"/>
    <hyperlink ref="D1183" r:id="rId1180" display="https://afinvest.com.br/interno/relatorios/detalhes-de-ativos?id=2736&amp;codativo=LFSC19005L3" xr:uid="{A06B1B83-6334-46FA-A443-17B51B1E8DD2}"/>
    <hyperlink ref="D1184" r:id="rId1181" display="https://afinvest.com.br/interno/relatorios/detalhes-de-ativos?id=144&amp;codativo=LFSC190054D" xr:uid="{97C76094-1E6A-4392-9496-CF95445EFF75}"/>
    <hyperlink ref="D1185" r:id="rId1182" display="https://afinvest.com.br/interno/relatorios/detalhes-de-ativos?id=243&amp;codativo=LFSC18002A5" xr:uid="{0B24DA78-FB51-416C-BE3D-CD135D8FA7C3}"/>
    <hyperlink ref="D1186" r:id="rId1183" display="https://afinvest.com.br/interno/relatorios/detalhes-de-ativos?id=2640&amp;codativo=LFSC18002MZ" xr:uid="{4E25B711-50EB-475A-9145-0A0468ACB12D}"/>
    <hyperlink ref="D1187" r:id="rId1184" display="https://afinvest.com.br/interno/relatorios/detalhes-de-ativos?id=3459&amp;codativo=LFSC18001VE" xr:uid="{2DD10B86-C9E5-4550-8044-27522048C63A}"/>
    <hyperlink ref="D1188" r:id="rId1185" display="https://afinvest.com.br/interno/relatorios/detalhes-de-ativos?id=262&amp;codativo=LFSC19000BT" xr:uid="{FCDA024B-C2E6-45BF-84E8-391C86890FC8}"/>
    <hyperlink ref="D1189" r:id="rId1186" display="https://afinvest.com.br/interno/relatorios/detalhes-de-ativos?id=7859&amp;codativo=LFSC24001JT" xr:uid="{5994E065-9511-4915-8171-860B098497BA}"/>
    <hyperlink ref="D1190" r:id="rId1187" display="https://afinvest.com.br/interno/relatorios/detalhes-de-ativos?id=1417&amp;codativo=DAPAGO30" xr:uid="{851C38A0-E13D-4CEE-84EF-044FB384CFFC}"/>
    <hyperlink ref="D1191" r:id="rId1188" display="https://afinvest.com.br/interno/relatorios/detalhes-de-ativos?id=4100&amp;codativo=DAPAGO40" xr:uid="{CFF6AB74-1BB6-4922-B3B0-C391E118A472}"/>
    <hyperlink ref="D1192" r:id="rId1189" display="https://afinvest.com.br/interno/relatorios/detalhes-de-ativos?id=2957&amp;codativo=DAPAGO28" xr:uid="{CF872F3C-8A0E-4E78-999F-32B926AF9F08}"/>
    <hyperlink ref="D1193" r:id="rId1190" display="https://afinvest.com.br/interno/relatorios/detalhes-de-ativos?id=4099&amp;codativo=DAPAGO32" xr:uid="{2EE92F45-5FE8-48BF-B7D0-7724F691B105}"/>
    <hyperlink ref="D1194" r:id="rId1191" display="https://afinvest.com.br/interno/relatorios/detalhes-de-ativos?id=3090&amp;codativo=DAPMAI35" xr:uid="{7BA80018-2E02-4ADB-8980-02ED02BBD018}"/>
    <hyperlink ref="D1195" r:id="rId1192" display="https://afinvest.com.br/interno/relatorios/detalhes-de-ativos?id=4120&amp;codativo=DAPMAI27" xr:uid="{5294C34B-98F2-450E-AFAC-E8B1D8B90302}"/>
    <hyperlink ref="D1196" r:id="rId1193" display="https://afinvest.com.br/interno/relatorios/detalhes-de-ativos?id=7577&amp;codativo=DAPMAI29" xr:uid="{05EE7A0D-91BA-4917-BEE0-97D6CB649F97}"/>
    <hyperlink ref="D1197" r:id="rId1194" display="https://afinvest.com.br/interno/relatorios/detalhes-de-ativos?id=2677&amp;codativo=DI1JAN29" xr:uid="{E2830C73-AA6C-46F8-87AD-A0CDB70230DC}"/>
    <hyperlink ref="D1198" r:id="rId1195" display="https://afinvest.com.br/interno/relatorios/detalhes-de-ativos?id=940&amp;codativo=DAPAGO26" xr:uid="{AF4BC00B-FD43-414A-94DF-572B2158B26E}"/>
    <hyperlink ref="D1199" r:id="rId1196" display="https://afinvest.com.br/interno/relatorios/detalhes-de-ativos?id=4281&amp;codativo=DI1JAN26" xr:uid="{F4E813F6-3AE0-4A2D-AD01-FE19ED64CB6B}"/>
    <hyperlink ref="D1200" r:id="rId1197" display="https://afinvest.com.br/interno/relatorios/detalhes-de-ativos?id=395&amp;codativo=DI1JAN27" xr:uid="{09C08DD3-64DC-4444-96B4-1F2872AE8E07}"/>
    <hyperlink ref="D1201" r:id="rId1198" display="https://afinvest.com.br/interno/relatorios/detalhes-de-ativos?id=3425&amp;codativo=2A" xr:uid="{49AA1E77-8EA5-46D5-B5C0-DD3B57D2E612}"/>
    <hyperlink ref="D1202" r:id="rId1199" display="https://afinvest.com.br/interno/relatorios/detalhes-de-ativos?id=873&amp;codativo=AF%20GLOBAL%20BONDS%20FI%20RF%20CP%20IE" xr:uid="{D8839741-328C-472E-A007-2A2E6CE8F2D4}"/>
    <hyperlink ref="D1203" r:id="rId1200" display="https://afinvest.com.br/interno/relatorios/detalhes-de-ativos?id=408&amp;codativo=FIDC%20Sifra%20Plus%20Sr" xr:uid="{B3923BFF-E56B-48E0-A1CD-99A8EC224A58}"/>
    <hyperlink ref="D1204" r:id="rId1201" display="https://afinvest.com.br/interno/relatorios/detalhes-de-ativos?id=2845&amp;codativo=FIDC%20Red%20Multissetorial" xr:uid="{3889888B-DE9B-4487-9D5D-36C94CA9AFE7}"/>
    <hyperlink ref="D1205" r:id="rId1202" display="https://afinvest.com.br/interno/relatorios/detalhes-de-ativos?id=7680&amp;codativo=FIDC%20Pagbem%20Sr%207" xr:uid="{5D30F639-51E8-4969-80EF-76B8D9F5EA9C}"/>
    <hyperlink ref="D1206" r:id="rId1203" display="https://afinvest.com.br/interno/relatorios/detalhes-de-ativos?id=8328&amp;codativo=FIDC%20Guardian%20MC%20II%20Sr" xr:uid="{C517CCBA-01F6-4CF2-91EB-2A916D4F1679}"/>
    <hyperlink ref="D1207" r:id="rId1204" display="https://afinvest.com.br/interno/relatorios/detalhes-de-ativos?id=5743&amp;codativo=FIDC%20FS%20FORTALECE" xr:uid="{CAFE3FB8-2399-4AD3-9C5D-5888A73E4235}"/>
    <hyperlink ref="D1208" r:id="rId1205" display="https://afinvest.com.br/interno/relatorios/detalhes-de-ativos?id=3505&amp;codativo=FIDC%20URA%20Agro%20SR" xr:uid="{47FA6716-A2FA-45D8-8446-C829C51750E2}"/>
    <hyperlink ref="D1209" r:id="rId1206" display="https://afinvest.com.br/interno/relatorios/detalhes-de-ativos?id=1220&amp;codativo=FIDC%20SIMPAR" xr:uid="{9318C80D-2B94-4D21-8A8A-2F21732EAF50}"/>
    <hyperlink ref="D1210" r:id="rId1207" display="https://afinvest.com.br/interno/relatorios/detalhes-de-ativos?id=8922&amp;codativo=FIDC%20Precavida" xr:uid="{6956B171-E0C8-4AFC-8FCC-86F5C645E8FA}"/>
    <hyperlink ref="D1211" r:id="rId1208" display="https://afinvest.com.br/interno/relatorios/detalhes-de-ativos?id=9223&amp;codativo=FIDC%20PICPAY%20FGTS%20SR" xr:uid="{A0097CF3-BBCB-4B93-895A-720B466EAA33}"/>
    <hyperlink ref="D1212" r:id="rId1209" display="https://afinvest.com.br/interno/relatorios/detalhes-de-ativos?id=387&amp;codativo=FIDC%20LF%20I%20SR4" xr:uid="{DCBA59A5-3E1B-419E-B320-5C7996F94000}"/>
    <hyperlink ref="D1213" r:id="rId1210" display="https://afinvest.com.br/interno/relatorios/detalhes-de-ativos?id=475&amp;codativo=FIDC%20Ideal%20Invest%2029" xr:uid="{B79C1753-A397-42FA-B6E5-7A2D5F7AF8A0}"/>
    <hyperlink ref="D1214" r:id="rId1211" display="https://afinvest.com.br/interno/relatorios/detalhes-de-ativos?id=8007&amp;codativo=FIDC%20CloudWalk%20II" xr:uid="{14966855-E03F-4025-9309-1E8E8B44BB8D}"/>
    <hyperlink ref="D1215" r:id="rId1212" display="https://afinvest.com.br/interno/relatorios/detalhes-de-ativos?id=8877&amp;codativo=FIDC%20Artico%20Sr" xr:uid="{60F71E35-2A4D-492E-8A3A-F225D3BE879F}"/>
    <hyperlink ref="D1216" r:id="rId1213" display="https://afinvest.com.br/interno/relatorios/detalhes-de-ativos?id=8583&amp;codativo=VIXL18" xr:uid="{164A15DD-A9B1-49C5-A859-6EC8D92EA1E2}"/>
    <hyperlink ref="D1217" r:id="rId1214" display="https://afinvest.com.br/interno/relatorios/detalhes-de-ativos?id=2721&amp;codativo=VIXL14" xr:uid="{F42CF68A-9714-48EB-876E-87EF6613534E}"/>
    <hyperlink ref="D1218" r:id="rId1215" display="https://afinvest.com.br/interno/relatorios/detalhes-de-ativos?id=2927&amp;codativo=VBBR24" xr:uid="{7F83E69E-2B34-4B5D-A2A7-407F4D0424AE}"/>
    <hyperlink ref="D1219" r:id="rId1216" display="https://afinvest.com.br/interno/relatorios/detalhes-de-ativos?id=8807&amp;codativo=VSCF17" xr:uid="{FF751408-DBE0-4C9E-A0AD-F561783E91D3}"/>
    <hyperlink ref="D1220" r:id="rId1217" display="https://afinvest.com.br/interno/relatorios/detalhes-de-ativos?id=7868&amp;codativo=VERO13" xr:uid="{1CEE10F2-EB1A-4126-88CF-A419000A8D83}"/>
    <hyperlink ref="D1221" r:id="rId1218" display="https://afinvest.com.br/interno/relatorios/detalhes-de-ativos?id=1462&amp;codativo=VAMO33" xr:uid="{FB5DC8D4-32B1-4057-8064-AD31147ABFB0}"/>
    <hyperlink ref="D1222" r:id="rId1219" display="https://afinvest.com.br/interno/relatorios/detalhes-de-ativos?id=1464&amp;codativo=VAMO23" xr:uid="{2388CB81-BF0E-4B9C-AC1E-743AF20E11CF}"/>
    <hyperlink ref="D1223" r:id="rId1220" display="https://afinvest.com.br/interno/relatorios/detalhes-de-ativos?id=9115&amp;codativo=VALEC0" xr:uid="{494E7505-B08F-4315-9185-88B9FD6FFB99}"/>
    <hyperlink ref="D1224" r:id="rId1221" display="https://afinvest.com.br/interno/relatorios/detalhes-de-ativos?id=9446&amp;codativo=VERT18%20(nota%20reestruturada)" xr:uid="{0ED3B874-CC4B-4C09-8CE2-AC0F98533BD9}"/>
    <hyperlink ref="D1225" r:id="rId1222" display="https://afinvest.com.br/interno/relatorios/detalhes-de-ativos?id=9445&amp;codativo=VERT19%20(nota%20participativa)" xr:uid="{2C019640-63FA-45A2-BD68-520F611FD0DD}"/>
    <hyperlink ref="D1226" r:id="rId1223" display="https://afinvest.com.br/interno/relatorios/detalhes-de-ativos?id=3417&amp;codativo=TBCR18" xr:uid="{F31403EC-F0C0-406E-A5BD-B9FBEA28FE86}"/>
    <hyperlink ref="D1227" r:id="rId1224" display="https://afinvest.com.br/interno/relatorios/detalhes-de-ativos?id=6795&amp;codativo=TBSP11" xr:uid="{02F7A4C5-009A-44AA-9583-B69A02352D62}"/>
    <hyperlink ref="D1228" r:id="rId1225" display="https://afinvest.com.br/interno/relatorios/detalhes-de-ativos?id=2918&amp;codativo=SULA29" xr:uid="{013A205A-224F-4A05-8E91-DEA2743C1F62}"/>
    <hyperlink ref="D1229" r:id="rId1226" display="https://afinvest.com.br/interno/relatorios/detalhes-de-ativos?id=6919&amp;codativo=RISP12" xr:uid="{847EC085-1C23-4682-B392-7989863C73F4}"/>
    <hyperlink ref="D1230" r:id="rId1227" display="https://afinvest.com.br/interno/relatorios/detalhes-de-ativos?id=3004&amp;codativo=JSMLA5" xr:uid="{1B8679BE-CA44-4BC3-A144-F8B2CAA92EA2}"/>
    <hyperlink ref="D1231" r:id="rId1228" display="https://afinvest.com.br/interno/relatorios/detalhes-de-ativos?id=1420&amp;codativo=SBFC12" xr:uid="{D51B6975-24F2-476A-B1D1-BF2A945236E0}"/>
    <hyperlink ref="D1232" r:id="rId1229" display="https://afinvest.com.br/interno/relatorios/detalhes-de-ativos?id=3368&amp;codativo=QUAL16" xr:uid="{3B9CBF60-4983-4E6E-BD9A-5105CEF35CCA}"/>
    <hyperlink ref="D1233" r:id="rId1230" display="https://afinvest.com.br/interno/relatorios/detalhes-de-ativos?id=3468&amp;codativo=PEJA11" xr:uid="{2677B4E9-0920-468D-940F-27786236B0D4}"/>
    <hyperlink ref="D1234" r:id="rId1231" display="https://afinvest.com.br/interno/relatorios/detalhes-de-ativos?id=8875&amp;codativo=NTSD17" xr:uid="{88B284B8-3FD8-40A1-BB8E-46EEDB1DC70B}"/>
    <hyperlink ref="D1235" r:id="rId1232" display="https://afinvest.com.br/interno/relatorios/detalhes-de-ativos?id=9425&amp;codativo=MVLV19" xr:uid="{CC03D94C-90D3-43AF-A90F-A74DE942F114}"/>
    <hyperlink ref="D1236" r:id="rId1233" display="https://afinvest.com.br/interno/relatorios/detalhes-de-ativos?id=2766&amp;codativo=MOVI37" xr:uid="{BA9C3BF0-73CD-45AF-BCE3-EA89CBCCBF5C}"/>
    <hyperlink ref="D1237" r:id="rId1234" display="https://afinvest.com.br/interno/relatorios/detalhes-de-ativos?id=3059&amp;codativo=MNRVA1" xr:uid="{1FF7752B-CCC7-4097-BFA1-C95B4019EB44}"/>
    <hyperlink ref="D1238" r:id="rId1235" display="https://afinvest.com.br/interno/relatorios/detalhes-de-ativos?id=2933&amp;codativo=MSGT13" xr:uid="{614E8D0E-81B1-41D0-A07E-187890452C7B}"/>
    <hyperlink ref="D1239" r:id="rId1236" display="https://afinvest.com.br/interno/relatorios/detalhes-de-ativos?id=8798&amp;codativo=KLBNA5" xr:uid="{63189C98-D4E1-4090-BDE1-2C3638724513}"/>
    <hyperlink ref="D1240" r:id="rId1237" display="https://afinvest.com.br/interno/relatorios/detalhes-de-ativos?id=308&amp;codativo=KLBNA2" xr:uid="{0F33AC42-755A-4183-8ACD-1CDF8B3C880A}"/>
    <hyperlink ref="D1241" r:id="rId1238" display="https://afinvest.com.br/interno/relatorios/detalhes-de-ativos?id=2846&amp;codativo=JSLGA5" xr:uid="{35EE3839-F433-4C20-AC40-10F3A519C9E3}"/>
    <hyperlink ref="D1242" r:id="rId1239" display="https://afinvest.com.br/interno/relatorios/detalhes-de-ativos?id=2844&amp;codativo=MATD11" xr:uid="{A3C8BE85-0C51-43CC-A193-EADE9E5279B4}"/>
    <hyperlink ref="D1243" r:id="rId1240" display="https://afinvest.com.br/interno/relatorios/detalhes-de-ativos?id=5764&amp;codativo=HBSA12" xr:uid="{05CEEC5B-BFEE-40CC-A6B9-EED4AE0BC359}"/>
    <hyperlink ref="D1244" r:id="rId1241" display="https://afinvest.com.br/interno/relatorios/detalhes-de-ativos?id=8994&amp;codativo=SUMI17" xr:uid="{A5049D35-DE65-425C-AD38-40C47D474947}"/>
    <hyperlink ref="D1245" r:id="rId1242" display="https://afinvest.com.br/interno/relatorios/detalhes-de-ativos?id=8393&amp;codativo=FBRI13" xr:uid="{DF22EF74-86C1-4396-B6E7-9414AA790309}"/>
    <hyperlink ref="D1246" r:id="rId1243" display="https://afinvest.com.br/interno/relatorios/detalhes-de-ativos?id=9151&amp;codativo=AEGE17" xr:uid="{1DAEE999-D1DD-4411-B7EE-D743D75312EE}"/>
    <hyperlink ref="D1247" r:id="rId1244" display="https://afinvest.com.br/interno/relatorios/detalhes-de-ativos?id=8876&amp;codativo=CGOS18" xr:uid="{0B3DAB52-5ABF-49F1-BE08-436003DBBCC7}"/>
    <hyperlink ref="D1248" r:id="rId1245" display="https://afinvest.com.br/interno/relatorios/detalhes-de-ativos?id=2839&amp;codativo=ENGIC5" xr:uid="{A9709B4D-AD56-4031-955B-05631E5D3471}"/>
    <hyperlink ref="D1249" r:id="rId1246" display="https://afinvest.com.br/interno/relatorios/detalhes-de-ativos?id=2838&amp;codativo=ENGIA5" xr:uid="{08086994-4A50-4BDE-9BC2-0297035954BE}"/>
    <hyperlink ref="D1250" r:id="rId1247" display="https://afinvest.com.br/interno/relatorios/detalhes-de-ativos?id=8430&amp;codativo=ENAT14" xr:uid="{ABC1DCBE-A24A-4B01-8723-CC43F2450B34}"/>
    <hyperlink ref="D1251" r:id="rId1248" display="https://afinvest.com.br/interno/relatorios/detalhes-de-ativos?id=7269&amp;codativo=ERDVC3" xr:uid="{ED88BCE2-B6A6-4207-81E3-B102DF520871}"/>
    <hyperlink ref="D1252" r:id="rId1249" display="https://afinvest.com.br/interno/relatorios/detalhes-de-ativos?id=7268&amp;codativo=ERDVB3" xr:uid="{329275BD-DBB8-4612-A135-467BE2FAEB7B}"/>
    <hyperlink ref="D1253" r:id="rId1250" display="https://afinvest.com.br/interno/relatorios/detalhes-de-ativos?id=1596&amp;codativo=DASAA4" xr:uid="{240E25F5-7C65-4A3D-9311-02D19768E847}"/>
    <hyperlink ref="D1254" r:id="rId1251" display="https://afinvest.com.br/interno/relatorios/detalhes-de-ativos?id=3364&amp;codativo=CPLD37" xr:uid="{82E28D3A-6853-4424-AE2C-F2C38999284F}"/>
    <hyperlink ref="D1255" r:id="rId1252" display="https://afinvest.com.br/interno/relatorios/detalhes-de-ativos?id=9358&amp;codativo=CRTA12" xr:uid="{0CE1DF58-CB11-4F49-A4C1-F5172F2A0EA5}"/>
    <hyperlink ref="D1256" r:id="rId1253" display="https://afinvest.com.br/interno/relatorios/detalhes-de-ativos?id=3155&amp;codativo=CSNAA1" xr:uid="{7BA2B0F3-34BF-4A97-B5A3-5C64BCFBA4C8}"/>
    <hyperlink ref="D1257" r:id="rId1254" display="https://afinvest.com.br/interno/relatorios/detalhes-de-ativos?id=3460&amp;codativo=VTII12" xr:uid="{3C2B2D1C-F806-48D6-84EF-033BC5C4BA63}"/>
    <hyperlink ref="D1258" r:id="rId1255" display="https://afinvest.com.br/interno/relatorios/detalhes-de-ativos?id=3508&amp;codativo=CRCG12" xr:uid="{378EAA37-4662-4C68-9F10-C2D678BA7A5A}"/>
    <hyperlink ref="D1259" r:id="rId1256" display="https://afinvest.com.br/interno/relatorios/detalhes-de-ativos?id=8504&amp;codativo=CHSF13" xr:uid="{2C23C1A1-90E7-4458-9416-4D1DD189E91D}"/>
    <hyperlink ref="D1260" r:id="rId1257" display="https://afinvest.com.br/interno/relatorios/detalhes-de-ativos?id=5638&amp;codativo=COCE18" xr:uid="{F8E4498A-2D40-4686-BDB8-8F3FFA247FA8}"/>
    <hyperlink ref="D1261" r:id="rId1258" display="https://afinvest.com.br/interno/relatorios/detalhes-de-ativos?id=2650&amp;codativo=CAEC21" xr:uid="{2075A98D-A739-4C65-A9D1-DC5B7BC1B91B}"/>
    <hyperlink ref="D1262" r:id="rId1259" display="https://afinvest.com.br/interno/relatorios/detalhes-de-ativos?id=2779&amp;codativo=CBRDA8" xr:uid="{34593A74-0773-47FB-84CE-5FDE6D5B7C1B}"/>
    <hyperlink ref="D1263" r:id="rId1260" display="https://afinvest.com.br/interno/relatorios/detalhes-de-ativos?id=2780&amp;codativo=CBRDB8" xr:uid="{28C04B9F-ED85-48D8-A9AA-28989AD2C85A}"/>
    <hyperlink ref="D1264" r:id="rId1261" display="https://afinvest.com.br/interno/relatorios/detalhes-de-ativos?id=5722&amp;codativo=AALR13" xr:uid="{44C6AE29-8B6D-4B3D-B221-5ECE791483FE}"/>
    <hyperlink ref="D1265" r:id="rId1262" display="https://afinvest.com.br/interno/relatorios/detalhes-de-ativos?id=9256&amp;codativo=EQPA18" xr:uid="{CE54D34F-4CB4-4A54-8A0B-EDBE988934C0}"/>
    <hyperlink ref="D1266" r:id="rId1263" display="https://afinvest.com.br/interno/relatorios/detalhes-de-ativos?id=1712&amp;codativo=BRKP28" xr:uid="{9E3BA9AB-E6EB-40C4-8E9A-B3D7A3CF7A2D}"/>
    <hyperlink ref="D1267" r:id="rId1264" display="https://afinvest.com.br/interno/relatorios/detalhes-de-ativos?id=3194&amp;codativo=BRKPA0" xr:uid="{72333629-8961-412F-AC04-039F82B0E271}"/>
    <hyperlink ref="D1268" r:id="rId1265" display="https://afinvest.com.br/interno/relatorios/detalhes-de-ativos?id=5807&amp;codativo=RMSA12" xr:uid="{401DDB17-2A0D-40DC-9458-F44AED594F86}"/>
    <hyperlink ref="D1269" r:id="rId1266" display="https://afinvest.com.br/interno/relatorios/detalhes-de-ativos?id=3357&amp;codativo=BRKMA6" xr:uid="{003A7DF8-6045-4674-B4C3-E7F9D68BB3B1}"/>
    <hyperlink ref="D1270" r:id="rId1267" display="https://afinvest.com.br/interno/relatorios/detalhes-de-ativos?id=7942&amp;codativo=BHSA11" xr:uid="{F5B35709-EBF8-4638-8976-CEB938294197}"/>
    <hyperlink ref="D1271" r:id="rId1268" display="https://afinvest.com.br/interno/relatorios/detalhes-de-ativos?id=2945&amp;codativo=PLSB1A" xr:uid="{E4677120-4E50-4704-A1E8-9C7C8AF1A1A7}"/>
    <hyperlink ref="D1272" r:id="rId1269" display="https://afinvest.com.br/interno/relatorios/detalhes-de-ativos?id=2891&amp;codativo=ALGAB1" xr:uid="{002FE862-579B-4698-B73C-310DA492BC2C}"/>
    <hyperlink ref="D1273" r:id="rId1270" display="https://afinvest.com.br/interno/relatorios/detalhes-de-ativos?id=300&amp;codativo=ALGA28" xr:uid="{5BC01C20-669B-407E-8F94-755F948589E8}"/>
    <hyperlink ref="D1274" r:id="rId1271" display="https://afinvest.com.br/interno/relatorios/detalhes-de-ativos?id=8196&amp;codativo=AESOA1" xr:uid="{5DF11DD9-F05F-4D17-BD8F-F0C83430559C}"/>
    <hyperlink ref="D1275" r:id="rId1272" display="https://afinvest.com.br/interno/relatorios/detalhes-de-ativos?id=315&amp;codativo=TIET19" xr:uid="{5048A4DA-E36E-4DEE-8048-926B15EDCF87}"/>
    <hyperlink ref="D1276" r:id="rId1273" display="https://afinvest.com.br/interno/relatorios/detalhes-de-ativos?id=2693&amp;codativo=AERI12" xr:uid="{70DDB377-A8F5-4B40-AB03-6F16B339498B}"/>
    <hyperlink ref="D1277" r:id="rId1274" display="https://afinvest.com.br/interno/relatorios/detalhes-de-ativos?id=3192&amp;codativo=AEGPA0" xr:uid="{64384310-9E5F-40E1-A4A1-99D2F61E5DF0}"/>
    <hyperlink ref="D1278" r:id="rId1275" display="https://afinvest.com.br/interno/relatorios/detalhes-de-ativos?id=7681&amp;codativo=RRRP14" xr:uid="{C1F1A9B5-41B1-4771-8F57-685F7D44CB57}"/>
    <hyperlink ref="D1279" r:id="rId1276" display="https://afinvest.com.br/interno/relatorios/detalhes-de-ativos?id=2795&amp;codativo=CRI%20Bem%20Brasil" xr:uid="{D4E8B17A-9156-4106-B0A6-631328A61768}"/>
    <hyperlink ref="D1280" r:id="rId1277" display="https://afinvest.com.br/interno/relatorios/detalhes-de-ativos?id=9081&amp;codativo=CRI%20Vic%20Engenharia%201%C2%AA%20Emiss%C3%A3o" xr:uid="{CFC1A642-AD14-49CC-9F6D-0EE955CF8A84}"/>
    <hyperlink ref="D1281" r:id="rId1278" display="https://afinvest.com.br/interno/relatorios/detalhes-de-ativos?id=7897&amp;codativo=CRI%20PERNAMBUCO%2035%C2%AA%20(23J1753853)" xr:uid="{99B1533D-CDE3-4F4A-AC52-A702529CBF7C}"/>
    <hyperlink ref="D1282" r:id="rId1279" display="https://afinvest.com.br/interno/relatorios/detalhes-de-ativos?id=1459&amp;codativo=CRA%20Ferroeste%202%C2%AA%20S%C3%A9rie" xr:uid="{BEE696ED-013F-4E34-AEED-05B94B891F2B}"/>
    <hyperlink ref="D1283" r:id="rId1280" display="https://afinvest.com.br/interno/relatorios/detalhes-de-ativos?id=2800&amp;codativo=760199" xr:uid="{D5B41A4F-2C88-485A-98D0-4E28219053EA}"/>
    <hyperlink ref="D1284" r:id="rId1281" display="https://afinvest.com.br/interno/relatorios/detalhes-de-ativos?id=1249&amp;codativo=CAIXA" xr:uid="{5A47FDA0-85A6-4BBB-B577-748982434444}"/>
    <hyperlink ref="D1285" r:id="rId1282" display="https://afinvest.com.br/interno/relatorios/detalhes-de-ativos?id=1369&amp;codativo=LFT%20mar%2027" xr:uid="{510828A9-8CDE-49C0-8CD5-8EDBE8405DE3}"/>
    <hyperlink ref="D1286" r:id="rId1283" display="https://afinvest.com.br/interno/relatorios/detalhes-de-ativos?id=1271&amp;codativo=Provis%C3%A3o" xr:uid="{2AC49898-8C84-4D54-9DC0-E7D03F076A26}"/>
    <hyperlink ref="D1287" r:id="rId1284" display="https://afinvest.com.br/interno/relatorios/detalhes-de-ativos?id=7720&amp;codativo=LFSC24000BB" xr:uid="{52561F0D-A0CE-4554-BFBB-993A79400B4A}"/>
    <hyperlink ref="D1288" r:id="rId1285" display="https://afinvest.com.br/interno/relatorios/detalhes-de-ativos?id=144&amp;codativo=LFSC190054D" xr:uid="{E87C120E-D05F-4EBC-836F-4069648FA894}"/>
    <hyperlink ref="D1289" r:id="rId1286" display="https://afinvest.com.br/interno/relatorios/detalhes-de-ativos?id=262&amp;codativo=LFSC19000BS" xr:uid="{0626B2C9-EFD7-4DDC-8C3B-9CE8A924DE13}"/>
    <hyperlink ref="D1290" r:id="rId1287" display="https://afinvest.com.br/interno/relatorios/detalhes-de-ativos?id=7859&amp;codativo=LFSC24001JP" xr:uid="{212AE22F-EE75-4FC8-B4C4-8C9B4A944653}"/>
    <hyperlink ref="D1291" r:id="rId1288" display="https://afinvest.com.br/interno/relatorios/detalhes-de-ativos?id=8996&amp;codativo=LF%20BMG%20NOV/26" xr:uid="{AEBD2C62-A1B2-438F-A179-55563D4D3F15}"/>
    <hyperlink ref="D1292" r:id="rId1289" display="https://afinvest.com.br/interno/relatorios/detalhes-de-ativos?id=2957&amp;codativo=DAPAGO28" xr:uid="{215DC2C1-FF26-45BE-8A88-716E599430F6}"/>
    <hyperlink ref="D1293" r:id="rId1290" display="https://afinvest.com.br/interno/relatorios/detalhes-de-ativos?id=1417&amp;codativo=DAPAGO30" xr:uid="{0071A07D-E680-4D00-BAD7-416FB64C846C}"/>
    <hyperlink ref="D1294" r:id="rId1291" display="https://afinvest.com.br/interno/relatorios/detalhes-de-ativos?id=4099&amp;codativo=DAPAGO32" xr:uid="{57653F00-7EAA-4C83-8701-F1937F80E2DF}"/>
    <hyperlink ref="D1295" r:id="rId1292" display="https://afinvest.com.br/interno/relatorios/detalhes-de-ativos?id=3090&amp;codativo=DAPMAI35" xr:uid="{530C9D05-5B6A-4D84-8E5C-D4B85AC17D35}"/>
    <hyperlink ref="D1296" r:id="rId1293" display="https://afinvest.com.br/interno/relatorios/detalhes-de-ativos?id=4100&amp;codativo=DAPAGO40" xr:uid="{4DA6F8EB-39E9-428B-AD97-EC94CBF36886}"/>
    <hyperlink ref="D1297" r:id="rId1294" display="https://afinvest.com.br/interno/relatorios/detalhes-de-ativos?id=940&amp;codativo=DAPAGO26" xr:uid="{35CEFA2C-18B7-4514-9544-224B5BEE3C43}"/>
    <hyperlink ref="D1298" r:id="rId1295" display="https://afinvest.com.br/interno/relatorios/detalhes-de-ativos?id=4120&amp;codativo=DAPMAI27" xr:uid="{DFA42D1A-C365-4BBB-8400-4CECCC60A189}"/>
    <hyperlink ref="D1299" r:id="rId1296" display="https://afinvest.com.br/interno/relatorios/detalhes-de-ativos?id=3254&amp;codativo=DAPMAI25" xr:uid="{D043A27D-D9C4-414A-B995-32CC1BC6D389}"/>
    <hyperlink ref="D1300" r:id="rId1297" display="https://afinvest.com.br/interno/relatorios/detalhes-de-ativos?id=4281&amp;codativo=DI1JAN26" xr:uid="{0C4E9346-8A22-491C-B70C-1C276F75A048}"/>
    <hyperlink ref="D1301" r:id="rId1298" display="https://afinvest.com.br/interno/relatorios/detalhes-de-ativos?id=1411&amp;codativo=KAPITALO%20K10%20FIQ%20FIM" xr:uid="{39F5CB4F-18BC-4241-B33E-74FEA36658DB}"/>
    <hyperlink ref="D1302" r:id="rId1299" display="https://afinvest.com.br/interno/relatorios/detalhes-de-ativos?id=391&amp;codativo=GERAES%2030" xr:uid="{109DFF0B-C127-4038-A282-2B8A4BBE4B46}"/>
    <hyperlink ref="D1303" r:id="rId1300" display="https://afinvest.com.br/interno/relatorios/detalhes-de-ativos?id=343&amp;codativo=GERAES" xr:uid="{309CCB9B-5E29-47E4-A024-BA121BFF81EF}"/>
    <hyperlink ref="D1304" r:id="rId1301" display="https://afinvest.com.br/interno/relatorios/detalhes-de-ativos?id=873&amp;codativo=AF%20GLOBAL%20BONDS%20FI%20RF%20CP%20IE" xr:uid="{84DEA956-D728-4AC3-A189-64C6486CB47D}"/>
    <hyperlink ref="D1305" r:id="rId1302" display="https://afinvest.com.br/interno/relatorios/detalhes-de-ativos?id=408&amp;codativo=FIDC%20Sifra%20Plus%20Sr" xr:uid="{3A2CD665-E65C-47EF-A647-866EA4F16103}"/>
    <hyperlink ref="D1306" r:id="rId1303" display="https://afinvest.com.br/interno/relatorios/detalhes-de-ativos?id=2845&amp;codativo=FIDC%20Red%20Multissetorial" xr:uid="{282E27E6-38DF-479D-86E4-6ACB9BABEEA3}"/>
    <hyperlink ref="D1307" r:id="rId1304" display="https://afinvest.com.br/interno/relatorios/detalhes-de-ativos?id=7680&amp;codativo=FIDC%20Pagbem%20Sr%207" xr:uid="{AB0266BC-25C2-44B2-BC2E-20BBBE6D134D}"/>
    <hyperlink ref="D1308" r:id="rId1305" display="https://afinvest.com.br/interno/relatorios/detalhes-de-ativos?id=8473&amp;codativo=FIDC%20ICred%20Sr" xr:uid="{FF17867A-4170-47C1-A2A2-C00A2D0EF1BD}"/>
    <hyperlink ref="D1309" r:id="rId1306" display="https://afinvest.com.br/interno/relatorios/detalhes-de-ativos?id=8328&amp;codativo=FIDC%20Guardian%20MC%20II%20Sr" xr:uid="{21E1BA4E-EAE9-4754-BE91-35BF7BCDBD86}"/>
    <hyperlink ref="D1310" r:id="rId1307" display="https://afinvest.com.br/interno/relatorios/detalhes-de-ativos?id=5743&amp;codativo=FIDC%20FS%20FORTALECE" xr:uid="{C597F6AE-CFD3-40A0-80B6-5ABDFE2D7501}"/>
    <hyperlink ref="D1311" r:id="rId1308" display="https://afinvest.com.br/interno/relatorios/detalhes-de-ativos?id=3505&amp;codativo=FIDC%20URA%20Agro%20SR" xr:uid="{7469F2AD-2E0E-4B86-B0D5-09AC11797D9E}"/>
    <hyperlink ref="D1312" r:id="rId1309" display="https://afinvest.com.br/interno/relatorios/detalhes-de-ativos?id=1220&amp;codativo=FIDC%20SIMPAR" xr:uid="{B6B0A562-AA9F-4377-9238-DA55CD4D24F3}"/>
    <hyperlink ref="D1313" r:id="rId1310" display="https://afinvest.com.br/interno/relatorios/detalhes-de-ativos?id=8922&amp;codativo=FIDC%20Precavida" xr:uid="{89C7B9B5-93F0-4E7A-88E0-7DA725FC38C7}"/>
    <hyperlink ref="D1314" r:id="rId1311" display="https://afinvest.com.br/interno/relatorios/detalhes-de-ativos?id=387&amp;codativo=FIDC%20LF%20I%20SR4" xr:uid="{E41CCA60-D993-440F-8FF5-6A512D00A352}"/>
    <hyperlink ref="D1315" r:id="rId1312" display="https://afinvest.com.br/interno/relatorios/detalhes-de-ativos?id=8007&amp;codativo=FIDC%20CloudWalk%20II" xr:uid="{650DFF86-1867-4185-B202-FA534AFD6E7E}"/>
    <hyperlink ref="D1316" r:id="rId1313" display="https://afinvest.com.br/interno/relatorios/detalhes-de-ativos?id=8877&amp;codativo=FIDC%20Artico%20Sr" xr:uid="{0D27C2FA-363F-42A5-ABE4-29393CE3009D}"/>
    <hyperlink ref="D1317" r:id="rId1314" display="https://afinvest.com.br/interno/relatorios/detalhes-de-ativos?id=7806&amp;codativo=VEBMA4" xr:uid="{F293A166-7288-4B68-B354-0A9F3AA1A99A}"/>
    <hyperlink ref="D1318" r:id="rId1315" display="https://afinvest.com.br/interno/relatorios/detalhes-de-ativos?id=2721&amp;codativo=VIXL14" xr:uid="{6C24A925-E89D-41D5-A37A-E55C88EF5A82}"/>
    <hyperlink ref="D1319" r:id="rId1316" display="https://afinvest.com.br/interno/relatorios/detalhes-de-ativos?id=8583&amp;codativo=VIXL18" xr:uid="{96FE016F-7FE7-448E-8312-DF58B2C92E3B}"/>
    <hyperlink ref="D1320" r:id="rId1317" display="https://afinvest.com.br/interno/relatorios/detalhes-de-ativos?id=2927&amp;codativo=VBBR24" xr:uid="{256BB4CA-B203-4214-8D62-8E569B3F7A78}"/>
    <hyperlink ref="D1321" r:id="rId1318" display="https://afinvest.com.br/interno/relatorios/detalhes-de-ativos?id=8807&amp;codativo=VSCF17" xr:uid="{3C6DAA80-FD49-4262-8719-19D71E07C1BE}"/>
    <hyperlink ref="D1322" r:id="rId1319" display="https://afinvest.com.br/interno/relatorios/detalhes-de-ativos?id=7868&amp;codativo=VERO13" xr:uid="{CE6C72BC-E127-42B2-B7BE-42746F5D934A}"/>
    <hyperlink ref="D1323" r:id="rId1320" display="https://afinvest.com.br/interno/relatorios/detalhes-de-ativos?id=1462&amp;codativo=VAMO33" xr:uid="{2F8A6BF0-E559-4E9A-9977-68D92FB5DB7E}"/>
    <hyperlink ref="D1324" r:id="rId1321" display="https://afinvest.com.br/interno/relatorios/detalhes-de-ativos?id=1464&amp;codativo=VAMO23" xr:uid="{D8096FBF-EF4F-4CF7-85C5-BB5A5F5D8C8D}"/>
    <hyperlink ref="D1325" r:id="rId1322" display="https://afinvest.com.br/interno/relatorios/detalhes-de-ativos?id=8116&amp;codativo=VLIDA0" xr:uid="{78E92C7B-F96F-4A5E-A7E5-E54B7BFD0FC9}"/>
    <hyperlink ref="D1326" r:id="rId1323" display="https://afinvest.com.br/interno/relatorios/detalhes-de-ativos?id=9115&amp;codativo=VALEC0" xr:uid="{FE75C49B-1710-4B84-808A-6F8A48ABEF79}"/>
    <hyperlink ref="D1327" r:id="rId1324" display="https://afinvest.com.br/interno/relatorios/detalhes-de-ativos?id=9446&amp;codativo=VERT18%20(nota%20reestruturada)" xr:uid="{2B817A89-BCC9-4100-AD50-EF7001D801D0}"/>
    <hyperlink ref="D1328" r:id="rId1325" display="https://afinvest.com.br/interno/relatorios/detalhes-de-ativos?id=9445&amp;codativo=VERT19%20(nota%20participativa)" xr:uid="{2857915F-4C68-47F4-89AE-0BF902DCFB22}"/>
    <hyperlink ref="D1329" r:id="rId1326" display="https://afinvest.com.br/interno/relatorios/detalhes-de-ativos?id=6795&amp;codativo=TBSP11" xr:uid="{6F70117F-51EA-4D30-9EDE-3C7B5E22BE6D}"/>
    <hyperlink ref="D1330" r:id="rId1327" display="https://afinvest.com.br/interno/relatorios/detalhes-de-ativos?id=2918&amp;codativo=SULA29" xr:uid="{B6691EEC-D592-403E-8548-06F0BD01B4D9}"/>
    <hyperlink ref="D1331" r:id="rId1328" display="https://afinvest.com.br/interno/relatorios/detalhes-de-ativos?id=6919&amp;codativo=RISP12" xr:uid="{B34DB4FC-4592-4666-A638-70E4E44DB32A}"/>
    <hyperlink ref="D1332" r:id="rId1329" display="https://afinvest.com.br/interno/relatorios/detalhes-de-ativos?id=6041&amp;codativo=SIMH16" xr:uid="{C1B30118-ECDC-488E-99D7-9E0CDA75A85B}"/>
    <hyperlink ref="D1333" r:id="rId1330" display="https://afinvest.com.br/interno/relatorios/detalhes-de-ativos?id=8398&amp;codativo=ASAIA0" xr:uid="{E79BFA1E-762F-4839-A24E-DB860815799F}"/>
    <hyperlink ref="D1334" r:id="rId1331" display="https://afinvest.com.br/interno/relatorios/detalhes-de-ativos?id=1410&amp;codativo=ASAI22" xr:uid="{0FEF6923-9D09-4312-A25F-997946F43FC4}"/>
    <hyperlink ref="D1335" r:id="rId1332" display="https://afinvest.com.br/interno/relatorios/detalhes-de-ativos?id=3175&amp;codativo=SBFC13" xr:uid="{70B6DC1D-59B2-45E8-BA1A-C0783CA928E0}"/>
    <hyperlink ref="D1336" r:id="rId1333" display="https://afinvest.com.br/interno/relatorios/detalhes-de-ativos?id=1420&amp;codativo=SBFC12" xr:uid="{B7D931C7-D568-4D36-A894-288C8222D9F0}"/>
    <hyperlink ref="D1337" r:id="rId1334" display="https://afinvest.com.br/interno/relatorios/detalhes-de-ativos?id=1214&amp;codativo=RDCO10" xr:uid="{72C9F9B2-4DAD-49A6-98A2-EA13FA5ADF95}"/>
    <hyperlink ref="D1338" r:id="rId1335" display="https://afinvest.com.br/interno/relatorios/detalhes-de-ativos?id=2723&amp;codativo=RDORB9" xr:uid="{B8E4118F-206E-47EC-A035-BF934463892F}"/>
    <hyperlink ref="D1339" r:id="rId1336" display="https://afinvest.com.br/interno/relatorios/detalhes-de-ativos?id=3368&amp;codativo=QUAL16" xr:uid="{599699AE-8034-45D3-A1FC-7DDE89BA34CC}"/>
    <hyperlink ref="D1340" r:id="rId1337" display="https://afinvest.com.br/interno/relatorios/detalhes-de-ativos?id=3468&amp;codativo=PEJA11" xr:uid="{26192E3A-2D02-4F14-8DDD-97519CBBF5F6}"/>
    <hyperlink ref="D1341" r:id="rId1338" display="https://afinvest.com.br/interno/relatorios/detalhes-de-ativos?id=5840&amp;codativo=ONCO19" xr:uid="{7072456E-B238-49A3-953F-B0A1594BB91F}"/>
    <hyperlink ref="D1342" r:id="rId1339" display="https://afinvest.com.br/interno/relatorios/detalhes-de-ativos?id=2626&amp;codativo=OMGE13" xr:uid="{38ABF275-8E82-431C-BF3A-65AD051BA04A}"/>
    <hyperlink ref="D1343" r:id="rId1340" display="https://afinvest.com.br/interno/relatorios/detalhes-de-ativos?id=3395&amp;codativo=OGDS11" xr:uid="{A398B347-1267-4009-9CFB-522DFF9666CD}"/>
    <hyperlink ref="D1344" r:id="rId1341" display="https://afinvest.com.br/interno/relatorios/detalhes-de-ativos?id=8875&amp;codativo=NTSD17" xr:uid="{D7D77776-56CF-4DA8-9D73-0DBD57FA1BD2}"/>
    <hyperlink ref="D1345" r:id="rId1342" display="https://afinvest.com.br/interno/relatorios/detalhes-de-ativos?id=2766&amp;codativo=MOVI37" xr:uid="{E27016AF-B586-4630-8BB3-FEAB7CEC0C92}"/>
    <hyperlink ref="D1346" r:id="rId1343" display="https://afinvest.com.br/interno/relatorios/detalhes-de-ativos?id=3059&amp;codativo=MNRVA1" xr:uid="{F1FD91EC-9475-466D-B6DA-5F25F99EEE61}"/>
    <hyperlink ref="D1347" r:id="rId1344" display="https://afinvest.com.br/interno/relatorios/detalhes-de-ativos?id=2933&amp;codativo=MSGT13" xr:uid="{DCC41D08-C48D-4A86-9757-B9351F79DEC2}"/>
    <hyperlink ref="D1348" r:id="rId1345" display="https://afinvest.com.br/interno/relatorios/detalhes-de-ativos?id=1340&amp;codativo=LORTA7" xr:uid="{4ABAA61D-9CA4-46E2-930D-95DB44A0354D}"/>
    <hyperlink ref="D1349" r:id="rId1346" display="https://afinvest.com.br/interno/relatorios/detalhes-de-ativos?id=1427&amp;codativo=LIGH1B" xr:uid="{BC1E6732-E990-4D14-8FE1-98FBB21DA6EF}"/>
    <hyperlink ref="D1350" r:id="rId1347" display="https://afinvest.com.br/interno/relatorios/detalhes-de-ativos?id=308&amp;codativo=KLBNA2" xr:uid="{28A3AD4D-C805-4787-A06E-4DBB764E31E1}"/>
    <hyperlink ref="D1351" r:id="rId1348" display="https://afinvest.com.br/interno/relatorios/detalhes-de-ativos?id=2829&amp;codativo=ITSA24" xr:uid="{40B8F66B-4D37-4625-85DC-C10A53CCFFA0}"/>
    <hyperlink ref="D1352" r:id="rId1349" display="https://afinvest.com.br/interno/relatorios/detalhes-de-ativos?id=2844&amp;codativo=MATD11" xr:uid="{E06FB846-848B-474B-AF20-426982805FF4}"/>
    <hyperlink ref="D1353" r:id="rId1350" display="https://afinvest.com.br/interno/relatorios/detalhes-de-ativos?id=5764&amp;codativo=HBSA12" xr:uid="{1DF98812-1A7D-473B-9818-8928B860A87B}"/>
    <hyperlink ref="D1354" r:id="rId1351" display="https://afinvest.com.br/interno/relatorios/detalhes-de-ativos?id=8393&amp;codativo=FBRI13" xr:uid="{D02F4CAF-0077-4A69-951C-AD996D2A720C}"/>
    <hyperlink ref="D1355" r:id="rId1352" display="https://afinvest.com.br/interno/relatorios/detalhes-de-ativos?id=9151&amp;codativo=AEGE17" xr:uid="{8A0549FA-ECB2-4FAC-8D24-E44E95D5ED4F}"/>
    <hyperlink ref="D1356" r:id="rId1353" display="https://afinvest.com.br/interno/relatorios/detalhes-de-ativos?id=7270&amp;codativo=CGOS14" xr:uid="{43F194E3-E106-4A3F-812B-BA5342D1203F}"/>
    <hyperlink ref="D1357" r:id="rId1354" display="https://afinvest.com.br/interno/relatorios/detalhes-de-ativos?id=8876&amp;codativo=CGOS18" xr:uid="{CBC89183-B3D5-48E4-B2D1-1C8770A40A61}"/>
    <hyperlink ref="D1358" r:id="rId1355" display="https://afinvest.com.br/interno/relatorios/detalhes-de-ativos?id=2839&amp;codativo=ENGIC5" xr:uid="{E911F43A-A7C3-4FCA-98D4-F6E0C25D525C}"/>
    <hyperlink ref="D1359" r:id="rId1356" display="https://afinvest.com.br/interno/relatorios/detalhes-de-ativos?id=7269&amp;codativo=ERDVC3" xr:uid="{B2DD0B62-43ED-47D0-B197-7A390DBA7138}"/>
    <hyperlink ref="D1360" r:id="rId1357" display="https://afinvest.com.br/interno/relatorios/detalhes-de-ativos?id=7268&amp;codativo=ERDVB3" xr:uid="{649E8B38-D2CA-4362-94C5-833C87DDF0BA}"/>
    <hyperlink ref="D1361" r:id="rId1358" display="https://afinvest.com.br/interno/relatorios/detalhes-de-ativos?id=1596&amp;codativo=DASAA4" xr:uid="{B02DAF58-E727-40DD-AFD0-94779A2502B4}"/>
    <hyperlink ref="D1362" r:id="rId1359" display="https://afinvest.com.br/interno/relatorios/detalhes-de-ativos?id=2689&amp;codativo=CSAN23" xr:uid="{A7C12BD9-8055-4D9D-AD32-14F38EB9300D}"/>
    <hyperlink ref="D1363" r:id="rId1360" display="https://afinvest.com.br/interno/relatorios/detalhes-de-ativos?id=8432&amp;codativo=CSANB0" xr:uid="{A74CAED9-FE31-45E5-A4B7-FD3E94419291}"/>
    <hyperlink ref="D1364" r:id="rId1361" display="https://afinvest.com.br/interno/relatorios/detalhes-de-ativos?id=8431&amp;codativo=CSANA0" xr:uid="{9709E4FC-FB91-48CF-97B9-46C7EACF28C0}"/>
    <hyperlink ref="D1365" r:id="rId1362" display="https://afinvest.com.br/interno/relatorios/detalhes-de-ativos?id=3364&amp;codativo=CPLD37" xr:uid="{70785272-151E-4D74-A22B-13B385241158}"/>
    <hyperlink ref="D1366" r:id="rId1363" display="https://afinvest.com.br/interno/relatorios/detalhes-de-ativos?id=2833&amp;codativo=CGBP13" xr:uid="{B1702D28-4CA4-4D8E-9751-8D17F531CFFA}"/>
    <hyperlink ref="D1367" r:id="rId1364" display="https://afinvest.com.br/interno/relatorios/detalhes-de-ativos?id=7543&amp;codativo=CRNP11" xr:uid="{1219ECB4-275B-4A92-9F5C-D02546B7B078}"/>
    <hyperlink ref="D1368" r:id="rId1365" display="https://afinvest.com.br/interno/relatorios/detalhes-de-ativos?id=7260&amp;codativo=PASS12" xr:uid="{5696E9C0-815F-43BE-B3A8-E67CAE52A2C1}"/>
    <hyperlink ref="D1369" r:id="rId1366" display="https://afinvest.com.br/interno/relatorios/detalhes-de-ativos?id=5729&amp;codativo=CSNAA2" xr:uid="{C57E6DD6-0185-4495-A723-D2335C26EDA9}"/>
    <hyperlink ref="D1370" r:id="rId1367" display="https://afinvest.com.br/interno/relatorios/detalhes-de-ativos?id=3460&amp;codativo=VTII12" xr:uid="{D3AEE663-3742-4B15-8416-0511672A6B9C}"/>
    <hyperlink ref="D1371" r:id="rId1368" display="https://afinvest.com.br/interno/relatorios/detalhes-de-ativos?id=3508&amp;codativo=CRCG12" xr:uid="{30983B6B-8F27-4D6F-B2A2-52E18EF7D4B1}"/>
    <hyperlink ref="D1372" r:id="rId1369" display="https://afinvest.com.br/interno/relatorios/detalhes-de-ativos?id=8504&amp;codativo=CHSF13" xr:uid="{476BA6D9-C264-41D5-AE86-D5CC2CAA803A}"/>
    <hyperlink ref="D1373" r:id="rId1370" display="https://afinvest.com.br/interno/relatorios/detalhes-de-ativos?id=5638&amp;codativo=COCE18" xr:uid="{EDBBE10B-F884-4044-9C3C-2BDBE5CAF302}"/>
    <hyperlink ref="D1374" r:id="rId1371" display="https://afinvest.com.br/interno/relatorios/detalhes-de-ativos?id=2650&amp;codativo=CAEC21" xr:uid="{EFCD8466-36BA-4EC9-BE97-632ADF97207F}"/>
    <hyperlink ref="D1375" r:id="rId1372" display="https://afinvest.com.br/interno/relatorios/detalhes-de-ativos?id=8444&amp;codativo=CAEC22" xr:uid="{27E4CB3C-03BD-4CC2-A682-2BCDE2311A02}"/>
    <hyperlink ref="D1376" r:id="rId1373" display="https://afinvest.com.br/interno/relatorios/detalhes-de-ativos?id=2779&amp;codativo=CBRDA8" xr:uid="{A467F755-B4C3-4316-868C-098F6C98E5E3}"/>
    <hyperlink ref="D1377" r:id="rId1374" display="https://afinvest.com.br/interno/relatorios/detalhes-de-ativos?id=5722&amp;codativo=AALR13" xr:uid="{A7529DB2-97C3-47B6-BF1A-4525BD777286}"/>
    <hyperlink ref="D1378" r:id="rId1375" display="https://afinvest.com.br/interno/relatorios/detalhes-de-ativos?id=9256&amp;codativo=EQPA18" xr:uid="{BA8BA262-AF76-4FDC-9470-1C5F9E8A34AA}"/>
    <hyperlink ref="D1379" r:id="rId1376" display="https://afinvest.com.br/interno/relatorios/detalhes-de-ativos?id=3357&amp;codativo=BRKMA6" xr:uid="{7DDBF2B7-6269-422C-833B-5279DCE80780}"/>
    <hyperlink ref="D1380" r:id="rId1377" display="https://afinvest.com.br/interno/relatorios/detalhes-de-ativos?id=3358&amp;codativo=BRKMB6" xr:uid="{721BA537-5ABE-4772-9D2D-7C7D3B01C546}"/>
    <hyperlink ref="D1381" r:id="rId1378" display="https://afinvest.com.br/interno/relatorios/detalhes-de-ativos?id=8804&amp;codativo=AMERF2" xr:uid="{CEEF1D61-6BE7-4B2B-9CA6-F9D5DE511A1A}"/>
    <hyperlink ref="D1382" r:id="rId1379" display="https://afinvest.com.br/interno/relatorios/detalhes-de-ativos?id=2891&amp;codativo=ALGAB1" xr:uid="{F64F91BC-ED00-4B47-B72B-C37343AFC8DF}"/>
    <hyperlink ref="D1383" r:id="rId1380" display="https://afinvest.com.br/interno/relatorios/detalhes-de-ativos?id=2693&amp;codativo=AERI12" xr:uid="{E67505E0-54B1-4EB0-AACA-F706D293EC29}"/>
    <hyperlink ref="D1384" r:id="rId1381" display="https://afinvest.com.br/interno/relatorios/detalhes-de-ativos?id=9081&amp;codativo=CRI%20Vic%20Engenharia%201%C2%AA%20Emiss%C3%A3o" xr:uid="{C5826605-40E7-40C0-BE74-AFB78A00E669}"/>
    <hyperlink ref="D1385" r:id="rId1382" display="https://afinvest.com.br/interno/relatorios/detalhes-de-ativos?id=7897&amp;codativo=CRI%20PERNAMBUCO%2035%C2%AA%20(23J1753853)" xr:uid="{18D01899-BACF-4605-8195-D4F43B6D075A}"/>
    <hyperlink ref="D1386" r:id="rId1383" display="https://afinvest.com.br/interno/relatorios/detalhes-de-ativos?id=5671&amp;codativo=CRI%20Vic%20Engenharia%202%C2%AA%20Emiss%C3%A3o" xr:uid="{6338E65B-7EBC-4E4B-9231-5394E70FA280}"/>
    <hyperlink ref="D1387" r:id="rId1384" display="https://afinvest.com.br/interno/relatorios/detalhes-de-ativos?id=2800&amp;codativo=760199" xr:uid="{FFC31E66-2D99-48C1-AA9C-7FA41EEA4721}"/>
    <hyperlink ref="D1388" r:id="rId1385" display="https://afinvest.com.br/interno/relatorios/detalhes-de-ativos?id=6827&amp;codativo=CDB323EWULR" xr:uid="{87AEEDC8-C737-47EF-AC97-184B7FF90576}"/>
    <hyperlink ref="D1389" r:id="rId1386" display="https://afinvest.com.br/interno/relatorios/detalhes-de-ativos?id=8577&amp;codativo=CDB724BH6RG" xr:uid="{381A934A-C256-41FF-9E37-4E75F94209B3}"/>
    <hyperlink ref="D1390" r:id="rId1387" display="https://afinvest.com.br/interno/relatorios/detalhes-de-ativos?id=8887&amp;codativo=CDB%20MERCANTIL%20OUT25" xr:uid="{9072CBDC-8279-4C99-9E54-CC1CF4BE8101}"/>
    <hyperlink ref="D1391" r:id="rId1388" display="https://afinvest.com.br/interno/relatorios/detalhes-de-ativos?id=1249&amp;codativo=CAIXA" xr:uid="{0EF06C51-2EDA-44FF-AE58-FD4768745131}"/>
  </hyperlinks>
  <pageMargins left="0.511811024" right="0.511811024" top="0.78740157499999996" bottom="0.78740157499999996" header="0.31496062000000002" footer="0.31496062000000002"/>
  <pageSetup paperSize="9" orientation="portrait" r:id="rId138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8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60" t="s">
        <v>499</v>
      </c>
      <c r="B1" s="260" t="s">
        <v>32</v>
      </c>
      <c r="C1" s="260" t="s">
        <v>1</v>
      </c>
      <c r="D1" s="260" t="s">
        <v>334</v>
      </c>
      <c r="E1" s="260" t="s">
        <v>388</v>
      </c>
      <c r="F1" s="260" t="s">
        <v>389</v>
      </c>
      <c r="G1" s="260" t="s">
        <v>390</v>
      </c>
      <c r="H1" s="260" t="s">
        <v>335</v>
      </c>
      <c r="I1" s="260" t="s">
        <v>391</v>
      </c>
      <c r="J1" s="260" t="s">
        <v>49</v>
      </c>
    </row>
    <row r="2" spans="1:10" x14ac:dyDescent="0.25">
      <c r="A2" t="s">
        <v>99</v>
      </c>
      <c r="B2" t="s">
        <v>140</v>
      </c>
      <c r="C2" t="s">
        <v>246</v>
      </c>
      <c r="D2" t="s">
        <v>294</v>
      </c>
      <c r="E2" t="s">
        <v>350</v>
      </c>
      <c r="F2">
        <v>250</v>
      </c>
      <c r="G2">
        <v>3757.2870212766002</v>
      </c>
      <c r="H2">
        <v>832983.44339623</v>
      </c>
      <c r="I2" t="s">
        <v>1587</v>
      </c>
      <c r="J2">
        <v>6.9386069169819002</v>
      </c>
    </row>
    <row r="3" spans="1:10" x14ac:dyDescent="0.25">
      <c r="A3" t="s">
        <v>99</v>
      </c>
      <c r="B3" t="s">
        <v>140</v>
      </c>
      <c r="C3" t="s">
        <v>246</v>
      </c>
      <c r="D3" t="s">
        <v>294</v>
      </c>
      <c r="E3" t="s">
        <v>723</v>
      </c>
      <c r="F3">
        <v>-15</v>
      </c>
      <c r="G3">
        <v>3757.2870212766002</v>
      </c>
      <c r="H3">
        <v>49979.006603774003</v>
      </c>
      <c r="I3" t="s">
        <v>1587</v>
      </c>
      <c r="J3">
        <v>0.41631641501890998</v>
      </c>
    </row>
    <row r="4" spans="1:10" x14ac:dyDescent="0.25">
      <c r="A4" t="s">
        <v>99</v>
      </c>
      <c r="B4" t="s">
        <v>140</v>
      </c>
      <c r="C4" t="s">
        <v>246</v>
      </c>
      <c r="D4" t="s">
        <v>247</v>
      </c>
      <c r="E4" t="s">
        <v>724</v>
      </c>
      <c r="F4">
        <v>8</v>
      </c>
      <c r="G4">
        <v>16088.6975</v>
      </c>
      <c r="H4">
        <v>128709.58</v>
      </c>
      <c r="I4" t="s">
        <v>1587</v>
      </c>
      <c r="J4">
        <v>1.0721283707977001</v>
      </c>
    </row>
    <row r="5" spans="1:10" x14ac:dyDescent="0.25">
      <c r="A5" t="s">
        <v>99</v>
      </c>
      <c r="B5" t="s">
        <v>140</v>
      </c>
      <c r="C5" t="s">
        <v>246</v>
      </c>
      <c r="D5" t="s">
        <v>274</v>
      </c>
      <c r="E5" t="s">
        <v>724</v>
      </c>
      <c r="F5">
        <v>2</v>
      </c>
      <c r="G5">
        <v>16115.254999999999</v>
      </c>
      <c r="H5">
        <v>32230.51</v>
      </c>
      <c r="I5" t="s">
        <v>1587</v>
      </c>
      <c r="J5">
        <v>0.26847453139291</v>
      </c>
    </row>
    <row r="6" spans="1:10" x14ac:dyDescent="0.25">
      <c r="A6" t="s">
        <v>99</v>
      </c>
      <c r="B6" t="s">
        <v>140</v>
      </c>
      <c r="C6" t="s">
        <v>246</v>
      </c>
      <c r="D6" t="s">
        <v>283</v>
      </c>
      <c r="E6" t="s">
        <v>724</v>
      </c>
      <c r="F6">
        <v>2</v>
      </c>
      <c r="G6">
        <v>16101.54</v>
      </c>
      <c r="H6">
        <v>32203.08</v>
      </c>
      <c r="I6" t="s">
        <v>1587</v>
      </c>
      <c r="J6">
        <v>0.26824604427322002</v>
      </c>
    </row>
    <row r="7" spans="1:10" x14ac:dyDescent="0.25">
      <c r="A7" t="s">
        <v>105</v>
      </c>
      <c r="B7" t="s">
        <v>103</v>
      </c>
      <c r="C7" t="s">
        <v>246</v>
      </c>
      <c r="D7" t="s">
        <v>105</v>
      </c>
      <c r="E7" t="s">
        <v>725</v>
      </c>
      <c r="F7" t="s">
        <v>103</v>
      </c>
      <c r="G7" t="s">
        <v>1587</v>
      </c>
      <c r="H7">
        <v>-622114.14</v>
      </c>
      <c r="I7" t="s">
        <v>1587</v>
      </c>
      <c r="J7">
        <v>-5.1821023685135996</v>
      </c>
    </row>
    <row r="8" spans="1:10" x14ac:dyDescent="0.25">
      <c r="A8" t="s">
        <v>113</v>
      </c>
      <c r="B8" t="s">
        <v>114</v>
      </c>
      <c r="C8" t="s">
        <v>246</v>
      </c>
      <c r="D8" t="s">
        <v>183</v>
      </c>
      <c r="E8" t="s">
        <v>350</v>
      </c>
      <c r="F8">
        <v>6</v>
      </c>
      <c r="G8">
        <v>85075.464863025001</v>
      </c>
      <c r="H8">
        <v>1237.8</v>
      </c>
      <c r="I8">
        <v>510452.78917815001</v>
      </c>
      <c r="J8">
        <v>4.2519827757242004</v>
      </c>
    </row>
    <row r="9" spans="1:10" x14ac:dyDescent="0.25">
      <c r="A9" t="s">
        <v>113</v>
      </c>
      <c r="B9" t="s">
        <v>114</v>
      </c>
      <c r="C9" t="s">
        <v>246</v>
      </c>
      <c r="D9" t="s">
        <v>451</v>
      </c>
      <c r="E9" t="s">
        <v>350</v>
      </c>
      <c r="F9">
        <v>3</v>
      </c>
      <c r="G9">
        <v>103332.51269459999</v>
      </c>
      <c r="H9">
        <v>1022.37</v>
      </c>
      <c r="I9">
        <v>309997.5380838</v>
      </c>
      <c r="J9">
        <v>2.5822254680426999</v>
      </c>
    </row>
    <row r="10" spans="1:10" x14ac:dyDescent="0.25">
      <c r="A10" t="s">
        <v>113</v>
      </c>
      <c r="B10" t="s">
        <v>114</v>
      </c>
      <c r="C10" t="s">
        <v>246</v>
      </c>
      <c r="D10" t="s">
        <v>319</v>
      </c>
      <c r="E10" t="s">
        <v>725</v>
      </c>
      <c r="F10" t="s">
        <v>103</v>
      </c>
      <c r="G10">
        <v>152622.46893758001</v>
      </c>
      <c r="H10" t="s">
        <v>1587</v>
      </c>
      <c r="I10">
        <v>0</v>
      </c>
      <c r="J10" t="s">
        <v>1587</v>
      </c>
    </row>
    <row r="11" spans="1:10" x14ac:dyDescent="0.25">
      <c r="A11" t="s">
        <v>113</v>
      </c>
      <c r="B11" t="s">
        <v>114</v>
      </c>
      <c r="C11" t="s">
        <v>246</v>
      </c>
      <c r="D11" t="s">
        <v>116</v>
      </c>
      <c r="E11" t="s">
        <v>350</v>
      </c>
      <c r="F11">
        <v>6</v>
      </c>
      <c r="G11">
        <v>160200.83481885001</v>
      </c>
      <c r="H11">
        <v>-722.28</v>
      </c>
      <c r="I11">
        <v>961205.0089131</v>
      </c>
      <c r="J11">
        <v>8.0066702121829003</v>
      </c>
    </row>
    <row r="12" spans="1:10" x14ac:dyDescent="0.25">
      <c r="A12" t="s">
        <v>113</v>
      </c>
      <c r="B12" t="s">
        <v>114</v>
      </c>
      <c r="C12" t="s">
        <v>246</v>
      </c>
      <c r="D12" t="s">
        <v>179</v>
      </c>
      <c r="E12" t="s">
        <v>430</v>
      </c>
      <c r="F12">
        <v>-14</v>
      </c>
      <c r="G12">
        <v>139301.90008560001</v>
      </c>
      <c r="H12">
        <v>-732.76</v>
      </c>
      <c r="I12">
        <v>-1950226.6011983999</v>
      </c>
      <c r="J12">
        <v>-16.245047716177002</v>
      </c>
    </row>
    <row r="13" spans="1:10" x14ac:dyDescent="0.25">
      <c r="A13" t="s">
        <v>113</v>
      </c>
      <c r="B13" t="s">
        <v>114</v>
      </c>
      <c r="C13" t="s">
        <v>246</v>
      </c>
      <c r="D13" t="s">
        <v>177</v>
      </c>
      <c r="E13" t="s">
        <v>350</v>
      </c>
      <c r="F13">
        <v>6</v>
      </c>
      <c r="G13">
        <v>177502.20586086999</v>
      </c>
      <c r="H13">
        <v>-1152.06</v>
      </c>
      <c r="I13">
        <v>1065013.2351653001</v>
      </c>
      <c r="J13">
        <v>8.8713746458941003</v>
      </c>
    </row>
    <row r="14" spans="1:10" x14ac:dyDescent="0.25">
      <c r="A14" t="s">
        <v>113</v>
      </c>
      <c r="B14" t="s">
        <v>114</v>
      </c>
      <c r="C14" t="s">
        <v>246</v>
      </c>
      <c r="D14" t="s">
        <v>180</v>
      </c>
      <c r="E14" t="s">
        <v>430</v>
      </c>
      <c r="F14">
        <v>-7</v>
      </c>
      <c r="G14">
        <v>120219.8618817</v>
      </c>
      <c r="H14">
        <v>-1514.94</v>
      </c>
      <c r="I14">
        <v>-841539.03317189997</v>
      </c>
      <c r="J14">
        <v>-7.0098734888051002</v>
      </c>
    </row>
    <row r="15" spans="1:10" x14ac:dyDescent="0.25">
      <c r="A15" t="s">
        <v>127</v>
      </c>
      <c r="B15" t="s">
        <v>927</v>
      </c>
      <c r="C15" t="s">
        <v>246</v>
      </c>
      <c r="D15" t="s">
        <v>919</v>
      </c>
      <c r="E15" t="s">
        <v>723</v>
      </c>
      <c r="F15">
        <v>230</v>
      </c>
      <c r="G15">
        <v>1038.0352608696001</v>
      </c>
      <c r="H15">
        <v>238748.11</v>
      </c>
      <c r="I15" t="s">
        <v>1587</v>
      </c>
      <c r="J15">
        <v>1.9887301489549001</v>
      </c>
    </row>
    <row r="16" spans="1:10" x14ac:dyDescent="0.25">
      <c r="A16" t="s">
        <v>127</v>
      </c>
      <c r="B16" t="s">
        <v>204</v>
      </c>
      <c r="C16" t="s">
        <v>246</v>
      </c>
      <c r="D16" t="s">
        <v>205</v>
      </c>
      <c r="E16" t="s">
        <v>723</v>
      </c>
      <c r="F16">
        <v>215</v>
      </c>
      <c r="G16">
        <v>1025.7618604651</v>
      </c>
      <c r="H16">
        <v>220538.8</v>
      </c>
      <c r="I16" t="s">
        <v>1587</v>
      </c>
      <c r="J16">
        <v>1.8370497700457</v>
      </c>
    </row>
    <row r="17" spans="1:10" x14ac:dyDescent="0.25">
      <c r="A17" t="s">
        <v>127</v>
      </c>
      <c r="B17" t="s">
        <v>392</v>
      </c>
      <c r="C17" t="s">
        <v>246</v>
      </c>
      <c r="D17" t="s">
        <v>393</v>
      </c>
      <c r="E17" t="s">
        <v>723</v>
      </c>
      <c r="F17">
        <v>370</v>
      </c>
      <c r="G17">
        <v>1213.6955135134999</v>
      </c>
      <c r="H17">
        <v>449067.34</v>
      </c>
      <c r="I17" t="s">
        <v>1587</v>
      </c>
      <c r="J17">
        <v>3.7406526818954999</v>
      </c>
    </row>
    <row r="18" spans="1:10" x14ac:dyDescent="0.25">
      <c r="A18" t="s">
        <v>127</v>
      </c>
      <c r="B18" t="s">
        <v>295</v>
      </c>
      <c r="C18" t="s">
        <v>246</v>
      </c>
      <c r="D18" t="s">
        <v>264</v>
      </c>
      <c r="E18" t="s">
        <v>723</v>
      </c>
      <c r="F18">
        <v>174</v>
      </c>
      <c r="G18">
        <v>1146.1386206897</v>
      </c>
      <c r="H18">
        <v>199428.12</v>
      </c>
      <c r="I18" t="s">
        <v>1587</v>
      </c>
      <c r="J18">
        <v>1.6612014846668</v>
      </c>
    </row>
    <row r="19" spans="1:10" x14ac:dyDescent="0.25">
      <c r="A19" t="s">
        <v>127</v>
      </c>
      <c r="B19" t="s">
        <v>343</v>
      </c>
      <c r="C19" t="s">
        <v>246</v>
      </c>
      <c r="D19" t="s">
        <v>282</v>
      </c>
      <c r="E19" t="s">
        <v>723</v>
      </c>
      <c r="F19">
        <v>720</v>
      </c>
      <c r="G19">
        <v>1076.6481805556</v>
      </c>
      <c r="H19">
        <v>775186.69</v>
      </c>
      <c r="I19" t="s">
        <v>1587</v>
      </c>
      <c r="J19">
        <v>6.4571700336038997</v>
      </c>
    </row>
    <row r="20" spans="1:10" x14ac:dyDescent="0.25">
      <c r="A20" t="s">
        <v>127</v>
      </c>
      <c r="B20" t="s">
        <v>505</v>
      </c>
      <c r="C20" t="s">
        <v>246</v>
      </c>
      <c r="D20" t="s">
        <v>411</v>
      </c>
      <c r="E20" t="s">
        <v>723</v>
      </c>
      <c r="F20">
        <v>120</v>
      </c>
      <c r="G20">
        <v>1103.7133529411999</v>
      </c>
      <c r="H20">
        <v>132445.60235294001</v>
      </c>
      <c r="I20" t="s">
        <v>1587</v>
      </c>
      <c r="J20">
        <v>1.1032487859099001</v>
      </c>
    </row>
    <row r="21" spans="1:10" x14ac:dyDescent="0.25">
      <c r="A21" t="s">
        <v>127</v>
      </c>
      <c r="B21" t="s">
        <v>505</v>
      </c>
      <c r="C21" t="s">
        <v>246</v>
      </c>
      <c r="D21" t="s">
        <v>411</v>
      </c>
      <c r="E21" t="s">
        <v>725</v>
      </c>
      <c r="F21">
        <v>390</v>
      </c>
      <c r="G21">
        <v>1103.7133529411999</v>
      </c>
      <c r="H21">
        <v>430448.20764705999</v>
      </c>
      <c r="I21" t="s">
        <v>1587</v>
      </c>
      <c r="J21">
        <v>3.5855585542071999</v>
      </c>
    </row>
    <row r="22" spans="1:10" x14ac:dyDescent="0.25">
      <c r="A22" t="s">
        <v>127</v>
      </c>
      <c r="B22" t="s">
        <v>43</v>
      </c>
      <c r="C22" t="s">
        <v>246</v>
      </c>
      <c r="D22" t="s">
        <v>44</v>
      </c>
      <c r="E22" t="s">
        <v>723</v>
      </c>
      <c r="F22">
        <v>210</v>
      </c>
      <c r="G22">
        <v>1031.2374761905</v>
      </c>
      <c r="H22">
        <v>216559.87</v>
      </c>
      <c r="I22" t="s">
        <v>1587</v>
      </c>
      <c r="J22">
        <v>1.8039059765657</v>
      </c>
    </row>
    <row r="23" spans="1:10" x14ac:dyDescent="0.25">
      <c r="A23" t="s">
        <v>127</v>
      </c>
      <c r="B23" t="s">
        <v>1410</v>
      </c>
      <c r="C23" t="s">
        <v>246</v>
      </c>
      <c r="D23" t="s">
        <v>228</v>
      </c>
      <c r="E23" t="s">
        <v>723</v>
      </c>
      <c r="F23">
        <v>237</v>
      </c>
      <c r="G23">
        <v>1032.0341350210999</v>
      </c>
      <c r="H23">
        <v>244592.09</v>
      </c>
      <c r="I23" t="s">
        <v>1587</v>
      </c>
      <c r="J23">
        <v>2.0374094839071</v>
      </c>
    </row>
    <row r="24" spans="1:10" x14ac:dyDescent="0.25">
      <c r="A24" t="s">
        <v>127</v>
      </c>
      <c r="B24" t="s">
        <v>167</v>
      </c>
      <c r="C24" t="s">
        <v>246</v>
      </c>
      <c r="D24" t="s">
        <v>262</v>
      </c>
      <c r="E24" t="s">
        <v>351</v>
      </c>
      <c r="F24">
        <v>100</v>
      </c>
      <c r="G24">
        <v>997.18989999999997</v>
      </c>
      <c r="H24">
        <v>99718.99</v>
      </c>
      <c r="I24" t="s">
        <v>1587</v>
      </c>
      <c r="J24">
        <v>0.83064180837423995</v>
      </c>
    </row>
    <row r="25" spans="1:10" x14ac:dyDescent="0.25">
      <c r="A25" t="s">
        <v>127</v>
      </c>
      <c r="B25" t="s">
        <v>167</v>
      </c>
      <c r="C25" t="s">
        <v>246</v>
      </c>
      <c r="D25" t="s">
        <v>263</v>
      </c>
      <c r="E25" t="s">
        <v>723</v>
      </c>
      <c r="F25">
        <v>6</v>
      </c>
      <c r="G25">
        <v>979.88166666666996</v>
      </c>
      <c r="H25">
        <v>5879.29</v>
      </c>
      <c r="I25" t="s">
        <v>1587</v>
      </c>
      <c r="J25">
        <v>4.8973461098599E-2</v>
      </c>
    </row>
    <row r="26" spans="1:10" x14ac:dyDescent="0.25">
      <c r="A26" t="s">
        <v>127</v>
      </c>
      <c r="B26" t="s">
        <v>166</v>
      </c>
      <c r="C26" t="s">
        <v>246</v>
      </c>
      <c r="D26" t="s">
        <v>128</v>
      </c>
      <c r="E26" t="s">
        <v>723</v>
      </c>
      <c r="F26">
        <v>536</v>
      </c>
      <c r="G26">
        <v>1077.7004104478001</v>
      </c>
      <c r="H26">
        <v>577647.42000000004</v>
      </c>
      <c r="I26" t="s">
        <v>1587</v>
      </c>
      <c r="J26">
        <v>4.8117023402615002</v>
      </c>
    </row>
    <row r="27" spans="1:10" x14ac:dyDescent="0.25">
      <c r="A27" t="s">
        <v>127</v>
      </c>
      <c r="B27" t="s">
        <v>42</v>
      </c>
      <c r="C27" t="s">
        <v>246</v>
      </c>
      <c r="D27" t="s">
        <v>41</v>
      </c>
      <c r="E27" t="s">
        <v>723</v>
      </c>
      <c r="F27">
        <v>300</v>
      </c>
      <c r="G27">
        <v>1118.3361</v>
      </c>
      <c r="H27">
        <v>335500.83</v>
      </c>
      <c r="I27" t="s">
        <v>1587</v>
      </c>
      <c r="J27">
        <v>2.7946634451699</v>
      </c>
    </row>
    <row r="28" spans="1:10" x14ac:dyDescent="0.25">
      <c r="A28" t="s">
        <v>127</v>
      </c>
      <c r="B28" t="s">
        <v>14</v>
      </c>
      <c r="C28" t="s">
        <v>246</v>
      </c>
      <c r="D28" t="s">
        <v>40</v>
      </c>
      <c r="E28" t="s">
        <v>723</v>
      </c>
      <c r="F28">
        <v>430</v>
      </c>
      <c r="G28">
        <v>1298.1907209302001</v>
      </c>
      <c r="H28">
        <v>558222.01</v>
      </c>
      <c r="I28" t="s">
        <v>1587</v>
      </c>
      <c r="J28">
        <v>4.6498920602857003</v>
      </c>
    </row>
    <row r="29" spans="1:10" x14ac:dyDescent="0.25">
      <c r="A29" t="s">
        <v>127</v>
      </c>
      <c r="B29" t="s">
        <v>34</v>
      </c>
      <c r="C29" t="s">
        <v>246</v>
      </c>
      <c r="D29" t="s">
        <v>281</v>
      </c>
      <c r="E29" t="s">
        <v>723</v>
      </c>
      <c r="F29">
        <v>250</v>
      </c>
      <c r="G29">
        <v>1137.57484</v>
      </c>
      <c r="H29">
        <v>284393.71000000002</v>
      </c>
      <c r="I29" t="s">
        <v>1587</v>
      </c>
      <c r="J29">
        <v>2.3689500421601002</v>
      </c>
    </row>
    <row r="30" spans="1:10" x14ac:dyDescent="0.25">
      <c r="A30" t="s">
        <v>127</v>
      </c>
      <c r="B30" t="s">
        <v>1043</v>
      </c>
      <c r="C30" t="s">
        <v>246</v>
      </c>
      <c r="D30" t="s">
        <v>1020</v>
      </c>
      <c r="E30" t="s">
        <v>723</v>
      </c>
      <c r="F30">
        <v>233</v>
      </c>
      <c r="G30">
        <v>1017.2692703863</v>
      </c>
      <c r="H30">
        <v>237023.74</v>
      </c>
      <c r="I30" t="s">
        <v>1587</v>
      </c>
      <c r="J30">
        <v>1.9743664473660001</v>
      </c>
    </row>
    <row r="31" spans="1:10" x14ac:dyDescent="0.25">
      <c r="A31" t="s">
        <v>127</v>
      </c>
      <c r="B31" t="s">
        <v>33</v>
      </c>
      <c r="C31" t="s">
        <v>246</v>
      </c>
      <c r="D31" t="s">
        <v>849</v>
      </c>
      <c r="E31" t="s">
        <v>723</v>
      </c>
      <c r="F31">
        <v>560</v>
      </c>
      <c r="G31">
        <v>1015.4508214286</v>
      </c>
      <c r="H31">
        <v>568652.46</v>
      </c>
      <c r="I31" t="s">
        <v>1587</v>
      </c>
      <c r="J31">
        <v>4.7367758910399997</v>
      </c>
    </row>
    <row r="32" spans="1:10" x14ac:dyDescent="0.25">
      <c r="A32" t="s">
        <v>127</v>
      </c>
      <c r="B32" t="s">
        <v>344</v>
      </c>
      <c r="C32" t="s">
        <v>246</v>
      </c>
      <c r="D32" t="s">
        <v>164</v>
      </c>
      <c r="E32" t="s">
        <v>723</v>
      </c>
      <c r="F32">
        <v>390</v>
      </c>
      <c r="G32">
        <v>1264.3255384614999</v>
      </c>
      <c r="H32">
        <v>493086.96</v>
      </c>
      <c r="I32" t="s">
        <v>1587</v>
      </c>
      <c r="J32">
        <v>4.1073284450651002</v>
      </c>
    </row>
    <row r="33" spans="1:10" x14ac:dyDescent="0.25">
      <c r="A33" t="s">
        <v>127</v>
      </c>
      <c r="B33" t="s">
        <v>345</v>
      </c>
      <c r="C33" t="s">
        <v>246</v>
      </c>
      <c r="D33" t="s">
        <v>346</v>
      </c>
      <c r="E33" t="s">
        <v>723</v>
      </c>
      <c r="F33">
        <v>357</v>
      </c>
      <c r="G33">
        <v>1059.8938095238</v>
      </c>
      <c r="H33">
        <v>378382.09</v>
      </c>
      <c r="I33" t="s">
        <v>1587</v>
      </c>
      <c r="J33">
        <v>3.1518568679248</v>
      </c>
    </row>
    <row r="34" spans="1:10" x14ac:dyDescent="0.25">
      <c r="A34" t="s">
        <v>127</v>
      </c>
      <c r="B34" t="s">
        <v>858</v>
      </c>
      <c r="C34" t="s">
        <v>246</v>
      </c>
      <c r="D34" t="s">
        <v>848</v>
      </c>
      <c r="E34" t="s">
        <v>723</v>
      </c>
      <c r="F34">
        <v>538</v>
      </c>
      <c r="G34">
        <v>1049.8878624535</v>
      </c>
      <c r="H34">
        <v>564839.67000000004</v>
      </c>
      <c r="I34" t="s">
        <v>1587</v>
      </c>
      <c r="J34">
        <v>4.7050160148062998</v>
      </c>
    </row>
    <row r="35" spans="1:10" x14ac:dyDescent="0.25">
      <c r="A35" t="s">
        <v>127</v>
      </c>
      <c r="B35" t="s">
        <v>1171</v>
      </c>
      <c r="C35" t="s">
        <v>246</v>
      </c>
      <c r="D35" t="s">
        <v>163</v>
      </c>
      <c r="E35" t="s">
        <v>725</v>
      </c>
      <c r="F35">
        <v>300</v>
      </c>
      <c r="G35">
        <v>974.03906666667001</v>
      </c>
      <c r="H35">
        <v>292211.71999999997</v>
      </c>
      <c r="I35" t="s">
        <v>1587</v>
      </c>
      <c r="J35">
        <v>2.4340727029922</v>
      </c>
    </row>
    <row r="36" spans="1:10" x14ac:dyDescent="0.25">
      <c r="A36" t="s">
        <v>127</v>
      </c>
      <c r="B36" t="s">
        <v>1034</v>
      </c>
      <c r="C36" t="s">
        <v>246</v>
      </c>
      <c r="D36" t="s">
        <v>1021</v>
      </c>
      <c r="E36" t="s">
        <v>723</v>
      </c>
      <c r="F36">
        <v>105</v>
      </c>
      <c r="G36">
        <v>1018.7435238094999</v>
      </c>
      <c r="H36">
        <v>106968.07</v>
      </c>
      <c r="I36" t="s">
        <v>1587</v>
      </c>
      <c r="J36">
        <v>0.89102538145545995</v>
      </c>
    </row>
    <row r="37" spans="1:10" x14ac:dyDescent="0.25">
      <c r="A37" t="s">
        <v>127</v>
      </c>
      <c r="B37" t="s">
        <v>162</v>
      </c>
      <c r="C37" t="s">
        <v>246</v>
      </c>
      <c r="D37" t="s">
        <v>280</v>
      </c>
      <c r="E37" t="s">
        <v>723</v>
      </c>
      <c r="F37">
        <v>500</v>
      </c>
      <c r="G37">
        <v>1125.3342</v>
      </c>
      <c r="H37">
        <v>562667.1</v>
      </c>
      <c r="I37" t="s">
        <v>1587</v>
      </c>
      <c r="J37">
        <v>4.6869188853265999</v>
      </c>
    </row>
    <row r="38" spans="1:10" x14ac:dyDescent="0.25">
      <c r="A38" t="s">
        <v>127</v>
      </c>
      <c r="B38" t="s">
        <v>795</v>
      </c>
      <c r="C38" t="s">
        <v>246</v>
      </c>
      <c r="D38" t="s">
        <v>799</v>
      </c>
      <c r="E38" t="s">
        <v>723</v>
      </c>
      <c r="F38">
        <v>191</v>
      </c>
      <c r="G38">
        <v>1043.0929319372001</v>
      </c>
      <c r="H38">
        <v>199230.75</v>
      </c>
      <c r="I38" t="s">
        <v>1587</v>
      </c>
      <c r="J38">
        <v>1.6595574269630999</v>
      </c>
    </row>
    <row r="39" spans="1:10" x14ac:dyDescent="0.25">
      <c r="A39" t="s">
        <v>127</v>
      </c>
      <c r="B39" t="s">
        <v>492</v>
      </c>
      <c r="C39" t="s">
        <v>246</v>
      </c>
      <c r="D39" t="s">
        <v>493</v>
      </c>
      <c r="E39" t="s">
        <v>723</v>
      </c>
      <c r="F39">
        <v>550</v>
      </c>
      <c r="G39">
        <v>1177.9156363636</v>
      </c>
      <c r="H39">
        <v>647853.6</v>
      </c>
      <c r="I39" t="s">
        <v>1587</v>
      </c>
      <c r="J39">
        <v>5.3965075846212001</v>
      </c>
    </row>
    <row r="40" spans="1:10" x14ac:dyDescent="0.25">
      <c r="A40" t="s">
        <v>127</v>
      </c>
      <c r="B40" t="s">
        <v>947</v>
      </c>
      <c r="C40" t="s">
        <v>246</v>
      </c>
      <c r="D40" t="s">
        <v>929</v>
      </c>
      <c r="E40" t="s">
        <v>723</v>
      </c>
      <c r="F40">
        <v>230</v>
      </c>
      <c r="G40">
        <v>1000.8903478261</v>
      </c>
      <c r="H40">
        <v>230204.78</v>
      </c>
      <c r="I40" t="s">
        <v>1587</v>
      </c>
      <c r="J40">
        <v>1.9175656989265</v>
      </c>
    </row>
    <row r="41" spans="1:10" x14ac:dyDescent="0.25">
      <c r="A41" t="s">
        <v>127</v>
      </c>
      <c r="B41" t="s">
        <v>214</v>
      </c>
      <c r="C41" t="s">
        <v>246</v>
      </c>
      <c r="D41" t="s">
        <v>161</v>
      </c>
      <c r="E41" t="s">
        <v>723</v>
      </c>
      <c r="F41">
        <v>390</v>
      </c>
      <c r="G41">
        <v>1271.8416923077</v>
      </c>
      <c r="H41">
        <v>496018.26</v>
      </c>
      <c r="I41" t="s">
        <v>1587</v>
      </c>
      <c r="J41">
        <v>4.1317456632187</v>
      </c>
    </row>
    <row r="42" spans="1:10" x14ac:dyDescent="0.25">
      <c r="A42" t="s">
        <v>127</v>
      </c>
      <c r="B42" t="s">
        <v>10</v>
      </c>
      <c r="C42" t="s">
        <v>246</v>
      </c>
      <c r="D42" t="s">
        <v>279</v>
      </c>
      <c r="E42" t="s">
        <v>723</v>
      </c>
      <c r="F42">
        <v>500</v>
      </c>
      <c r="G42">
        <v>1067.6263200000001</v>
      </c>
      <c r="H42">
        <v>533813.16</v>
      </c>
      <c r="I42" t="s">
        <v>1587</v>
      </c>
      <c r="J42">
        <v>4.4465705935887003</v>
      </c>
    </row>
    <row r="43" spans="1:10" x14ac:dyDescent="0.25">
      <c r="A43" t="s">
        <v>127</v>
      </c>
      <c r="B43" t="s">
        <v>494</v>
      </c>
      <c r="C43" t="s">
        <v>246</v>
      </c>
      <c r="D43" t="s">
        <v>495</v>
      </c>
      <c r="E43" t="s">
        <v>723</v>
      </c>
      <c r="F43">
        <v>500</v>
      </c>
      <c r="G43">
        <v>1054.36536</v>
      </c>
      <c r="H43">
        <v>527182.68000000005</v>
      </c>
      <c r="I43" t="s">
        <v>1587</v>
      </c>
      <c r="J43">
        <v>4.3913398507023</v>
      </c>
    </row>
    <row r="44" spans="1:10" x14ac:dyDescent="0.25">
      <c r="A44" t="s">
        <v>127</v>
      </c>
      <c r="B44" t="s">
        <v>46</v>
      </c>
      <c r="C44" t="s">
        <v>246</v>
      </c>
      <c r="D44" t="s">
        <v>47</v>
      </c>
      <c r="E44" t="s">
        <v>723</v>
      </c>
      <c r="F44">
        <v>425</v>
      </c>
      <c r="G44">
        <v>1310.6301647058999</v>
      </c>
      <c r="H44">
        <v>557017.81999999995</v>
      </c>
      <c r="I44" t="s">
        <v>1587</v>
      </c>
      <c r="J44">
        <v>4.6398613674433999</v>
      </c>
    </row>
    <row r="45" spans="1:10" x14ac:dyDescent="0.25">
      <c r="A45" t="s">
        <v>131</v>
      </c>
      <c r="B45" t="s">
        <v>140</v>
      </c>
      <c r="C45" t="s">
        <v>246</v>
      </c>
      <c r="D45">
        <v>760199</v>
      </c>
      <c r="E45" t="s">
        <v>725</v>
      </c>
      <c r="F45">
        <v>100</v>
      </c>
      <c r="G45">
        <v>3893.9353000000001</v>
      </c>
      <c r="H45">
        <v>389393.53</v>
      </c>
      <c r="I45" t="s">
        <v>1587</v>
      </c>
      <c r="J45">
        <v>3.2435802441282999</v>
      </c>
    </row>
    <row r="46" spans="1:10" x14ac:dyDescent="0.25">
      <c r="A46" t="s">
        <v>131</v>
      </c>
      <c r="B46" t="s">
        <v>140</v>
      </c>
      <c r="C46" t="s">
        <v>246</v>
      </c>
      <c r="D46">
        <v>760199</v>
      </c>
      <c r="E46" t="s">
        <v>725</v>
      </c>
      <c r="F46">
        <v>-190</v>
      </c>
      <c r="G46">
        <v>3245.7676842105002</v>
      </c>
      <c r="H46">
        <v>-616695.86</v>
      </c>
      <c r="I46" t="s">
        <v>1587</v>
      </c>
      <c r="J46">
        <v>-5.1369690403734998</v>
      </c>
    </row>
    <row r="47" spans="1:10" x14ac:dyDescent="0.25">
      <c r="A47" t="s">
        <v>144</v>
      </c>
      <c r="B47" t="s">
        <v>103</v>
      </c>
      <c r="C47" t="s">
        <v>246</v>
      </c>
      <c r="D47" t="s">
        <v>144</v>
      </c>
      <c r="E47" t="s">
        <v>725</v>
      </c>
      <c r="F47" t="s">
        <v>103</v>
      </c>
      <c r="G47" t="s">
        <v>1587</v>
      </c>
      <c r="H47" t="s">
        <v>1587</v>
      </c>
      <c r="I47" t="s">
        <v>1587</v>
      </c>
      <c r="J47" t="s">
        <v>1587</v>
      </c>
    </row>
    <row r="48" spans="1:10" x14ac:dyDescent="0.25">
      <c r="A48" t="s">
        <v>99</v>
      </c>
      <c r="B48" t="s">
        <v>140</v>
      </c>
      <c r="C48" t="s">
        <v>466</v>
      </c>
      <c r="D48" t="s">
        <v>188</v>
      </c>
      <c r="E48" t="s">
        <v>724</v>
      </c>
      <c r="F48">
        <v>3</v>
      </c>
      <c r="G48">
        <v>16113.966666667</v>
      </c>
      <c r="H48">
        <v>48341.9</v>
      </c>
      <c r="I48" t="s">
        <v>1587</v>
      </c>
      <c r="J48">
        <v>1.1639521179032</v>
      </c>
    </row>
    <row r="49" spans="1:10" x14ac:dyDescent="0.25">
      <c r="A49" t="s">
        <v>105</v>
      </c>
      <c r="B49" t="s">
        <v>103</v>
      </c>
      <c r="C49" t="s">
        <v>466</v>
      </c>
      <c r="D49" t="s">
        <v>105</v>
      </c>
      <c r="E49" t="s">
        <v>725</v>
      </c>
      <c r="F49" t="s">
        <v>103</v>
      </c>
      <c r="G49" t="s">
        <v>1587</v>
      </c>
      <c r="H49">
        <v>-6595.09</v>
      </c>
      <c r="I49" t="s">
        <v>1587</v>
      </c>
      <c r="J49">
        <v>-0.15879328229263001</v>
      </c>
    </row>
    <row r="50" spans="1:10" x14ac:dyDescent="0.25">
      <c r="A50" t="s">
        <v>135</v>
      </c>
      <c r="B50" t="s">
        <v>196</v>
      </c>
      <c r="C50" t="s">
        <v>466</v>
      </c>
      <c r="D50" t="s">
        <v>1290</v>
      </c>
      <c r="E50" t="s">
        <v>78</v>
      </c>
      <c r="F50">
        <v>1</v>
      </c>
      <c r="G50">
        <v>307455.51</v>
      </c>
      <c r="H50">
        <v>307455.51</v>
      </c>
      <c r="I50" t="s">
        <v>1587</v>
      </c>
      <c r="J50">
        <v>7.4027601733796002</v>
      </c>
    </row>
    <row r="51" spans="1:10" x14ac:dyDescent="0.25">
      <c r="A51" t="s">
        <v>135</v>
      </c>
      <c r="B51" t="s">
        <v>190</v>
      </c>
      <c r="C51" t="s">
        <v>466</v>
      </c>
      <c r="D51" t="s">
        <v>1291</v>
      </c>
      <c r="E51" t="s">
        <v>725</v>
      </c>
      <c r="F51">
        <v>1</v>
      </c>
      <c r="G51">
        <v>350247.5</v>
      </c>
      <c r="H51">
        <v>350247.5</v>
      </c>
      <c r="I51" t="s">
        <v>1587</v>
      </c>
      <c r="J51">
        <v>8.4330843308867003</v>
      </c>
    </row>
    <row r="52" spans="1:10" x14ac:dyDescent="0.25">
      <c r="A52" t="s">
        <v>112</v>
      </c>
      <c r="B52" t="s">
        <v>409</v>
      </c>
      <c r="C52" t="s">
        <v>466</v>
      </c>
      <c r="D52" t="s">
        <v>510</v>
      </c>
      <c r="E52" t="s">
        <v>726</v>
      </c>
      <c r="F52">
        <v>1</v>
      </c>
      <c r="G52">
        <v>147982.54</v>
      </c>
      <c r="H52">
        <v>147982.54</v>
      </c>
      <c r="I52" t="s">
        <v>1587</v>
      </c>
      <c r="J52">
        <v>3.5630496700727998</v>
      </c>
    </row>
    <row r="53" spans="1:10" x14ac:dyDescent="0.25">
      <c r="A53" t="s">
        <v>112</v>
      </c>
      <c r="B53" t="s">
        <v>465</v>
      </c>
      <c r="C53" t="s">
        <v>466</v>
      </c>
      <c r="D53" t="s">
        <v>1053</v>
      </c>
      <c r="E53" t="s">
        <v>726</v>
      </c>
      <c r="F53">
        <v>1</v>
      </c>
      <c r="G53">
        <v>56397.33</v>
      </c>
      <c r="H53">
        <v>56397.33</v>
      </c>
      <c r="I53" t="s">
        <v>1587</v>
      </c>
      <c r="J53">
        <v>1.3579067371697</v>
      </c>
    </row>
    <row r="54" spans="1:10" x14ac:dyDescent="0.25">
      <c r="A54" t="s">
        <v>112</v>
      </c>
      <c r="B54" t="s">
        <v>805</v>
      </c>
      <c r="C54" t="s">
        <v>466</v>
      </c>
      <c r="D54" t="s">
        <v>997</v>
      </c>
      <c r="E54" t="s">
        <v>725</v>
      </c>
      <c r="F54">
        <v>1</v>
      </c>
      <c r="G54">
        <v>54535.93</v>
      </c>
      <c r="H54">
        <v>54535.93</v>
      </c>
      <c r="I54" t="s">
        <v>1587</v>
      </c>
      <c r="J54">
        <v>1.3130888778745</v>
      </c>
    </row>
    <row r="55" spans="1:10" x14ac:dyDescent="0.25">
      <c r="A55" t="s">
        <v>112</v>
      </c>
      <c r="B55" t="s">
        <v>1062</v>
      </c>
      <c r="C55" t="s">
        <v>466</v>
      </c>
      <c r="D55" t="s">
        <v>1467</v>
      </c>
      <c r="E55" t="s">
        <v>725</v>
      </c>
      <c r="F55">
        <v>1</v>
      </c>
      <c r="G55">
        <v>54155.78</v>
      </c>
      <c r="H55">
        <v>54155.78</v>
      </c>
      <c r="I55" t="s">
        <v>1587</v>
      </c>
      <c r="J55">
        <v>1.303935816087</v>
      </c>
    </row>
    <row r="56" spans="1:10" x14ac:dyDescent="0.25">
      <c r="A56" t="s">
        <v>112</v>
      </c>
      <c r="B56" t="s">
        <v>360</v>
      </c>
      <c r="C56" t="s">
        <v>466</v>
      </c>
      <c r="D56" t="s">
        <v>1050</v>
      </c>
      <c r="E56" t="s">
        <v>726</v>
      </c>
      <c r="F56">
        <v>1</v>
      </c>
      <c r="G56">
        <v>55972.55</v>
      </c>
      <c r="H56">
        <v>55972.55</v>
      </c>
      <c r="I56" t="s">
        <v>1587</v>
      </c>
      <c r="J56">
        <v>1.3476790965381999</v>
      </c>
    </row>
    <row r="57" spans="1:10" x14ac:dyDescent="0.25">
      <c r="A57" t="s">
        <v>112</v>
      </c>
      <c r="B57" t="s">
        <v>360</v>
      </c>
      <c r="C57" t="s">
        <v>466</v>
      </c>
      <c r="D57" t="s">
        <v>1294</v>
      </c>
      <c r="E57" t="s">
        <v>725</v>
      </c>
      <c r="F57">
        <v>1</v>
      </c>
      <c r="G57">
        <v>55380.3</v>
      </c>
      <c r="H57">
        <v>55380.3</v>
      </c>
      <c r="I57" t="s">
        <v>1587</v>
      </c>
      <c r="J57">
        <v>1.3334191969102001</v>
      </c>
    </row>
    <row r="58" spans="1:10" x14ac:dyDescent="0.25">
      <c r="A58" t="s">
        <v>112</v>
      </c>
      <c r="B58" t="s">
        <v>368</v>
      </c>
      <c r="C58" t="s">
        <v>466</v>
      </c>
      <c r="D58" t="s">
        <v>954</v>
      </c>
      <c r="E58" t="s">
        <v>725</v>
      </c>
      <c r="F58">
        <v>2</v>
      </c>
      <c r="G58">
        <v>111686.24</v>
      </c>
      <c r="H58">
        <v>223372.48</v>
      </c>
      <c r="I58" t="s">
        <v>1587</v>
      </c>
      <c r="J58">
        <v>5.3782509826317</v>
      </c>
    </row>
    <row r="59" spans="1:10" x14ac:dyDescent="0.25">
      <c r="A59" t="s">
        <v>112</v>
      </c>
      <c r="B59" t="s">
        <v>808</v>
      </c>
      <c r="C59" t="s">
        <v>466</v>
      </c>
      <c r="D59" t="s">
        <v>809</v>
      </c>
      <c r="E59" t="s">
        <v>726</v>
      </c>
      <c r="F59">
        <v>1</v>
      </c>
      <c r="G59">
        <v>60527.8</v>
      </c>
      <c r="H59">
        <v>60527.8</v>
      </c>
      <c r="I59" t="s">
        <v>1587</v>
      </c>
      <c r="J59">
        <v>1.4573581303594001</v>
      </c>
    </row>
    <row r="60" spans="1:10" x14ac:dyDescent="0.25">
      <c r="A60" t="s">
        <v>113</v>
      </c>
      <c r="B60" t="s">
        <v>114</v>
      </c>
      <c r="C60" t="s">
        <v>466</v>
      </c>
      <c r="D60" t="s">
        <v>179</v>
      </c>
      <c r="E60" t="s">
        <v>430</v>
      </c>
      <c r="F60">
        <v>-1</v>
      </c>
      <c r="G60">
        <v>139301.90008560001</v>
      </c>
      <c r="H60">
        <v>-52.34</v>
      </c>
      <c r="I60">
        <v>-139301.90008560001</v>
      </c>
      <c r="J60">
        <v>-3.3540415588251</v>
      </c>
    </row>
    <row r="61" spans="1:10" x14ac:dyDescent="0.25">
      <c r="A61" t="s">
        <v>118</v>
      </c>
      <c r="B61" t="s">
        <v>145</v>
      </c>
      <c r="C61" t="s">
        <v>466</v>
      </c>
      <c r="D61" t="s">
        <v>121</v>
      </c>
      <c r="E61" t="s">
        <v>725</v>
      </c>
      <c r="F61">
        <v>61015</v>
      </c>
      <c r="G61">
        <v>1.4963917607546</v>
      </c>
      <c r="H61">
        <v>91302.343282442002</v>
      </c>
      <c r="I61" t="s">
        <v>1587</v>
      </c>
      <c r="J61">
        <v>2.1983322093902</v>
      </c>
    </row>
    <row r="62" spans="1:10" x14ac:dyDescent="0.25">
      <c r="A62" t="s">
        <v>124</v>
      </c>
      <c r="B62" t="s">
        <v>861</v>
      </c>
      <c r="C62" t="s">
        <v>466</v>
      </c>
      <c r="D62" t="s">
        <v>226</v>
      </c>
      <c r="E62" t="s">
        <v>725</v>
      </c>
      <c r="F62">
        <v>852</v>
      </c>
      <c r="G62">
        <v>14.746403358710999</v>
      </c>
      <c r="H62">
        <v>12563.935661621999</v>
      </c>
      <c r="I62" t="s">
        <v>1587</v>
      </c>
      <c r="J62">
        <v>0.3025081662604</v>
      </c>
    </row>
    <row r="63" spans="1:10" x14ac:dyDescent="0.25">
      <c r="A63" t="s">
        <v>124</v>
      </c>
      <c r="B63" t="s">
        <v>900</v>
      </c>
      <c r="C63" t="s">
        <v>466</v>
      </c>
      <c r="D63" t="s">
        <v>903</v>
      </c>
      <c r="E63" t="s">
        <v>725</v>
      </c>
      <c r="F63">
        <v>1180</v>
      </c>
      <c r="G63">
        <v>11.100108253944001</v>
      </c>
      <c r="H63">
        <v>13098.127739654001</v>
      </c>
      <c r="I63" t="s">
        <v>1587</v>
      </c>
      <c r="J63">
        <v>0.31537017624744001</v>
      </c>
    </row>
    <row r="64" spans="1:10" x14ac:dyDescent="0.25">
      <c r="A64" t="s">
        <v>124</v>
      </c>
      <c r="B64" t="s">
        <v>900</v>
      </c>
      <c r="C64" t="s">
        <v>466</v>
      </c>
      <c r="D64" t="s">
        <v>901</v>
      </c>
      <c r="E64" t="s">
        <v>725</v>
      </c>
      <c r="F64">
        <v>1180</v>
      </c>
      <c r="G64">
        <v>11.099985113424999</v>
      </c>
      <c r="H64">
        <v>13097.982433842</v>
      </c>
      <c r="I64" t="s">
        <v>1587</v>
      </c>
      <c r="J64">
        <v>0.31536667764669002</v>
      </c>
    </row>
    <row r="65" spans="1:10" x14ac:dyDescent="0.25">
      <c r="A65" t="s">
        <v>124</v>
      </c>
      <c r="B65" t="s">
        <v>900</v>
      </c>
      <c r="C65" t="s">
        <v>466</v>
      </c>
      <c r="D65" t="s">
        <v>908</v>
      </c>
      <c r="E65" t="s">
        <v>725</v>
      </c>
      <c r="F65">
        <v>1180</v>
      </c>
      <c r="G65">
        <v>11.0999634667</v>
      </c>
      <c r="H65">
        <v>13097.956890706</v>
      </c>
      <c r="I65" t="s">
        <v>1587</v>
      </c>
      <c r="J65">
        <v>0.31536606263181999</v>
      </c>
    </row>
    <row r="66" spans="1:10" x14ac:dyDescent="0.25">
      <c r="A66" t="s">
        <v>124</v>
      </c>
      <c r="B66" t="s">
        <v>900</v>
      </c>
      <c r="C66" t="s">
        <v>466</v>
      </c>
      <c r="D66" t="s">
        <v>904</v>
      </c>
      <c r="E66" t="s">
        <v>725</v>
      </c>
      <c r="F66">
        <v>1180</v>
      </c>
      <c r="G66">
        <v>11.099941089903</v>
      </c>
      <c r="H66">
        <v>13097.930486085001</v>
      </c>
      <c r="I66" t="s">
        <v>1587</v>
      </c>
      <c r="J66">
        <v>0.31536542687456998</v>
      </c>
    </row>
    <row r="67" spans="1:10" x14ac:dyDescent="0.25">
      <c r="A67" t="s">
        <v>124</v>
      </c>
      <c r="B67" t="s">
        <v>900</v>
      </c>
      <c r="C67" t="s">
        <v>466</v>
      </c>
      <c r="D67" t="s">
        <v>902</v>
      </c>
      <c r="E67" t="s">
        <v>725</v>
      </c>
      <c r="F67">
        <v>1180</v>
      </c>
      <c r="G67">
        <v>11.099928028639001</v>
      </c>
      <c r="H67">
        <v>13097.915073795</v>
      </c>
      <c r="I67" t="s">
        <v>1587</v>
      </c>
      <c r="J67">
        <v>0.31536505578511997</v>
      </c>
    </row>
    <row r="68" spans="1:10" x14ac:dyDescent="0.25">
      <c r="A68" t="s">
        <v>124</v>
      </c>
      <c r="B68" t="s">
        <v>900</v>
      </c>
      <c r="C68" t="s">
        <v>466</v>
      </c>
      <c r="D68" t="s">
        <v>909</v>
      </c>
      <c r="E68" t="s">
        <v>725</v>
      </c>
      <c r="F68">
        <v>1180</v>
      </c>
      <c r="G68">
        <v>11.099758777321</v>
      </c>
      <c r="H68">
        <v>13097.715357239</v>
      </c>
      <c r="I68" t="s">
        <v>1587</v>
      </c>
      <c r="J68">
        <v>0.31536024710966998</v>
      </c>
    </row>
    <row r="69" spans="1:10" x14ac:dyDescent="0.25">
      <c r="A69" t="s">
        <v>124</v>
      </c>
      <c r="B69" t="s">
        <v>900</v>
      </c>
      <c r="C69" t="s">
        <v>466</v>
      </c>
      <c r="D69" t="s">
        <v>907</v>
      </c>
      <c r="E69" t="s">
        <v>725</v>
      </c>
      <c r="F69">
        <v>1180</v>
      </c>
      <c r="G69">
        <v>11.098694252654999</v>
      </c>
      <c r="H69">
        <v>13096.459218133001</v>
      </c>
      <c r="I69" t="s">
        <v>1587</v>
      </c>
      <c r="J69">
        <v>0.31533000241981002</v>
      </c>
    </row>
    <row r="70" spans="1:10" x14ac:dyDescent="0.25">
      <c r="A70" t="s">
        <v>124</v>
      </c>
      <c r="B70" t="s">
        <v>900</v>
      </c>
      <c r="C70" t="s">
        <v>466</v>
      </c>
      <c r="D70" t="s">
        <v>906</v>
      </c>
      <c r="E70" t="s">
        <v>725</v>
      </c>
      <c r="F70">
        <v>1180</v>
      </c>
      <c r="G70">
        <v>11.098683349644</v>
      </c>
      <c r="H70">
        <v>13096.44635258</v>
      </c>
      <c r="I70" t="s">
        <v>1587</v>
      </c>
      <c r="J70">
        <v>0.31532969264945998</v>
      </c>
    </row>
    <row r="71" spans="1:10" x14ac:dyDescent="0.25">
      <c r="A71" t="s">
        <v>124</v>
      </c>
      <c r="B71" t="s">
        <v>900</v>
      </c>
      <c r="C71" t="s">
        <v>466</v>
      </c>
      <c r="D71" t="s">
        <v>905</v>
      </c>
      <c r="E71" t="s">
        <v>725</v>
      </c>
      <c r="F71">
        <v>1180</v>
      </c>
      <c r="G71">
        <v>11.098469511776999</v>
      </c>
      <c r="H71">
        <v>13096.194023897</v>
      </c>
      <c r="I71" t="s">
        <v>1587</v>
      </c>
      <c r="J71">
        <v>0.31532361720548002</v>
      </c>
    </row>
    <row r="72" spans="1:10" x14ac:dyDescent="0.25">
      <c r="A72" t="s">
        <v>126</v>
      </c>
      <c r="B72" t="s">
        <v>877</v>
      </c>
      <c r="C72" t="s">
        <v>466</v>
      </c>
      <c r="D72" t="s">
        <v>1140</v>
      </c>
      <c r="E72" t="s">
        <v>725</v>
      </c>
      <c r="F72">
        <v>90</v>
      </c>
      <c r="G72">
        <v>750.66564738</v>
      </c>
      <c r="H72">
        <v>67559.908264199999</v>
      </c>
      <c r="I72" t="s">
        <v>1587</v>
      </c>
      <c r="J72">
        <v>1.6266737200950001</v>
      </c>
    </row>
    <row r="73" spans="1:10" x14ac:dyDescent="0.25">
      <c r="A73" t="s">
        <v>126</v>
      </c>
      <c r="B73" t="s">
        <v>1048</v>
      </c>
      <c r="C73" t="s">
        <v>466</v>
      </c>
      <c r="D73" t="s">
        <v>1077</v>
      </c>
      <c r="E73" t="s">
        <v>725</v>
      </c>
      <c r="F73">
        <v>19</v>
      </c>
      <c r="G73">
        <v>1080.7552998399999</v>
      </c>
      <c r="H73">
        <v>20534.350696959998</v>
      </c>
      <c r="I73" t="s">
        <v>1587</v>
      </c>
      <c r="J73">
        <v>0.49441583767897002</v>
      </c>
    </row>
    <row r="74" spans="1:10" x14ac:dyDescent="0.25">
      <c r="A74" t="s">
        <v>126</v>
      </c>
      <c r="B74" t="s">
        <v>1141</v>
      </c>
      <c r="C74" t="s">
        <v>466</v>
      </c>
      <c r="D74" t="s">
        <v>1142</v>
      </c>
      <c r="E74" t="s">
        <v>725</v>
      </c>
      <c r="F74">
        <v>22</v>
      </c>
      <c r="G74">
        <v>1238.7407487943001</v>
      </c>
      <c r="H74">
        <v>27252.296473474998</v>
      </c>
      <c r="I74" t="s">
        <v>1587</v>
      </c>
      <c r="J74">
        <v>0.65616717998312002</v>
      </c>
    </row>
    <row r="75" spans="1:10" x14ac:dyDescent="0.25">
      <c r="A75" t="s">
        <v>126</v>
      </c>
      <c r="B75" t="s">
        <v>467</v>
      </c>
      <c r="C75" t="s">
        <v>466</v>
      </c>
      <c r="D75" t="s">
        <v>468</v>
      </c>
      <c r="E75" t="s">
        <v>725</v>
      </c>
      <c r="F75">
        <v>150</v>
      </c>
      <c r="G75">
        <v>1013.54902903</v>
      </c>
      <c r="H75">
        <v>152032.35435450001</v>
      </c>
      <c r="I75" t="s">
        <v>1587</v>
      </c>
      <c r="J75">
        <v>3.6605590769234002</v>
      </c>
    </row>
    <row r="76" spans="1:10" x14ac:dyDescent="0.25">
      <c r="A76" t="s">
        <v>126</v>
      </c>
      <c r="B76" t="s">
        <v>416</v>
      </c>
      <c r="C76" t="s">
        <v>466</v>
      </c>
      <c r="D76" t="s">
        <v>417</v>
      </c>
      <c r="E76" t="s">
        <v>725</v>
      </c>
      <c r="F76">
        <v>27</v>
      </c>
      <c r="G76">
        <v>1005.96786836</v>
      </c>
      <c r="H76">
        <v>27161.132445719999</v>
      </c>
      <c r="I76" t="s">
        <v>1587</v>
      </c>
      <c r="J76">
        <v>0.65397217806591001</v>
      </c>
    </row>
    <row r="77" spans="1:10" x14ac:dyDescent="0.25">
      <c r="A77" t="s">
        <v>126</v>
      </c>
      <c r="B77" t="s">
        <v>136</v>
      </c>
      <c r="C77" t="s">
        <v>466</v>
      </c>
      <c r="D77" t="s">
        <v>136</v>
      </c>
      <c r="E77" t="s">
        <v>725</v>
      </c>
      <c r="F77">
        <v>214</v>
      </c>
      <c r="G77">
        <v>341.53126800000001</v>
      </c>
      <c r="H77">
        <v>73087.691351999994</v>
      </c>
      <c r="I77" t="s">
        <v>1587</v>
      </c>
      <c r="J77">
        <v>1.7597689197530999</v>
      </c>
    </row>
    <row r="78" spans="1:10" x14ac:dyDescent="0.25">
      <c r="A78" t="s">
        <v>126</v>
      </c>
      <c r="B78" t="s">
        <v>1145</v>
      </c>
      <c r="C78" t="s">
        <v>466</v>
      </c>
      <c r="D78" t="s">
        <v>1094</v>
      </c>
      <c r="E78" t="s">
        <v>725</v>
      </c>
      <c r="F78">
        <v>33</v>
      </c>
      <c r="G78">
        <v>1004.09895295</v>
      </c>
      <c r="H78">
        <v>33135.265447350001</v>
      </c>
      <c r="I78" t="s">
        <v>1587</v>
      </c>
      <c r="J78">
        <v>0.79781436796498995</v>
      </c>
    </row>
    <row r="79" spans="1:10" x14ac:dyDescent="0.25">
      <c r="A79" t="s">
        <v>126</v>
      </c>
      <c r="B79" t="s">
        <v>385</v>
      </c>
      <c r="C79" t="s">
        <v>466</v>
      </c>
      <c r="D79" t="s">
        <v>386</v>
      </c>
      <c r="E79" t="s">
        <v>725</v>
      </c>
      <c r="F79">
        <v>53865</v>
      </c>
      <c r="G79">
        <v>0.27882435</v>
      </c>
      <c r="H79">
        <v>15018.87361275</v>
      </c>
      <c r="I79" t="s">
        <v>1587</v>
      </c>
      <c r="J79">
        <v>0.36161693582752003</v>
      </c>
    </row>
    <row r="80" spans="1:10" x14ac:dyDescent="0.25">
      <c r="A80" t="s">
        <v>126</v>
      </c>
      <c r="B80" t="s">
        <v>941</v>
      </c>
      <c r="C80" t="s">
        <v>466</v>
      </c>
      <c r="D80" t="s">
        <v>942</v>
      </c>
      <c r="E80" t="s">
        <v>725</v>
      </c>
      <c r="F80">
        <v>26</v>
      </c>
      <c r="G80">
        <v>1002.19976196</v>
      </c>
      <c r="H80">
        <v>26057.193810960001</v>
      </c>
      <c r="I80" t="s">
        <v>1587</v>
      </c>
      <c r="J80">
        <v>0.62739209511583005</v>
      </c>
    </row>
    <row r="81" spans="1:10" x14ac:dyDescent="0.25">
      <c r="A81" t="s">
        <v>127</v>
      </c>
      <c r="B81" t="s">
        <v>1152</v>
      </c>
      <c r="C81" t="s">
        <v>466</v>
      </c>
      <c r="D81" t="s">
        <v>911</v>
      </c>
      <c r="E81" t="s">
        <v>726</v>
      </c>
      <c r="F81">
        <v>52</v>
      </c>
      <c r="G81">
        <v>1041.0328846154</v>
      </c>
      <c r="H81">
        <v>54133.71</v>
      </c>
      <c r="I81" t="s">
        <v>1587</v>
      </c>
      <c r="J81">
        <v>1.3034044256526001</v>
      </c>
    </row>
    <row r="82" spans="1:10" x14ac:dyDescent="0.25">
      <c r="A82" t="s">
        <v>127</v>
      </c>
      <c r="B82" t="s">
        <v>258</v>
      </c>
      <c r="C82" t="s">
        <v>466</v>
      </c>
      <c r="D82" t="s">
        <v>259</v>
      </c>
      <c r="E82" t="s">
        <v>726</v>
      </c>
      <c r="F82">
        <v>16</v>
      </c>
      <c r="G82">
        <v>1059.464375</v>
      </c>
      <c r="H82">
        <v>16951.43</v>
      </c>
      <c r="I82" t="s">
        <v>1587</v>
      </c>
      <c r="J82">
        <v>0.40814806306717999</v>
      </c>
    </row>
    <row r="83" spans="1:10" x14ac:dyDescent="0.25">
      <c r="A83" t="s">
        <v>127</v>
      </c>
      <c r="B83" t="s">
        <v>1098</v>
      </c>
      <c r="C83" t="s">
        <v>466</v>
      </c>
      <c r="D83" t="s">
        <v>1099</v>
      </c>
      <c r="E83" t="s">
        <v>726</v>
      </c>
      <c r="F83">
        <v>25</v>
      </c>
      <c r="G83">
        <v>1004.85</v>
      </c>
      <c r="H83">
        <v>25121.25</v>
      </c>
      <c r="I83" t="s">
        <v>1587</v>
      </c>
      <c r="J83">
        <v>0.60485690760758004</v>
      </c>
    </row>
    <row r="84" spans="1:10" x14ac:dyDescent="0.25">
      <c r="A84" t="s">
        <v>127</v>
      </c>
      <c r="B84" t="s">
        <v>354</v>
      </c>
      <c r="C84" t="s">
        <v>466</v>
      </c>
      <c r="D84" t="s">
        <v>957</v>
      </c>
      <c r="E84" t="s">
        <v>726</v>
      </c>
      <c r="F84">
        <v>46</v>
      </c>
      <c r="G84">
        <v>1062.8013043477999</v>
      </c>
      <c r="H84">
        <v>48888.86</v>
      </c>
      <c r="I84" t="s">
        <v>1587</v>
      </c>
      <c r="J84">
        <v>1.1771215475368</v>
      </c>
    </row>
    <row r="85" spans="1:10" x14ac:dyDescent="0.25">
      <c r="A85" t="s">
        <v>127</v>
      </c>
      <c r="B85" t="s">
        <v>396</v>
      </c>
      <c r="C85" t="s">
        <v>466</v>
      </c>
      <c r="D85" t="s">
        <v>1404</v>
      </c>
      <c r="E85" t="s">
        <v>725</v>
      </c>
      <c r="F85">
        <v>18</v>
      </c>
      <c r="G85">
        <v>443.21777777777999</v>
      </c>
      <c r="H85">
        <v>7977.92</v>
      </c>
      <c r="I85" t="s">
        <v>1587</v>
      </c>
      <c r="J85">
        <v>0.19208837220842001</v>
      </c>
    </row>
    <row r="86" spans="1:10" x14ac:dyDescent="0.25">
      <c r="A86" t="s">
        <v>127</v>
      </c>
      <c r="B86" t="s">
        <v>396</v>
      </c>
      <c r="C86" t="s">
        <v>466</v>
      </c>
      <c r="D86" t="s">
        <v>1405</v>
      </c>
      <c r="E86" t="s">
        <v>725</v>
      </c>
      <c r="F86">
        <v>26</v>
      </c>
      <c r="G86">
        <v>88.897692307691997</v>
      </c>
      <c r="H86">
        <v>2311.34</v>
      </c>
      <c r="I86" t="s">
        <v>1587</v>
      </c>
      <c r="J86">
        <v>5.5651289837480002E-2</v>
      </c>
    </row>
    <row r="87" spans="1:10" x14ac:dyDescent="0.25">
      <c r="A87" t="s">
        <v>127</v>
      </c>
      <c r="B87" t="s">
        <v>759</v>
      </c>
      <c r="C87" t="s">
        <v>466</v>
      </c>
      <c r="D87" t="s">
        <v>760</v>
      </c>
      <c r="E87" t="s">
        <v>726</v>
      </c>
      <c r="F87">
        <v>10</v>
      </c>
      <c r="G87">
        <v>849.87800000000004</v>
      </c>
      <c r="H87">
        <v>8498.7800000000007</v>
      </c>
      <c r="I87" t="s">
        <v>1587</v>
      </c>
      <c r="J87">
        <v>0.20462937908094</v>
      </c>
    </row>
    <row r="88" spans="1:10" x14ac:dyDescent="0.25">
      <c r="A88" t="s">
        <v>127</v>
      </c>
      <c r="B88" t="s">
        <v>295</v>
      </c>
      <c r="C88" t="s">
        <v>466</v>
      </c>
      <c r="D88" t="s">
        <v>300</v>
      </c>
      <c r="E88" t="s">
        <v>726</v>
      </c>
      <c r="F88">
        <v>81</v>
      </c>
      <c r="G88">
        <v>940.11925925926005</v>
      </c>
      <c r="H88">
        <v>76149.66</v>
      </c>
      <c r="I88" t="s">
        <v>1587</v>
      </c>
      <c r="J88">
        <v>1.8334934711835</v>
      </c>
    </row>
    <row r="89" spans="1:10" x14ac:dyDescent="0.25">
      <c r="A89" t="s">
        <v>127</v>
      </c>
      <c r="B89" t="s">
        <v>208</v>
      </c>
      <c r="C89" t="s">
        <v>466</v>
      </c>
      <c r="D89" t="s">
        <v>1003</v>
      </c>
      <c r="E89" t="s">
        <v>726</v>
      </c>
      <c r="F89">
        <v>22</v>
      </c>
      <c r="G89">
        <v>1010.8836363636</v>
      </c>
      <c r="H89">
        <v>22239.439999999999</v>
      </c>
      <c r="I89" t="s">
        <v>1587</v>
      </c>
      <c r="J89">
        <v>0.53547012610138001</v>
      </c>
    </row>
    <row r="90" spans="1:10" x14ac:dyDescent="0.25">
      <c r="A90" t="s">
        <v>127</v>
      </c>
      <c r="B90" t="s">
        <v>208</v>
      </c>
      <c r="C90" t="s">
        <v>466</v>
      </c>
      <c r="D90" t="s">
        <v>185</v>
      </c>
      <c r="E90" t="s">
        <v>726</v>
      </c>
      <c r="F90">
        <v>4</v>
      </c>
      <c r="G90">
        <v>1044.0550000000001</v>
      </c>
      <c r="H90">
        <v>4176.22</v>
      </c>
      <c r="I90" t="s">
        <v>1587</v>
      </c>
      <c r="J90">
        <v>0.10055293883421</v>
      </c>
    </row>
    <row r="91" spans="1:10" x14ac:dyDescent="0.25">
      <c r="A91" t="s">
        <v>127</v>
      </c>
      <c r="B91" t="s">
        <v>230</v>
      </c>
      <c r="C91" t="s">
        <v>466</v>
      </c>
      <c r="D91" t="s">
        <v>327</v>
      </c>
      <c r="E91" t="s">
        <v>726</v>
      </c>
      <c r="F91">
        <v>69</v>
      </c>
      <c r="G91">
        <v>1051.9846376812</v>
      </c>
      <c r="H91">
        <v>72586.94</v>
      </c>
      <c r="I91" t="s">
        <v>1587</v>
      </c>
      <c r="J91">
        <v>1.7477120788614</v>
      </c>
    </row>
    <row r="92" spans="1:10" x14ac:dyDescent="0.25">
      <c r="A92" t="s">
        <v>127</v>
      </c>
      <c r="B92" t="s">
        <v>231</v>
      </c>
      <c r="C92" t="s">
        <v>466</v>
      </c>
      <c r="D92" t="s">
        <v>221</v>
      </c>
      <c r="E92" t="s">
        <v>726</v>
      </c>
      <c r="F92">
        <v>53</v>
      </c>
      <c r="G92">
        <v>1026.3016981132</v>
      </c>
      <c r="H92">
        <v>54393.99</v>
      </c>
      <c r="I92" t="s">
        <v>1587</v>
      </c>
      <c r="J92">
        <v>1.3096713174637999</v>
      </c>
    </row>
    <row r="93" spans="1:10" x14ac:dyDescent="0.25">
      <c r="A93" t="s">
        <v>127</v>
      </c>
      <c r="B93" t="s">
        <v>428</v>
      </c>
      <c r="C93" t="s">
        <v>466</v>
      </c>
      <c r="D93" t="s">
        <v>349</v>
      </c>
      <c r="E93" t="s">
        <v>726</v>
      </c>
      <c r="F93">
        <v>134</v>
      </c>
      <c r="G93">
        <v>747.70552238805999</v>
      </c>
      <c r="H93">
        <v>100192.54</v>
      </c>
      <c r="I93" t="s">
        <v>1587</v>
      </c>
      <c r="J93">
        <v>2.4123859246553998</v>
      </c>
    </row>
    <row r="94" spans="1:10" x14ac:dyDescent="0.25">
      <c r="A94" t="s">
        <v>127</v>
      </c>
      <c r="B94" t="s">
        <v>505</v>
      </c>
      <c r="C94" t="s">
        <v>466</v>
      </c>
      <c r="D94" t="s">
        <v>764</v>
      </c>
      <c r="E94" t="s">
        <v>726</v>
      </c>
      <c r="F94">
        <v>26</v>
      </c>
      <c r="G94">
        <v>1023.9826923076999</v>
      </c>
      <c r="H94">
        <v>26623.55</v>
      </c>
      <c r="I94" t="s">
        <v>1587</v>
      </c>
      <c r="J94">
        <v>0.64102853649941005</v>
      </c>
    </row>
    <row r="95" spans="1:10" x14ac:dyDescent="0.25">
      <c r="A95" t="s">
        <v>127</v>
      </c>
      <c r="B95" t="s">
        <v>497</v>
      </c>
      <c r="C95" t="s">
        <v>466</v>
      </c>
      <c r="D95" t="s">
        <v>498</v>
      </c>
      <c r="E95" t="s">
        <v>726</v>
      </c>
      <c r="F95">
        <v>68</v>
      </c>
      <c r="G95">
        <v>908.64044117646995</v>
      </c>
      <c r="H95">
        <v>61787.55</v>
      </c>
      <c r="I95" t="s">
        <v>1587</v>
      </c>
      <c r="J95">
        <v>1.4876897615225999</v>
      </c>
    </row>
    <row r="96" spans="1:10" x14ac:dyDescent="0.25">
      <c r="A96" t="s">
        <v>127</v>
      </c>
      <c r="B96" t="s">
        <v>45</v>
      </c>
      <c r="C96" t="s">
        <v>466</v>
      </c>
      <c r="D96" t="s">
        <v>437</v>
      </c>
      <c r="E96" t="s">
        <v>726</v>
      </c>
      <c r="F96">
        <v>110</v>
      </c>
      <c r="G96">
        <v>912.22445454545004</v>
      </c>
      <c r="H96">
        <v>100344.69</v>
      </c>
      <c r="I96" t="s">
        <v>1587</v>
      </c>
      <c r="J96">
        <v>2.4160493163454002</v>
      </c>
    </row>
    <row r="97" spans="1:10" x14ac:dyDescent="0.25">
      <c r="A97" t="s">
        <v>127</v>
      </c>
      <c r="B97" t="s">
        <v>732</v>
      </c>
      <c r="C97" t="s">
        <v>466</v>
      </c>
      <c r="D97" t="s">
        <v>1109</v>
      </c>
      <c r="E97" t="s">
        <v>726</v>
      </c>
      <c r="F97">
        <v>23</v>
      </c>
      <c r="G97">
        <v>1027.9204347826001</v>
      </c>
      <c r="H97">
        <v>23642.17</v>
      </c>
      <c r="I97" t="s">
        <v>1587</v>
      </c>
      <c r="J97">
        <v>0.56924435827566999</v>
      </c>
    </row>
    <row r="98" spans="1:10" x14ac:dyDescent="0.25">
      <c r="A98" t="s">
        <v>127</v>
      </c>
      <c r="B98" t="s">
        <v>1410</v>
      </c>
      <c r="C98" t="s">
        <v>466</v>
      </c>
      <c r="D98" t="s">
        <v>1064</v>
      </c>
      <c r="E98" t="s">
        <v>725</v>
      </c>
      <c r="F98">
        <v>50</v>
      </c>
      <c r="G98">
        <v>1002.1056</v>
      </c>
      <c r="H98">
        <v>50105.279999999999</v>
      </c>
      <c r="I98" t="s">
        <v>1587</v>
      </c>
      <c r="J98">
        <v>1.2064099006065001</v>
      </c>
    </row>
    <row r="99" spans="1:10" x14ac:dyDescent="0.25">
      <c r="A99" t="s">
        <v>127</v>
      </c>
      <c r="B99" t="s">
        <v>1359</v>
      </c>
      <c r="C99" t="s">
        <v>466</v>
      </c>
      <c r="D99" t="s">
        <v>210</v>
      </c>
      <c r="E99" t="s">
        <v>725</v>
      </c>
      <c r="F99">
        <v>521</v>
      </c>
      <c r="G99">
        <v>56.463646833013001</v>
      </c>
      <c r="H99">
        <v>29417.56</v>
      </c>
      <c r="I99" t="s">
        <v>1587</v>
      </c>
      <c r="J99">
        <v>0.70830131346809999</v>
      </c>
    </row>
    <row r="100" spans="1:10" x14ac:dyDescent="0.25">
      <c r="A100" t="s">
        <v>127</v>
      </c>
      <c r="B100" t="s">
        <v>1359</v>
      </c>
      <c r="C100" t="s">
        <v>466</v>
      </c>
      <c r="D100" t="s">
        <v>1181</v>
      </c>
      <c r="E100" t="s">
        <v>725</v>
      </c>
      <c r="F100">
        <v>1796</v>
      </c>
      <c r="G100">
        <v>7.96</v>
      </c>
      <c r="H100">
        <v>14296.16</v>
      </c>
      <c r="I100" t="s">
        <v>1587</v>
      </c>
      <c r="J100">
        <v>0.34421579850777001</v>
      </c>
    </row>
    <row r="101" spans="1:10" x14ac:dyDescent="0.25">
      <c r="A101" t="s">
        <v>127</v>
      </c>
      <c r="B101" t="s">
        <v>1359</v>
      </c>
      <c r="C101" t="s">
        <v>466</v>
      </c>
      <c r="D101" t="s">
        <v>1182</v>
      </c>
      <c r="E101" t="s">
        <v>725</v>
      </c>
      <c r="F101">
        <v>227</v>
      </c>
      <c r="G101">
        <v>26.660088105726999</v>
      </c>
      <c r="H101">
        <v>6051.84</v>
      </c>
      <c r="I101" t="s">
        <v>1587</v>
      </c>
      <c r="J101">
        <v>0.14571318018553001</v>
      </c>
    </row>
    <row r="102" spans="1:10" x14ac:dyDescent="0.25">
      <c r="A102" t="s">
        <v>127</v>
      </c>
      <c r="B102" t="s">
        <v>855</v>
      </c>
      <c r="C102" t="s">
        <v>466</v>
      </c>
      <c r="D102" t="s">
        <v>265</v>
      </c>
      <c r="E102" t="s">
        <v>726</v>
      </c>
      <c r="F102">
        <v>130</v>
      </c>
      <c r="G102">
        <v>1033.5850769230999</v>
      </c>
      <c r="H102">
        <v>134366.06</v>
      </c>
      <c r="I102" t="s">
        <v>1587</v>
      </c>
      <c r="J102">
        <v>3.2351988670553999</v>
      </c>
    </row>
    <row r="103" spans="1:10" x14ac:dyDescent="0.25">
      <c r="A103" t="s">
        <v>127</v>
      </c>
      <c r="B103" t="s">
        <v>427</v>
      </c>
      <c r="C103" t="s">
        <v>466</v>
      </c>
      <c r="D103" t="s">
        <v>469</v>
      </c>
      <c r="E103" t="s">
        <v>726</v>
      </c>
      <c r="F103">
        <v>77</v>
      </c>
      <c r="G103">
        <v>1024.7625974026</v>
      </c>
      <c r="H103">
        <v>78906.720000000001</v>
      </c>
      <c r="I103" t="s">
        <v>1587</v>
      </c>
      <c r="J103">
        <v>1.8998765845114001</v>
      </c>
    </row>
    <row r="104" spans="1:10" x14ac:dyDescent="0.25">
      <c r="A104" t="s">
        <v>127</v>
      </c>
      <c r="B104" t="s">
        <v>758</v>
      </c>
      <c r="C104" t="s">
        <v>466</v>
      </c>
      <c r="D104" t="s">
        <v>837</v>
      </c>
      <c r="E104" t="s">
        <v>726</v>
      </c>
      <c r="F104">
        <v>28500</v>
      </c>
      <c r="G104">
        <v>1.0703821052632001</v>
      </c>
      <c r="H104">
        <v>30505.89</v>
      </c>
      <c r="I104" t="s">
        <v>1587</v>
      </c>
      <c r="J104">
        <v>0.73450557950807005</v>
      </c>
    </row>
    <row r="105" spans="1:10" x14ac:dyDescent="0.25">
      <c r="A105" t="s">
        <v>127</v>
      </c>
      <c r="B105" t="s">
        <v>758</v>
      </c>
      <c r="C105" t="s">
        <v>466</v>
      </c>
      <c r="D105" t="s">
        <v>1113</v>
      </c>
      <c r="E105" t="s">
        <v>726</v>
      </c>
      <c r="F105">
        <v>19</v>
      </c>
      <c r="G105">
        <v>1049.7794736842</v>
      </c>
      <c r="H105">
        <v>19945.810000000001</v>
      </c>
      <c r="I105" t="s">
        <v>1587</v>
      </c>
      <c r="J105">
        <v>0.48024524879647001</v>
      </c>
    </row>
    <row r="106" spans="1:10" x14ac:dyDescent="0.25">
      <c r="A106" t="s">
        <v>127</v>
      </c>
      <c r="B106" t="s">
        <v>13</v>
      </c>
      <c r="C106" t="s">
        <v>466</v>
      </c>
      <c r="D106" t="s">
        <v>242</v>
      </c>
      <c r="E106" t="s">
        <v>726</v>
      </c>
      <c r="F106">
        <v>96</v>
      </c>
      <c r="G106">
        <v>1080.0695833333</v>
      </c>
      <c r="H106">
        <v>103686.68</v>
      </c>
      <c r="I106" t="s">
        <v>1587</v>
      </c>
      <c r="J106">
        <v>2.4965160819982</v>
      </c>
    </row>
    <row r="107" spans="1:10" x14ac:dyDescent="0.25">
      <c r="A107" t="s">
        <v>127</v>
      </c>
      <c r="B107" t="s">
        <v>33</v>
      </c>
      <c r="C107" t="s">
        <v>466</v>
      </c>
      <c r="D107" t="s">
        <v>822</v>
      </c>
      <c r="E107" t="s">
        <v>726</v>
      </c>
      <c r="F107">
        <v>23</v>
      </c>
      <c r="G107">
        <v>1087.7739130435</v>
      </c>
      <c r="H107">
        <v>25018.799999999999</v>
      </c>
      <c r="I107" t="s">
        <v>1587</v>
      </c>
      <c r="J107">
        <v>0.60239016768881004</v>
      </c>
    </row>
    <row r="108" spans="1:10" x14ac:dyDescent="0.25">
      <c r="A108" t="s">
        <v>127</v>
      </c>
      <c r="B108" t="s">
        <v>975</v>
      </c>
      <c r="C108" t="s">
        <v>466</v>
      </c>
      <c r="D108" t="s">
        <v>976</v>
      </c>
      <c r="E108" t="s">
        <v>726</v>
      </c>
      <c r="F108">
        <v>16</v>
      </c>
      <c r="G108">
        <v>515.125</v>
      </c>
      <c r="H108">
        <v>8242</v>
      </c>
      <c r="I108" t="s">
        <v>1587</v>
      </c>
      <c r="J108">
        <v>0.19844675852124</v>
      </c>
    </row>
    <row r="109" spans="1:10" x14ac:dyDescent="0.25">
      <c r="A109" t="s">
        <v>127</v>
      </c>
      <c r="B109" t="s">
        <v>156</v>
      </c>
      <c r="C109" t="s">
        <v>466</v>
      </c>
      <c r="D109" t="s">
        <v>1040</v>
      </c>
      <c r="E109" t="s">
        <v>726</v>
      </c>
      <c r="F109">
        <v>19</v>
      </c>
      <c r="G109">
        <v>1017.2694736842</v>
      </c>
      <c r="H109">
        <v>19328.12</v>
      </c>
      <c r="I109" t="s">
        <v>1587</v>
      </c>
      <c r="J109">
        <v>0.46537281755757998</v>
      </c>
    </row>
    <row r="110" spans="1:10" x14ac:dyDescent="0.25">
      <c r="A110" t="s">
        <v>127</v>
      </c>
      <c r="B110" t="s">
        <v>156</v>
      </c>
      <c r="C110" t="s">
        <v>466</v>
      </c>
      <c r="D110" t="s">
        <v>1039</v>
      </c>
      <c r="E110" t="s">
        <v>726</v>
      </c>
      <c r="F110">
        <v>11</v>
      </c>
      <c r="G110">
        <v>1016.4990909091</v>
      </c>
      <c r="H110">
        <v>11181.49</v>
      </c>
      <c r="I110" t="s">
        <v>1587</v>
      </c>
      <c r="J110">
        <v>0.26922233025207998</v>
      </c>
    </row>
    <row r="111" spans="1:10" x14ac:dyDescent="0.25">
      <c r="A111" t="s">
        <v>127</v>
      </c>
      <c r="B111" t="s">
        <v>290</v>
      </c>
      <c r="C111" t="s">
        <v>466</v>
      </c>
      <c r="D111" t="s">
        <v>240</v>
      </c>
      <c r="E111" t="s">
        <v>726</v>
      </c>
      <c r="F111">
        <v>58</v>
      </c>
      <c r="G111">
        <v>839.92275862069005</v>
      </c>
      <c r="H111">
        <v>48715.519999999997</v>
      </c>
      <c r="I111" t="s">
        <v>1587</v>
      </c>
      <c r="J111">
        <v>1.1729479536128</v>
      </c>
    </row>
    <row r="112" spans="1:10" x14ac:dyDescent="0.25">
      <c r="A112" t="s">
        <v>127</v>
      </c>
      <c r="B112" t="s">
        <v>863</v>
      </c>
      <c r="C112" t="s">
        <v>466</v>
      </c>
      <c r="D112" t="s">
        <v>864</v>
      </c>
      <c r="E112" t="s">
        <v>726</v>
      </c>
      <c r="F112">
        <v>34</v>
      </c>
      <c r="G112">
        <v>1055.3947058824001</v>
      </c>
      <c r="H112">
        <v>35883.42</v>
      </c>
      <c r="I112" t="s">
        <v>1587</v>
      </c>
      <c r="J112">
        <v>0.86398306038051997</v>
      </c>
    </row>
    <row r="113" spans="1:10" x14ac:dyDescent="0.25">
      <c r="A113" t="s">
        <v>127</v>
      </c>
      <c r="B113" t="s">
        <v>825</v>
      </c>
      <c r="C113" t="s">
        <v>466</v>
      </c>
      <c r="D113" t="s">
        <v>826</v>
      </c>
      <c r="E113" t="s">
        <v>726</v>
      </c>
      <c r="F113">
        <v>60</v>
      </c>
      <c r="G113">
        <v>1064.3538333332999</v>
      </c>
      <c r="H113">
        <v>63861.23</v>
      </c>
      <c r="I113" t="s">
        <v>1587</v>
      </c>
      <c r="J113">
        <v>1.5376187926085001</v>
      </c>
    </row>
    <row r="114" spans="1:10" x14ac:dyDescent="0.25">
      <c r="A114" t="s">
        <v>127</v>
      </c>
      <c r="B114" t="s">
        <v>476</v>
      </c>
      <c r="C114" t="s">
        <v>466</v>
      </c>
      <c r="D114" t="s">
        <v>470</v>
      </c>
      <c r="E114" t="s">
        <v>726</v>
      </c>
      <c r="F114">
        <v>150</v>
      </c>
      <c r="G114">
        <v>990.11739999999998</v>
      </c>
      <c r="H114">
        <v>148517.60999999999</v>
      </c>
      <c r="I114" t="s">
        <v>1587</v>
      </c>
      <c r="J114">
        <v>3.5759328182263999</v>
      </c>
    </row>
    <row r="115" spans="1:10" x14ac:dyDescent="0.25">
      <c r="A115" t="s">
        <v>127</v>
      </c>
      <c r="B115" t="s">
        <v>944</v>
      </c>
      <c r="C115" t="s">
        <v>466</v>
      </c>
      <c r="D115" t="s">
        <v>945</v>
      </c>
      <c r="E115" t="s">
        <v>726</v>
      </c>
      <c r="F115">
        <v>40</v>
      </c>
      <c r="G115">
        <v>1049.87275</v>
      </c>
      <c r="H115">
        <v>41994.91</v>
      </c>
      <c r="I115" t="s">
        <v>1587</v>
      </c>
      <c r="J115">
        <v>1.0111324634665</v>
      </c>
    </row>
    <row r="116" spans="1:10" x14ac:dyDescent="0.25">
      <c r="A116" t="s">
        <v>127</v>
      </c>
      <c r="B116" t="s">
        <v>1034</v>
      </c>
      <c r="C116" t="s">
        <v>466</v>
      </c>
      <c r="D116" t="s">
        <v>1033</v>
      </c>
      <c r="E116" t="s">
        <v>726</v>
      </c>
      <c r="F116">
        <v>10</v>
      </c>
      <c r="G116">
        <v>1036.991</v>
      </c>
      <c r="H116">
        <v>10369.91</v>
      </c>
      <c r="I116" t="s">
        <v>1587</v>
      </c>
      <c r="J116">
        <v>0.24968151245535</v>
      </c>
    </row>
    <row r="117" spans="1:10" x14ac:dyDescent="0.25">
      <c r="A117" t="s">
        <v>127</v>
      </c>
      <c r="B117" t="s">
        <v>234</v>
      </c>
      <c r="C117" t="s">
        <v>466</v>
      </c>
      <c r="D117" t="s">
        <v>509</v>
      </c>
      <c r="E117" t="s">
        <v>726</v>
      </c>
      <c r="F117">
        <v>46</v>
      </c>
      <c r="G117">
        <v>841.56021739129994</v>
      </c>
      <c r="H117">
        <v>38711.769999999997</v>
      </c>
      <c r="I117" t="s">
        <v>1587</v>
      </c>
      <c r="J117">
        <v>0.93208265871386997</v>
      </c>
    </row>
    <row r="118" spans="1:10" x14ac:dyDescent="0.25">
      <c r="A118" t="s">
        <v>127</v>
      </c>
      <c r="B118" t="s">
        <v>891</v>
      </c>
      <c r="C118" t="s">
        <v>466</v>
      </c>
      <c r="D118" t="s">
        <v>472</v>
      </c>
      <c r="E118" t="s">
        <v>726</v>
      </c>
      <c r="F118">
        <v>62</v>
      </c>
      <c r="G118">
        <v>841.90112903225997</v>
      </c>
      <c r="H118">
        <v>52197.87</v>
      </c>
      <c r="I118" t="s">
        <v>1587</v>
      </c>
      <c r="J118">
        <v>1.2567942372256</v>
      </c>
    </row>
    <row r="119" spans="1:10" x14ac:dyDescent="0.25">
      <c r="A119" t="s">
        <v>127</v>
      </c>
      <c r="B119" t="s">
        <v>203</v>
      </c>
      <c r="C119" t="s">
        <v>466</v>
      </c>
      <c r="D119" t="s">
        <v>750</v>
      </c>
      <c r="E119" t="s">
        <v>723</v>
      </c>
      <c r="F119">
        <v>-25</v>
      </c>
      <c r="G119">
        <v>1371.8396</v>
      </c>
      <c r="H119">
        <v>34295.99</v>
      </c>
      <c r="I119" t="s">
        <v>1587</v>
      </c>
      <c r="J119">
        <v>0.82576171387732</v>
      </c>
    </row>
    <row r="120" spans="1:10" x14ac:dyDescent="0.25">
      <c r="A120" t="s">
        <v>127</v>
      </c>
      <c r="B120" t="s">
        <v>233</v>
      </c>
      <c r="C120" t="s">
        <v>466</v>
      </c>
      <c r="D120" t="s">
        <v>239</v>
      </c>
      <c r="E120" t="s">
        <v>726</v>
      </c>
      <c r="F120">
        <v>100</v>
      </c>
      <c r="G120">
        <v>1055.9808</v>
      </c>
      <c r="H120">
        <v>105598.08</v>
      </c>
      <c r="I120" t="s">
        <v>1587</v>
      </c>
      <c r="J120">
        <v>2.5425378163148</v>
      </c>
    </row>
    <row r="121" spans="1:10" x14ac:dyDescent="0.25">
      <c r="A121" t="s">
        <v>236</v>
      </c>
      <c r="B121" t="s">
        <v>270</v>
      </c>
      <c r="C121" t="s">
        <v>466</v>
      </c>
      <c r="D121" t="s">
        <v>439</v>
      </c>
      <c r="E121" t="s">
        <v>725</v>
      </c>
      <c r="F121">
        <v>82</v>
      </c>
      <c r="G121">
        <v>462.67926829267998</v>
      </c>
      <c r="H121">
        <v>37939.699999999997</v>
      </c>
      <c r="I121" t="s">
        <v>1587</v>
      </c>
      <c r="J121">
        <v>0.91349314295901995</v>
      </c>
    </row>
    <row r="122" spans="1:10" x14ac:dyDescent="0.25">
      <c r="A122" t="s">
        <v>236</v>
      </c>
      <c r="B122" t="s">
        <v>270</v>
      </c>
      <c r="C122" t="s">
        <v>466</v>
      </c>
      <c r="D122" t="s">
        <v>1016</v>
      </c>
      <c r="E122" t="s">
        <v>726</v>
      </c>
      <c r="F122">
        <v>52</v>
      </c>
      <c r="G122">
        <v>447.30538461537998</v>
      </c>
      <c r="H122">
        <v>23259.88</v>
      </c>
      <c r="I122" t="s">
        <v>1587</v>
      </c>
      <c r="J122">
        <v>0.56003977063735</v>
      </c>
    </row>
    <row r="123" spans="1:10" x14ac:dyDescent="0.25">
      <c r="A123" t="s">
        <v>236</v>
      </c>
      <c r="B123" t="s">
        <v>740</v>
      </c>
      <c r="C123" t="s">
        <v>466</v>
      </c>
      <c r="D123" t="s">
        <v>438</v>
      </c>
      <c r="E123" t="s">
        <v>726</v>
      </c>
      <c r="F123">
        <v>61</v>
      </c>
      <c r="G123">
        <v>678.93180327869004</v>
      </c>
      <c r="H123">
        <v>41414.839999999997</v>
      </c>
      <c r="I123" t="s">
        <v>1587</v>
      </c>
      <c r="J123">
        <v>0.99716582779370999</v>
      </c>
    </row>
    <row r="124" spans="1:10" x14ac:dyDescent="0.25">
      <c r="A124" t="s">
        <v>186</v>
      </c>
      <c r="B124" t="s">
        <v>189</v>
      </c>
      <c r="C124" t="s">
        <v>466</v>
      </c>
      <c r="D124" t="s">
        <v>271</v>
      </c>
      <c r="E124" t="s">
        <v>723</v>
      </c>
      <c r="F124">
        <v>116</v>
      </c>
      <c r="G124">
        <v>1130.4741379310001</v>
      </c>
      <c r="H124">
        <v>131135</v>
      </c>
      <c r="I124" t="s">
        <v>1587</v>
      </c>
      <c r="J124">
        <v>3.1574030185250002</v>
      </c>
    </row>
    <row r="125" spans="1:10" x14ac:dyDescent="0.25">
      <c r="A125" t="s">
        <v>488</v>
      </c>
      <c r="B125" t="s">
        <v>1123</v>
      </c>
      <c r="C125" t="s">
        <v>466</v>
      </c>
      <c r="D125" t="s">
        <v>1341</v>
      </c>
      <c r="E125" t="s">
        <v>725</v>
      </c>
      <c r="F125">
        <v>20</v>
      </c>
      <c r="G125">
        <v>1050.0740000000001</v>
      </c>
      <c r="H125">
        <v>21001.48</v>
      </c>
      <c r="I125" t="s">
        <v>1587</v>
      </c>
      <c r="J125">
        <v>0.50566314367248999</v>
      </c>
    </row>
    <row r="126" spans="1:10" x14ac:dyDescent="0.25">
      <c r="A126" t="s">
        <v>144</v>
      </c>
      <c r="B126" t="s">
        <v>103</v>
      </c>
      <c r="C126" t="s">
        <v>466</v>
      </c>
      <c r="D126" t="s">
        <v>144</v>
      </c>
      <c r="E126" t="s">
        <v>725</v>
      </c>
      <c r="F126" t="s">
        <v>103</v>
      </c>
      <c r="G126" t="s">
        <v>1587</v>
      </c>
      <c r="H126">
        <v>9981.31</v>
      </c>
      <c r="I126" t="s">
        <v>1587</v>
      </c>
      <c r="J126">
        <v>0.24032499578933</v>
      </c>
    </row>
    <row r="127" spans="1:10" x14ac:dyDescent="0.25">
      <c r="A127" t="s">
        <v>105</v>
      </c>
      <c r="B127" t="s">
        <v>103</v>
      </c>
      <c r="C127" t="s">
        <v>969</v>
      </c>
      <c r="D127" t="s">
        <v>105</v>
      </c>
      <c r="E127" t="s">
        <v>725</v>
      </c>
      <c r="F127" t="s">
        <v>103</v>
      </c>
      <c r="G127" t="s">
        <v>1587</v>
      </c>
      <c r="H127">
        <v>136565.82</v>
      </c>
      <c r="I127" t="s">
        <v>1587</v>
      </c>
      <c r="J127">
        <v>1.4055191691877</v>
      </c>
    </row>
    <row r="128" spans="1:10" x14ac:dyDescent="0.25">
      <c r="A128" t="s">
        <v>131</v>
      </c>
      <c r="B128" t="s">
        <v>140</v>
      </c>
      <c r="C128" t="s">
        <v>969</v>
      </c>
      <c r="D128">
        <v>760199</v>
      </c>
      <c r="E128" t="s">
        <v>725</v>
      </c>
      <c r="F128">
        <v>66</v>
      </c>
      <c r="G128">
        <v>4017.6060606061001</v>
      </c>
      <c r="H128">
        <v>265162</v>
      </c>
      <c r="I128" t="s">
        <v>1587</v>
      </c>
      <c r="J128">
        <v>2.7290157518195999</v>
      </c>
    </row>
    <row r="129" spans="1:10" x14ac:dyDescent="0.25">
      <c r="A129" t="s">
        <v>144</v>
      </c>
      <c r="B129" t="s">
        <v>103</v>
      </c>
      <c r="C129" t="s">
        <v>969</v>
      </c>
      <c r="D129" t="s">
        <v>144</v>
      </c>
      <c r="E129" t="s">
        <v>725</v>
      </c>
      <c r="F129" t="s">
        <v>103</v>
      </c>
      <c r="G129" t="s">
        <v>1587</v>
      </c>
      <c r="H129" t="s">
        <v>1587</v>
      </c>
      <c r="I129" t="s">
        <v>1587</v>
      </c>
      <c r="J129" t="s">
        <v>1587</v>
      </c>
    </row>
    <row r="130" spans="1:10" x14ac:dyDescent="0.25">
      <c r="A130" t="s">
        <v>132</v>
      </c>
      <c r="B130" t="s">
        <v>1129</v>
      </c>
      <c r="C130" t="s">
        <v>969</v>
      </c>
      <c r="D130" t="s">
        <v>1130</v>
      </c>
      <c r="E130" t="s">
        <v>725</v>
      </c>
      <c r="F130">
        <v>20700</v>
      </c>
      <c r="G130">
        <v>10.82</v>
      </c>
      <c r="H130">
        <v>223974</v>
      </c>
      <c r="I130" t="s">
        <v>1587</v>
      </c>
      <c r="J130">
        <v>2.3051137568657998</v>
      </c>
    </row>
    <row r="131" spans="1:10" x14ac:dyDescent="0.25">
      <c r="A131" t="s">
        <v>132</v>
      </c>
      <c r="B131" t="s">
        <v>1025</v>
      </c>
      <c r="C131" t="s">
        <v>969</v>
      </c>
      <c r="D131" t="s">
        <v>982</v>
      </c>
      <c r="E131" t="s">
        <v>725</v>
      </c>
      <c r="F131">
        <v>125000</v>
      </c>
      <c r="G131">
        <v>6.19</v>
      </c>
      <c r="H131">
        <v>773750</v>
      </c>
      <c r="I131" t="s">
        <v>1587</v>
      </c>
      <c r="J131">
        <v>7.9633429298707998</v>
      </c>
    </row>
    <row r="132" spans="1:10" x14ac:dyDescent="0.25">
      <c r="A132" t="s">
        <v>132</v>
      </c>
      <c r="B132" t="s">
        <v>505</v>
      </c>
      <c r="C132" t="s">
        <v>969</v>
      </c>
      <c r="D132" t="s">
        <v>981</v>
      </c>
      <c r="E132" t="s">
        <v>725</v>
      </c>
      <c r="F132">
        <v>20400</v>
      </c>
      <c r="G132">
        <v>36.659999999999997</v>
      </c>
      <c r="H132">
        <v>747864</v>
      </c>
      <c r="I132" t="s">
        <v>1587</v>
      </c>
      <c r="J132">
        <v>7.6969272981000998</v>
      </c>
    </row>
    <row r="133" spans="1:10" x14ac:dyDescent="0.25">
      <c r="A133" t="s">
        <v>132</v>
      </c>
      <c r="B133" t="s">
        <v>830</v>
      </c>
      <c r="C133" t="s">
        <v>969</v>
      </c>
      <c r="D133" t="s">
        <v>831</v>
      </c>
      <c r="E133" t="s">
        <v>725</v>
      </c>
      <c r="F133">
        <v>180000</v>
      </c>
      <c r="G133">
        <v>1.21</v>
      </c>
      <c r="H133">
        <v>217800</v>
      </c>
      <c r="I133" t="s">
        <v>1587</v>
      </c>
      <c r="J133">
        <v>2.2415716835229</v>
      </c>
    </row>
    <row r="134" spans="1:10" x14ac:dyDescent="0.25">
      <c r="A134" t="s">
        <v>132</v>
      </c>
      <c r="B134" t="s">
        <v>1410</v>
      </c>
      <c r="C134" t="s">
        <v>969</v>
      </c>
      <c r="D134" t="s">
        <v>965</v>
      </c>
      <c r="E134" t="s">
        <v>725</v>
      </c>
      <c r="F134">
        <v>102500</v>
      </c>
      <c r="G134">
        <v>3.66</v>
      </c>
      <c r="H134">
        <v>375150</v>
      </c>
      <c r="I134" t="s">
        <v>1587</v>
      </c>
      <c r="J134">
        <v>3.8609991601177001</v>
      </c>
    </row>
    <row r="135" spans="1:10" x14ac:dyDescent="0.25">
      <c r="A135" t="s">
        <v>132</v>
      </c>
      <c r="B135" t="s">
        <v>931</v>
      </c>
      <c r="C135" t="s">
        <v>969</v>
      </c>
      <c r="D135" t="s">
        <v>932</v>
      </c>
      <c r="E135" t="s">
        <v>725</v>
      </c>
      <c r="F135">
        <v>275000</v>
      </c>
      <c r="G135">
        <v>3.69</v>
      </c>
      <c r="H135">
        <v>1014750</v>
      </c>
      <c r="I135" t="s">
        <v>1587</v>
      </c>
      <c r="J135">
        <v>10.443686252777001</v>
      </c>
    </row>
    <row r="136" spans="1:10" x14ac:dyDescent="0.25">
      <c r="A136" t="s">
        <v>132</v>
      </c>
      <c r="B136" t="s">
        <v>232</v>
      </c>
      <c r="C136" t="s">
        <v>969</v>
      </c>
      <c r="D136" t="s">
        <v>515</v>
      </c>
      <c r="E136" t="s">
        <v>725</v>
      </c>
      <c r="F136">
        <v>70000</v>
      </c>
      <c r="G136">
        <v>13.14</v>
      </c>
      <c r="H136">
        <v>919800</v>
      </c>
      <c r="I136" t="s">
        <v>1587</v>
      </c>
      <c r="J136">
        <v>9.4664721510762</v>
      </c>
    </row>
    <row r="137" spans="1:10" x14ac:dyDescent="0.25">
      <c r="A137" t="s">
        <v>132</v>
      </c>
      <c r="B137" t="s">
        <v>156</v>
      </c>
      <c r="C137" t="s">
        <v>969</v>
      </c>
      <c r="D137" t="s">
        <v>516</v>
      </c>
      <c r="E137" t="s">
        <v>725</v>
      </c>
      <c r="F137">
        <v>96600</v>
      </c>
      <c r="G137">
        <v>7.12</v>
      </c>
      <c r="H137">
        <v>687792</v>
      </c>
      <c r="I137" t="s">
        <v>1587</v>
      </c>
      <c r="J137">
        <v>7.0786734221929004</v>
      </c>
    </row>
    <row r="138" spans="1:10" x14ac:dyDescent="0.25">
      <c r="A138" t="s">
        <v>132</v>
      </c>
      <c r="B138" t="s">
        <v>917</v>
      </c>
      <c r="C138" t="s">
        <v>969</v>
      </c>
      <c r="D138" t="s">
        <v>918</v>
      </c>
      <c r="E138" t="s">
        <v>725</v>
      </c>
      <c r="F138">
        <v>252000</v>
      </c>
      <c r="G138">
        <v>1.59</v>
      </c>
      <c r="H138">
        <v>400680</v>
      </c>
      <c r="I138" t="s">
        <v>1587</v>
      </c>
      <c r="J138">
        <v>4.1237508822495998</v>
      </c>
    </row>
    <row r="139" spans="1:10" x14ac:dyDescent="0.25">
      <c r="A139" t="s">
        <v>132</v>
      </c>
      <c r="B139" t="s">
        <v>1346</v>
      </c>
      <c r="C139" t="s">
        <v>969</v>
      </c>
      <c r="D139" t="s">
        <v>1347</v>
      </c>
      <c r="E139" t="s">
        <v>725</v>
      </c>
      <c r="F139">
        <v>19800</v>
      </c>
      <c r="G139">
        <v>30.62</v>
      </c>
      <c r="H139">
        <v>606276</v>
      </c>
      <c r="I139" t="s">
        <v>1587</v>
      </c>
      <c r="J139">
        <v>6.2397204499520003</v>
      </c>
    </row>
    <row r="140" spans="1:10" x14ac:dyDescent="0.25">
      <c r="A140" t="s">
        <v>132</v>
      </c>
      <c r="B140" t="s">
        <v>1566</v>
      </c>
      <c r="C140" t="s">
        <v>969</v>
      </c>
      <c r="D140" t="s">
        <v>1567</v>
      </c>
      <c r="E140" t="s">
        <v>725</v>
      </c>
      <c r="F140">
        <v>14300</v>
      </c>
      <c r="G140">
        <v>28.23</v>
      </c>
      <c r="H140">
        <v>403689</v>
      </c>
      <c r="I140" t="s">
        <v>1587</v>
      </c>
      <c r="J140">
        <v>4.1547191522024001</v>
      </c>
    </row>
    <row r="141" spans="1:10" x14ac:dyDescent="0.25">
      <c r="A141" t="s">
        <v>132</v>
      </c>
      <c r="B141" t="s">
        <v>190</v>
      </c>
      <c r="C141" t="s">
        <v>969</v>
      </c>
      <c r="D141" t="s">
        <v>1377</v>
      </c>
      <c r="E141" t="s">
        <v>725</v>
      </c>
      <c r="F141">
        <v>68900</v>
      </c>
      <c r="G141">
        <v>20.22</v>
      </c>
      <c r="H141">
        <v>1393158</v>
      </c>
      <c r="I141" t="s">
        <v>1587</v>
      </c>
      <c r="J141">
        <v>14.338216361219001</v>
      </c>
    </row>
    <row r="142" spans="1:10" x14ac:dyDescent="0.25">
      <c r="A142" t="s">
        <v>132</v>
      </c>
      <c r="B142" t="s">
        <v>802</v>
      </c>
      <c r="C142" t="s">
        <v>969</v>
      </c>
      <c r="D142" t="s">
        <v>803</v>
      </c>
      <c r="E142" t="s">
        <v>725</v>
      </c>
      <c r="F142">
        <v>148000</v>
      </c>
      <c r="G142">
        <v>1.88</v>
      </c>
      <c r="H142">
        <v>278240</v>
      </c>
      <c r="I142" t="s">
        <v>1587</v>
      </c>
      <c r="J142">
        <v>2.8636129716410998</v>
      </c>
    </row>
    <row r="143" spans="1:10" x14ac:dyDescent="0.25">
      <c r="A143" t="s">
        <v>132</v>
      </c>
      <c r="B143" t="s">
        <v>966</v>
      </c>
      <c r="C143" t="s">
        <v>969</v>
      </c>
      <c r="D143" t="s">
        <v>967</v>
      </c>
      <c r="E143" t="s">
        <v>725</v>
      </c>
      <c r="F143">
        <v>68300</v>
      </c>
      <c r="G143">
        <v>18.62</v>
      </c>
      <c r="H143">
        <v>1271746</v>
      </c>
      <c r="I143" t="s">
        <v>1587</v>
      </c>
      <c r="J143">
        <v>13.088658504286</v>
      </c>
    </row>
    <row r="144" spans="1:10" x14ac:dyDescent="0.25">
      <c r="A144" t="s">
        <v>105</v>
      </c>
      <c r="B144" t="s">
        <v>103</v>
      </c>
      <c r="C144" t="s">
        <v>361</v>
      </c>
      <c r="D144" t="s">
        <v>105</v>
      </c>
      <c r="E144" t="s">
        <v>725</v>
      </c>
      <c r="F144" t="s">
        <v>103</v>
      </c>
      <c r="G144" t="s">
        <v>1587</v>
      </c>
      <c r="H144">
        <v>-7205.77</v>
      </c>
      <c r="I144" t="s">
        <v>1587</v>
      </c>
      <c r="J144">
        <v>-0.48742955425444001</v>
      </c>
    </row>
    <row r="145" spans="1:10" x14ac:dyDescent="0.25">
      <c r="A145" t="s">
        <v>124</v>
      </c>
      <c r="B145" t="s">
        <v>861</v>
      </c>
      <c r="C145" t="s">
        <v>361</v>
      </c>
      <c r="D145" t="s">
        <v>226</v>
      </c>
      <c r="E145" t="s">
        <v>725</v>
      </c>
      <c r="F145">
        <v>4969</v>
      </c>
      <c r="G145">
        <v>14.743845822978001</v>
      </c>
      <c r="H145">
        <v>73262.169894377002</v>
      </c>
      <c r="I145" t="s">
        <v>1587</v>
      </c>
      <c r="J145">
        <v>4.9557711133340998</v>
      </c>
    </row>
    <row r="146" spans="1:10" x14ac:dyDescent="0.25">
      <c r="A146" t="s">
        <v>124</v>
      </c>
      <c r="B146" t="s">
        <v>900</v>
      </c>
      <c r="C146" t="s">
        <v>361</v>
      </c>
      <c r="D146" t="s">
        <v>904</v>
      </c>
      <c r="E146" t="s">
        <v>725</v>
      </c>
      <c r="F146">
        <v>8301</v>
      </c>
      <c r="G146">
        <v>11.095687351625999</v>
      </c>
      <c r="H146">
        <v>92105.300705848</v>
      </c>
      <c r="I146" t="s">
        <v>1587</v>
      </c>
      <c r="J146">
        <v>6.2304022564587997</v>
      </c>
    </row>
    <row r="147" spans="1:10" x14ac:dyDescent="0.25">
      <c r="A147" t="s">
        <v>124</v>
      </c>
      <c r="B147" t="s">
        <v>900</v>
      </c>
      <c r="C147" t="s">
        <v>361</v>
      </c>
      <c r="D147" t="s">
        <v>901</v>
      </c>
      <c r="E147" t="s">
        <v>725</v>
      </c>
      <c r="F147">
        <v>8301</v>
      </c>
      <c r="G147">
        <v>11.09562871024</v>
      </c>
      <c r="H147">
        <v>92104.813923704001</v>
      </c>
      <c r="I147" t="s">
        <v>1587</v>
      </c>
      <c r="J147">
        <v>6.2303693284020003</v>
      </c>
    </row>
    <row r="148" spans="1:10" x14ac:dyDescent="0.25">
      <c r="A148" t="s">
        <v>124</v>
      </c>
      <c r="B148" t="s">
        <v>900</v>
      </c>
      <c r="C148" t="s">
        <v>361</v>
      </c>
      <c r="D148" t="s">
        <v>902</v>
      </c>
      <c r="E148" t="s">
        <v>725</v>
      </c>
      <c r="F148">
        <v>8301</v>
      </c>
      <c r="G148">
        <v>11.095449618934</v>
      </c>
      <c r="H148">
        <v>92103.327286768006</v>
      </c>
      <c r="I148" t="s">
        <v>1587</v>
      </c>
      <c r="J148">
        <v>6.2302687658279998</v>
      </c>
    </row>
    <row r="149" spans="1:10" x14ac:dyDescent="0.25">
      <c r="A149" t="s">
        <v>124</v>
      </c>
      <c r="B149" t="s">
        <v>900</v>
      </c>
      <c r="C149" t="s">
        <v>361</v>
      </c>
      <c r="D149" t="s">
        <v>908</v>
      </c>
      <c r="E149" t="s">
        <v>725</v>
      </c>
      <c r="F149">
        <v>8301</v>
      </c>
      <c r="G149">
        <v>11.095365817696001</v>
      </c>
      <c r="H149">
        <v>92102.631652696</v>
      </c>
      <c r="I149" t="s">
        <v>1587</v>
      </c>
      <c r="J149">
        <v>6.2302217101205004</v>
      </c>
    </row>
    <row r="150" spans="1:10" x14ac:dyDescent="0.25">
      <c r="A150" t="s">
        <v>124</v>
      </c>
      <c r="B150" t="s">
        <v>900</v>
      </c>
      <c r="C150" t="s">
        <v>361</v>
      </c>
      <c r="D150" t="s">
        <v>909</v>
      </c>
      <c r="E150" t="s">
        <v>725</v>
      </c>
      <c r="F150">
        <v>8301</v>
      </c>
      <c r="G150">
        <v>11.0953526837</v>
      </c>
      <c r="H150">
        <v>92102.522627397993</v>
      </c>
      <c r="I150" t="s">
        <v>1587</v>
      </c>
      <c r="J150">
        <v>6.2302143351761998</v>
      </c>
    </row>
    <row r="151" spans="1:10" x14ac:dyDescent="0.25">
      <c r="A151" t="s">
        <v>124</v>
      </c>
      <c r="B151" t="s">
        <v>900</v>
      </c>
      <c r="C151" t="s">
        <v>361</v>
      </c>
      <c r="D151" t="s">
        <v>903</v>
      </c>
      <c r="E151" t="s">
        <v>725</v>
      </c>
      <c r="F151">
        <v>8301</v>
      </c>
      <c r="G151">
        <v>11.095343955602999</v>
      </c>
      <c r="H151">
        <v>92102.450175456994</v>
      </c>
      <c r="I151" t="s">
        <v>1587</v>
      </c>
      <c r="J151">
        <v>6.2302094342123997</v>
      </c>
    </row>
    <row r="152" spans="1:10" x14ac:dyDescent="0.25">
      <c r="A152" t="s">
        <v>124</v>
      </c>
      <c r="B152" t="s">
        <v>900</v>
      </c>
      <c r="C152" t="s">
        <v>361</v>
      </c>
      <c r="D152" t="s">
        <v>905</v>
      </c>
      <c r="E152" t="s">
        <v>725</v>
      </c>
      <c r="F152">
        <v>8301</v>
      </c>
      <c r="G152">
        <v>11.094910303223999</v>
      </c>
      <c r="H152">
        <v>92098.850427065001</v>
      </c>
      <c r="I152" t="s">
        <v>1587</v>
      </c>
      <c r="J152">
        <v>6.2299659316091001</v>
      </c>
    </row>
    <row r="153" spans="1:10" x14ac:dyDescent="0.25">
      <c r="A153" t="s">
        <v>124</v>
      </c>
      <c r="B153" t="s">
        <v>900</v>
      </c>
      <c r="C153" t="s">
        <v>361</v>
      </c>
      <c r="D153" t="s">
        <v>906</v>
      </c>
      <c r="E153" t="s">
        <v>725</v>
      </c>
      <c r="F153">
        <v>8300</v>
      </c>
      <c r="G153">
        <v>11.09552042957</v>
      </c>
      <c r="H153">
        <v>92092.819565427999</v>
      </c>
      <c r="I153" t="s">
        <v>1587</v>
      </c>
      <c r="J153">
        <v>6.2295579779554</v>
      </c>
    </row>
    <row r="154" spans="1:10" x14ac:dyDescent="0.25">
      <c r="A154" t="s">
        <v>124</v>
      </c>
      <c r="B154" t="s">
        <v>900</v>
      </c>
      <c r="C154" t="s">
        <v>361</v>
      </c>
      <c r="D154" t="s">
        <v>907</v>
      </c>
      <c r="E154" t="s">
        <v>725</v>
      </c>
      <c r="F154">
        <v>8300</v>
      </c>
      <c r="G154">
        <v>11.095519193394001</v>
      </c>
      <c r="H154">
        <v>92092.809305174</v>
      </c>
      <c r="I154" t="s">
        <v>1587</v>
      </c>
      <c r="J154">
        <v>6.2295572839073001</v>
      </c>
    </row>
    <row r="155" spans="1:10" x14ac:dyDescent="0.25">
      <c r="A155" t="s">
        <v>127</v>
      </c>
      <c r="B155" t="s">
        <v>258</v>
      </c>
      <c r="C155" t="s">
        <v>361</v>
      </c>
      <c r="D155" t="s">
        <v>259</v>
      </c>
      <c r="E155" t="s">
        <v>726</v>
      </c>
      <c r="F155">
        <v>28</v>
      </c>
      <c r="G155">
        <v>1059.4646428571</v>
      </c>
      <c r="H155">
        <v>29665.01</v>
      </c>
      <c r="I155" t="s">
        <v>1587</v>
      </c>
      <c r="J155">
        <v>2.0066700160085</v>
      </c>
    </row>
    <row r="156" spans="1:10" x14ac:dyDescent="0.25">
      <c r="A156" t="s">
        <v>127</v>
      </c>
      <c r="B156" t="s">
        <v>396</v>
      </c>
      <c r="C156" t="s">
        <v>361</v>
      </c>
      <c r="D156" t="s">
        <v>1404</v>
      </c>
      <c r="E156" t="s">
        <v>725</v>
      </c>
      <c r="F156">
        <v>51</v>
      </c>
      <c r="G156">
        <v>443.21784313724999</v>
      </c>
      <c r="H156">
        <v>22604.11</v>
      </c>
      <c r="I156" t="s">
        <v>1587</v>
      </c>
      <c r="J156">
        <v>1.5290400972580001</v>
      </c>
    </row>
    <row r="157" spans="1:10" x14ac:dyDescent="0.25">
      <c r="A157" t="s">
        <v>127</v>
      </c>
      <c r="B157" t="s">
        <v>396</v>
      </c>
      <c r="C157" t="s">
        <v>361</v>
      </c>
      <c r="D157" t="s">
        <v>1405</v>
      </c>
      <c r="E157" t="s">
        <v>725</v>
      </c>
      <c r="F157">
        <v>75</v>
      </c>
      <c r="G157">
        <v>88.897599999999997</v>
      </c>
      <c r="H157">
        <v>6667.32</v>
      </c>
      <c r="I157" t="s">
        <v>1587</v>
      </c>
      <c r="J157">
        <v>0.45100645950006002</v>
      </c>
    </row>
    <row r="158" spans="1:10" x14ac:dyDescent="0.25">
      <c r="A158" t="s">
        <v>127</v>
      </c>
      <c r="B158" t="s">
        <v>230</v>
      </c>
      <c r="C158" t="s">
        <v>361</v>
      </c>
      <c r="D158" t="s">
        <v>211</v>
      </c>
      <c r="E158" t="s">
        <v>726</v>
      </c>
      <c r="F158">
        <v>28</v>
      </c>
      <c r="G158">
        <v>346.73178571429003</v>
      </c>
      <c r="H158">
        <v>9708.49</v>
      </c>
      <c r="I158" t="s">
        <v>1587</v>
      </c>
      <c r="J158">
        <v>0.65672439630792001</v>
      </c>
    </row>
    <row r="159" spans="1:10" x14ac:dyDescent="0.25">
      <c r="A159" t="s">
        <v>127</v>
      </c>
      <c r="B159" t="s">
        <v>497</v>
      </c>
      <c r="C159" t="s">
        <v>361</v>
      </c>
      <c r="D159" t="s">
        <v>498</v>
      </c>
      <c r="E159" t="s">
        <v>726</v>
      </c>
      <c r="F159">
        <v>173</v>
      </c>
      <c r="G159">
        <v>908.64046242774998</v>
      </c>
      <c r="H159">
        <v>157194.79999999999</v>
      </c>
      <c r="I159" t="s">
        <v>1587</v>
      </c>
      <c r="J159">
        <v>10.633338462804</v>
      </c>
    </row>
    <row r="160" spans="1:10" x14ac:dyDescent="0.25">
      <c r="A160" t="s">
        <v>127</v>
      </c>
      <c r="B160" t="s">
        <v>1359</v>
      </c>
      <c r="C160" t="s">
        <v>361</v>
      </c>
      <c r="D160" t="s">
        <v>210</v>
      </c>
      <c r="E160" t="s">
        <v>725</v>
      </c>
      <c r="F160">
        <v>604</v>
      </c>
      <c r="G160">
        <v>56.463642384106002</v>
      </c>
      <c r="H160">
        <v>34104.04</v>
      </c>
      <c r="I160" t="s">
        <v>1587</v>
      </c>
      <c r="J160">
        <v>2.3069452696208002</v>
      </c>
    </row>
    <row r="161" spans="1:10" x14ac:dyDescent="0.25">
      <c r="A161" t="s">
        <v>127</v>
      </c>
      <c r="B161" t="s">
        <v>1359</v>
      </c>
      <c r="C161" t="s">
        <v>361</v>
      </c>
      <c r="D161" t="s">
        <v>1181</v>
      </c>
      <c r="E161" t="s">
        <v>725</v>
      </c>
      <c r="F161">
        <v>3568</v>
      </c>
      <c r="G161">
        <v>7.96</v>
      </c>
      <c r="H161">
        <v>28401.279999999999</v>
      </c>
      <c r="I161" t="s">
        <v>1587</v>
      </c>
      <c r="J161">
        <v>1.9211858344987001</v>
      </c>
    </row>
    <row r="162" spans="1:10" x14ac:dyDescent="0.25">
      <c r="A162" t="s">
        <v>127</v>
      </c>
      <c r="B162" t="s">
        <v>1359</v>
      </c>
      <c r="C162" t="s">
        <v>361</v>
      </c>
      <c r="D162" t="s">
        <v>12</v>
      </c>
      <c r="E162" t="s">
        <v>725</v>
      </c>
      <c r="F162">
        <v>429</v>
      </c>
      <c r="G162">
        <v>56.463636363635999</v>
      </c>
      <c r="H162">
        <v>24222.9</v>
      </c>
      <c r="I162" t="s">
        <v>1587</v>
      </c>
      <c r="J162">
        <v>1.63854207805</v>
      </c>
    </row>
    <row r="163" spans="1:10" x14ac:dyDescent="0.25">
      <c r="A163" t="s">
        <v>127</v>
      </c>
      <c r="B163" t="s">
        <v>1359</v>
      </c>
      <c r="C163" t="s">
        <v>361</v>
      </c>
      <c r="D163" t="s">
        <v>1182</v>
      </c>
      <c r="E163" t="s">
        <v>725</v>
      </c>
      <c r="F163">
        <v>257</v>
      </c>
      <c r="G163">
        <v>26.660116731517999</v>
      </c>
      <c r="H163">
        <v>6851.65</v>
      </c>
      <c r="I163" t="s">
        <v>1587</v>
      </c>
      <c r="J163">
        <v>0.46347534065165003</v>
      </c>
    </row>
    <row r="164" spans="1:10" x14ac:dyDescent="0.25">
      <c r="A164" t="s">
        <v>127</v>
      </c>
      <c r="B164" t="s">
        <v>1359</v>
      </c>
      <c r="C164" t="s">
        <v>361</v>
      </c>
      <c r="D164" t="s">
        <v>1248</v>
      </c>
      <c r="E164" t="s">
        <v>725</v>
      </c>
      <c r="F164">
        <v>186</v>
      </c>
      <c r="G164">
        <v>26.660107526882001</v>
      </c>
      <c r="H164">
        <v>4958.78</v>
      </c>
      <c r="I164" t="s">
        <v>1587</v>
      </c>
      <c r="J164">
        <v>0.33543339921283</v>
      </c>
    </row>
    <row r="165" spans="1:10" x14ac:dyDescent="0.25">
      <c r="A165" t="s">
        <v>127</v>
      </c>
      <c r="B165" t="s">
        <v>289</v>
      </c>
      <c r="C165" t="s">
        <v>361</v>
      </c>
      <c r="D165" t="s">
        <v>266</v>
      </c>
      <c r="E165" t="s">
        <v>726</v>
      </c>
      <c r="F165">
        <v>37</v>
      </c>
      <c r="G165">
        <v>1052.4459459458999</v>
      </c>
      <c r="H165">
        <v>38940.5</v>
      </c>
      <c r="I165" t="s">
        <v>1587</v>
      </c>
      <c r="J165">
        <v>2.6341044131918001</v>
      </c>
    </row>
    <row r="166" spans="1:10" x14ac:dyDescent="0.25">
      <c r="A166" t="s">
        <v>127</v>
      </c>
      <c r="B166" t="s">
        <v>975</v>
      </c>
      <c r="C166" t="s">
        <v>361</v>
      </c>
      <c r="D166" t="s">
        <v>976</v>
      </c>
      <c r="E166" t="s">
        <v>726</v>
      </c>
      <c r="F166">
        <v>31</v>
      </c>
      <c r="G166">
        <v>515.12483870968003</v>
      </c>
      <c r="H166">
        <v>15968.87</v>
      </c>
      <c r="I166" t="s">
        <v>1587</v>
      </c>
      <c r="J166">
        <v>1.0802036681780001</v>
      </c>
    </row>
    <row r="167" spans="1:10" x14ac:dyDescent="0.25">
      <c r="A167" t="s">
        <v>127</v>
      </c>
      <c r="B167" t="s">
        <v>863</v>
      </c>
      <c r="C167" t="s">
        <v>361</v>
      </c>
      <c r="D167" t="s">
        <v>864</v>
      </c>
      <c r="E167" t="s">
        <v>726</v>
      </c>
      <c r="F167">
        <v>70</v>
      </c>
      <c r="G167">
        <v>1055.3947142857</v>
      </c>
      <c r="H167">
        <v>73877.63</v>
      </c>
      <c r="I167" t="s">
        <v>1587</v>
      </c>
      <c r="J167">
        <v>4.9974035058397002</v>
      </c>
    </row>
    <row r="168" spans="1:10" x14ac:dyDescent="0.25">
      <c r="A168" t="s">
        <v>127</v>
      </c>
      <c r="B168" t="s">
        <v>405</v>
      </c>
      <c r="C168" t="s">
        <v>361</v>
      </c>
      <c r="D168" t="s">
        <v>406</v>
      </c>
      <c r="E168" t="s">
        <v>726</v>
      </c>
      <c r="F168">
        <v>39</v>
      </c>
      <c r="G168">
        <v>768.05769230768999</v>
      </c>
      <c r="H168">
        <v>29954.25</v>
      </c>
      <c r="I168" t="s">
        <v>1587</v>
      </c>
      <c r="J168">
        <v>2.0262354648463998</v>
      </c>
    </row>
    <row r="169" spans="1:10" x14ac:dyDescent="0.25">
      <c r="A169" t="s">
        <v>127</v>
      </c>
      <c r="B169" t="s">
        <v>891</v>
      </c>
      <c r="C169" t="s">
        <v>361</v>
      </c>
      <c r="D169" t="s">
        <v>472</v>
      </c>
      <c r="E169" t="s">
        <v>726</v>
      </c>
      <c r="F169">
        <v>114</v>
      </c>
      <c r="G169">
        <v>841.90114035088004</v>
      </c>
      <c r="H169">
        <v>95976.73</v>
      </c>
      <c r="I169" t="s">
        <v>1587</v>
      </c>
      <c r="J169">
        <v>6.4922825350654998</v>
      </c>
    </row>
    <row r="170" spans="1:10" x14ac:dyDescent="0.25">
      <c r="A170" t="s">
        <v>127</v>
      </c>
      <c r="B170" t="s">
        <v>473</v>
      </c>
      <c r="C170" t="s">
        <v>361</v>
      </c>
      <c r="D170" t="s">
        <v>1121</v>
      </c>
      <c r="E170" t="s">
        <v>725</v>
      </c>
      <c r="F170">
        <v>22</v>
      </c>
      <c r="G170">
        <v>42.083181818181998</v>
      </c>
      <c r="H170">
        <v>925.83</v>
      </c>
      <c r="I170" t="s">
        <v>1587</v>
      </c>
      <c r="J170">
        <v>6.2627159098249993E-2</v>
      </c>
    </row>
    <row r="171" spans="1:10" x14ac:dyDescent="0.25">
      <c r="A171" t="s">
        <v>127</v>
      </c>
      <c r="B171" t="s">
        <v>215</v>
      </c>
      <c r="C171" t="s">
        <v>361</v>
      </c>
      <c r="D171" t="s">
        <v>216</v>
      </c>
      <c r="E171" t="s">
        <v>726</v>
      </c>
      <c r="F171">
        <v>2</v>
      </c>
      <c r="G171">
        <v>507.30500000000001</v>
      </c>
      <c r="H171">
        <v>1014.61</v>
      </c>
      <c r="I171" t="s">
        <v>1587</v>
      </c>
      <c r="J171">
        <v>6.8632623583891994E-2</v>
      </c>
    </row>
    <row r="172" spans="1:10" x14ac:dyDescent="0.25">
      <c r="A172" t="s">
        <v>144</v>
      </c>
      <c r="B172" t="s">
        <v>103</v>
      </c>
      <c r="C172" t="s">
        <v>361</v>
      </c>
      <c r="D172" t="s">
        <v>144</v>
      </c>
      <c r="E172" t="s">
        <v>725</v>
      </c>
      <c r="F172" t="s">
        <v>103</v>
      </c>
      <c r="G172" t="s">
        <v>1587</v>
      </c>
      <c r="H172">
        <v>2000.02</v>
      </c>
      <c r="I172" t="s">
        <v>1587</v>
      </c>
      <c r="J172">
        <v>0.13529003244622001</v>
      </c>
    </row>
    <row r="173" spans="1:10" x14ac:dyDescent="0.25">
      <c r="A173" t="s">
        <v>132</v>
      </c>
      <c r="B173" t="s">
        <v>1024</v>
      </c>
      <c r="C173" t="s">
        <v>361</v>
      </c>
      <c r="D173" t="s">
        <v>1023</v>
      </c>
      <c r="E173" t="s">
        <v>725</v>
      </c>
      <c r="F173">
        <v>22</v>
      </c>
      <c r="G173">
        <v>5.55</v>
      </c>
      <c r="H173">
        <v>122.1</v>
      </c>
      <c r="I173" t="s">
        <v>1587</v>
      </c>
      <c r="J173">
        <v>8.2593738870999998E-3</v>
      </c>
    </row>
    <row r="174" spans="1:10" x14ac:dyDescent="0.25">
      <c r="A174" t="s">
        <v>132</v>
      </c>
      <c r="B174" t="s">
        <v>473</v>
      </c>
      <c r="C174" t="s">
        <v>361</v>
      </c>
      <c r="D174" t="s">
        <v>1022</v>
      </c>
      <c r="E174" t="s">
        <v>725</v>
      </c>
      <c r="F174">
        <v>36</v>
      </c>
      <c r="G174">
        <v>5.54</v>
      </c>
      <c r="H174">
        <v>199.51</v>
      </c>
      <c r="I174" t="s">
        <v>1587</v>
      </c>
      <c r="J174">
        <v>1.3495722229450001E-2</v>
      </c>
    </row>
    <row r="175" spans="1:10" x14ac:dyDescent="0.25">
      <c r="A175" t="s">
        <v>99</v>
      </c>
      <c r="B175" t="s">
        <v>140</v>
      </c>
      <c r="C175" t="s">
        <v>949</v>
      </c>
      <c r="D175" t="s">
        <v>1283</v>
      </c>
      <c r="E175" t="s">
        <v>725</v>
      </c>
      <c r="F175">
        <v>838</v>
      </c>
      <c r="G175">
        <v>16049.957983294</v>
      </c>
      <c r="H175">
        <v>13449864.789999999</v>
      </c>
      <c r="I175" t="s">
        <v>1587</v>
      </c>
      <c r="J175">
        <v>13.473306763348999</v>
      </c>
    </row>
    <row r="176" spans="1:10" x14ac:dyDescent="0.25">
      <c r="A176" t="s">
        <v>99</v>
      </c>
      <c r="B176" t="s">
        <v>140</v>
      </c>
      <c r="C176" t="s">
        <v>949</v>
      </c>
      <c r="D176" t="s">
        <v>1061</v>
      </c>
      <c r="E176" t="s">
        <v>725</v>
      </c>
      <c r="F176">
        <v>150</v>
      </c>
      <c r="G176">
        <v>16071.116599999999</v>
      </c>
      <c r="H176">
        <v>2410667.4900000002</v>
      </c>
      <c r="I176" t="s">
        <v>1587</v>
      </c>
      <c r="J176">
        <v>2.4148690789331999</v>
      </c>
    </row>
    <row r="177" spans="1:10" x14ac:dyDescent="0.25">
      <c r="A177" t="s">
        <v>105</v>
      </c>
      <c r="B177" t="s">
        <v>103</v>
      </c>
      <c r="C177" t="s">
        <v>949</v>
      </c>
      <c r="D177" t="s">
        <v>105</v>
      </c>
      <c r="E177" t="s">
        <v>725</v>
      </c>
      <c r="F177" t="s">
        <v>103</v>
      </c>
      <c r="G177" t="s">
        <v>1587</v>
      </c>
      <c r="H177">
        <v>-23548.58</v>
      </c>
      <c r="I177" t="s">
        <v>1587</v>
      </c>
      <c r="J177">
        <v>-2.3589623177270001E-2</v>
      </c>
    </row>
    <row r="178" spans="1:10" x14ac:dyDescent="0.25">
      <c r="A178" t="s">
        <v>112</v>
      </c>
      <c r="B178" t="s">
        <v>399</v>
      </c>
      <c r="C178" t="s">
        <v>949</v>
      </c>
      <c r="D178" t="s">
        <v>1387</v>
      </c>
      <c r="E178" t="s">
        <v>725</v>
      </c>
      <c r="F178">
        <v>131</v>
      </c>
      <c r="G178">
        <v>57934.365267175999</v>
      </c>
      <c r="H178">
        <v>7589401.8499999996</v>
      </c>
      <c r="I178" t="s">
        <v>1587</v>
      </c>
      <c r="J178">
        <v>7.6026295336</v>
      </c>
    </row>
    <row r="179" spans="1:10" x14ac:dyDescent="0.25">
      <c r="A179" t="s">
        <v>112</v>
      </c>
      <c r="B179" t="s">
        <v>900</v>
      </c>
      <c r="C179" t="s">
        <v>949</v>
      </c>
      <c r="D179" t="s">
        <v>1388</v>
      </c>
      <c r="E179" t="s">
        <v>725</v>
      </c>
      <c r="F179">
        <v>122</v>
      </c>
      <c r="G179">
        <v>58013.424754098</v>
      </c>
      <c r="H179">
        <v>7077637.8200000003</v>
      </c>
      <c r="I179" t="s">
        <v>1587</v>
      </c>
      <c r="J179">
        <v>7.0899735423096999</v>
      </c>
    </row>
    <row r="180" spans="1:10" x14ac:dyDescent="0.25">
      <c r="A180" t="s">
        <v>112</v>
      </c>
      <c r="B180" t="s">
        <v>193</v>
      </c>
      <c r="C180" t="s">
        <v>949</v>
      </c>
      <c r="D180" t="s">
        <v>1389</v>
      </c>
      <c r="E180" t="s">
        <v>726</v>
      </c>
      <c r="F180">
        <v>134</v>
      </c>
      <c r="G180">
        <v>78265.061044775997</v>
      </c>
      <c r="H180">
        <v>10487518.18</v>
      </c>
      <c r="I180" t="s">
        <v>1587</v>
      </c>
      <c r="J180">
        <v>10.50579703451</v>
      </c>
    </row>
    <row r="181" spans="1:10" x14ac:dyDescent="0.25">
      <c r="A181" t="s">
        <v>131</v>
      </c>
      <c r="B181" t="s">
        <v>140</v>
      </c>
      <c r="C181" t="s">
        <v>949</v>
      </c>
      <c r="D181">
        <v>760199</v>
      </c>
      <c r="E181" t="s">
        <v>725</v>
      </c>
      <c r="F181">
        <v>48</v>
      </c>
      <c r="G181">
        <v>4017.9695833332999</v>
      </c>
      <c r="H181">
        <v>192862.54</v>
      </c>
      <c r="I181" t="s">
        <v>1587</v>
      </c>
      <c r="J181">
        <v>0.1931986830463</v>
      </c>
    </row>
    <row r="182" spans="1:10" x14ac:dyDescent="0.25">
      <c r="A182" t="s">
        <v>488</v>
      </c>
      <c r="B182" t="s">
        <v>399</v>
      </c>
      <c r="C182" t="s">
        <v>949</v>
      </c>
      <c r="D182" t="s">
        <v>1029</v>
      </c>
      <c r="E182" t="s">
        <v>725</v>
      </c>
      <c r="F182">
        <v>10000</v>
      </c>
      <c r="G182">
        <v>1090.7446</v>
      </c>
      <c r="H182">
        <v>10907446</v>
      </c>
      <c r="I182" t="s">
        <v>1587</v>
      </c>
      <c r="J182">
        <v>10.926456753077</v>
      </c>
    </row>
    <row r="183" spans="1:10" x14ac:dyDescent="0.25">
      <c r="A183" t="s">
        <v>488</v>
      </c>
      <c r="B183" t="s">
        <v>341</v>
      </c>
      <c r="C183" t="s">
        <v>949</v>
      </c>
      <c r="D183" t="s">
        <v>1028</v>
      </c>
      <c r="E183" t="s">
        <v>725</v>
      </c>
      <c r="F183">
        <v>15000</v>
      </c>
      <c r="G183">
        <v>1092.37337</v>
      </c>
      <c r="H183">
        <v>16385600.550000001</v>
      </c>
      <c r="I183" t="s">
        <v>1587</v>
      </c>
      <c r="J183">
        <v>16.414159261735001</v>
      </c>
    </row>
    <row r="184" spans="1:10" x14ac:dyDescent="0.25">
      <c r="A184" t="s">
        <v>488</v>
      </c>
      <c r="B184" t="s">
        <v>341</v>
      </c>
      <c r="C184" t="s">
        <v>949</v>
      </c>
      <c r="D184" t="s">
        <v>1074</v>
      </c>
      <c r="E184" t="s">
        <v>725</v>
      </c>
      <c r="F184">
        <v>5000</v>
      </c>
      <c r="G184">
        <v>1048.34061</v>
      </c>
      <c r="H184">
        <v>5241703.05</v>
      </c>
      <c r="I184" t="s">
        <v>1587</v>
      </c>
      <c r="J184">
        <v>5.2508388937517001</v>
      </c>
    </row>
    <row r="185" spans="1:10" x14ac:dyDescent="0.25">
      <c r="A185" t="s">
        <v>488</v>
      </c>
      <c r="B185" t="s">
        <v>805</v>
      </c>
      <c r="C185" t="s">
        <v>949</v>
      </c>
      <c r="D185" t="s">
        <v>1026</v>
      </c>
      <c r="E185" t="s">
        <v>725</v>
      </c>
      <c r="F185">
        <v>15000</v>
      </c>
      <c r="G185">
        <v>1093.1360500000001</v>
      </c>
      <c r="H185">
        <v>16397040.75</v>
      </c>
      <c r="I185" t="s">
        <v>1587</v>
      </c>
      <c r="J185">
        <v>16.425619401033</v>
      </c>
    </row>
    <row r="186" spans="1:10" x14ac:dyDescent="0.25">
      <c r="A186" t="s">
        <v>488</v>
      </c>
      <c r="B186" t="s">
        <v>805</v>
      </c>
      <c r="C186" t="s">
        <v>949</v>
      </c>
      <c r="D186" t="s">
        <v>1059</v>
      </c>
      <c r="E186" t="s">
        <v>725</v>
      </c>
      <c r="F186">
        <v>9000</v>
      </c>
      <c r="G186">
        <v>1078.86859</v>
      </c>
      <c r="H186">
        <v>9709817.3100000005</v>
      </c>
      <c r="I186" t="s">
        <v>1587</v>
      </c>
      <c r="J186">
        <v>9.7267406978675996</v>
      </c>
    </row>
    <row r="187" spans="1:10" x14ac:dyDescent="0.25">
      <c r="A187" t="s">
        <v>144</v>
      </c>
      <c r="B187" t="s">
        <v>103</v>
      </c>
      <c r="C187" t="s">
        <v>949</v>
      </c>
      <c r="D187" t="s">
        <v>144</v>
      </c>
      <c r="E187" t="s">
        <v>725</v>
      </c>
      <c r="F187" t="s">
        <v>103</v>
      </c>
      <c r="G187" t="s">
        <v>1587</v>
      </c>
      <c r="H187" t="s">
        <v>1587</v>
      </c>
      <c r="I187" t="s">
        <v>1587</v>
      </c>
      <c r="J187" t="s">
        <v>1587</v>
      </c>
    </row>
    <row r="188" spans="1:10" x14ac:dyDescent="0.25">
      <c r="A188" t="s">
        <v>105</v>
      </c>
      <c r="B188" t="s">
        <v>103</v>
      </c>
      <c r="C188" t="s">
        <v>106</v>
      </c>
      <c r="D188" t="s">
        <v>105</v>
      </c>
      <c r="E188" t="s">
        <v>725</v>
      </c>
      <c r="F188" t="s">
        <v>103</v>
      </c>
      <c r="G188" t="s">
        <v>1587</v>
      </c>
      <c r="H188">
        <v>1181.08</v>
      </c>
      <c r="I188" t="s">
        <v>1587</v>
      </c>
      <c r="J188">
        <v>0.26146941124686002</v>
      </c>
    </row>
    <row r="189" spans="1:10" x14ac:dyDescent="0.25">
      <c r="A189" t="s">
        <v>127</v>
      </c>
      <c r="B189" t="s">
        <v>1359</v>
      </c>
      <c r="C189" t="s">
        <v>106</v>
      </c>
      <c r="D189" t="s">
        <v>210</v>
      </c>
      <c r="E189" t="s">
        <v>725</v>
      </c>
      <c r="F189">
        <v>3528</v>
      </c>
      <c r="G189">
        <v>56.463642290248998</v>
      </c>
      <c r="H189">
        <v>199203.73</v>
      </c>
      <c r="I189" t="s">
        <v>1587</v>
      </c>
      <c r="J189">
        <v>44.100045721946998</v>
      </c>
    </row>
    <row r="190" spans="1:10" x14ac:dyDescent="0.25">
      <c r="A190" t="s">
        <v>127</v>
      </c>
      <c r="B190" t="s">
        <v>1359</v>
      </c>
      <c r="C190" t="s">
        <v>106</v>
      </c>
      <c r="D190" t="s">
        <v>1181</v>
      </c>
      <c r="E190" t="s">
        <v>725</v>
      </c>
      <c r="F190">
        <v>12276</v>
      </c>
      <c r="G190">
        <v>7.96</v>
      </c>
      <c r="H190">
        <v>97716.96</v>
      </c>
      <c r="I190" t="s">
        <v>1587</v>
      </c>
      <c r="J190">
        <v>21.632739526563</v>
      </c>
    </row>
    <row r="191" spans="1:10" x14ac:dyDescent="0.25">
      <c r="A191" t="s">
        <v>127</v>
      </c>
      <c r="B191" t="s">
        <v>1359</v>
      </c>
      <c r="C191" t="s">
        <v>106</v>
      </c>
      <c r="D191" t="s">
        <v>1182</v>
      </c>
      <c r="E191" t="s">
        <v>725</v>
      </c>
      <c r="F191">
        <v>1481</v>
      </c>
      <c r="G191">
        <v>26.660101282917001</v>
      </c>
      <c r="H191">
        <v>39483.61</v>
      </c>
      <c r="I191" t="s">
        <v>1587</v>
      </c>
      <c r="J191">
        <v>8.7409457958820997</v>
      </c>
    </row>
    <row r="192" spans="1:10" x14ac:dyDescent="0.25">
      <c r="A192" t="s">
        <v>127</v>
      </c>
      <c r="B192" t="s">
        <v>473</v>
      </c>
      <c r="C192" t="s">
        <v>106</v>
      </c>
      <c r="D192" t="s">
        <v>1121</v>
      </c>
      <c r="E192" t="s">
        <v>725</v>
      </c>
      <c r="F192">
        <v>357</v>
      </c>
      <c r="G192">
        <v>43.351064425769998</v>
      </c>
      <c r="H192">
        <v>15476.33</v>
      </c>
      <c r="I192" t="s">
        <v>1587</v>
      </c>
      <c r="J192">
        <v>3.4261751052951999</v>
      </c>
    </row>
    <row r="193" spans="1:10" x14ac:dyDescent="0.25">
      <c r="A193" t="s">
        <v>131</v>
      </c>
      <c r="B193" t="s">
        <v>140</v>
      </c>
      <c r="C193" t="s">
        <v>106</v>
      </c>
      <c r="D193">
        <v>760199</v>
      </c>
      <c r="E193" t="s">
        <v>725</v>
      </c>
      <c r="F193">
        <v>24</v>
      </c>
      <c r="G193">
        <v>3888.7087499999998</v>
      </c>
      <c r="H193">
        <v>93329.01</v>
      </c>
      <c r="I193" t="s">
        <v>1587</v>
      </c>
      <c r="J193">
        <v>20.661328019230002</v>
      </c>
    </row>
    <row r="194" spans="1:10" x14ac:dyDescent="0.25">
      <c r="A194" t="s">
        <v>144</v>
      </c>
      <c r="B194" t="s">
        <v>103</v>
      </c>
      <c r="C194" t="s">
        <v>106</v>
      </c>
      <c r="D194" t="s">
        <v>144</v>
      </c>
      <c r="E194" t="s">
        <v>725</v>
      </c>
      <c r="F194" t="s">
        <v>103</v>
      </c>
      <c r="G194" t="s">
        <v>1587</v>
      </c>
      <c r="H194" t="s">
        <v>1587</v>
      </c>
      <c r="I194" t="s">
        <v>1587</v>
      </c>
      <c r="J194" t="s">
        <v>1587</v>
      </c>
    </row>
    <row r="195" spans="1:10" x14ac:dyDescent="0.25">
      <c r="A195" t="s">
        <v>132</v>
      </c>
      <c r="B195" t="s">
        <v>1024</v>
      </c>
      <c r="C195" t="s">
        <v>106</v>
      </c>
      <c r="D195" t="s">
        <v>1023</v>
      </c>
      <c r="E195" t="s">
        <v>725</v>
      </c>
      <c r="F195">
        <v>360</v>
      </c>
      <c r="G195">
        <v>5.55</v>
      </c>
      <c r="H195">
        <v>1998</v>
      </c>
      <c r="I195" t="s">
        <v>1587</v>
      </c>
      <c r="J195">
        <v>0.44232048944289998</v>
      </c>
    </row>
    <row r="196" spans="1:10" x14ac:dyDescent="0.25">
      <c r="A196" t="s">
        <v>132</v>
      </c>
      <c r="B196" t="s">
        <v>473</v>
      </c>
      <c r="C196" t="s">
        <v>106</v>
      </c>
      <c r="D196" t="s">
        <v>1022</v>
      </c>
      <c r="E196" t="s">
        <v>725</v>
      </c>
      <c r="F196">
        <v>599</v>
      </c>
      <c r="G196">
        <v>5.54</v>
      </c>
      <c r="H196">
        <v>3319.95</v>
      </c>
      <c r="I196" t="s">
        <v>1587</v>
      </c>
      <c r="J196">
        <v>0.73497593039336995</v>
      </c>
    </row>
    <row r="197" spans="1:10" x14ac:dyDescent="0.25">
      <c r="A197" t="s">
        <v>105</v>
      </c>
      <c r="B197" t="s">
        <v>103</v>
      </c>
      <c r="C197" t="s">
        <v>104</v>
      </c>
      <c r="D197" t="s">
        <v>105</v>
      </c>
      <c r="E197" t="s">
        <v>725</v>
      </c>
      <c r="F197" t="s">
        <v>103</v>
      </c>
      <c r="G197" t="s">
        <v>1587</v>
      </c>
      <c r="H197">
        <v>552430.02</v>
      </c>
      <c r="I197" t="s">
        <v>1587</v>
      </c>
      <c r="J197">
        <v>1.9156253395248</v>
      </c>
    </row>
    <row r="198" spans="1:10" x14ac:dyDescent="0.25">
      <c r="A198" t="s">
        <v>131</v>
      </c>
      <c r="B198" t="s">
        <v>140</v>
      </c>
      <c r="C198" t="s">
        <v>104</v>
      </c>
      <c r="D198">
        <v>760199</v>
      </c>
      <c r="E198" t="s">
        <v>725</v>
      </c>
      <c r="F198">
        <v>45</v>
      </c>
      <c r="G198">
        <v>3877.1906666667001</v>
      </c>
      <c r="H198">
        <v>174473.58</v>
      </c>
      <c r="I198" t="s">
        <v>1587</v>
      </c>
      <c r="J198">
        <v>0.60501058745069003</v>
      </c>
    </row>
    <row r="199" spans="1:10" x14ac:dyDescent="0.25">
      <c r="A199" t="s">
        <v>144</v>
      </c>
      <c r="B199" t="s">
        <v>103</v>
      </c>
      <c r="C199" t="s">
        <v>104</v>
      </c>
      <c r="D199" t="s">
        <v>144</v>
      </c>
      <c r="E199" t="s">
        <v>725</v>
      </c>
      <c r="F199" t="s">
        <v>103</v>
      </c>
      <c r="G199" t="s">
        <v>1587</v>
      </c>
      <c r="H199" t="s">
        <v>1587</v>
      </c>
      <c r="I199" t="s">
        <v>1587</v>
      </c>
      <c r="J199" t="s">
        <v>1587</v>
      </c>
    </row>
    <row r="200" spans="1:10" x14ac:dyDescent="0.25">
      <c r="A200" t="s">
        <v>132</v>
      </c>
      <c r="B200" t="s">
        <v>1025</v>
      </c>
      <c r="C200" t="s">
        <v>104</v>
      </c>
      <c r="D200" t="s">
        <v>982</v>
      </c>
      <c r="E200" t="s">
        <v>725</v>
      </c>
      <c r="F200">
        <v>550000</v>
      </c>
      <c r="G200">
        <v>6.19</v>
      </c>
      <c r="H200">
        <v>3404500</v>
      </c>
      <c r="I200" t="s">
        <v>1587</v>
      </c>
      <c r="J200">
        <v>11.805561306049</v>
      </c>
    </row>
    <row r="201" spans="1:10" x14ac:dyDescent="0.25">
      <c r="A201" t="s">
        <v>132</v>
      </c>
      <c r="B201" t="s">
        <v>133</v>
      </c>
      <c r="C201" t="s">
        <v>104</v>
      </c>
      <c r="D201" t="s">
        <v>948</v>
      </c>
      <c r="E201" t="s">
        <v>725</v>
      </c>
      <c r="F201">
        <v>60000</v>
      </c>
      <c r="G201">
        <v>20.77</v>
      </c>
      <c r="H201">
        <v>1246200</v>
      </c>
      <c r="I201" t="s">
        <v>1587</v>
      </c>
      <c r="J201">
        <v>4.3213659860767999</v>
      </c>
    </row>
    <row r="202" spans="1:10" x14ac:dyDescent="0.25">
      <c r="A202" t="s">
        <v>132</v>
      </c>
      <c r="B202" t="s">
        <v>295</v>
      </c>
      <c r="C202" t="s">
        <v>104</v>
      </c>
      <c r="D202" t="s">
        <v>273</v>
      </c>
      <c r="E202" t="s">
        <v>725</v>
      </c>
      <c r="F202">
        <v>1000000</v>
      </c>
      <c r="G202">
        <v>3.4</v>
      </c>
      <c r="H202">
        <v>3400000</v>
      </c>
      <c r="I202" t="s">
        <v>1587</v>
      </c>
      <c r="J202">
        <v>11.789956951261001</v>
      </c>
    </row>
    <row r="203" spans="1:10" x14ac:dyDescent="0.25">
      <c r="A203" t="s">
        <v>132</v>
      </c>
      <c r="B203" t="s">
        <v>1410</v>
      </c>
      <c r="C203" t="s">
        <v>104</v>
      </c>
      <c r="D203" t="s">
        <v>965</v>
      </c>
      <c r="E203" t="s">
        <v>725</v>
      </c>
      <c r="F203">
        <v>900000</v>
      </c>
      <c r="G203">
        <v>3.66</v>
      </c>
      <c r="H203">
        <v>3294000</v>
      </c>
      <c r="I203" t="s">
        <v>1587</v>
      </c>
      <c r="J203">
        <v>11.422387705133</v>
      </c>
    </row>
    <row r="204" spans="1:10" x14ac:dyDescent="0.25">
      <c r="A204" t="s">
        <v>132</v>
      </c>
      <c r="B204" t="s">
        <v>931</v>
      </c>
      <c r="C204" t="s">
        <v>104</v>
      </c>
      <c r="D204" t="s">
        <v>932</v>
      </c>
      <c r="E204" t="s">
        <v>725</v>
      </c>
      <c r="F204">
        <v>850000</v>
      </c>
      <c r="G204">
        <v>3.69</v>
      </c>
      <c r="H204">
        <v>3136500</v>
      </c>
      <c r="I204" t="s">
        <v>1587</v>
      </c>
      <c r="J204">
        <v>10.876235287538</v>
      </c>
    </row>
    <row r="205" spans="1:10" x14ac:dyDescent="0.25">
      <c r="A205" t="s">
        <v>132</v>
      </c>
      <c r="B205" t="s">
        <v>232</v>
      </c>
      <c r="C205" t="s">
        <v>104</v>
      </c>
      <c r="D205" t="s">
        <v>515</v>
      </c>
      <c r="E205" t="s">
        <v>725</v>
      </c>
      <c r="F205">
        <v>200000</v>
      </c>
      <c r="G205">
        <v>13.14</v>
      </c>
      <c r="H205">
        <v>2628000</v>
      </c>
      <c r="I205" t="s">
        <v>1587</v>
      </c>
      <c r="J205">
        <v>9.1129431964450998</v>
      </c>
    </row>
    <row r="206" spans="1:10" x14ac:dyDescent="0.25">
      <c r="A206" t="s">
        <v>132</v>
      </c>
      <c r="B206" t="s">
        <v>156</v>
      </c>
      <c r="C206" t="s">
        <v>104</v>
      </c>
      <c r="D206" t="s">
        <v>516</v>
      </c>
      <c r="E206" t="s">
        <v>725</v>
      </c>
      <c r="F206">
        <v>400000</v>
      </c>
      <c r="G206">
        <v>7.12</v>
      </c>
      <c r="H206">
        <v>2848000</v>
      </c>
      <c r="I206" t="s">
        <v>1587</v>
      </c>
      <c r="J206">
        <v>9.8758227638797003</v>
      </c>
    </row>
    <row r="207" spans="1:10" x14ac:dyDescent="0.25">
      <c r="A207" t="s">
        <v>132</v>
      </c>
      <c r="B207" t="s">
        <v>917</v>
      </c>
      <c r="C207" t="s">
        <v>104</v>
      </c>
      <c r="D207" t="s">
        <v>918</v>
      </c>
      <c r="E207" t="s">
        <v>725</v>
      </c>
      <c r="F207">
        <v>3000000</v>
      </c>
      <c r="G207">
        <v>1.59</v>
      </c>
      <c r="H207">
        <v>4770000</v>
      </c>
      <c r="I207" t="s">
        <v>1587</v>
      </c>
      <c r="J207">
        <v>16.540616075738999</v>
      </c>
    </row>
    <row r="208" spans="1:10" x14ac:dyDescent="0.25">
      <c r="A208" t="s">
        <v>132</v>
      </c>
      <c r="B208" t="s">
        <v>802</v>
      </c>
      <c r="C208" t="s">
        <v>104</v>
      </c>
      <c r="D208" t="s">
        <v>803</v>
      </c>
      <c r="E208" t="s">
        <v>725</v>
      </c>
      <c r="F208">
        <v>1800000</v>
      </c>
      <c r="G208">
        <v>1.88</v>
      </c>
      <c r="H208">
        <v>3384000</v>
      </c>
      <c r="I208" t="s">
        <v>1587</v>
      </c>
      <c r="J208">
        <v>11.734474800901999</v>
      </c>
    </row>
    <row r="209" spans="1:10" x14ac:dyDescent="0.25">
      <c r="A209" t="s">
        <v>99</v>
      </c>
      <c r="B209" t="s">
        <v>140</v>
      </c>
      <c r="C209" t="s">
        <v>100</v>
      </c>
      <c r="D209" t="s">
        <v>1227</v>
      </c>
      <c r="E209" t="s">
        <v>724</v>
      </c>
      <c r="F209">
        <v>1250</v>
      </c>
      <c r="G209">
        <v>16013.828808</v>
      </c>
      <c r="H209">
        <v>20017286.010000002</v>
      </c>
      <c r="I209" t="s">
        <v>1587</v>
      </c>
      <c r="J209">
        <v>3.9445205746313001</v>
      </c>
    </row>
    <row r="210" spans="1:10" x14ac:dyDescent="0.25">
      <c r="A210" t="s">
        <v>99</v>
      </c>
      <c r="B210" t="s">
        <v>140</v>
      </c>
      <c r="C210" t="s">
        <v>100</v>
      </c>
      <c r="D210" t="s">
        <v>188</v>
      </c>
      <c r="E210" t="s">
        <v>724</v>
      </c>
      <c r="F210">
        <v>655</v>
      </c>
      <c r="G210">
        <v>16113.965621118001</v>
      </c>
      <c r="H210">
        <v>5188696.93</v>
      </c>
      <c r="I210" t="s">
        <v>1587</v>
      </c>
      <c r="J210">
        <v>1.0224623750535999</v>
      </c>
    </row>
    <row r="211" spans="1:10" x14ac:dyDescent="0.25">
      <c r="A211" t="s">
        <v>1131</v>
      </c>
      <c r="B211" t="s">
        <v>201</v>
      </c>
      <c r="C211" t="s">
        <v>100</v>
      </c>
      <c r="D211" t="s">
        <v>1360</v>
      </c>
      <c r="E211" t="s">
        <v>725</v>
      </c>
      <c r="F211">
        <v>1336</v>
      </c>
      <c r="G211">
        <v>1013.4199176647001</v>
      </c>
      <c r="H211">
        <v>1353929.01</v>
      </c>
      <c r="I211" t="s">
        <v>1587</v>
      </c>
      <c r="J211">
        <v>0.26679944693138002</v>
      </c>
    </row>
    <row r="212" spans="1:10" x14ac:dyDescent="0.25">
      <c r="A212" t="s">
        <v>105</v>
      </c>
      <c r="B212" t="s">
        <v>103</v>
      </c>
      <c r="C212" t="s">
        <v>100</v>
      </c>
      <c r="D212" t="s">
        <v>105</v>
      </c>
      <c r="E212" t="s">
        <v>725</v>
      </c>
      <c r="F212" t="s">
        <v>103</v>
      </c>
      <c r="G212" t="s">
        <v>1587</v>
      </c>
      <c r="H212">
        <v>-5482222.0599999996</v>
      </c>
      <c r="I212" t="s">
        <v>1587</v>
      </c>
      <c r="J212">
        <v>-1.0803031789407</v>
      </c>
    </row>
    <row r="213" spans="1:10" x14ac:dyDescent="0.25">
      <c r="A213" t="s">
        <v>134</v>
      </c>
      <c r="B213" t="s">
        <v>219</v>
      </c>
      <c r="C213" t="s">
        <v>100</v>
      </c>
      <c r="D213" t="s">
        <v>11</v>
      </c>
      <c r="E213" t="s">
        <v>78</v>
      </c>
      <c r="F213">
        <v>11</v>
      </c>
      <c r="G213">
        <v>695864.12</v>
      </c>
      <c r="H213">
        <v>7654505.3200000003</v>
      </c>
      <c r="I213" t="s">
        <v>1587</v>
      </c>
      <c r="J213">
        <v>1.5083640064032999</v>
      </c>
    </row>
    <row r="214" spans="1:10" x14ac:dyDescent="0.25">
      <c r="A214" t="s">
        <v>134</v>
      </c>
      <c r="B214" t="s">
        <v>219</v>
      </c>
      <c r="C214" t="s">
        <v>100</v>
      </c>
      <c r="D214" t="s">
        <v>970</v>
      </c>
      <c r="E214" t="s">
        <v>725</v>
      </c>
      <c r="F214">
        <v>1</v>
      </c>
      <c r="G214">
        <v>664678.98</v>
      </c>
      <c r="H214">
        <v>664678.98</v>
      </c>
      <c r="I214" t="s">
        <v>1587</v>
      </c>
      <c r="J214">
        <v>0.13097879057257</v>
      </c>
    </row>
    <row r="215" spans="1:10" x14ac:dyDescent="0.25">
      <c r="A215" t="s">
        <v>134</v>
      </c>
      <c r="B215" t="s">
        <v>1136</v>
      </c>
      <c r="C215" t="s">
        <v>100</v>
      </c>
      <c r="D215" t="s">
        <v>1137</v>
      </c>
      <c r="E215" t="s">
        <v>725</v>
      </c>
      <c r="F215">
        <v>2</v>
      </c>
      <c r="G215">
        <v>311677.68</v>
      </c>
      <c r="H215">
        <v>623355.36</v>
      </c>
      <c r="I215" t="s">
        <v>1587</v>
      </c>
      <c r="J215">
        <v>0.12283573515402001</v>
      </c>
    </row>
    <row r="216" spans="1:10" x14ac:dyDescent="0.25">
      <c r="A216" t="s">
        <v>134</v>
      </c>
      <c r="B216" t="s">
        <v>191</v>
      </c>
      <c r="C216" t="s">
        <v>100</v>
      </c>
      <c r="D216" t="s">
        <v>192</v>
      </c>
      <c r="E216" t="s">
        <v>78</v>
      </c>
      <c r="F216">
        <v>35</v>
      </c>
      <c r="G216">
        <v>534022.09371428995</v>
      </c>
      <c r="H216">
        <v>18690773.280000001</v>
      </c>
      <c r="I216" t="s">
        <v>1587</v>
      </c>
      <c r="J216">
        <v>3.6831236623135002</v>
      </c>
    </row>
    <row r="217" spans="1:10" x14ac:dyDescent="0.25">
      <c r="A217" t="s">
        <v>134</v>
      </c>
      <c r="B217" t="s">
        <v>490</v>
      </c>
      <c r="C217" t="s">
        <v>100</v>
      </c>
      <c r="D217" t="s">
        <v>491</v>
      </c>
      <c r="E217" t="s">
        <v>726</v>
      </c>
      <c r="F217">
        <v>8</v>
      </c>
      <c r="G217">
        <v>704805.05125000002</v>
      </c>
      <c r="H217">
        <v>5638440.4100000001</v>
      </c>
      <c r="I217" t="s">
        <v>1587</v>
      </c>
      <c r="J217">
        <v>1.1110868973429999</v>
      </c>
    </row>
    <row r="218" spans="1:10" x14ac:dyDescent="0.25">
      <c r="A218" t="s">
        <v>134</v>
      </c>
      <c r="B218" t="s">
        <v>368</v>
      </c>
      <c r="C218" t="s">
        <v>100</v>
      </c>
      <c r="D218" t="s">
        <v>1187</v>
      </c>
      <c r="E218" t="s">
        <v>78</v>
      </c>
      <c r="F218">
        <v>1</v>
      </c>
      <c r="G218">
        <v>879416.83</v>
      </c>
      <c r="H218">
        <v>879416.83</v>
      </c>
      <c r="I218" t="s">
        <v>1587</v>
      </c>
      <c r="J218">
        <v>0.17329411079399001</v>
      </c>
    </row>
    <row r="219" spans="1:10" x14ac:dyDescent="0.25">
      <c r="A219" t="s">
        <v>134</v>
      </c>
      <c r="B219" t="s">
        <v>190</v>
      </c>
      <c r="C219" t="s">
        <v>100</v>
      </c>
      <c r="D219" t="s">
        <v>195</v>
      </c>
      <c r="E219" t="s">
        <v>78</v>
      </c>
      <c r="F219">
        <v>8</v>
      </c>
      <c r="G219">
        <v>555192.86499999999</v>
      </c>
      <c r="H219">
        <v>4441542.92</v>
      </c>
      <c r="I219" t="s">
        <v>1587</v>
      </c>
      <c r="J219">
        <v>0.87523140860832005</v>
      </c>
    </row>
    <row r="220" spans="1:10" x14ac:dyDescent="0.25">
      <c r="A220" t="s">
        <v>134</v>
      </c>
      <c r="B220" t="s">
        <v>190</v>
      </c>
      <c r="C220" t="s">
        <v>100</v>
      </c>
      <c r="D220" t="s">
        <v>2</v>
      </c>
      <c r="E220" t="s">
        <v>725</v>
      </c>
      <c r="F220">
        <v>3</v>
      </c>
      <c r="G220">
        <v>728337.06</v>
      </c>
      <c r="H220">
        <v>2185011.1800000002</v>
      </c>
      <c r="I220" t="s">
        <v>1587</v>
      </c>
      <c r="J220">
        <v>0.43056893681809</v>
      </c>
    </row>
    <row r="221" spans="1:10" x14ac:dyDescent="0.25">
      <c r="A221" t="s">
        <v>134</v>
      </c>
      <c r="B221" t="s">
        <v>190</v>
      </c>
      <c r="C221" t="s">
        <v>100</v>
      </c>
      <c r="D221" t="s">
        <v>504</v>
      </c>
      <c r="E221" t="s">
        <v>726</v>
      </c>
      <c r="F221">
        <v>1</v>
      </c>
      <c r="G221">
        <v>420855.89</v>
      </c>
      <c r="H221">
        <v>420855.89</v>
      </c>
      <c r="I221" t="s">
        <v>1587</v>
      </c>
      <c r="J221">
        <v>8.2932057634109005E-2</v>
      </c>
    </row>
    <row r="222" spans="1:10" x14ac:dyDescent="0.25">
      <c r="A222" t="s">
        <v>135</v>
      </c>
      <c r="B222" t="s">
        <v>399</v>
      </c>
      <c r="C222" t="s">
        <v>100</v>
      </c>
      <c r="D222" t="s">
        <v>887</v>
      </c>
      <c r="E222" t="s">
        <v>726</v>
      </c>
      <c r="F222">
        <v>7</v>
      </c>
      <c r="G222">
        <v>309657.89714285999</v>
      </c>
      <c r="H222">
        <v>2167605.2799999998</v>
      </c>
      <c r="I222" t="s">
        <v>1587</v>
      </c>
      <c r="J222">
        <v>0.42713900477657002</v>
      </c>
    </row>
    <row r="223" spans="1:10" x14ac:dyDescent="0.25">
      <c r="A223" t="s">
        <v>135</v>
      </c>
      <c r="B223" t="s">
        <v>196</v>
      </c>
      <c r="C223" t="s">
        <v>100</v>
      </c>
      <c r="D223" t="s">
        <v>6</v>
      </c>
      <c r="E223" t="s">
        <v>78</v>
      </c>
      <c r="F223">
        <v>22</v>
      </c>
      <c r="G223">
        <v>305936.78772726998</v>
      </c>
      <c r="H223">
        <v>6730609.3300000001</v>
      </c>
      <c r="I223" t="s">
        <v>1587</v>
      </c>
      <c r="J223">
        <v>1.326305023005</v>
      </c>
    </row>
    <row r="224" spans="1:10" x14ac:dyDescent="0.25">
      <c r="A224" t="s">
        <v>135</v>
      </c>
      <c r="B224" t="s">
        <v>190</v>
      </c>
      <c r="C224" t="s">
        <v>100</v>
      </c>
      <c r="D224" t="s">
        <v>897</v>
      </c>
      <c r="E224" t="s">
        <v>725</v>
      </c>
      <c r="F224">
        <v>10</v>
      </c>
      <c r="G224">
        <v>350793.71100000001</v>
      </c>
      <c r="H224">
        <v>3507937.11</v>
      </c>
      <c r="I224" t="s">
        <v>1587</v>
      </c>
      <c r="J224">
        <v>0.69125904970309004</v>
      </c>
    </row>
    <row r="225" spans="1:10" x14ac:dyDescent="0.25">
      <c r="A225" t="s">
        <v>135</v>
      </c>
      <c r="B225" t="s">
        <v>190</v>
      </c>
      <c r="C225" t="s">
        <v>100</v>
      </c>
      <c r="D225" t="s">
        <v>199</v>
      </c>
      <c r="E225" t="s">
        <v>78</v>
      </c>
      <c r="F225">
        <v>6</v>
      </c>
      <c r="G225">
        <v>546388.59333333001</v>
      </c>
      <c r="H225">
        <v>3278331.56</v>
      </c>
      <c r="I225" t="s">
        <v>1587</v>
      </c>
      <c r="J225">
        <v>0.64601396425183999</v>
      </c>
    </row>
    <row r="226" spans="1:10" x14ac:dyDescent="0.25">
      <c r="A226" t="s">
        <v>135</v>
      </c>
      <c r="B226" t="s">
        <v>190</v>
      </c>
      <c r="C226" t="s">
        <v>100</v>
      </c>
      <c r="D226" t="s">
        <v>1132</v>
      </c>
      <c r="E226" t="s">
        <v>725</v>
      </c>
      <c r="F226">
        <v>1</v>
      </c>
      <c r="G226">
        <v>315910.53999999998</v>
      </c>
      <c r="H226">
        <v>315910.53999999998</v>
      </c>
      <c r="I226" t="s">
        <v>1587</v>
      </c>
      <c r="J226">
        <v>6.2251976823949999E-2</v>
      </c>
    </row>
    <row r="227" spans="1:10" x14ac:dyDescent="0.25">
      <c r="A227" t="s">
        <v>112</v>
      </c>
      <c r="B227" t="s">
        <v>201</v>
      </c>
      <c r="C227" t="s">
        <v>100</v>
      </c>
      <c r="D227" t="s">
        <v>930</v>
      </c>
      <c r="E227" t="s">
        <v>726</v>
      </c>
      <c r="F227">
        <v>16</v>
      </c>
      <c r="G227">
        <v>55650.05</v>
      </c>
      <c r="H227">
        <v>890400.8</v>
      </c>
      <c r="I227" t="s">
        <v>1587</v>
      </c>
      <c r="J227">
        <v>0.17545856483809</v>
      </c>
    </row>
    <row r="228" spans="1:10" x14ac:dyDescent="0.25">
      <c r="A228" t="s">
        <v>112</v>
      </c>
      <c r="B228" t="s">
        <v>201</v>
      </c>
      <c r="C228" t="s">
        <v>100</v>
      </c>
      <c r="D228" t="s">
        <v>776</v>
      </c>
      <c r="E228" t="s">
        <v>725</v>
      </c>
      <c r="F228">
        <v>7</v>
      </c>
      <c r="G228">
        <v>60666.092857142998</v>
      </c>
      <c r="H228">
        <v>424662.65</v>
      </c>
      <c r="I228" t="s">
        <v>1587</v>
      </c>
      <c r="J228">
        <v>8.3682201441570001E-2</v>
      </c>
    </row>
    <row r="229" spans="1:10" x14ac:dyDescent="0.25">
      <c r="A229" t="s">
        <v>112</v>
      </c>
      <c r="B229" t="s">
        <v>201</v>
      </c>
      <c r="C229" t="s">
        <v>100</v>
      </c>
      <c r="D229" t="s">
        <v>993</v>
      </c>
      <c r="E229" t="s">
        <v>726</v>
      </c>
      <c r="F229">
        <v>5</v>
      </c>
      <c r="G229">
        <v>61292.851999999999</v>
      </c>
      <c r="H229">
        <v>306464.26</v>
      </c>
      <c r="I229" t="s">
        <v>1587</v>
      </c>
      <c r="J229">
        <v>6.0390533379762003E-2</v>
      </c>
    </row>
    <row r="230" spans="1:10" x14ac:dyDescent="0.25">
      <c r="A230" t="s">
        <v>112</v>
      </c>
      <c r="B230" t="s">
        <v>201</v>
      </c>
      <c r="C230" t="s">
        <v>100</v>
      </c>
      <c r="D230" t="s">
        <v>770</v>
      </c>
      <c r="E230" t="s">
        <v>726</v>
      </c>
      <c r="F230">
        <v>3</v>
      </c>
      <c r="G230">
        <v>60666.093333333003</v>
      </c>
      <c r="H230">
        <v>181998.28</v>
      </c>
      <c r="I230" t="s">
        <v>1587</v>
      </c>
      <c r="J230">
        <v>3.5863800899325997E-2</v>
      </c>
    </row>
    <row r="231" spans="1:10" x14ac:dyDescent="0.25">
      <c r="A231" t="s">
        <v>112</v>
      </c>
      <c r="B231" t="s">
        <v>1383</v>
      </c>
      <c r="C231" t="s">
        <v>100</v>
      </c>
      <c r="D231" t="s">
        <v>1384</v>
      </c>
      <c r="E231" t="s">
        <v>726</v>
      </c>
      <c r="F231">
        <v>38</v>
      </c>
      <c r="G231">
        <v>55383.068684211001</v>
      </c>
      <c r="H231">
        <v>2104556.61</v>
      </c>
      <c r="I231" t="s">
        <v>1587</v>
      </c>
      <c r="J231">
        <v>0.41471490413206002</v>
      </c>
    </row>
    <row r="232" spans="1:10" x14ac:dyDescent="0.25">
      <c r="A232" t="s">
        <v>112</v>
      </c>
      <c r="B232" t="s">
        <v>409</v>
      </c>
      <c r="C232" t="s">
        <v>100</v>
      </c>
      <c r="D232" t="s">
        <v>510</v>
      </c>
      <c r="E232" t="s">
        <v>726</v>
      </c>
      <c r="F232">
        <v>9</v>
      </c>
      <c r="G232">
        <v>147986.70777777999</v>
      </c>
      <c r="H232">
        <v>1331880.3700000001</v>
      </c>
      <c r="I232" t="s">
        <v>1587</v>
      </c>
      <c r="J232">
        <v>0.26245463644712003</v>
      </c>
    </row>
    <row r="233" spans="1:10" x14ac:dyDescent="0.25">
      <c r="A233" t="s">
        <v>112</v>
      </c>
      <c r="B233" t="s">
        <v>409</v>
      </c>
      <c r="C233" t="s">
        <v>100</v>
      </c>
      <c r="D233" t="s">
        <v>511</v>
      </c>
      <c r="E233" t="s">
        <v>726</v>
      </c>
      <c r="F233">
        <v>6</v>
      </c>
      <c r="G233">
        <v>70604.936666666996</v>
      </c>
      <c r="H233">
        <v>423629.62</v>
      </c>
      <c r="I233" t="s">
        <v>1587</v>
      </c>
      <c r="J233">
        <v>8.3478636977981996E-2</v>
      </c>
    </row>
    <row r="234" spans="1:10" x14ac:dyDescent="0.25">
      <c r="A234" t="s">
        <v>112</v>
      </c>
      <c r="B234" t="s">
        <v>465</v>
      </c>
      <c r="C234" t="s">
        <v>100</v>
      </c>
      <c r="D234" t="s">
        <v>1054</v>
      </c>
      <c r="E234" t="s">
        <v>726</v>
      </c>
      <c r="F234">
        <v>54</v>
      </c>
      <c r="G234">
        <v>54409.619444443997</v>
      </c>
      <c r="H234">
        <v>2938119.45</v>
      </c>
      <c r="I234" t="s">
        <v>1587</v>
      </c>
      <c r="J234">
        <v>0.57897322421528996</v>
      </c>
    </row>
    <row r="235" spans="1:10" x14ac:dyDescent="0.25">
      <c r="A235" t="s">
        <v>112</v>
      </c>
      <c r="B235" t="s">
        <v>465</v>
      </c>
      <c r="C235" t="s">
        <v>100</v>
      </c>
      <c r="D235" t="s">
        <v>1053</v>
      </c>
      <c r="E235" t="s">
        <v>726</v>
      </c>
      <c r="F235">
        <v>20</v>
      </c>
      <c r="G235">
        <v>56445.537499999999</v>
      </c>
      <c r="H235">
        <v>1128910.75</v>
      </c>
      <c r="I235" t="s">
        <v>1587</v>
      </c>
      <c r="J235">
        <v>0.22245831318355999</v>
      </c>
    </row>
    <row r="236" spans="1:10" x14ac:dyDescent="0.25">
      <c r="A236" t="s">
        <v>112</v>
      </c>
      <c r="B236" t="s">
        <v>1088</v>
      </c>
      <c r="C236" t="s">
        <v>100</v>
      </c>
      <c r="D236" t="s">
        <v>1090</v>
      </c>
      <c r="E236" t="s">
        <v>726</v>
      </c>
      <c r="F236">
        <v>7</v>
      </c>
      <c r="G236">
        <v>52570.031666666997</v>
      </c>
      <c r="H236">
        <v>367990.22166667</v>
      </c>
      <c r="I236" t="s">
        <v>1587</v>
      </c>
      <c r="J236">
        <v>7.2514575647374999E-2</v>
      </c>
    </row>
    <row r="237" spans="1:10" x14ac:dyDescent="0.25">
      <c r="A237" t="s">
        <v>112</v>
      </c>
      <c r="B237" t="s">
        <v>1088</v>
      </c>
      <c r="C237" t="s">
        <v>100</v>
      </c>
      <c r="D237" t="s">
        <v>1090</v>
      </c>
      <c r="E237" t="s">
        <v>725</v>
      </c>
      <c r="F237">
        <v>77</v>
      </c>
      <c r="G237">
        <v>52570.031666666997</v>
      </c>
      <c r="H237">
        <v>4047892.4383332999</v>
      </c>
      <c r="I237" t="s">
        <v>1587</v>
      </c>
      <c r="J237">
        <v>0.79766033212111997</v>
      </c>
    </row>
    <row r="238" spans="1:10" x14ac:dyDescent="0.25">
      <c r="A238" t="s">
        <v>112</v>
      </c>
      <c r="B238" t="s">
        <v>1088</v>
      </c>
      <c r="C238" t="s">
        <v>100</v>
      </c>
      <c r="D238" t="s">
        <v>1089</v>
      </c>
      <c r="E238" t="s">
        <v>726</v>
      </c>
      <c r="F238">
        <v>7</v>
      </c>
      <c r="G238">
        <v>52570.031428570997</v>
      </c>
      <c r="H238">
        <v>367990.22</v>
      </c>
      <c r="I238" t="s">
        <v>1587</v>
      </c>
      <c r="J238">
        <v>7.2514575318949004E-2</v>
      </c>
    </row>
    <row r="239" spans="1:10" x14ac:dyDescent="0.25">
      <c r="A239" t="s">
        <v>112</v>
      </c>
      <c r="B239" t="s">
        <v>805</v>
      </c>
      <c r="C239" t="s">
        <v>100</v>
      </c>
      <c r="D239" t="s">
        <v>997</v>
      </c>
      <c r="E239" t="s">
        <v>726</v>
      </c>
      <c r="F239">
        <v>5</v>
      </c>
      <c r="G239">
        <v>54586.672500000001</v>
      </c>
      <c r="H239">
        <v>272933.36249999999</v>
      </c>
      <c r="I239" t="s">
        <v>1587</v>
      </c>
      <c r="J239">
        <v>5.3783078452629002E-2</v>
      </c>
    </row>
    <row r="240" spans="1:10" x14ac:dyDescent="0.25">
      <c r="A240" t="s">
        <v>112</v>
      </c>
      <c r="B240" t="s">
        <v>805</v>
      </c>
      <c r="C240" t="s">
        <v>100</v>
      </c>
      <c r="D240" t="s">
        <v>997</v>
      </c>
      <c r="E240" t="s">
        <v>725</v>
      </c>
      <c r="F240">
        <v>31</v>
      </c>
      <c r="G240">
        <v>54586.672500000001</v>
      </c>
      <c r="H240">
        <v>1692186.8474999999</v>
      </c>
      <c r="I240" t="s">
        <v>1587</v>
      </c>
      <c r="J240">
        <v>0.33345508640630001</v>
      </c>
    </row>
    <row r="241" spans="1:10" x14ac:dyDescent="0.25">
      <c r="A241" t="s">
        <v>112</v>
      </c>
      <c r="B241" t="s">
        <v>1062</v>
      </c>
      <c r="C241" t="s">
        <v>100</v>
      </c>
      <c r="D241" t="s">
        <v>1468</v>
      </c>
      <c r="E241" t="s">
        <v>78</v>
      </c>
      <c r="F241">
        <v>7</v>
      </c>
      <c r="G241">
        <v>53895.216999999997</v>
      </c>
      <c r="H241">
        <v>377266.51899999997</v>
      </c>
      <c r="I241" t="s">
        <v>1587</v>
      </c>
      <c r="J241">
        <v>7.4342523035919997E-2</v>
      </c>
    </row>
    <row r="242" spans="1:10" x14ac:dyDescent="0.25">
      <c r="A242" t="s">
        <v>112</v>
      </c>
      <c r="B242" t="s">
        <v>1062</v>
      </c>
      <c r="C242" t="s">
        <v>100</v>
      </c>
      <c r="D242" t="s">
        <v>1468</v>
      </c>
      <c r="E242" t="s">
        <v>725</v>
      </c>
      <c r="F242">
        <v>3</v>
      </c>
      <c r="G242">
        <v>53895.216999999997</v>
      </c>
      <c r="H242">
        <v>161685.65100000001</v>
      </c>
      <c r="I242" t="s">
        <v>1587</v>
      </c>
      <c r="J242">
        <v>3.1861081301108998E-2</v>
      </c>
    </row>
    <row r="243" spans="1:10" x14ac:dyDescent="0.25">
      <c r="A243" t="s">
        <v>112</v>
      </c>
      <c r="B243" t="s">
        <v>1062</v>
      </c>
      <c r="C243" t="s">
        <v>100</v>
      </c>
      <c r="D243" t="s">
        <v>1469</v>
      </c>
      <c r="E243" t="s">
        <v>78</v>
      </c>
      <c r="F243">
        <v>7</v>
      </c>
      <c r="G243">
        <v>53895.217142857</v>
      </c>
      <c r="H243">
        <v>377266.52</v>
      </c>
      <c r="I243" t="s">
        <v>1587</v>
      </c>
      <c r="J243">
        <v>7.4342523232975993E-2</v>
      </c>
    </row>
    <row r="244" spans="1:10" x14ac:dyDescent="0.25">
      <c r="A244" t="s">
        <v>112</v>
      </c>
      <c r="B244" t="s">
        <v>324</v>
      </c>
      <c r="C244" t="s">
        <v>100</v>
      </c>
      <c r="D244" t="s">
        <v>325</v>
      </c>
      <c r="E244" t="s">
        <v>726</v>
      </c>
      <c r="F244">
        <v>22</v>
      </c>
      <c r="G244">
        <v>71988.680454545</v>
      </c>
      <c r="H244">
        <v>1583750.97</v>
      </c>
      <c r="I244" t="s">
        <v>1587</v>
      </c>
      <c r="J244">
        <v>0.31208717720955997</v>
      </c>
    </row>
    <row r="245" spans="1:10" x14ac:dyDescent="0.25">
      <c r="A245" t="s">
        <v>112</v>
      </c>
      <c r="B245" t="s">
        <v>360</v>
      </c>
      <c r="C245" t="s">
        <v>100</v>
      </c>
      <c r="D245" t="s">
        <v>1051</v>
      </c>
      <c r="E245" t="s">
        <v>726</v>
      </c>
      <c r="F245">
        <v>42</v>
      </c>
      <c r="G245">
        <v>54545.811190476001</v>
      </c>
      <c r="H245">
        <v>2290924.0699999998</v>
      </c>
      <c r="I245" t="s">
        <v>1587</v>
      </c>
      <c r="J245">
        <v>0.45143967691317</v>
      </c>
    </row>
    <row r="246" spans="1:10" x14ac:dyDescent="0.25">
      <c r="A246" t="s">
        <v>112</v>
      </c>
      <c r="B246" t="s">
        <v>360</v>
      </c>
      <c r="C246" t="s">
        <v>100</v>
      </c>
      <c r="D246" t="s">
        <v>934</v>
      </c>
      <c r="E246" t="s">
        <v>726</v>
      </c>
      <c r="F246">
        <v>5</v>
      </c>
      <c r="G246">
        <v>55371.079354838999</v>
      </c>
      <c r="H246">
        <v>276855.39677419001</v>
      </c>
      <c r="I246" t="s">
        <v>1587</v>
      </c>
      <c r="J246">
        <v>5.4555937714430999E-2</v>
      </c>
    </row>
    <row r="247" spans="1:10" x14ac:dyDescent="0.25">
      <c r="A247" t="s">
        <v>112</v>
      </c>
      <c r="B247" t="s">
        <v>360</v>
      </c>
      <c r="C247" t="s">
        <v>100</v>
      </c>
      <c r="D247" t="s">
        <v>934</v>
      </c>
      <c r="E247" t="s">
        <v>725</v>
      </c>
      <c r="F247">
        <v>26</v>
      </c>
      <c r="G247">
        <v>55371.079354838999</v>
      </c>
      <c r="H247">
        <v>1439648.0632257999</v>
      </c>
      <c r="I247" t="s">
        <v>1587</v>
      </c>
      <c r="J247">
        <v>0.28369087611504001</v>
      </c>
    </row>
    <row r="248" spans="1:10" x14ac:dyDescent="0.25">
      <c r="A248" t="s">
        <v>112</v>
      </c>
      <c r="B248" t="s">
        <v>360</v>
      </c>
      <c r="C248" t="s">
        <v>100</v>
      </c>
      <c r="D248" t="s">
        <v>1050</v>
      </c>
      <c r="E248" t="s">
        <v>726</v>
      </c>
      <c r="F248">
        <v>21</v>
      </c>
      <c r="G248">
        <v>55966.71</v>
      </c>
      <c r="H248">
        <v>1175300.9099999999</v>
      </c>
      <c r="I248" t="s">
        <v>1587</v>
      </c>
      <c r="J248">
        <v>0.23159975925616999</v>
      </c>
    </row>
    <row r="249" spans="1:10" x14ac:dyDescent="0.25">
      <c r="A249" t="s">
        <v>112</v>
      </c>
      <c r="B249" t="s">
        <v>360</v>
      </c>
      <c r="C249" t="s">
        <v>100</v>
      </c>
      <c r="D249" t="s">
        <v>994</v>
      </c>
      <c r="E249" t="s">
        <v>726</v>
      </c>
      <c r="F249">
        <v>5</v>
      </c>
      <c r="G249">
        <v>55371.08</v>
      </c>
      <c r="H249">
        <v>276855.40000000002</v>
      </c>
      <c r="I249" t="s">
        <v>1587</v>
      </c>
      <c r="J249">
        <v>5.4555938350095E-2</v>
      </c>
    </row>
    <row r="250" spans="1:10" x14ac:dyDescent="0.25">
      <c r="A250" t="s">
        <v>112</v>
      </c>
      <c r="B250" t="s">
        <v>1151</v>
      </c>
      <c r="C250" t="s">
        <v>100</v>
      </c>
      <c r="D250" t="s">
        <v>1133</v>
      </c>
      <c r="E250" t="s">
        <v>725</v>
      </c>
      <c r="F250">
        <v>47</v>
      </c>
      <c r="G250">
        <v>51924.53106383</v>
      </c>
      <c r="H250">
        <v>2440452.96</v>
      </c>
      <c r="I250" t="s">
        <v>1587</v>
      </c>
      <c r="J250">
        <v>0.48090519900304002</v>
      </c>
    </row>
    <row r="251" spans="1:10" x14ac:dyDescent="0.25">
      <c r="A251" t="s">
        <v>112</v>
      </c>
      <c r="B251" t="s">
        <v>368</v>
      </c>
      <c r="C251" t="s">
        <v>100</v>
      </c>
      <c r="D251" t="s">
        <v>954</v>
      </c>
      <c r="E251" t="s">
        <v>726</v>
      </c>
      <c r="F251">
        <v>18</v>
      </c>
      <c r="G251">
        <v>111703.52038462</v>
      </c>
      <c r="H251">
        <v>2010663.3669231001</v>
      </c>
      <c r="I251" t="s">
        <v>1587</v>
      </c>
      <c r="J251">
        <v>0.39621270413597998</v>
      </c>
    </row>
    <row r="252" spans="1:10" x14ac:dyDescent="0.25">
      <c r="A252" t="s">
        <v>112</v>
      </c>
      <c r="B252" t="s">
        <v>368</v>
      </c>
      <c r="C252" t="s">
        <v>100</v>
      </c>
      <c r="D252" t="s">
        <v>954</v>
      </c>
      <c r="E252" t="s">
        <v>725</v>
      </c>
      <c r="F252">
        <v>34</v>
      </c>
      <c r="G252">
        <v>111703.52038462</v>
      </c>
      <c r="H252">
        <v>3797919.6930769002</v>
      </c>
      <c r="I252" t="s">
        <v>1587</v>
      </c>
      <c r="J252">
        <v>0.74840177447907996</v>
      </c>
    </row>
    <row r="253" spans="1:10" x14ac:dyDescent="0.25">
      <c r="A253" t="s">
        <v>112</v>
      </c>
      <c r="B253" t="s">
        <v>368</v>
      </c>
      <c r="C253" t="s">
        <v>100</v>
      </c>
      <c r="D253" t="s">
        <v>486</v>
      </c>
      <c r="E253" t="s">
        <v>726</v>
      </c>
      <c r="F253">
        <v>12</v>
      </c>
      <c r="G253">
        <v>136495.18916667</v>
      </c>
      <c r="H253">
        <v>1637942.27</v>
      </c>
      <c r="I253" t="s">
        <v>1587</v>
      </c>
      <c r="J253">
        <v>0.32276588249004001</v>
      </c>
    </row>
    <row r="254" spans="1:10" x14ac:dyDescent="0.25">
      <c r="A254" t="s">
        <v>112</v>
      </c>
      <c r="B254" t="s">
        <v>368</v>
      </c>
      <c r="C254" t="s">
        <v>100</v>
      </c>
      <c r="D254" t="s">
        <v>1138</v>
      </c>
      <c r="E254" t="s">
        <v>726</v>
      </c>
      <c r="F254">
        <v>12</v>
      </c>
      <c r="G254">
        <v>104519.78333332999</v>
      </c>
      <c r="H254">
        <v>1254237.3999999999</v>
      </c>
      <c r="I254" t="s">
        <v>1587</v>
      </c>
      <c r="J254">
        <v>0.24715464560483</v>
      </c>
    </row>
    <row r="255" spans="1:10" x14ac:dyDescent="0.25">
      <c r="A255" t="s">
        <v>112</v>
      </c>
      <c r="B255" t="s">
        <v>808</v>
      </c>
      <c r="C255" t="s">
        <v>100</v>
      </c>
      <c r="D255" t="s">
        <v>809</v>
      </c>
      <c r="E255" t="s">
        <v>726</v>
      </c>
      <c r="F255">
        <v>4</v>
      </c>
      <c r="G255">
        <v>60475.1175</v>
      </c>
      <c r="H255">
        <v>241900.47</v>
      </c>
      <c r="I255" t="s">
        <v>1587</v>
      </c>
      <c r="J255">
        <v>4.7667869682798E-2</v>
      </c>
    </row>
    <row r="256" spans="1:10" x14ac:dyDescent="0.25">
      <c r="A256" t="s">
        <v>113</v>
      </c>
      <c r="B256" t="s">
        <v>114</v>
      </c>
      <c r="C256" t="s">
        <v>100</v>
      </c>
      <c r="D256" t="s">
        <v>177</v>
      </c>
      <c r="E256" t="s">
        <v>430</v>
      </c>
      <c r="F256">
        <v>-30</v>
      </c>
      <c r="G256">
        <v>177502.20586086999</v>
      </c>
      <c r="H256">
        <v>5760.3</v>
      </c>
      <c r="I256">
        <v>-5325066.1758262003</v>
      </c>
      <c r="J256">
        <v>-1.0493347140728999</v>
      </c>
    </row>
    <row r="257" spans="1:10" x14ac:dyDescent="0.25">
      <c r="A257" t="s">
        <v>113</v>
      </c>
      <c r="B257" t="s">
        <v>114</v>
      </c>
      <c r="C257" t="s">
        <v>100</v>
      </c>
      <c r="D257" t="s">
        <v>143</v>
      </c>
      <c r="E257" t="s">
        <v>431</v>
      </c>
      <c r="F257">
        <v>3</v>
      </c>
      <c r="G257">
        <v>78010.259999999995</v>
      </c>
      <c r="H257">
        <v>161.31</v>
      </c>
      <c r="I257">
        <v>234030.78</v>
      </c>
      <c r="J257">
        <v>4.6117102305769E-2</v>
      </c>
    </row>
    <row r="258" spans="1:10" x14ac:dyDescent="0.25">
      <c r="A258" t="s">
        <v>113</v>
      </c>
      <c r="B258" t="s">
        <v>114</v>
      </c>
      <c r="C258" t="s">
        <v>100</v>
      </c>
      <c r="D258" t="s">
        <v>116</v>
      </c>
      <c r="E258" t="s">
        <v>725</v>
      </c>
      <c r="F258" t="s">
        <v>103</v>
      </c>
      <c r="G258">
        <v>160200.83481885001</v>
      </c>
      <c r="H258" t="s">
        <v>1587</v>
      </c>
      <c r="I258">
        <v>0</v>
      </c>
      <c r="J258" t="s">
        <v>1587</v>
      </c>
    </row>
    <row r="259" spans="1:10" x14ac:dyDescent="0.25">
      <c r="A259" t="s">
        <v>113</v>
      </c>
      <c r="B259" t="s">
        <v>114</v>
      </c>
      <c r="C259" t="s">
        <v>100</v>
      </c>
      <c r="D259" t="s">
        <v>180</v>
      </c>
      <c r="E259" t="s">
        <v>430</v>
      </c>
      <c r="F259">
        <v>-1</v>
      </c>
      <c r="G259">
        <v>120219.8618817</v>
      </c>
      <c r="H259">
        <v>-216.42</v>
      </c>
      <c r="I259">
        <v>-120219.8618817</v>
      </c>
      <c r="J259">
        <v>-2.3690010645539002E-2</v>
      </c>
    </row>
    <row r="260" spans="1:10" x14ac:dyDescent="0.25">
      <c r="A260" t="s">
        <v>113</v>
      </c>
      <c r="B260" t="s">
        <v>114</v>
      </c>
      <c r="C260" t="s">
        <v>100</v>
      </c>
      <c r="D260" t="s">
        <v>972</v>
      </c>
      <c r="E260" t="s">
        <v>434</v>
      </c>
      <c r="F260">
        <v>-7</v>
      </c>
      <c r="G260">
        <v>83380</v>
      </c>
      <c r="H260">
        <v>-349.51</v>
      </c>
      <c r="I260">
        <v>-583660</v>
      </c>
      <c r="J260">
        <v>-0.11501353767135</v>
      </c>
    </row>
    <row r="261" spans="1:10" x14ac:dyDescent="0.25">
      <c r="A261" t="s">
        <v>113</v>
      </c>
      <c r="B261" t="s">
        <v>114</v>
      </c>
      <c r="C261" t="s">
        <v>100</v>
      </c>
      <c r="D261" t="s">
        <v>479</v>
      </c>
      <c r="E261" t="s">
        <v>431</v>
      </c>
      <c r="F261">
        <v>-15</v>
      </c>
      <c r="G261">
        <v>89079.679999999993</v>
      </c>
      <c r="H261">
        <v>-454.8</v>
      </c>
      <c r="I261">
        <v>-1336195.2</v>
      </c>
      <c r="J261">
        <v>-0.26330489835088</v>
      </c>
    </row>
    <row r="262" spans="1:10" x14ac:dyDescent="0.25">
      <c r="A262" t="s">
        <v>113</v>
      </c>
      <c r="B262" t="s">
        <v>114</v>
      </c>
      <c r="C262" t="s">
        <v>100</v>
      </c>
      <c r="D262" t="s">
        <v>202</v>
      </c>
      <c r="E262" t="s">
        <v>431</v>
      </c>
      <c r="F262">
        <v>20</v>
      </c>
      <c r="G262">
        <v>59837.78</v>
      </c>
      <c r="H262">
        <v>-1348</v>
      </c>
      <c r="I262">
        <v>1196755.6000000001</v>
      </c>
      <c r="J262">
        <v>0.23582752849946001</v>
      </c>
    </row>
    <row r="263" spans="1:10" x14ac:dyDescent="0.25">
      <c r="A263" t="s">
        <v>113</v>
      </c>
      <c r="B263" t="s">
        <v>114</v>
      </c>
      <c r="C263" t="s">
        <v>100</v>
      </c>
      <c r="D263" t="s">
        <v>179</v>
      </c>
      <c r="E263" t="s">
        <v>430</v>
      </c>
      <c r="F263">
        <v>-27</v>
      </c>
      <c r="G263">
        <v>139301.90008560001</v>
      </c>
      <c r="H263">
        <v>-1413.18</v>
      </c>
      <c r="I263">
        <v>-3761151.3023112002</v>
      </c>
      <c r="J263">
        <v>-0.74115635300689997</v>
      </c>
    </row>
    <row r="264" spans="1:10" x14ac:dyDescent="0.25">
      <c r="A264" t="s">
        <v>126</v>
      </c>
      <c r="B264" t="s">
        <v>252</v>
      </c>
      <c r="C264" t="s">
        <v>100</v>
      </c>
      <c r="D264" t="s">
        <v>253</v>
      </c>
      <c r="E264" t="s">
        <v>126</v>
      </c>
      <c r="F264">
        <v>2888</v>
      </c>
      <c r="G264">
        <v>600.39674565932</v>
      </c>
      <c r="H264">
        <v>459303.51042938</v>
      </c>
      <c r="I264" t="s">
        <v>1587</v>
      </c>
      <c r="J264">
        <v>9.0508380905581998E-2</v>
      </c>
    </row>
    <row r="265" spans="1:10" x14ac:dyDescent="0.25">
      <c r="A265" t="s">
        <v>126</v>
      </c>
      <c r="B265" t="s">
        <v>877</v>
      </c>
      <c r="C265" t="s">
        <v>100</v>
      </c>
      <c r="D265" t="s">
        <v>1140</v>
      </c>
      <c r="E265" t="s">
        <v>725</v>
      </c>
      <c r="F265">
        <v>3300</v>
      </c>
      <c r="G265">
        <v>912.42126810131003</v>
      </c>
      <c r="H265">
        <v>3010990.1847342998</v>
      </c>
      <c r="I265" t="s">
        <v>1587</v>
      </c>
      <c r="J265">
        <v>0.59333281883288003</v>
      </c>
    </row>
    <row r="266" spans="1:10" x14ac:dyDescent="0.25">
      <c r="A266" t="s">
        <v>126</v>
      </c>
      <c r="B266" t="s">
        <v>732</v>
      </c>
      <c r="C266" t="s">
        <v>100</v>
      </c>
      <c r="D266" t="s">
        <v>910</v>
      </c>
      <c r="E266" t="s">
        <v>725</v>
      </c>
      <c r="F266">
        <v>2338</v>
      </c>
      <c r="G266">
        <v>1201.9993862199999</v>
      </c>
      <c r="H266">
        <v>2810274.5649823998</v>
      </c>
      <c r="I266" t="s">
        <v>1587</v>
      </c>
      <c r="J266">
        <v>0.55378065919616004</v>
      </c>
    </row>
    <row r="267" spans="1:10" x14ac:dyDescent="0.25">
      <c r="A267" t="s">
        <v>126</v>
      </c>
      <c r="B267" t="s">
        <v>1048</v>
      </c>
      <c r="C267" t="s">
        <v>100</v>
      </c>
      <c r="D267" t="s">
        <v>1077</v>
      </c>
      <c r="E267" t="s">
        <v>725</v>
      </c>
      <c r="F267">
        <v>1208</v>
      </c>
      <c r="G267">
        <v>1080.7552998399999</v>
      </c>
      <c r="H267">
        <v>1305552.4022067001</v>
      </c>
      <c r="I267" t="s">
        <v>1587</v>
      </c>
      <c r="J267">
        <v>0.25726655997177</v>
      </c>
    </row>
    <row r="268" spans="1:10" x14ac:dyDescent="0.25">
      <c r="A268" t="s">
        <v>126</v>
      </c>
      <c r="B268" t="s">
        <v>1141</v>
      </c>
      <c r="C268" t="s">
        <v>100</v>
      </c>
      <c r="D268" t="s">
        <v>1142</v>
      </c>
      <c r="E268" t="s">
        <v>725</v>
      </c>
      <c r="F268">
        <v>710</v>
      </c>
      <c r="G268">
        <v>1238.7405098300001</v>
      </c>
      <c r="H268">
        <v>879505.76197929995</v>
      </c>
      <c r="I268" t="s">
        <v>1587</v>
      </c>
      <c r="J268">
        <v>0.17331163534862001</v>
      </c>
    </row>
    <row r="269" spans="1:10" x14ac:dyDescent="0.25">
      <c r="A269" t="s">
        <v>126</v>
      </c>
      <c r="B269" t="s">
        <v>467</v>
      </c>
      <c r="C269" t="s">
        <v>100</v>
      </c>
      <c r="D269" t="s">
        <v>468</v>
      </c>
      <c r="E269" t="s">
        <v>126</v>
      </c>
      <c r="F269">
        <v>2085</v>
      </c>
      <c r="G269">
        <v>1013.54902903</v>
      </c>
      <c r="H269">
        <v>2113249.7255275999</v>
      </c>
      <c r="I269" t="s">
        <v>1587</v>
      </c>
      <c r="J269">
        <v>0.41642793221384</v>
      </c>
    </row>
    <row r="270" spans="1:10" x14ac:dyDescent="0.25">
      <c r="A270" t="s">
        <v>126</v>
      </c>
      <c r="B270" t="s">
        <v>416</v>
      </c>
      <c r="C270" t="s">
        <v>100</v>
      </c>
      <c r="D270" t="s">
        <v>417</v>
      </c>
      <c r="E270" t="s">
        <v>126</v>
      </c>
      <c r="F270">
        <v>1923</v>
      </c>
      <c r="G270">
        <v>1005.96786836</v>
      </c>
      <c r="H270">
        <v>1934476.2108563001</v>
      </c>
      <c r="I270" t="s">
        <v>1587</v>
      </c>
      <c r="J270">
        <v>0.38119958974684998</v>
      </c>
    </row>
    <row r="271" spans="1:10" x14ac:dyDescent="0.25">
      <c r="A271" t="s">
        <v>126</v>
      </c>
      <c r="B271" t="s">
        <v>1237</v>
      </c>
      <c r="C271" t="s">
        <v>100</v>
      </c>
      <c r="D271" t="s">
        <v>1238</v>
      </c>
      <c r="E271" t="s">
        <v>725</v>
      </c>
      <c r="F271">
        <v>5105</v>
      </c>
      <c r="G271">
        <v>1025.6342651699999</v>
      </c>
      <c r="H271">
        <v>5235862.9236928001</v>
      </c>
      <c r="I271" t="s">
        <v>1587</v>
      </c>
      <c r="J271">
        <v>1.031756703588</v>
      </c>
    </row>
    <row r="272" spans="1:10" x14ac:dyDescent="0.25">
      <c r="A272" t="s">
        <v>126</v>
      </c>
      <c r="B272" t="s">
        <v>1145</v>
      </c>
      <c r="C272" t="s">
        <v>100</v>
      </c>
      <c r="D272" t="s">
        <v>1094</v>
      </c>
      <c r="E272" t="s">
        <v>725</v>
      </c>
      <c r="F272">
        <v>1143</v>
      </c>
      <c r="G272">
        <v>1004.09895295</v>
      </c>
      <c r="H272">
        <v>1147685.1032219001</v>
      </c>
      <c r="I272" t="s">
        <v>1587</v>
      </c>
      <c r="J272">
        <v>0.22615790675094</v>
      </c>
    </row>
    <row r="273" spans="1:10" x14ac:dyDescent="0.25">
      <c r="A273" t="s">
        <v>126</v>
      </c>
      <c r="B273" t="s">
        <v>1399</v>
      </c>
      <c r="C273" t="s">
        <v>100</v>
      </c>
      <c r="D273" t="s">
        <v>1400</v>
      </c>
      <c r="E273" t="s">
        <v>725</v>
      </c>
      <c r="F273">
        <v>1250</v>
      </c>
      <c r="G273">
        <v>1007.11572183</v>
      </c>
      <c r="H273">
        <v>1258894.6522875</v>
      </c>
      <c r="I273" t="s">
        <v>1587</v>
      </c>
      <c r="J273">
        <v>0.24807238377672999</v>
      </c>
    </row>
    <row r="274" spans="1:10" x14ac:dyDescent="0.25">
      <c r="A274" t="s">
        <v>126</v>
      </c>
      <c r="B274" t="s">
        <v>941</v>
      </c>
      <c r="C274" t="s">
        <v>100</v>
      </c>
      <c r="D274" t="s">
        <v>942</v>
      </c>
      <c r="E274" t="s">
        <v>725</v>
      </c>
      <c r="F274">
        <v>677</v>
      </c>
      <c r="G274">
        <v>1002.19976196</v>
      </c>
      <c r="H274">
        <v>678489.23884691996</v>
      </c>
      <c r="I274" t="s">
        <v>1587</v>
      </c>
      <c r="J274">
        <v>0.13370018098160999</v>
      </c>
    </row>
    <row r="275" spans="1:10" x14ac:dyDescent="0.25">
      <c r="A275" t="s">
        <v>127</v>
      </c>
      <c r="B275" t="s">
        <v>1152</v>
      </c>
      <c r="C275" t="s">
        <v>100</v>
      </c>
      <c r="D275" t="s">
        <v>911</v>
      </c>
      <c r="E275" t="s">
        <v>726</v>
      </c>
      <c r="F275">
        <v>1320</v>
      </c>
      <c r="G275">
        <v>1046.6060378788</v>
      </c>
      <c r="H275">
        <v>1381519.97</v>
      </c>
      <c r="I275" t="s">
        <v>1587</v>
      </c>
      <c r="J275">
        <v>0.27223640323700998</v>
      </c>
    </row>
    <row r="276" spans="1:10" x14ac:dyDescent="0.25">
      <c r="A276" t="s">
        <v>127</v>
      </c>
      <c r="B276" t="s">
        <v>38</v>
      </c>
      <c r="C276" t="s">
        <v>100</v>
      </c>
      <c r="D276" t="s">
        <v>238</v>
      </c>
      <c r="E276" t="s">
        <v>726</v>
      </c>
      <c r="F276">
        <v>3360</v>
      </c>
      <c r="G276">
        <v>712.30882193432001</v>
      </c>
      <c r="H276">
        <v>2364152.98</v>
      </c>
      <c r="I276" t="s">
        <v>1587</v>
      </c>
      <c r="J276">
        <v>0.46586985201325998</v>
      </c>
    </row>
    <row r="277" spans="1:10" x14ac:dyDescent="0.25">
      <c r="A277" t="s">
        <v>127</v>
      </c>
      <c r="B277" t="s">
        <v>38</v>
      </c>
      <c r="C277" t="s">
        <v>100</v>
      </c>
      <c r="D277" t="s">
        <v>1063</v>
      </c>
      <c r="E277" t="s">
        <v>726</v>
      </c>
      <c r="F277">
        <v>282</v>
      </c>
      <c r="G277">
        <v>1032.2379432624</v>
      </c>
      <c r="H277">
        <v>291091.09999999998</v>
      </c>
      <c r="I277" t="s">
        <v>1587</v>
      </c>
      <c r="J277">
        <v>5.7361164369057999E-2</v>
      </c>
    </row>
    <row r="278" spans="1:10" x14ac:dyDescent="0.25">
      <c r="A278" t="s">
        <v>127</v>
      </c>
      <c r="B278" t="s">
        <v>258</v>
      </c>
      <c r="C278" t="s">
        <v>100</v>
      </c>
      <c r="D278" t="s">
        <v>259</v>
      </c>
      <c r="E278" t="s">
        <v>726</v>
      </c>
      <c r="F278">
        <v>429</v>
      </c>
      <c r="G278">
        <v>1059.4645920746</v>
      </c>
      <c r="H278">
        <v>454510.31</v>
      </c>
      <c r="I278" t="s">
        <v>1587</v>
      </c>
      <c r="J278">
        <v>8.9563853375596997E-2</v>
      </c>
    </row>
    <row r="279" spans="1:10" x14ac:dyDescent="0.25">
      <c r="A279" t="s">
        <v>127</v>
      </c>
      <c r="B279" t="s">
        <v>397</v>
      </c>
      <c r="C279" t="s">
        <v>100</v>
      </c>
      <c r="D279" t="s">
        <v>398</v>
      </c>
      <c r="E279" t="s">
        <v>726</v>
      </c>
      <c r="F279">
        <v>6734</v>
      </c>
      <c r="G279">
        <v>1015.9053608554</v>
      </c>
      <c r="H279">
        <v>6841106.7000000002</v>
      </c>
      <c r="I279" t="s">
        <v>1587</v>
      </c>
      <c r="J279">
        <v>1.3480791610769001</v>
      </c>
    </row>
    <row r="280" spans="1:10" x14ac:dyDescent="0.25">
      <c r="A280" t="s">
        <v>127</v>
      </c>
      <c r="B280" t="s">
        <v>1098</v>
      </c>
      <c r="C280" t="s">
        <v>100</v>
      </c>
      <c r="D280" t="s">
        <v>1099</v>
      </c>
      <c r="E280" t="s">
        <v>726</v>
      </c>
      <c r="F280">
        <v>1174</v>
      </c>
      <c r="G280">
        <v>1004.85</v>
      </c>
      <c r="H280">
        <v>1179693.8999999999</v>
      </c>
      <c r="I280" t="s">
        <v>1587</v>
      </c>
      <c r="J280">
        <v>0.23246542303449</v>
      </c>
    </row>
    <row r="281" spans="1:10" x14ac:dyDescent="0.25">
      <c r="A281" t="s">
        <v>127</v>
      </c>
      <c r="B281" t="s">
        <v>237</v>
      </c>
      <c r="C281" t="s">
        <v>100</v>
      </c>
      <c r="D281" t="s">
        <v>1078</v>
      </c>
      <c r="E281" t="s">
        <v>726</v>
      </c>
      <c r="F281">
        <v>449</v>
      </c>
      <c r="G281">
        <v>864.99260579065003</v>
      </c>
      <c r="H281">
        <v>388381.68</v>
      </c>
      <c r="I281" t="s">
        <v>1587</v>
      </c>
      <c r="J281">
        <v>7.6532829016108E-2</v>
      </c>
    </row>
    <row r="282" spans="1:10" x14ac:dyDescent="0.25">
      <c r="A282" t="s">
        <v>127</v>
      </c>
      <c r="B282" t="s">
        <v>204</v>
      </c>
      <c r="C282" t="s">
        <v>100</v>
      </c>
      <c r="D282" t="s">
        <v>206</v>
      </c>
      <c r="E282" t="s">
        <v>726</v>
      </c>
      <c r="F282">
        <v>2309</v>
      </c>
      <c r="G282">
        <v>980.16365959289999</v>
      </c>
      <c r="H282">
        <v>2263197.89</v>
      </c>
      <c r="I282" t="s">
        <v>1587</v>
      </c>
      <c r="J282">
        <v>0.44597607473397</v>
      </c>
    </row>
    <row r="283" spans="1:10" x14ac:dyDescent="0.25">
      <c r="A283" t="s">
        <v>127</v>
      </c>
      <c r="B283" t="s">
        <v>204</v>
      </c>
      <c r="C283" t="s">
        <v>100</v>
      </c>
      <c r="D283" t="s">
        <v>207</v>
      </c>
      <c r="E283" t="s">
        <v>726</v>
      </c>
      <c r="F283">
        <v>1457</v>
      </c>
      <c r="G283">
        <v>985.80110260337005</v>
      </c>
      <c r="H283">
        <v>1287456.24</v>
      </c>
      <c r="I283" t="s">
        <v>1587</v>
      </c>
      <c r="J283">
        <v>0.25370060781867998</v>
      </c>
    </row>
    <row r="284" spans="1:10" x14ac:dyDescent="0.25">
      <c r="A284" t="s">
        <v>127</v>
      </c>
      <c r="B284" t="s">
        <v>354</v>
      </c>
      <c r="C284" t="s">
        <v>100</v>
      </c>
      <c r="D284" t="s">
        <v>957</v>
      </c>
      <c r="E284" t="s">
        <v>726</v>
      </c>
      <c r="F284">
        <v>1792</v>
      </c>
      <c r="G284">
        <v>1059.2830468750001</v>
      </c>
      <c r="H284">
        <v>1898235.22</v>
      </c>
      <c r="I284" t="s">
        <v>1587</v>
      </c>
      <c r="J284">
        <v>0.37405809544007002</v>
      </c>
    </row>
    <row r="285" spans="1:10" x14ac:dyDescent="0.25">
      <c r="A285" t="s">
        <v>127</v>
      </c>
      <c r="B285" t="s">
        <v>396</v>
      </c>
      <c r="C285" t="s">
        <v>100</v>
      </c>
      <c r="D285" t="s">
        <v>1404</v>
      </c>
      <c r="E285" t="s">
        <v>725</v>
      </c>
      <c r="F285">
        <v>488</v>
      </c>
      <c r="G285">
        <v>443.21793032787002</v>
      </c>
      <c r="H285">
        <v>216290.35</v>
      </c>
      <c r="I285" t="s">
        <v>1587</v>
      </c>
      <c r="J285">
        <v>4.2621249216449997E-2</v>
      </c>
    </row>
    <row r="286" spans="1:10" x14ac:dyDescent="0.25">
      <c r="A286" t="s">
        <v>127</v>
      </c>
      <c r="B286" t="s">
        <v>396</v>
      </c>
      <c r="C286" t="s">
        <v>100</v>
      </c>
      <c r="D286" t="s">
        <v>1405</v>
      </c>
      <c r="E286" t="s">
        <v>725</v>
      </c>
      <c r="F286">
        <v>722</v>
      </c>
      <c r="G286">
        <v>79.020124653739998</v>
      </c>
      <c r="H286">
        <v>57052.53</v>
      </c>
      <c r="I286" t="s">
        <v>1587</v>
      </c>
      <c r="J286">
        <v>1.124252699928E-2</v>
      </c>
    </row>
    <row r="287" spans="1:10" x14ac:dyDescent="0.25">
      <c r="A287" t="s">
        <v>127</v>
      </c>
      <c r="B287" t="s">
        <v>759</v>
      </c>
      <c r="C287" t="s">
        <v>100</v>
      </c>
      <c r="D287" t="s">
        <v>760</v>
      </c>
      <c r="E287" t="s">
        <v>726</v>
      </c>
      <c r="F287">
        <v>1070</v>
      </c>
      <c r="G287">
        <v>849.87813084111997</v>
      </c>
      <c r="H287">
        <v>909369.6</v>
      </c>
      <c r="I287" t="s">
        <v>1587</v>
      </c>
      <c r="J287">
        <v>0.17919647525405</v>
      </c>
    </row>
    <row r="288" spans="1:10" x14ac:dyDescent="0.25">
      <c r="A288" t="s">
        <v>127</v>
      </c>
      <c r="B288" t="s">
        <v>37</v>
      </c>
      <c r="C288" t="s">
        <v>100</v>
      </c>
      <c r="D288" t="s">
        <v>260</v>
      </c>
      <c r="E288" t="s">
        <v>726</v>
      </c>
      <c r="F288">
        <v>189</v>
      </c>
      <c r="G288">
        <v>1058.4904651162999</v>
      </c>
      <c r="H288">
        <v>45515.09</v>
      </c>
      <c r="I288" t="s">
        <v>1587</v>
      </c>
      <c r="J288">
        <v>8.9690085295032005E-3</v>
      </c>
    </row>
    <row r="289" spans="1:10" x14ac:dyDescent="0.25">
      <c r="A289" t="s">
        <v>127</v>
      </c>
      <c r="B289" t="s">
        <v>295</v>
      </c>
      <c r="C289" t="s">
        <v>100</v>
      </c>
      <c r="D289" t="s">
        <v>508</v>
      </c>
      <c r="E289" t="s">
        <v>726</v>
      </c>
      <c r="F289">
        <v>5019</v>
      </c>
      <c r="G289">
        <v>941.28387527396001</v>
      </c>
      <c r="H289">
        <v>4724303.7699999996</v>
      </c>
      <c r="I289" t="s">
        <v>1587</v>
      </c>
      <c r="J289">
        <v>0.93095104962098996</v>
      </c>
    </row>
    <row r="290" spans="1:10" x14ac:dyDescent="0.25">
      <c r="A290" t="s">
        <v>127</v>
      </c>
      <c r="B290" t="s">
        <v>295</v>
      </c>
      <c r="C290" t="s">
        <v>100</v>
      </c>
      <c r="D290" t="s">
        <v>300</v>
      </c>
      <c r="E290" t="s">
        <v>726</v>
      </c>
      <c r="F290">
        <v>1177</v>
      </c>
      <c r="G290">
        <v>940.11929481733</v>
      </c>
      <c r="H290">
        <v>1106520.4099999999</v>
      </c>
      <c r="I290" t="s">
        <v>1587</v>
      </c>
      <c r="J290">
        <v>0.21804616876204</v>
      </c>
    </row>
    <row r="291" spans="1:10" x14ac:dyDescent="0.25">
      <c r="A291" t="s">
        <v>127</v>
      </c>
      <c r="B291" t="s">
        <v>208</v>
      </c>
      <c r="C291" t="s">
        <v>100</v>
      </c>
      <c r="D291" t="s">
        <v>185</v>
      </c>
      <c r="E291" t="s">
        <v>726</v>
      </c>
      <c r="F291">
        <v>3989</v>
      </c>
      <c r="G291">
        <v>1044.0548070175</v>
      </c>
      <c r="H291">
        <v>3273111.82</v>
      </c>
      <c r="I291" t="s">
        <v>1587</v>
      </c>
      <c r="J291">
        <v>0.64498538466248001</v>
      </c>
    </row>
    <row r="292" spans="1:10" x14ac:dyDescent="0.25">
      <c r="A292" t="s">
        <v>127</v>
      </c>
      <c r="B292" t="s">
        <v>208</v>
      </c>
      <c r="C292" t="s">
        <v>100</v>
      </c>
      <c r="D292" t="s">
        <v>1003</v>
      </c>
      <c r="E292" t="s">
        <v>726</v>
      </c>
      <c r="F292">
        <v>1195</v>
      </c>
      <c r="G292">
        <v>1010.8836401674</v>
      </c>
      <c r="H292">
        <v>1208005.95</v>
      </c>
      <c r="I292" t="s">
        <v>1587</v>
      </c>
      <c r="J292">
        <v>0.23804447424448999</v>
      </c>
    </row>
    <row r="293" spans="1:10" x14ac:dyDescent="0.25">
      <c r="A293" t="s">
        <v>127</v>
      </c>
      <c r="B293" t="s">
        <v>230</v>
      </c>
      <c r="C293" t="s">
        <v>100</v>
      </c>
      <c r="D293" t="s">
        <v>327</v>
      </c>
      <c r="E293" t="s">
        <v>726</v>
      </c>
      <c r="F293">
        <v>412</v>
      </c>
      <c r="G293">
        <v>1051.9846116505</v>
      </c>
      <c r="H293">
        <v>433417.66</v>
      </c>
      <c r="I293" t="s">
        <v>1587</v>
      </c>
      <c r="J293">
        <v>8.5407426182773999E-2</v>
      </c>
    </row>
    <row r="294" spans="1:10" x14ac:dyDescent="0.25">
      <c r="A294" t="s">
        <v>127</v>
      </c>
      <c r="B294" t="s">
        <v>230</v>
      </c>
      <c r="C294" t="s">
        <v>100</v>
      </c>
      <c r="D294" t="s">
        <v>211</v>
      </c>
      <c r="E294" t="s">
        <v>726</v>
      </c>
      <c r="F294">
        <v>1192</v>
      </c>
      <c r="G294">
        <v>346.73186241611</v>
      </c>
      <c r="H294">
        <v>413304.38</v>
      </c>
      <c r="I294" t="s">
        <v>1587</v>
      </c>
      <c r="J294">
        <v>8.1443989443963E-2</v>
      </c>
    </row>
    <row r="295" spans="1:10" x14ac:dyDescent="0.25">
      <c r="A295" t="s">
        <v>127</v>
      </c>
      <c r="B295" t="s">
        <v>8</v>
      </c>
      <c r="C295" t="s">
        <v>100</v>
      </c>
      <c r="D295" t="s">
        <v>137</v>
      </c>
      <c r="E295" t="s">
        <v>726</v>
      </c>
      <c r="F295">
        <v>1740</v>
      </c>
      <c r="G295">
        <v>694.57</v>
      </c>
      <c r="H295">
        <v>1208551.8</v>
      </c>
      <c r="I295" t="s">
        <v>1587</v>
      </c>
      <c r="J295">
        <v>0.23815203710564001</v>
      </c>
    </row>
    <row r="296" spans="1:10" x14ac:dyDescent="0.25">
      <c r="A296" t="s">
        <v>127</v>
      </c>
      <c r="B296" t="s">
        <v>231</v>
      </c>
      <c r="C296" t="s">
        <v>100</v>
      </c>
      <c r="D296" t="s">
        <v>221</v>
      </c>
      <c r="E296" t="s">
        <v>726</v>
      </c>
      <c r="F296">
        <v>1885</v>
      </c>
      <c r="G296">
        <v>1026.3017718833</v>
      </c>
      <c r="H296">
        <v>1934578.84</v>
      </c>
      <c r="I296" t="s">
        <v>1587</v>
      </c>
      <c r="J296">
        <v>0.38121981340597999</v>
      </c>
    </row>
    <row r="297" spans="1:10" x14ac:dyDescent="0.25">
      <c r="A297" t="s">
        <v>127</v>
      </c>
      <c r="B297" t="s">
        <v>428</v>
      </c>
      <c r="C297" t="s">
        <v>100</v>
      </c>
      <c r="D297" t="s">
        <v>349</v>
      </c>
      <c r="E297" t="s">
        <v>726</v>
      </c>
      <c r="F297">
        <v>3924</v>
      </c>
      <c r="G297">
        <v>747.70553191489</v>
      </c>
      <c r="H297">
        <v>2933996.5072340001</v>
      </c>
      <c r="I297" t="s">
        <v>1587</v>
      </c>
      <c r="J297">
        <v>0.57816077478731998</v>
      </c>
    </row>
    <row r="298" spans="1:10" x14ac:dyDescent="0.25">
      <c r="A298" t="s">
        <v>127</v>
      </c>
      <c r="B298" t="s">
        <v>428</v>
      </c>
      <c r="C298" t="s">
        <v>100</v>
      </c>
      <c r="D298" t="s">
        <v>349</v>
      </c>
      <c r="E298" t="s">
        <v>725</v>
      </c>
      <c r="F298">
        <v>24</v>
      </c>
      <c r="G298">
        <v>747.70553191489</v>
      </c>
      <c r="H298">
        <v>17944.932765957001</v>
      </c>
      <c r="I298" t="s">
        <v>1587</v>
      </c>
      <c r="J298">
        <v>3.5361515277511999E-3</v>
      </c>
    </row>
    <row r="299" spans="1:10" x14ac:dyDescent="0.25">
      <c r="A299" t="s">
        <v>127</v>
      </c>
      <c r="B299" t="s">
        <v>505</v>
      </c>
      <c r="C299" t="s">
        <v>100</v>
      </c>
      <c r="D299" t="s">
        <v>764</v>
      </c>
      <c r="E299" t="s">
        <v>726</v>
      </c>
      <c r="F299">
        <v>1397</v>
      </c>
      <c r="G299">
        <v>1023.9826485326</v>
      </c>
      <c r="H299">
        <v>1430503.76</v>
      </c>
      <c r="I299" t="s">
        <v>1587</v>
      </c>
      <c r="J299">
        <v>0.28188893891951999</v>
      </c>
    </row>
    <row r="300" spans="1:10" x14ac:dyDescent="0.25">
      <c r="A300" t="s">
        <v>127</v>
      </c>
      <c r="B300" t="s">
        <v>497</v>
      </c>
      <c r="C300" t="s">
        <v>100</v>
      </c>
      <c r="D300" t="s">
        <v>498</v>
      </c>
      <c r="E300" t="s">
        <v>726</v>
      </c>
      <c r="F300">
        <v>2711</v>
      </c>
      <c r="G300">
        <v>908.64049059388003</v>
      </c>
      <c r="H300">
        <v>2463324.37</v>
      </c>
      <c r="I300" t="s">
        <v>1587</v>
      </c>
      <c r="J300">
        <v>0.48541214101659003</v>
      </c>
    </row>
    <row r="301" spans="1:10" x14ac:dyDescent="0.25">
      <c r="A301" t="s">
        <v>127</v>
      </c>
      <c r="B301" t="s">
        <v>45</v>
      </c>
      <c r="C301" t="s">
        <v>100</v>
      </c>
      <c r="D301" t="s">
        <v>437</v>
      </c>
      <c r="E301" t="s">
        <v>726</v>
      </c>
      <c r="F301">
        <v>1498</v>
      </c>
      <c r="G301">
        <v>912.22445927904005</v>
      </c>
      <c r="H301">
        <v>1366512.24</v>
      </c>
      <c r="I301" t="s">
        <v>1587</v>
      </c>
      <c r="J301">
        <v>0.26927904429565003</v>
      </c>
    </row>
    <row r="302" spans="1:10" x14ac:dyDescent="0.25">
      <c r="A302" t="s">
        <v>127</v>
      </c>
      <c r="B302" t="s">
        <v>732</v>
      </c>
      <c r="C302" t="s">
        <v>100</v>
      </c>
      <c r="D302" t="s">
        <v>1109</v>
      </c>
      <c r="E302" t="s">
        <v>726</v>
      </c>
      <c r="F302">
        <v>1970</v>
      </c>
      <c r="G302">
        <v>1027.9206345178</v>
      </c>
      <c r="H302">
        <v>2025003.65</v>
      </c>
      <c r="I302" t="s">
        <v>1587</v>
      </c>
      <c r="J302">
        <v>0.39903853884778001</v>
      </c>
    </row>
    <row r="303" spans="1:10" x14ac:dyDescent="0.25">
      <c r="A303" t="s">
        <v>127</v>
      </c>
      <c r="B303" t="s">
        <v>1410</v>
      </c>
      <c r="C303" t="s">
        <v>100</v>
      </c>
      <c r="D303" t="s">
        <v>1064</v>
      </c>
      <c r="E303" t="s">
        <v>725</v>
      </c>
      <c r="F303">
        <v>1590</v>
      </c>
      <c r="G303">
        <v>1002.1056352201</v>
      </c>
      <c r="H303">
        <v>1593347.96</v>
      </c>
      <c r="I303" t="s">
        <v>1587</v>
      </c>
      <c r="J303">
        <v>0.31397831892030997</v>
      </c>
    </row>
    <row r="304" spans="1:10" x14ac:dyDescent="0.25">
      <c r="A304" t="s">
        <v>127</v>
      </c>
      <c r="B304" t="s">
        <v>513</v>
      </c>
      <c r="C304" t="s">
        <v>100</v>
      </c>
      <c r="D304" t="s">
        <v>514</v>
      </c>
      <c r="E304" t="s">
        <v>726</v>
      </c>
      <c r="F304">
        <v>1330</v>
      </c>
      <c r="G304">
        <v>1044.9803984962</v>
      </c>
      <c r="H304">
        <v>1389823.93</v>
      </c>
      <c r="I304" t="s">
        <v>1587</v>
      </c>
      <c r="J304">
        <v>0.27387274599868999</v>
      </c>
    </row>
    <row r="305" spans="1:10" x14ac:dyDescent="0.25">
      <c r="A305" t="s">
        <v>127</v>
      </c>
      <c r="B305" t="s">
        <v>1358</v>
      </c>
      <c r="C305" t="s">
        <v>100</v>
      </c>
      <c r="D305" t="s">
        <v>326</v>
      </c>
      <c r="E305" t="s">
        <v>725</v>
      </c>
      <c r="F305">
        <v>3575</v>
      </c>
      <c r="G305">
        <v>1057.8580531468999</v>
      </c>
      <c r="H305">
        <v>3781842.54</v>
      </c>
      <c r="I305" t="s">
        <v>1587</v>
      </c>
      <c r="J305">
        <v>0.74523367961039</v>
      </c>
    </row>
    <row r="306" spans="1:10" x14ac:dyDescent="0.25">
      <c r="A306" t="s">
        <v>127</v>
      </c>
      <c r="B306" t="s">
        <v>1359</v>
      </c>
      <c r="C306" t="s">
        <v>100</v>
      </c>
      <c r="D306" t="s">
        <v>210</v>
      </c>
      <c r="E306" t="s">
        <v>725</v>
      </c>
      <c r="F306">
        <v>18096</v>
      </c>
      <c r="G306">
        <v>56.463641136162998</v>
      </c>
      <c r="H306">
        <v>1021766.05</v>
      </c>
      <c r="I306" t="s">
        <v>1587</v>
      </c>
      <c r="J306">
        <v>0.20134483789018001</v>
      </c>
    </row>
    <row r="307" spans="1:10" x14ac:dyDescent="0.25">
      <c r="A307" t="s">
        <v>127</v>
      </c>
      <c r="B307" t="s">
        <v>1359</v>
      </c>
      <c r="C307" t="s">
        <v>100</v>
      </c>
      <c r="D307" t="s">
        <v>1181</v>
      </c>
      <c r="E307" t="s">
        <v>725</v>
      </c>
      <c r="F307">
        <v>119586</v>
      </c>
      <c r="G307">
        <v>7.96</v>
      </c>
      <c r="H307">
        <v>951904.56</v>
      </c>
      <c r="I307" t="s">
        <v>1587</v>
      </c>
      <c r="J307">
        <v>0.18757823214044</v>
      </c>
    </row>
    <row r="308" spans="1:10" x14ac:dyDescent="0.25">
      <c r="A308" t="s">
        <v>127</v>
      </c>
      <c r="B308" t="s">
        <v>1359</v>
      </c>
      <c r="C308" t="s">
        <v>100</v>
      </c>
      <c r="D308" t="s">
        <v>12</v>
      </c>
      <c r="E308" t="s">
        <v>725</v>
      </c>
      <c r="F308">
        <v>16149</v>
      </c>
      <c r="G308">
        <v>56.463641092327997</v>
      </c>
      <c r="H308">
        <v>911831.34</v>
      </c>
      <c r="I308" t="s">
        <v>1587</v>
      </c>
      <c r="J308">
        <v>0.17968157518590999</v>
      </c>
    </row>
    <row r="309" spans="1:10" x14ac:dyDescent="0.25">
      <c r="A309" t="s">
        <v>127</v>
      </c>
      <c r="B309" t="s">
        <v>1359</v>
      </c>
      <c r="C309" t="s">
        <v>100</v>
      </c>
      <c r="D309" t="s">
        <v>1182</v>
      </c>
      <c r="E309" t="s">
        <v>725</v>
      </c>
      <c r="F309">
        <v>7594</v>
      </c>
      <c r="G309">
        <v>26.66010007901</v>
      </c>
      <c r="H309">
        <v>202456.8</v>
      </c>
      <c r="I309" t="s">
        <v>1587</v>
      </c>
      <c r="J309">
        <v>3.9895269152619997E-2</v>
      </c>
    </row>
    <row r="310" spans="1:10" x14ac:dyDescent="0.25">
      <c r="A310" t="s">
        <v>127</v>
      </c>
      <c r="B310" t="s">
        <v>1359</v>
      </c>
      <c r="C310" t="s">
        <v>100</v>
      </c>
      <c r="D310" t="s">
        <v>1248</v>
      </c>
      <c r="E310" t="s">
        <v>725</v>
      </c>
      <c r="F310">
        <v>6781</v>
      </c>
      <c r="G310">
        <v>26.660100280195</v>
      </c>
      <c r="H310">
        <v>180782.14</v>
      </c>
      <c r="I310" t="s">
        <v>1587</v>
      </c>
      <c r="J310">
        <v>3.5624153564059999E-2</v>
      </c>
    </row>
    <row r="311" spans="1:10" x14ac:dyDescent="0.25">
      <c r="A311" t="s">
        <v>127</v>
      </c>
      <c r="B311" t="s">
        <v>35</v>
      </c>
      <c r="C311" t="s">
        <v>100</v>
      </c>
      <c r="D311" t="s">
        <v>3</v>
      </c>
      <c r="E311" t="s">
        <v>78</v>
      </c>
      <c r="F311">
        <v>191</v>
      </c>
      <c r="G311">
        <v>10895.871570681</v>
      </c>
      <c r="H311">
        <v>2081111.47</v>
      </c>
      <c r="I311" t="s">
        <v>1587</v>
      </c>
      <c r="J311">
        <v>0.41009490534407</v>
      </c>
    </row>
    <row r="312" spans="1:10" x14ac:dyDescent="0.25">
      <c r="A312" t="s">
        <v>127</v>
      </c>
      <c r="B312" t="s">
        <v>855</v>
      </c>
      <c r="C312" t="s">
        <v>100</v>
      </c>
      <c r="D312" t="s">
        <v>265</v>
      </c>
      <c r="E312" t="s">
        <v>726</v>
      </c>
      <c r="F312">
        <v>7388</v>
      </c>
      <c r="G312">
        <v>1033.5850744449999</v>
      </c>
      <c r="H312">
        <v>7636126.5300000003</v>
      </c>
      <c r="I312" t="s">
        <v>1587</v>
      </c>
      <c r="J312">
        <v>1.5047423608288</v>
      </c>
    </row>
    <row r="313" spans="1:10" x14ac:dyDescent="0.25">
      <c r="A313" t="s">
        <v>127</v>
      </c>
      <c r="B313" t="s">
        <v>289</v>
      </c>
      <c r="C313" t="s">
        <v>100</v>
      </c>
      <c r="D313" t="s">
        <v>266</v>
      </c>
      <c r="E313" t="s">
        <v>726</v>
      </c>
      <c r="F313">
        <v>431</v>
      </c>
      <c r="G313">
        <v>1052.4459298245999</v>
      </c>
      <c r="H313">
        <v>299947.09000000003</v>
      </c>
      <c r="I313" t="s">
        <v>1587</v>
      </c>
      <c r="J313">
        <v>5.9106287796194E-2</v>
      </c>
    </row>
    <row r="314" spans="1:10" x14ac:dyDescent="0.25">
      <c r="A314" t="s">
        <v>127</v>
      </c>
      <c r="B314" t="s">
        <v>427</v>
      </c>
      <c r="C314" t="s">
        <v>100</v>
      </c>
      <c r="D314" t="s">
        <v>469</v>
      </c>
      <c r="E314" t="s">
        <v>726</v>
      </c>
      <c r="F314">
        <v>1087</v>
      </c>
      <c r="G314">
        <v>1024.7626402943999</v>
      </c>
      <c r="H314">
        <v>1113916.99</v>
      </c>
      <c r="I314" t="s">
        <v>1587</v>
      </c>
      <c r="J314">
        <v>0.21950370711051001</v>
      </c>
    </row>
    <row r="315" spans="1:10" x14ac:dyDescent="0.25">
      <c r="A315" t="s">
        <v>127</v>
      </c>
      <c r="B315" t="s">
        <v>267</v>
      </c>
      <c r="C315" t="s">
        <v>100</v>
      </c>
      <c r="D315" t="s">
        <v>268</v>
      </c>
      <c r="E315" t="s">
        <v>726</v>
      </c>
      <c r="F315">
        <v>3744</v>
      </c>
      <c r="G315">
        <v>1049.1142132964001</v>
      </c>
      <c r="H315">
        <v>3787302.31</v>
      </c>
      <c r="I315" t="s">
        <v>1587</v>
      </c>
      <c r="J315">
        <v>0.74630955848263003</v>
      </c>
    </row>
    <row r="316" spans="1:10" x14ac:dyDescent="0.25">
      <c r="A316" t="s">
        <v>127</v>
      </c>
      <c r="B316" t="s">
        <v>758</v>
      </c>
      <c r="C316" t="s">
        <v>100</v>
      </c>
      <c r="D316" t="s">
        <v>837</v>
      </c>
      <c r="E316" t="s">
        <v>726</v>
      </c>
      <c r="F316">
        <v>2222594</v>
      </c>
      <c r="G316">
        <v>1.0703819995915</v>
      </c>
      <c r="H316">
        <v>2379024.61</v>
      </c>
      <c r="I316" t="s">
        <v>1587</v>
      </c>
      <c r="J316">
        <v>0.46880039167203003</v>
      </c>
    </row>
    <row r="317" spans="1:10" x14ac:dyDescent="0.25">
      <c r="A317" t="s">
        <v>127</v>
      </c>
      <c r="B317" t="s">
        <v>758</v>
      </c>
      <c r="C317" t="s">
        <v>100</v>
      </c>
      <c r="D317" t="s">
        <v>1113</v>
      </c>
      <c r="E317" t="s">
        <v>726</v>
      </c>
      <c r="F317">
        <v>390</v>
      </c>
      <c r="G317">
        <v>1049.7794615385001</v>
      </c>
      <c r="H317">
        <v>409413.99</v>
      </c>
      <c r="I317" t="s">
        <v>1587</v>
      </c>
      <c r="J317">
        <v>8.0677365867186004E-2</v>
      </c>
    </row>
    <row r="318" spans="1:10" x14ac:dyDescent="0.25">
      <c r="A318" t="s">
        <v>127</v>
      </c>
      <c r="B318" t="s">
        <v>13</v>
      </c>
      <c r="C318" t="s">
        <v>100</v>
      </c>
      <c r="D318" t="s">
        <v>242</v>
      </c>
      <c r="E318" t="s">
        <v>726</v>
      </c>
      <c r="F318">
        <v>1695</v>
      </c>
      <c r="G318">
        <v>1080.0696047198001</v>
      </c>
      <c r="H318">
        <v>1830717.98</v>
      </c>
      <c r="I318" t="s">
        <v>1587</v>
      </c>
      <c r="J318">
        <v>0.36075343754641997</v>
      </c>
    </row>
    <row r="319" spans="1:10" x14ac:dyDescent="0.25">
      <c r="A319" t="s">
        <v>127</v>
      </c>
      <c r="B319" t="s">
        <v>13</v>
      </c>
      <c r="C319" t="s">
        <v>100</v>
      </c>
      <c r="D319" t="s">
        <v>97</v>
      </c>
      <c r="E319" t="s">
        <v>726</v>
      </c>
      <c r="F319">
        <v>168</v>
      </c>
      <c r="G319">
        <v>336.33357142857</v>
      </c>
      <c r="H319">
        <v>56504.04</v>
      </c>
      <c r="I319" t="s">
        <v>1587</v>
      </c>
      <c r="J319">
        <v>1.113444391105E-2</v>
      </c>
    </row>
    <row r="320" spans="1:10" x14ac:dyDescent="0.25">
      <c r="A320" t="s">
        <v>127</v>
      </c>
      <c r="B320" t="s">
        <v>33</v>
      </c>
      <c r="C320" t="s">
        <v>100</v>
      </c>
      <c r="D320" t="s">
        <v>751</v>
      </c>
      <c r="E320" t="s">
        <v>726</v>
      </c>
      <c r="F320">
        <v>1590</v>
      </c>
      <c r="G320">
        <v>1041.8202955975</v>
      </c>
      <c r="H320">
        <v>1656494.27</v>
      </c>
      <c r="I320" t="s">
        <v>1587</v>
      </c>
      <c r="J320">
        <v>0.32642166008467</v>
      </c>
    </row>
    <row r="321" spans="1:10" x14ac:dyDescent="0.25">
      <c r="A321" t="s">
        <v>127</v>
      </c>
      <c r="B321" t="s">
        <v>33</v>
      </c>
      <c r="C321" t="s">
        <v>100</v>
      </c>
      <c r="D321" t="s">
        <v>822</v>
      </c>
      <c r="E321" t="s">
        <v>726</v>
      </c>
      <c r="F321">
        <v>131</v>
      </c>
      <c r="G321">
        <v>1087.7739694656</v>
      </c>
      <c r="H321">
        <v>142498.39000000001</v>
      </c>
      <c r="I321" t="s">
        <v>1587</v>
      </c>
      <c r="J321">
        <v>2.8080121896946E-2</v>
      </c>
    </row>
    <row r="322" spans="1:10" x14ac:dyDescent="0.25">
      <c r="A322" t="s">
        <v>127</v>
      </c>
      <c r="B322" t="s">
        <v>975</v>
      </c>
      <c r="C322" t="s">
        <v>100</v>
      </c>
      <c r="D322" t="s">
        <v>976</v>
      </c>
      <c r="E322" t="s">
        <v>726</v>
      </c>
      <c r="F322">
        <v>242</v>
      </c>
      <c r="G322">
        <v>515.12483471073995</v>
      </c>
      <c r="H322">
        <v>124660.21</v>
      </c>
      <c r="I322" t="s">
        <v>1587</v>
      </c>
      <c r="J322">
        <v>2.4565006611646002E-2</v>
      </c>
    </row>
    <row r="323" spans="1:10" x14ac:dyDescent="0.25">
      <c r="A323" t="s">
        <v>127</v>
      </c>
      <c r="B323" t="s">
        <v>156</v>
      </c>
      <c r="C323" t="s">
        <v>100</v>
      </c>
      <c r="D323" t="s">
        <v>328</v>
      </c>
      <c r="E323" t="s">
        <v>726</v>
      </c>
      <c r="F323">
        <v>2299</v>
      </c>
      <c r="G323">
        <v>1056.8876685514999</v>
      </c>
      <c r="H323">
        <v>2429784.75</v>
      </c>
      <c r="I323" t="s">
        <v>1587</v>
      </c>
      <c r="J323">
        <v>0.47880296727100002</v>
      </c>
    </row>
    <row r="324" spans="1:10" x14ac:dyDescent="0.25">
      <c r="A324" t="s">
        <v>127</v>
      </c>
      <c r="B324" t="s">
        <v>156</v>
      </c>
      <c r="C324" t="s">
        <v>100</v>
      </c>
      <c r="D324" t="s">
        <v>1039</v>
      </c>
      <c r="E324" t="s">
        <v>726</v>
      </c>
      <c r="F324">
        <v>1453</v>
      </c>
      <c r="G324">
        <v>1016.4988368892</v>
      </c>
      <c r="H324">
        <v>1476972.81</v>
      </c>
      <c r="I324" t="s">
        <v>1587</v>
      </c>
      <c r="J324">
        <v>0.29104593071736001</v>
      </c>
    </row>
    <row r="325" spans="1:10" x14ac:dyDescent="0.25">
      <c r="A325" t="s">
        <v>127</v>
      </c>
      <c r="B325" t="s">
        <v>290</v>
      </c>
      <c r="C325" t="s">
        <v>100</v>
      </c>
      <c r="D325" t="s">
        <v>240</v>
      </c>
      <c r="E325" t="s">
        <v>726</v>
      </c>
      <c r="F325">
        <v>3057</v>
      </c>
      <c r="G325">
        <v>839.92286097151998</v>
      </c>
      <c r="H325">
        <v>2507169.7400000002</v>
      </c>
      <c r="I325" t="s">
        <v>1587</v>
      </c>
      <c r="J325">
        <v>0.49405212168035001</v>
      </c>
    </row>
    <row r="326" spans="1:10" x14ac:dyDescent="0.25">
      <c r="A326" t="s">
        <v>127</v>
      </c>
      <c r="B326" t="s">
        <v>825</v>
      </c>
      <c r="C326" t="s">
        <v>100</v>
      </c>
      <c r="D326" t="s">
        <v>826</v>
      </c>
      <c r="E326" t="s">
        <v>726</v>
      </c>
      <c r="F326">
        <v>1132</v>
      </c>
      <c r="G326">
        <v>1064.3538427562</v>
      </c>
      <c r="H326">
        <v>1204848.55</v>
      </c>
      <c r="I326" t="s">
        <v>1587</v>
      </c>
      <c r="J326">
        <v>0.23742229053506</v>
      </c>
    </row>
    <row r="327" spans="1:10" x14ac:dyDescent="0.25">
      <c r="A327" t="s">
        <v>127</v>
      </c>
      <c r="B327" t="s">
        <v>476</v>
      </c>
      <c r="C327" t="s">
        <v>100</v>
      </c>
      <c r="D327" t="s">
        <v>470</v>
      </c>
      <c r="E327" t="s">
        <v>726</v>
      </c>
      <c r="F327">
        <v>2811</v>
      </c>
      <c r="G327">
        <v>990.11737815723995</v>
      </c>
      <c r="H327">
        <v>2783219.95</v>
      </c>
      <c r="I327" t="s">
        <v>1587</v>
      </c>
      <c r="J327">
        <v>0.54844939274059001</v>
      </c>
    </row>
    <row r="328" spans="1:10" x14ac:dyDescent="0.25">
      <c r="A328" t="s">
        <v>127</v>
      </c>
      <c r="B328" t="s">
        <v>418</v>
      </c>
      <c r="C328" t="s">
        <v>100</v>
      </c>
      <c r="D328" t="s">
        <v>419</v>
      </c>
      <c r="E328" t="s">
        <v>726</v>
      </c>
      <c r="F328">
        <v>1325</v>
      </c>
      <c r="G328">
        <v>630.55882264151001</v>
      </c>
      <c r="H328">
        <v>835490.44</v>
      </c>
      <c r="I328" t="s">
        <v>1587</v>
      </c>
      <c r="J328">
        <v>0.16463816467633999</v>
      </c>
    </row>
    <row r="329" spans="1:10" x14ac:dyDescent="0.25">
      <c r="A329" t="s">
        <v>127</v>
      </c>
      <c r="B329" t="s">
        <v>944</v>
      </c>
      <c r="C329" t="s">
        <v>100</v>
      </c>
      <c r="D329" t="s">
        <v>945</v>
      </c>
      <c r="E329" t="s">
        <v>726</v>
      </c>
      <c r="F329">
        <v>1047</v>
      </c>
      <c r="G329">
        <v>1044.3264374403</v>
      </c>
      <c r="H329">
        <v>1093409.78</v>
      </c>
      <c r="I329" t="s">
        <v>1587</v>
      </c>
      <c r="J329">
        <v>0.21546264421453001</v>
      </c>
    </row>
    <row r="330" spans="1:10" x14ac:dyDescent="0.25">
      <c r="A330" t="s">
        <v>127</v>
      </c>
      <c r="B330" t="s">
        <v>1034</v>
      </c>
      <c r="C330" t="s">
        <v>100</v>
      </c>
      <c r="D330" t="s">
        <v>1033</v>
      </c>
      <c r="E330" t="s">
        <v>726</v>
      </c>
      <c r="F330">
        <v>365</v>
      </c>
      <c r="G330">
        <v>1036.9914246574999</v>
      </c>
      <c r="H330">
        <v>378501.87</v>
      </c>
      <c r="I330" t="s">
        <v>1587</v>
      </c>
      <c r="J330">
        <v>7.4585956008499002E-2</v>
      </c>
    </row>
    <row r="331" spans="1:10" x14ac:dyDescent="0.25">
      <c r="A331" t="s">
        <v>127</v>
      </c>
      <c r="B331" t="s">
        <v>234</v>
      </c>
      <c r="C331" t="s">
        <v>100</v>
      </c>
      <c r="D331" t="s">
        <v>471</v>
      </c>
      <c r="E331" t="s">
        <v>726</v>
      </c>
      <c r="F331">
        <v>2444</v>
      </c>
      <c r="G331">
        <v>989.50968903437001</v>
      </c>
      <c r="H331">
        <v>2418361.6800000002</v>
      </c>
      <c r="I331" t="s">
        <v>1587</v>
      </c>
      <c r="J331">
        <v>0.47655198606316002</v>
      </c>
    </row>
    <row r="332" spans="1:10" x14ac:dyDescent="0.25">
      <c r="A332" t="s">
        <v>127</v>
      </c>
      <c r="B332" t="s">
        <v>234</v>
      </c>
      <c r="C332" t="s">
        <v>100</v>
      </c>
      <c r="D332" t="s">
        <v>509</v>
      </c>
      <c r="E332" t="s">
        <v>726</v>
      </c>
      <c r="F332">
        <v>1267</v>
      </c>
      <c r="G332">
        <v>841.56026045777003</v>
      </c>
      <c r="H332">
        <v>1066256.8500000001</v>
      </c>
      <c r="I332" t="s">
        <v>1587</v>
      </c>
      <c r="J332">
        <v>0.21011200422302001</v>
      </c>
    </row>
    <row r="333" spans="1:10" x14ac:dyDescent="0.25">
      <c r="A333" t="s">
        <v>127</v>
      </c>
      <c r="B333" t="s">
        <v>891</v>
      </c>
      <c r="C333" t="s">
        <v>100</v>
      </c>
      <c r="D333" t="s">
        <v>472</v>
      </c>
      <c r="E333" t="s">
        <v>726</v>
      </c>
      <c r="F333">
        <v>3255</v>
      </c>
      <c r="G333">
        <v>841.90112749616003</v>
      </c>
      <c r="H333">
        <v>2740388.17</v>
      </c>
      <c r="I333" t="s">
        <v>1587</v>
      </c>
      <c r="J333">
        <v>0.54000914577736003</v>
      </c>
    </row>
    <row r="334" spans="1:10" x14ac:dyDescent="0.25">
      <c r="A334" t="s">
        <v>127</v>
      </c>
      <c r="B334" t="s">
        <v>213</v>
      </c>
      <c r="C334" t="s">
        <v>100</v>
      </c>
      <c r="D334" t="s">
        <v>332</v>
      </c>
      <c r="E334" t="s">
        <v>726</v>
      </c>
      <c r="F334">
        <v>3222</v>
      </c>
      <c r="G334">
        <v>1054.5818590936999</v>
      </c>
      <c r="H334">
        <v>3397862.75</v>
      </c>
      <c r="I334" t="s">
        <v>1587</v>
      </c>
      <c r="J334">
        <v>0.66956826816845005</v>
      </c>
    </row>
    <row r="335" spans="1:10" x14ac:dyDescent="0.25">
      <c r="A335" t="s">
        <v>127</v>
      </c>
      <c r="B335" t="s">
        <v>203</v>
      </c>
      <c r="C335" t="s">
        <v>100</v>
      </c>
      <c r="D335" t="s">
        <v>750</v>
      </c>
      <c r="E335" t="s">
        <v>723</v>
      </c>
      <c r="F335">
        <v>1207</v>
      </c>
      <c r="G335">
        <v>1371.8396520297999</v>
      </c>
      <c r="H335">
        <v>1655810.46</v>
      </c>
      <c r="I335" t="s">
        <v>1587</v>
      </c>
      <c r="J335">
        <v>0.32628691141729999</v>
      </c>
    </row>
    <row r="336" spans="1:10" x14ac:dyDescent="0.25">
      <c r="A336" t="s">
        <v>127</v>
      </c>
      <c r="B336" t="s">
        <v>429</v>
      </c>
      <c r="C336" t="s">
        <v>100</v>
      </c>
      <c r="D336" t="s">
        <v>347</v>
      </c>
      <c r="E336" t="s">
        <v>726</v>
      </c>
      <c r="F336">
        <v>1475</v>
      </c>
      <c r="G336">
        <v>996.45915254237002</v>
      </c>
      <c r="H336">
        <v>1469777.25</v>
      </c>
      <c r="I336" t="s">
        <v>1587</v>
      </c>
      <c r="J336">
        <v>0.28962800450838999</v>
      </c>
    </row>
    <row r="337" spans="1:10" x14ac:dyDescent="0.25">
      <c r="A337" t="s">
        <v>127</v>
      </c>
      <c r="B337" t="s">
        <v>473</v>
      </c>
      <c r="C337" t="s">
        <v>100</v>
      </c>
      <c r="D337" t="s">
        <v>1121</v>
      </c>
      <c r="E337" t="s">
        <v>725</v>
      </c>
      <c r="F337">
        <v>2280</v>
      </c>
      <c r="G337">
        <v>43.351070175438998</v>
      </c>
      <c r="H337">
        <v>98840.44</v>
      </c>
      <c r="I337" t="s">
        <v>1587</v>
      </c>
      <c r="J337">
        <v>1.9477073414990002E-2</v>
      </c>
    </row>
    <row r="338" spans="1:10" x14ac:dyDescent="0.25">
      <c r="A338" t="s">
        <v>127</v>
      </c>
      <c r="B338" t="s">
        <v>10</v>
      </c>
      <c r="C338" t="s">
        <v>100</v>
      </c>
      <c r="D338" t="s">
        <v>1330</v>
      </c>
      <c r="E338" t="s">
        <v>726</v>
      </c>
      <c r="F338">
        <v>1378</v>
      </c>
      <c r="G338">
        <v>672.93023947749998</v>
      </c>
      <c r="H338">
        <v>927297.87</v>
      </c>
      <c r="I338" t="s">
        <v>1587</v>
      </c>
      <c r="J338">
        <v>0.18272934328856999</v>
      </c>
    </row>
    <row r="339" spans="1:10" x14ac:dyDescent="0.25">
      <c r="A339" t="s">
        <v>127</v>
      </c>
      <c r="B339" t="s">
        <v>215</v>
      </c>
      <c r="C339" t="s">
        <v>100</v>
      </c>
      <c r="D339" t="s">
        <v>216</v>
      </c>
      <c r="E339" t="s">
        <v>726</v>
      </c>
      <c r="F339">
        <v>70</v>
      </c>
      <c r="G339">
        <v>507.30385714286001</v>
      </c>
      <c r="H339">
        <v>35511.269999999997</v>
      </c>
      <c r="I339" t="s">
        <v>1587</v>
      </c>
      <c r="J339">
        <v>6.9976986428783999E-3</v>
      </c>
    </row>
    <row r="340" spans="1:10" x14ac:dyDescent="0.25">
      <c r="A340" t="s">
        <v>127</v>
      </c>
      <c r="B340" t="s">
        <v>233</v>
      </c>
      <c r="C340" t="s">
        <v>100</v>
      </c>
      <c r="D340" t="s">
        <v>239</v>
      </c>
      <c r="E340" t="s">
        <v>726</v>
      </c>
      <c r="F340">
        <v>4843</v>
      </c>
      <c r="G340">
        <v>1055.9808321288001</v>
      </c>
      <c r="H340">
        <v>5114115.17</v>
      </c>
      <c r="I340" t="s">
        <v>1587</v>
      </c>
      <c r="J340">
        <v>1.0077656131316</v>
      </c>
    </row>
    <row r="341" spans="1:10" x14ac:dyDescent="0.25">
      <c r="A341" t="s">
        <v>127</v>
      </c>
      <c r="B341" t="s">
        <v>506</v>
      </c>
      <c r="C341" t="s">
        <v>100</v>
      </c>
      <c r="D341" t="s">
        <v>879</v>
      </c>
      <c r="E341" t="s">
        <v>726</v>
      </c>
      <c r="F341">
        <v>1728</v>
      </c>
      <c r="G341">
        <v>1021.6954166667</v>
      </c>
      <c r="H341">
        <v>1765489.68</v>
      </c>
      <c r="I341" t="s">
        <v>1587</v>
      </c>
      <c r="J341">
        <v>0.34789982835736</v>
      </c>
    </row>
    <row r="342" spans="1:10" x14ac:dyDescent="0.25">
      <c r="A342" t="s">
        <v>186</v>
      </c>
      <c r="B342" t="s">
        <v>189</v>
      </c>
      <c r="C342" t="s">
        <v>100</v>
      </c>
      <c r="D342" t="s">
        <v>271</v>
      </c>
      <c r="E342" t="s">
        <v>723</v>
      </c>
      <c r="F342">
        <v>2730</v>
      </c>
      <c r="G342">
        <v>1105.3571831501999</v>
      </c>
      <c r="H342">
        <v>3017625.11</v>
      </c>
      <c r="I342" t="s">
        <v>1587</v>
      </c>
      <c r="J342">
        <v>0.59464026876432996</v>
      </c>
    </row>
    <row r="343" spans="1:10" x14ac:dyDescent="0.25">
      <c r="A343" t="s">
        <v>131</v>
      </c>
      <c r="B343" t="s">
        <v>140</v>
      </c>
      <c r="C343" t="s">
        <v>100</v>
      </c>
      <c r="D343">
        <v>100000</v>
      </c>
      <c r="E343" t="s">
        <v>725</v>
      </c>
      <c r="F343">
        <v>414884</v>
      </c>
      <c r="G343">
        <v>583.54389135276006</v>
      </c>
      <c r="H343">
        <v>242103023.81999999</v>
      </c>
      <c r="I343" t="s">
        <v>1587</v>
      </c>
      <c r="J343">
        <v>47.707784070296</v>
      </c>
    </row>
    <row r="344" spans="1:10" x14ac:dyDescent="0.25">
      <c r="A344" t="s">
        <v>488</v>
      </c>
      <c r="B344" t="s">
        <v>767</v>
      </c>
      <c r="C344" t="s">
        <v>100</v>
      </c>
      <c r="D344" t="s">
        <v>768</v>
      </c>
      <c r="E344" t="s">
        <v>726</v>
      </c>
      <c r="F344">
        <v>1487</v>
      </c>
      <c r="G344">
        <v>1211.9670544721</v>
      </c>
      <c r="H344">
        <v>1802195.01</v>
      </c>
      <c r="I344" t="s">
        <v>1587</v>
      </c>
      <c r="J344">
        <v>0.35513282334536</v>
      </c>
    </row>
    <row r="345" spans="1:10" x14ac:dyDescent="0.25">
      <c r="A345" t="s">
        <v>488</v>
      </c>
      <c r="B345" t="s">
        <v>1027</v>
      </c>
      <c r="C345" t="s">
        <v>100</v>
      </c>
      <c r="D345" t="s">
        <v>1081</v>
      </c>
      <c r="E345" t="s">
        <v>725</v>
      </c>
      <c r="F345">
        <v>2100</v>
      </c>
      <c r="G345">
        <v>1059.0314095238</v>
      </c>
      <c r="H345">
        <v>2223965.96</v>
      </c>
      <c r="I345" t="s">
        <v>1587</v>
      </c>
      <c r="J345">
        <v>0.43824519878055002</v>
      </c>
    </row>
    <row r="346" spans="1:10" x14ac:dyDescent="0.25">
      <c r="A346" t="s">
        <v>488</v>
      </c>
      <c r="B346" t="s">
        <v>1123</v>
      </c>
      <c r="C346" t="s">
        <v>100</v>
      </c>
      <c r="D346" t="s">
        <v>1158</v>
      </c>
      <c r="E346" t="s">
        <v>725</v>
      </c>
      <c r="F346">
        <v>4867</v>
      </c>
      <c r="G346">
        <v>1028.3765605096</v>
      </c>
      <c r="H346">
        <v>5005108.72</v>
      </c>
      <c r="I346" t="s">
        <v>1587</v>
      </c>
      <c r="J346">
        <v>0.98628526936386995</v>
      </c>
    </row>
    <row r="347" spans="1:10" x14ac:dyDescent="0.25">
      <c r="A347" t="s">
        <v>488</v>
      </c>
      <c r="B347" t="s">
        <v>1123</v>
      </c>
      <c r="C347" t="s">
        <v>100</v>
      </c>
      <c r="D347" t="s">
        <v>1124</v>
      </c>
      <c r="E347" t="s">
        <v>725</v>
      </c>
      <c r="F347">
        <v>4241</v>
      </c>
      <c r="G347">
        <v>1051.0610091958999</v>
      </c>
      <c r="H347">
        <v>4457549.74</v>
      </c>
      <c r="I347" t="s">
        <v>1587</v>
      </c>
      <c r="J347">
        <v>0.87838564394235996</v>
      </c>
    </row>
    <row r="348" spans="1:10" x14ac:dyDescent="0.25">
      <c r="A348" t="s">
        <v>488</v>
      </c>
      <c r="B348" t="s">
        <v>1062</v>
      </c>
      <c r="C348" t="s">
        <v>100</v>
      </c>
      <c r="D348" t="s">
        <v>1146</v>
      </c>
      <c r="E348" t="s">
        <v>725</v>
      </c>
      <c r="F348">
        <v>3076</v>
      </c>
      <c r="G348">
        <v>1047.6115247073999</v>
      </c>
      <c r="H348">
        <v>3222453.05</v>
      </c>
      <c r="I348" t="s">
        <v>1587</v>
      </c>
      <c r="J348">
        <v>0.63500278460117998</v>
      </c>
    </row>
    <row r="349" spans="1:10" x14ac:dyDescent="0.25">
      <c r="A349" t="s">
        <v>488</v>
      </c>
      <c r="B349" t="s">
        <v>1062</v>
      </c>
      <c r="C349" t="s">
        <v>100</v>
      </c>
      <c r="D349" t="s">
        <v>1128</v>
      </c>
      <c r="E349" t="s">
        <v>725</v>
      </c>
      <c r="F349">
        <v>1523</v>
      </c>
      <c r="G349">
        <v>1074.3038542351001</v>
      </c>
      <c r="H349">
        <v>1636164.77</v>
      </c>
      <c r="I349" t="s">
        <v>1587</v>
      </c>
      <c r="J349">
        <v>0.32241561595951002</v>
      </c>
    </row>
    <row r="350" spans="1:10" x14ac:dyDescent="0.25">
      <c r="A350" t="s">
        <v>144</v>
      </c>
      <c r="B350" t="s">
        <v>103</v>
      </c>
      <c r="C350" t="s">
        <v>100</v>
      </c>
      <c r="D350" t="s">
        <v>144</v>
      </c>
      <c r="E350" t="s">
        <v>725</v>
      </c>
      <c r="F350" t="s">
        <v>103</v>
      </c>
      <c r="G350" t="s">
        <v>1587</v>
      </c>
      <c r="H350" t="s">
        <v>1587</v>
      </c>
      <c r="I350" t="s">
        <v>1587</v>
      </c>
      <c r="J350" t="s">
        <v>1587</v>
      </c>
    </row>
    <row r="351" spans="1:10" x14ac:dyDescent="0.25">
      <c r="A351" t="s">
        <v>99</v>
      </c>
      <c r="B351" t="s">
        <v>140</v>
      </c>
      <c r="C351" t="s">
        <v>108</v>
      </c>
      <c r="D351" t="s">
        <v>248</v>
      </c>
      <c r="E351" t="s">
        <v>724</v>
      </c>
      <c r="F351">
        <v>119</v>
      </c>
      <c r="G351">
        <v>16114.223445378</v>
      </c>
      <c r="H351">
        <v>1917592.59</v>
      </c>
      <c r="I351" t="s">
        <v>1587</v>
      </c>
      <c r="J351">
        <v>0.69055938565311004</v>
      </c>
    </row>
    <row r="352" spans="1:10" x14ac:dyDescent="0.25">
      <c r="A352" t="s">
        <v>1131</v>
      </c>
      <c r="B352" t="s">
        <v>201</v>
      </c>
      <c r="C352" t="s">
        <v>108</v>
      </c>
      <c r="D352" t="s">
        <v>1361</v>
      </c>
      <c r="E352" t="s">
        <v>725</v>
      </c>
      <c r="F352">
        <v>2955</v>
      </c>
      <c r="G352">
        <v>1013.4199153976</v>
      </c>
      <c r="H352">
        <v>2994655.85</v>
      </c>
      <c r="I352" t="s">
        <v>1587</v>
      </c>
      <c r="J352">
        <v>1.0784291276483</v>
      </c>
    </row>
    <row r="353" spans="1:10" x14ac:dyDescent="0.25">
      <c r="A353" t="s">
        <v>105</v>
      </c>
      <c r="B353" t="s">
        <v>103</v>
      </c>
      <c r="C353" t="s">
        <v>108</v>
      </c>
      <c r="D353" t="s">
        <v>105</v>
      </c>
      <c r="E353" t="s">
        <v>725</v>
      </c>
      <c r="F353" t="s">
        <v>103</v>
      </c>
      <c r="G353" t="s">
        <v>1587</v>
      </c>
      <c r="H353">
        <v>-86284.69</v>
      </c>
      <c r="I353" t="s">
        <v>1587</v>
      </c>
      <c r="J353">
        <v>-3.1072659973970001E-2</v>
      </c>
    </row>
    <row r="354" spans="1:10" x14ac:dyDescent="0.25">
      <c r="A354" t="s">
        <v>134</v>
      </c>
      <c r="B354" t="s">
        <v>219</v>
      </c>
      <c r="C354" t="s">
        <v>108</v>
      </c>
      <c r="D354" t="s">
        <v>507</v>
      </c>
      <c r="E354" t="s">
        <v>78</v>
      </c>
      <c r="F354">
        <v>1</v>
      </c>
      <c r="G354">
        <v>832088.28</v>
      </c>
      <c r="H354">
        <v>832088.28</v>
      </c>
      <c r="I354" t="s">
        <v>1587</v>
      </c>
      <c r="J354">
        <v>0.29964987059422998</v>
      </c>
    </row>
    <row r="355" spans="1:10" x14ac:dyDescent="0.25">
      <c r="A355" t="s">
        <v>134</v>
      </c>
      <c r="B355" t="s">
        <v>1136</v>
      </c>
      <c r="C355" t="s">
        <v>108</v>
      </c>
      <c r="D355" t="s">
        <v>1137</v>
      </c>
      <c r="E355" t="s">
        <v>725</v>
      </c>
      <c r="F355">
        <v>1</v>
      </c>
      <c r="G355">
        <v>311677.68</v>
      </c>
      <c r="H355">
        <v>311677.68</v>
      </c>
      <c r="I355" t="s">
        <v>1587</v>
      </c>
      <c r="J355">
        <v>0.11224070657396</v>
      </c>
    </row>
    <row r="356" spans="1:10" x14ac:dyDescent="0.25">
      <c r="A356" t="s">
        <v>134</v>
      </c>
      <c r="B356" t="s">
        <v>490</v>
      </c>
      <c r="C356" t="s">
        <v>108</v>
      </c>
      <c r="D356" t="s">
        <v>491</v>
      </c>
      <c r="E356" t="s">
        <v>726</v>
      </c>
      <c r="F356">
        <v>10</v>
      </c>
      <c r="G356">
        <v>704805.05099999998</v>
      </c>
      <c r="H356">
        <v>7048050.5099999998</v>
      </c>
      <c r="I356" t="s">
        <v>1587</v>
      </c>
      <c r="J356">
        <v>2.5381290351344998</v>
      </c>
    </row>
    <row r="357" spans="1:10" x14ac:dyDescent="0.25">
      <c r="A357" t="s">
        <v>134</v>
      </c>
      <c r="B357" t="s">
        <v>368</v>
      </c>
      <c r="C357" t="s">
        <v>108</v>
      </c>
      <c r="D357" t="s">
        <v>18</v>
      </c>
      <c r="E357" t="s">
        <v>78</v>
      </c>
      <c r="F357">
        <v>5</v>
      </c>
      <c r="G357">
        <v>880164.85800000001</v>
      </c>
      <c r="H357">
        <v>4400824.29</v>
      </c>
      <c r="I357" t="s">
        <v>1587</v>
      </c>
      <c r="J357">
        <v>1.5848155306387</v>
      </c>
    </row>
    <row r="358" spans="1:10" x14ac:dyDescent="0.25">
      <c r="A358" t="s">
        <v>134</v>
      </c>
      <c r="B358" t="s">
        <v>190</v>
      </c>
      <c r="C358" t="s">
        <v>108</v>
      </c>
      <c r="D358" t="s">
        <v>502</v>
      </c>
      <c r="E358" t="s">
        <v>725</v>
      </c>
      <c r="F358">
        <v>7</v>
      </c>
      <c r="G358">
        <v>420855.88714285998</v>
      </c>
      <c r="H358">
        <v>2945991.21</v>
      </c>
      <c r="I358" t="s">
        <v>1587</v>
      </c>
      <c r="J358">
        <v>1.0609041204717</v>
      </c>
    </row>
    <row r="359" spans="1:10" x14ac:dyDescent="0.25">
      <c r="A359" t="s">
        <v>134</v>
      </c>
      <c r="B359" t="s">
        <v>190</v>
      </c>
      <c r="C359" t="s">
        <v>108</v>
      </c>
      <c r="D359" t="s">
        <v>195</v>
      </c>
      <c r="E359" t="s">
        <v>78</v>
      </c>
      <c r="F359">
        <v>3</v>
      </c>
      <c r="G359">
        <v>555192.86666666996</v>
      </c>
      <c r="H359">
        <v>1665578.6</v>
      </c>
      <c r="I359" t="s">
        <v>1587</v>
      </c>
      <c r="J359">
        <v>0.59980464086636998</v>
      </c>
    </row>
    <row r="360" spans="1:10" x14ac:dyDescent="0.25">
      <c r="A360" t="s">
        <v>135</v>
      </c>
      <c r="B360" t="s">
        <v>399</v>
      </c>
      <c r="C360" t="s">
        <v>108</v>
      </c>
      <c r="D360" t="s">
        <v>887</v>
      </c>
      <c r="E360" t="s">
        <v>726</v>
      </c>
      <c r="F360">
        <v>8</v>
      </c>
      <c r="G360">
        <v>309657.89750000002</v>
      </c>
      <c r="H360">
        <v>2477263.1800000002</v>
      </c>
      <c r="I360" t="s">
        <v>1587</v>
      </c>
      <c r="J360">
        <v>0.89210677419329998</v>
      </c>
    </row>
    <row r="361" spans="1:10" x14ac:dyDescent="0.25">
      <c r="A361" t="s">
        <v>135</v>
      </c>
      <c r="B361" t="s">
        <v>196</v>
      </c>
      <c r="C361" t="s">
        <v>108</v>
      </c>
      <c r="D361" t="s">
        <v>285</v>
      </c>
      <c r="E361" t="s">
        <v>78</v>
      </c>
      <c r="F361">
        <v>11</v>
      </c>
      <c r="G361">
        <v>303810.32818181999</v>
      </c>
      <c r="H361">
        <v>3341913.61</v>
      </c>
      <c r="I361" t="s">
        <v>1587</v>
      </c>
      <c r="J361">
        <v>1.2034828573401</v>
      </c>
    </row>
    <row r="362" spans="1:10" x14ac:dyDescent="0.25">
      <c r="A362" t="s">
        <v>135</v>
      </c>
      <c r="B362" t="s">
        <v>196</v>
      </c>
      <c r="C362" t="s">
        <v>108</v>
      </c>
      <c r="D362" t="s">
        <v>220</v>
      </c>
      <c r="E362" t="s">
        <v>78</v>
      </c>
      <c r="F362">
        <v>3</v>
      </c>
      <c r="G362">
        <v>303406.90666666999</v>
      </c>
      <c r="H362">
        <v>910220.72</v>
      </c>
      <c r="I362" t="s">
        <v>1587</v>
      </c>
      <c r="J362">
        <v>0.32778675954934</v>
      </c>
    </row>
    <row r="363" spans="1:10" x14ac:dyDescent="0.25">
      <c r="A363" t="s">
        <v>135</v>
      </c>
      <c r="B363" t="s">
        <v>196</v>
      </c>
      <c r="C363" t="s">
        <v>108</v>
      </c>
      <c r="D363" t="s">
        <v>197</v>
      </c>
      <c r="E363" t="s">
        <v>78</v>
      </c>
      <c r="F363">
        <v>1</v>
      </c>
      <c r="G363">
        <v>304671.96000000002</v>
      </c>
      <c r="H363">
        <v>304671.96000000002</v>
      </c>
      <c r="I363" t="s">
        <v>1587</v>
      </c>
      <c r="J363">
        <v>0.10971782151251</v>
      </c>
    </row>
    <row r="364" spans="1:10" x14ac:dyDescent="0.25">
      <c r="A364" t="s">
        <v>135</v>
      </c>
      <c r="B364" t="s">
        <v>193</v>
      </c>
      <c r="C364" t="s">
        <v>108</v>
      </c>
      <c r="D364" t="s">
        <v>518</v>
      </c>
      <c r="E364" t="s">
        <v>78</v>
      </c>
      <c r="F364">
        <v>5</v>
      </c>
      <c r="G364">
        <v>338337.50599999999</v>
      </c>
      <c r="H364">
        <v>1691687.53</v>
      </c>
      <c r="I364" t="s">
        <v>1587</v>
      </c>
      <c r="J364">
        <v>0.60920693348832</v>
      </c>
    </row>
    <row r="365" spans="1:10" x14ac:dyDescent="0.25">
      <c r="A365" t="s">
        <v>135</v>
      </c>
      <c r="B365" t="s">
        <v>193</v>
      </c>
      <c r="C365" t="s">
        <v>108</v>
      </c>
      <c r="D365" t="s">
        <v>404</v>
      </c>
      <c r="E365" t="s">
        <v>78</v>
      </c>
      <c r="F365">
        <v>6</v>
      </c>
      <c r="G365">
        <v>338337.505</v>
      </c>
      <c r="H365">
        <v>676675.01</v>
      </c>
      <c r="I365" t="s">
        <v>1587</v>
      </c>
      <c r="J365">
        <v>0.24368277267509</v>
      </c>
    </row>
    <row r="366" spans="1:10" x14ac:dyDescent="0.25">
      <c r="A366" t="s">
        <v>135</v>
      </c>
      <c r="B366" t="s">
        <v>193</v>
      </c>
      <c r="C366" t="s">
        <v>108</v>
      </c>
      <c r="D366" t="s">
        <v>489</v>
      </c>
      <c r="E366" t="s">
        <v>78</v>
      </c>
      <c r="F366">
        <v>6</v>
      </c>
      <c r="G366">
        <v>338337.505</v>
      </c>
      <c r="H366">
        <v>676675.01</v>
      </c>
      <c r="I366" t="s">
        <v>1587</v>
      </c>
      <c r="J366">
        <v>0.24368277267509</v>
      </c>
    </row>
    <row r="367" spans="1:10" x14ac:dyDescent="0.25">
      <c r="A367" t="s">
        <v>135</v>
      </c>
      <c r="B367" t="s">
        <v>193</v>
      </c>
      <c r="C367" t="s">
        <v>108</v>
      </c>
      <c r="D367" t="s">
        <v>400</v>
      </c>
      <c r="E367" t="s">
        <v>78</v>
      </c>
      <c r="F367">
        <v>6</v>
      </c>
      <c r="G367">
        <v>338337.505</v>
      </c>
      <c r="H367">
        <v>676675.01</v>
      </c>
      <c r="I367" t="s">
        <v>1587</v>
      </c>
      <c r="J367">
        <v>0.24368277267509</v>
      </c>
    </row>
    <row r="368" spans="1:10" x14ac:dyDescent="0.25">
      <c r="A368" t="s">
        <v>135</v>
      </c>
      <c r="B368" t="s">
        <v>190</v>
      </c>
      <c r="C368" t="s">
        <v>108</v>
      </c>
      <c r="D368" t="s">
        <v>898</v>
      </c>
      <c r="E368" t="s">
        <v>725</v>
      </c>
      <c r="F368">
        <v>7</v>
      </c>
      <c r="G368">
        <v>350793.71142856998</v>
      </c>
      <c r="H368">
        <v>2455555.98</v>
      </c>
      <c r="I368" t="s">
        <v>1587</v>
      </c>
      <c r="J368">
        <v>0.88428962326436</v>
      </c>
    </row>
    <row r="369" spans="1:10" x14ac:dyDescent="0.25">
      <c r="A369" t="s">
        <v>135</v>
      </c>
      <c r="B369" t="s">
        <v>190</v>
      </c>
      <c r="C369" t="s">
        <v>108</v>
      </c>
      <c r="D369" t="s">
        <v>199</v>
      </c>
      <c r="E369" t="s">
        <v>78</v>
      </c>
      <c r="F369">
        <v>6</v>
      </c>
      <c r="G369">
        <v>546388.59250000003</v>
      </c>
      <c r="H369">
        <v>2185554.37</v>
      </c>
      <c r="I369" t="s">
        <v>1587</v>
      </c>
      <c r="J369">
        <v>0.78705721482720004</v>
      </c>
    </row>
    <row r="370" spans="1:10" x14ac:dyDescent="0.25">
      <c r="A370" t="s">
        <v>135</v>
      </c>
      <c r="B370" t="s">
        <v>190</v>
      </c>
      <c r="C370" t="s">
        <v>108</v>
      </c>
      <c r="D370" t="s">
        <v>519</v>
      </c>
      <c r="E370" t="s">
        <v>78</v>
      </c>
      <c r="F370">
        <v>3</v>
      </c>
      <c r="G370">
        <v>526517.57333332999</v>
      </c>
      <c r="H370">
        <v>1579552.72</v>
      </c>
      <c r="I370" t="s">
        <v>1587</v>
      </c>
      <c r="J370">
        <v>0.56882518300192997</v>
      </c>
    </row>
    <row r="371" spans="1:10" x14ac:dyDescent="0.25">
      <c r="A371" t="s">
        <v>135</v>
      </c>
      <c r="B371" t="s">
        <v>190</v>
      </c>
      <c r="C371" t="s">
        <v>108</v>
      </c>
      <c r="D371" t="s">
        <v>200</v>
      </c>
      <c r="E371" t="s">
        <v>78</v>
      </c>
      <c r="F371">
        <v>6</v>
      </c>
      <c r="G371">
        <v>546388.59499999997</v>
      </c>
      <c r="H371">
        <v>1092777.19</v>
      </c>
      <c r="I371" t="s">
        <v>1587</v>
      </c>
      <c r="J371">
        <v>0.39352860921418997</v>
      </c>
    </row>
    <row r="372" spans="1:10" x14ac:dyDescent="0.25">
      <c r="A372" t="s">
        <v>135</v>
      </c>
      <c r="B372" t="s">
        <v>190</v>
      </c>
      <c r="C372" t="s">
        <v>108</v>
      </c>
      <c r="D372" t="s">
        <v>17</v>
      </c>
      <c r="E372" t="s">
        <v>725</v>
      </c>
      <c r="F372">
        <v>1</v>
      </c>
      <c r="G372">
        <v>525852.77</v>
      </c>
      <c r="H372">
        <v>525852.77</v>
      </c>
      <c r="I372" t="s">
        <v>1587</v>
      </c>
      <c r="J372">
        <v>0.18936898676437999</v>
      </c>
    </row>
    <row r="373" spans="1:10" x14ac:dyDescent="0.25">
      <c r="A373" t="s">
        <v>112</v>
      </c>
      <c r="B373" t="s">
        <v>201</v>
      </c>
      <c r="C373" t="s">
        <v>108</v>
      </c>
      <c r="D373" t="s">
        <v>930</v>
      </c>
      <c r="E373" t="s">
        <v>726</v>
      </c>
      <c r="F373">
        <v>6</v>
      </c>
      <c r="G373">
        <v>55650.05</v>
      </c>
      <c r="H373">
        <v>333900.3</v>
      </c>
      <c r="I373" t="s">
        <v>1587</v>
      </c>
      <c r="J373">
        <v>0.12024346946261</v>
      </c>
    </row>
    <row r="374" spans="1:10" x14ac:dyDescent="0.25">
      <c r="A374" t="s">
        <v>112</v>
      </c>
      <c r="B374" t="s">
        <v>1383</v>
      </c>
      <c r="C374" t="s">
        <v>108</v>
      </c>
      <c r="D374" t="s">
        <v>1384</v>
      </c>
      <c r="E374" t="s">
        <v>726</v>
      </c>
      <c r="F374">
        <v>39</v>
      </c>
      <c r="G374">
        <v>55383.068717948998</v>
      </c>
      <c r="H374">
        <v>2159939.6800000002</v>
      </c>
      <c r="I374" t="s">
        <v>1587</v>
      </c>
      <c r="J374">
        <v>0.77783290686817996</v>
      </c>
    </row>
    <row r="375" spans="1:10" x14ac:dyDescent="0.25">
      <c r="A375" t="s">
        <v>112</v>
      </c>
      <c r="B375" t="s">
        <v>409</v>
      </c>
      <c r="C375" t="s">
        <v>108</v>
      </c>
      <c r="D375" t="s">
        <v>510</v>
      </c>
      <c r="E375" t="s">
        <v>726</v>
      </c>
      <c r="F375">
        <v>13</v>
      </c>
      <c r="G375">
        <v>147986.70769231001</v>
      </c>
      <c r="H375">
        <v>1923827.2</v>
      </c>
      <c r="I375" t="s">
        <v>1587</v>
      </c>
      <c r="J375">
        <v>0.69280458021311997</v>
      </c>
    </row>
    <row r="376" spans="1:10" x14ac:dyDescent="0.25">
      <c r="A376" t="s">
        <v>112</v>
      </c>
      <c r="B376" t="s">
        <v>409</v>
      </c>
      <c r="C376" t="s">
        <v>108</v>
      </c>
      <c r="D376" t="s">
        <v>511</v>
      </c>
      <c r="E376" t="s">
        <v>726</v>
      </c>
      <c r="F376">
        <v>11</v>
      </c>
      <c r="G376">
        <v>70604.936363636007</v>
      </c>
      <c r="H376">
        <v>776654.3</v>
      </c>
      <c r="I376" t="s">
        <v>1587</v>
      </c>
      <c r="J376">
        <v>0.27968710302163002</v>
      </c>
    </row>
    <row r="377" spans="1:10" x14ac:dyDescent="0.25">
      <c r="A377" t="s">
        <v>112</v>
      </c>
      <c r="B377" t="s">
        <v>465</v>
      </c>
      <c r="C377" t="s">
        <v>108</v>
      </c>
      <c r="D377" t="s">
        <v>1054</v>
      </c>
      <c r="E377" t="s">
        <v>726</v>
      </c>
      <c r="F377">
        <v>67</v>
      </c>
      <c r="G377">
        <v>54409.619552238997</v>
      </c>
      <c r="H377">
        <v>3645444.51</v>
      </c>
      <c r="I377" t="s">
        <v>1587</v>
      </c>
      <c r="J377">
        <v>1.31278976274</v>
      </c>
    </row>
    <row r="378" spans="1:10" x14ac:dyDescent="0.25">
      <c r="A378" t="s">
        <v>112</v>
      </c>
      <c r="B378" t="s">
        <v>1088</v>
      </c>
      <c r="C378" t="s">
        <v>108</v>
      </c>
      <c r="D378" t="s">
        <v>1091</v>
      </c>
      <c r="E378" t="s">
        <v>725</v>
      </c>
      <c r="F378">
        <v>53</v>
      </c>
      <c r="G378">
        <v>52570.031698113002</v>
      </c>
      <c r="H378">
        <v>2786211.68</v>
      </c>
      <c r="I378" t="s">
        <v>1587</v>
      </c>
      <c r="J378">
        <v>1.0033646542409</v>
      </c>
    </row>
    <row r="379" spans="1:10" x14ac:dyDescent="0.25">
      <c r="A379" t="s">
        <v>112</v>
      </c>
      <c r="B379" t="s">
        <v>805</v>
      </c>
      <c r="C379" t="s">
        <v>108</v>
      </c>
      <c r="D379" t="s">
        <v>997</v>
      </c>
      <c r="E379" t="s">
        <v>725</v>
      </c>
      <c r="F379">
        <v>41</v>
      </c>
      <c r="G379">
        <v>54586.672682926997</v>
      </c>
      <c r="H379">
        <v>2238053.58</v>
      </c>
      <c r="I379" t="s">
        <v>1587</v>
      </c>
      <c r="J379">
        <v>0.80596311923772002</v>
      </c>
    </row>
    <row r="380" spans="1:10" x14ac:dyDescent="0.25">
      <c r="A380" t="s">
        <v>112</v>
      </c>
      <c r="B380" t="s">
        <v>1062</v>
      </c>
      <c r="C380" t="s">
        <v>108</v>
      </c>
      <c r="D380" t="s">
        <v>1470</v>
      </c>
      <c r="E380" t="s">
        <v>725</v>
      </c>
      <c r="F380">
        <v>12</v>
      </c>
      <c r="G380">
        <v>53895.216666667002</v>
      </c>
      <c r="H380">
        <v>646742.6</v>
      </c>
      <c r="I380" t="s">
        <v>1587</v>
      </c>
      <c r="J380">
        <v>0.23290357652648999</v>
      </c>
    </row>
    <row r="381" spans="1:10" x14ac:dyDescent="0.25">
      <c r="A381" t="s">
        <v>112</v>
      </c>
      <c r="B381" t="s">
        <v>360</v>
      </c>
      <c r="C381" t="s">
        <v>108</v>
      </c>
      <c r="D381" t="s">
        <v>1051</v>
      </c>
      <c r="E381" t="s">
        <v>726</v>
      </c>
      <c r="F381">
        <v>54</v>
      </c>
      <c r="G381">
        <v>54545.811296296</v>
      </c>
      <c r="H381">
        <v>2945473.81</v>
      </c>
      <c r="I381" t="s">
        <v>1587</v>
      </c>
      <c r="J381">
        <v>1.0607177954786</v>
      </c>
    </row>
    <row r="382" spans="1:10" x14ac:dyDescent="0.25">
      <c r="A382" t="s">
        <v>112</v>
      </c>
      <c r="B382" t="s">
        <v>360</v>
      </c>
      <c r="C382" t="s">
        <v>108</v>
      </c>
      <c r="D382" t="s">
        <v>935</v>
      </c>
      <c r="E382" t="s">
        <v>725</v>
      </c>
      <c r="F382">
        <v>37</v>
      </c>
      <c r="G382">
        <v>55371.079189188997</v>
      </c>
      <c r="H382">
        <v>2048729.93</v>
      </c>
      <c r="I382" t="s">
        <v>1587</v>
      </c>
      <c r="J382">
        <v>0.73778428703145005</v>
      </c>
    </row>
    <row r="383" spans="1:10" x14ac:dyDescent="0.25">
      <c r="A383" t="s">
        <v>112</v>
      </c>
      <c r="B383" t="s">
        <v>1151</v>
      </c>
      <c r="C383" t="s">
        <v>108</v>
      </c>
      <c r="D383" t="s">
        <v>1134</v>
      </c>
      <c r="E383" t="s">
        <v>725</v>
      </c>
      <c r="F383">
        <v>56</v>
      </c>
      <c r="G383">
        <v>51924.531071429003</v>
      </c>
      <c r="H383">
        <v>2907773.74</v>
      </c>
      <c r="I383" t="s">
        <v>1587</v>
      </c>
      <c r="J383">
        <v>1.0471413260481</v>
      </c>
    </row>
    <row r="384" spans="1:10" x14ac:dyDescent="0.25">
      <c r="A384" t="s">
        <v>112</v>
      </c>
      <c r="B384" t="s">
        <v>368</v>
      </c>
      <c r="C384" t="s">
        <v>108</v>
      </c>
      <c r="D384" t="s">
        <v>954</v>
      </c>
      <c r="E384" t="s">
        <v>725</v>
      </c>
      <c r="F384">
        <v>24</v>
      </c>
      <c r="G384">
        <v>111703.52041667</v>
      </c>
      <c r="H384">
        <v>2680884.4900000002</v>
      </c>
      <c r="I384" t="s">
        <v>1587</v>
      </c>
      <c r="J384">
        <v>0.96543444946320001</v>
      </c>
    </row>
    <row r="385" spans="1:10" x14ac:dyDescent="0.25">
      <c r="A385" t="s">
        <v>112</v>
      </c>
      <c r="B385" t="s">
        <v>368</v>
      </c>
      <c r="C385" t="s">
        <v>108</v>
      </c>
      <c r="D385" t="s">
        <v>486</v>
      </c>
      <c r="E385" t="s">
        <v>726</v>
      </c>
      <c r="F385">
        <v>10</v>
      </c>
      <c r="G385">
        <v>136495.18900000001</v>
      </c>
      <c r="H385">
        <v>1364951.89</v>
      </c>
      <c r="I385" t="s">
        <v>1587</v>
      </c>
      <c r="J385">
        <v>0.49154358622362998</v>
      </c>
    </row>
    <row r="386" spans="1:10" x14ac:dyDescent="0.25">
      <c r="A386" t="s">
        <v>112</v>
      </c>
      <c r="B386" t="s">
        <v>808</v>
      </c>
      <c r="C386" t="s">
        <v>108</v>
      </c>
      <c r="D386" t="s">
        <v>809</v>
      </c>
      <c r="E386" t="s">
        <v>726</v>
      </c>
      <c r="F386">
        <v>16</v>
      </c>
      <c r="G386">
        <v>60475.118750000001</v>
      </c>
      <c r="H386">
        <v>967601.9</v>
      </c>
      <c r="I386" t="s">
        <v>1587</v>
      </c>
      <c r="J386">
        <v>0.34845074866543002</v>
      </c>
    </row>
    <row r="387" spans="1:10" x14ac:dyDescent="0.25">
      <c r="A387" t="s">
        <v>113</v>
      </c>
      <c r="B387" t="s">
        <v>114</v>
      </c>
      <c r="C387" t="s">
        <v>108</v>
      </c>
      <c r="D387" t="s">
        <v>177</v>
      </c>
      <c r="E387" t="s">
        <v>430</v>
      </c>
      <c r="F387">
        <v>-28</v>
      </c>
      <c r="G387">
        <v>177502.20586086999</v>
      </c>
      <c r="H387">
        <v>5376.28</v>
      </c>
      <c r="I387">
        <v>-4970061.7641045004</v>
      </c>
      <c r="J387">
        <v>-1.7898081252378999</v>
      </c>
    </row>
    <row r="388" spans="1:10" x14ac:dyDescent="0.25">
      <c r="A388" t="s">
        <v>113</v>
      </c>
      <c r="B388" t="s">
        <v>114</v>
      </c>
      <c r="C388" t="s">
        <v>108</v>
      </c>
      <c r="D388" t="s">
        <v>143</v>
      </c>
      <c r="E388" t="s">
        <v>431</v>
      </c>
      <c r="F388">
        <v>1</v>
      </c>
      <c r="G388">
        <v>78010.259999999995</v>
      </c>
      <c r="H388">
        <v>53.77</v>
      </c>
      <c r="I388">
        <v>78010.259999999995</v>
      </c>
      <c r="J388">
        <v>2.8092889752061E-2</v>
      </c>
    </row>
    <row r="389" spans="1:10" x14ac:dyDescent="0.25">
      <c r="A389" t="s">
        <v>113</v>
      </c>
      <c r="B389" t="s">
        <v>114</v>
      </c>
      <c r="C389" t="s">
        <v>108</v>
      </c>
      <c r="D389" t="s">
        <v>116</v>
      </c>
      <c r="E389" t="s">
        <v>725</v>
      </c>
      <c r="F389" t="s">
        <v>103</v>
      </c>
      <c r="G389">
        <v>160200.83481885001</v>
      </c>
      <c r="H389" t="s">
        <v>1587</v>
      </c>
      <c r="I389">
        <v>0</v>
      </c>
      <c r="J389" t="s">
        <v>1587</v>
      </c>
    </row>
    <row r="390" spans="1:10" x14ac:dyDescent="0.25">
      <c r="A390" t="s">
        <v>113</v>
      </c>
      <c r="B390" t="s">
        <v>114</v>
      </c>
      <c r="C390" t="s">
        <v>108</v>
      </c>
      <c r="D390" t="s">
        <v>202</v>
      </c>
      <c r="E390" t="s">
        <v>431</v>
      </c>
      <c r="F390">
        <v>3</v>
      </c>
      <c r="G390">
        <v>59837.78</v>
      </c>
      <c r="H390">
        <v>-202.2</v>
      </c>
      <c r="I390">
        <v>179513.34</v>
      </c>
      <c r="J390">
        <v>6.4645964128875993E-2</v>
      </c>
    </row>
    <row r="391" spans="1:10" x14ac:dyDescent="0.25">
      <c r="A391" t="s">
        <v>113</v>
      </c>
      <c r="B391" t="s">
        <v>114</v>
      </c>
      <c r="C391" t="s">
        <v>108</v>
      </c>
      <c r="D391" t="s">
        <v>479</v>
      </c>
      <c r="E391" t="s">
        <v>431</v>
      </c>
      <c r="F391">
        <v>-11</v>
      </c>
      <c r="G391">
        <v>89079.679999999993</v>
      </c>
      <c r="H391">
        <v>-333.52</v>
      </c>
      <c r="I391">
        <v>-979876.48</v>
      </c>
      <c r="J391">
        <v>-0.35287104444054002</v>
      </c>
    </row>
    <row r="392" spans="1:10" x14ac:dyDescent="0.25">
      <c r="A392" t="s">
        <v>113</v>
      </c>
      <c r="B392" t="s">
        <v>114</v>
      </c>
      <c r="C392" t="s">
        <v>108</v>
      </c>
      <c r="D392" t="s">
        <v>179</v>
      </c>
      <c r="E392" t="s">
        <v>430</v>
      </c>
      <c r="F392">
        <v>-24</v>
      </c>
      <c r="G392">
        <v>139301.90008560001</v>
      </c>
      <c r="H392">
        <v>-1256.1600000000001</v>
      </c>
      <c r="I392">
        <v>-3343245.6020543999</v>
      </c>
      <c r="J392">
        <v>-1.2039625315000999</v>
      </c>
    </row>
    <row r="393" spans="1:10" x14ac:dyDescent="0.25">
      <c r="A393" t="s">
        <v>118</v>
      </c>
      <c r="B393" t="s">
        <v>25</v>
      </c>
      <c r="C393" t="s">
        <v>108</v>
      </c>
      <c r="D393" t="s">
        <v>119</v>
      </c>
      <c r="E393" t="s">
        <v>724</v>
      </c>
      <c r="F393">
        <v>2741057</v>
      </c>
      <c r="G393">
        <v>4.6704749562006</v>
      </c>
      <c r="H393">
        <v>4762133.0272161001</v>
      </c>
      <c r="I393" t="s">
        <v>1587</v>
      </c>
      <c r="J393">
        <v>1.7149292685119999</v>
      </c>
    </row>
    <row r="394" spans="1:10" x14ac:dyDescent="0.25">
      <c r="A394" t="s">
        <v>118</v>
      </c>
      <c r="B394" t="s">
        <v>145</v>
      </c>
      <c r="C394" t="s">
        <v>108</v>
      </c>
      <c r="D394" t="s">
        <v>121</v>
      </c>
      <c r="E394" t="s">
        <v>731</v>
      </c>
      <c r="F394">
        <v>12506589</v>
      </c>
      <c r="G394">
        <v>1.4964001723684</v>
      </c>
      <c r="H394">
        <v>12721985.748229001</v>
      </c>
      <c r="I394" t="s">
        <v>1587</v>
      </c>
      <c r="J394">
        <v>4.5814145863927003</v>
      </c>
    </row>
    <row r="395" spans="1:10" x14ac:dyDescent="0.25">
      <c r="A395" t="s">
        <v>126</v>
      </c>
      <c r="B395" t="s">
        <v>252</v>
      </c>
      <c r="C395" t="s">
        <v>108</v>
      </c>
      <c r="D395" t="s">
        <v>253</v>
      </c>
      <c r="E395" t="s">
        <v>126</v>
      </c>
      <c r="F395">
        <v>3158</v>
      </c>
      <c r="G395">
        <v>600.39131469999995</v>
      </c>
      <c r="H395">
        <v>453295.4425985</v>
      </c>
      <c r="I395" t="s">
        <v>1587</v>
      </c>
      <c r="J395">
        <v>0.16323979556063001</v>
      </c>
    </row>
    <row r="396" spans="1:10" x14ac:dyDescent="0.25">
      <c r="A396" t="s">
        <v>126</v>
      </c>
      <c r="B396" t="s">
        <v>877</v>
      </c>
      <c r="C396" t="s">
        <v>108</v>
      </c>
      <c r="D396" t="s">
        <v>1140</v>
      </c>
      <c r="E396" t="s">
        <v>725</v>
      </c>
      <c r="F396">
        <v>3900</v>
      </c>
      <c r="G396">
        <v>901.24843316385</v>
      </c>
      <c r="H396">
        <v>3514868.889339</v>
      </c>
      <c r="I396" t="s">
        <v>1587</v>
      </c>
      <c r="J396">
        <v>1.2657671465414</v>
      </c>
    </row>
    <row r="397" spans="1:10" x14ac:dyDescent="0.25">
      <c r="A397" t="s">
        <v>126</v>
      </c>
      <c r="B397" t="s">
        <v>732</v>
      </c>
      <c r="C397" t="s">
        <v>108</v>
      </c>
      <c r="D397" t="s">
        <v>910</v>
      </c>
      <c r="E397" t="s">
        <v>725</v>
      </c>
      <c r="F397">
        <v>796</v>
      </c>
      <c r="G397">
        <v>1201.9993831999</v>
      </c>
      <c r="H397">
        <v>956791.50902711996</v>
      </c>
      <c r="I397" t="s">
        <v>1587</v>
      </c>
      <c r="J397">
        <v>0.34455773354437003</v>
      </c>
    </row>
    <row r="398" spans="1:10" x14ac:dyDescent="0.25">
      <c r="A398" t="s">
        <v>126</v>
      </c>
      <c r="B398" t="s">
        <v>1048</v>
      </c>
      <c r="C398" t="s">
        <v>108</v>
      </c>
      <c r="D398" t="s">
        <v>1077</v>
      </c>
      <c r="E398" t="s">
        <v>725</v>
      </c>
      <c r="F398">
        <v>1508</v>
      </c>
      <c r="G398">
        <v>1080.7552998399999</v>
      </c>
      <c r="H398">
        <v>1629778.9921587</v>
      </c>
      <c r="I398" t="s">
        <v>1587</v>
      </c>
      <c r="J398">
        <v>0.58691256184687002</v>
      </c>
    </row>
    <row r="399" spans="1:10" x14ac:dyDescent="0.25">
      <c r="A399" t="s">
        <v>126</v>
      </c>
      <c r="B399" t="s">
        <v>1141</v>
      </c>
      <c r="C399" t="s">
        <v>108</v>
      </c>
      <c r="D399" t="s">
        <v>1142</v>
      </c>
      <c r="E399" t="s">
        <v>725</v>
      </c>
      <c r="F399">
        <v>902</v>
      </c>
      <c r="G399">
        <v>1238.7405139499999</v>
      </c>
      <c r="H399">
        <v>1117343.9435829001</v>
      </c>
      <c r="I399" t="s">
        <v>1587</v>
      </c>
      <c r="J399">
        <v>0.40237553652823999</v>
      </c>
    </row>
    <row r="400" spans="1:10" x14ac:dyDescent="0.25">
      <c r="A400" t="s">
        <v>126</v>
      </c>
      <c r="B400" t="s">
        <v>467</v>
      </c>
      <c r="C400" t="s">
        <v>108</v>
      </c>
      <c r="D400" t="s">
        <v>468</v>
      </c>
      <c r="E400" t="s">
        <v>126</v>
      </c>
      <c r="F400">
        <v>2555</v>
      </c>
      <c r="G400">
        <v>1013.54902903</v>
      </c>
      <c r="H400">
        <v>2589617.7691716999</v>
      </c>
      <c r="I400" t="s">
        <v>1587</v>
      </c>
      <c r="J400">
        <v>0.93256767108990002</v>
      </c>
    </row>
    <row r="401" spans="1:10" x14ac:dyDescent="0.25">
      <c r="A401" t="s">
        <v>126</v>
      </c>
      <c r="B401" t="s">
        <v>416</v>
      </c>
      <c r="C401" t="s">
        <v>108</v>
      </c>
      <c r="D401" t="s">
        <v>417</v>
      </c>
      <c r="E401" t="s">
        <v>126</v>
      </c>
      <c r="F401">
        <v>2103</v>
      </c>
      <c r="G401">
        <v>1005.96786836</v>
      </c>
      <c r="H401">
        <v>2115550.4271610999</v>
      </c>
      <c r="I401" t="s">
        <v>1587</v>
      </c>
      <c r="J401">
        <v>0.76184754306885005</v>
      </c>
    </row>
    <row r="402" spans="1:10" x14ac:dyDescent="0.25">
      <c r="A402" t="s">
        <v>126</v>
      </c>
      <c r="B402" t="s">
        <v>136</v>
      </c>
      <c r="C402" t="s">
        <v>108</v>
      </c>
      <c r="D402" t="s">
        <v>136</v>
      </c>
      <c r="E402" t="s">
        <v>126</v>
      </c>
      <c r="F402">
        <v>1262</v>
      </c>
      <c r="G402">
        <v>341.53126800000001</v>
      </c>
      <c r="H402">
        <v>431012.46021599998</v>
      </c>
      <c r="I402" t="s">
        <v>1587</v>
      </c>
      <c r="J402">
        <v>0.15521529509852999</v>
      </c>
    </row>
    <row r="403" spans="1:10" x14ac:dyDescent="0.25">
      <c r="A403" t="s">
        <v>126</v>
      </c>
      <c r="B403" t="s">
        <v>1237</v>
      </c>
      <c r="C403" t="s">
        <v>108</v>
      </c>
      <c r="D403" t="s">
        <v>1238</v>
      </c>
      <c r="E403" t="s">
        <v>725</v>
      </c>
      <c r="F403">
        <v>2880</v>
      </c>
      <c r="G403">
        <v>1025.6342651699999</v>
      </c>
      <c r="H403">
        <v>2953826.6836895999</v>
      </c>
      <c r="I403" t="s">
        <v>1587</v>
      </c>
      <c r="J403">
        <v>1.063725814676</v>
      </c>
    </row>
    <row r="404" spans="1:10" x14ac:dyDescent="0.25">
      <c r="A404" t="s">
        <v>126</v>
      </c>
      <c r="B404" t="s">
        <v>1145</v>
      </c>
      <c r="C404" t="s">
        <v>108</v>
      </c>
      <c r="D404" t="s">
        <v>1094</v>
      </c>
      <c r="E404" t="s">
        <v>725</v>
      </c>
      <c r="F404">
        <v>1401</v>
      </c>
      <c r="G404">
        <v>1004.09895295</v>
      </c>
      <c r="H404">
        <v>1406742.6330830001</v>
      </c>
      <c r="I404" t="s">
        <v>1587</v>
      </c>
      <c r="J404">
        <v>0.50659318018838995</v>
      </c>
    </row>
    <row r="405" spans="1:10" x14ac:dyDescent="0.25">
      <c r="A405" t="s">
        <v>126</v>
      </c>
      <c r="B405" t="s">
        <v>1399</v>
      </c>
      <c r="C405" t="s">
        <v>108</v>
      </c>
      <c r="D405" t="s">
        <v>1400</v>
      </c>
      <c r="E405" t="s">
        <v>725</v>
      </c>
      <c r="F405">
        <v>1327</v>
      </c>
      <c r="G405">
        <v>1007.11572183</v>
      </c>
      <c r="H405">
        <v>1336442.5628684</v>
      </c>
      <c r="I405" t="s">
        <v>1587</v>
      </c>
      <c r="J405">
        <v>0.48127686766618</v>
      </c>
    </row>
    <row r="406" spans="1:10" x14ac:dyDescent="0.25">
      <c r="A406" t="s">
        <v>126</v>
      </c>
      <c r="B406" t="s">
        <v>385</v>
      </c>
      <c r="C406" t="s">
        <v>108</v>
      </c>
      <c r="D406" t="s">
        <v>386</v>
      </c>
      <c r="E406" t="s">
        <v>725</v>
      </c>
      <c r="F406">
        <v>1</v>
      </c>
      <c r="G406">
        <v>0.22305948</v>
      </c>
      <c r="H406">
        <v>0.22305948</v>
      </c>
      <c r="I406" t="s">
        <v>1587</v>
      </c>
      <c r="J406">
        <v>8.0327709999999997E-8</v>
      </c>
    </row>
    <row r="407" spans="1:10" x14ac:dyDescent="0.25">
      <c r="A407" t="s">
        <v>126</v>
      </c>
      <c r="B407" t="s">
        <v>235</v>
      </c>
      <c r="C407" t="s">
        <v>108</v>
      </c>
      <c r="D407" t="s">
        <v>737</v>
      </c>
      <c r="E407" t="s">
        <v>725</v>
      </c>
      <c r="F407">
        <v>1251783</v>
      </c>
      <c r="G407">
        <v>0.62715140000000003</v>
      </c>
      <c r="H407">
        <v>785057.46094619995</v>
      </c>
      <c r="I407" t="s">
        <v>1587</v>
      </c>
      <c r="J407">
        <v>0.28271323155946998</v>
      </c>
    </row>
    <row r="408" spans="1:10" x14ac:dyDescent="0.25">
      <c r="A408" t="s">
        <v>126</v>
      </c>
      <c r="B408" t="s">
        <v>941</v>
      </c>
      <c r="C408" t="s">
        <v>108</v>
      </c>
      <c r="D408" t="s">
        <v>942</v>
      </c>
      <c r="E408" t="s">
        <v>725</v>
      </c>
      <c r="F408">
        <v>890</v>
      </c>
      <c r="G408">
        <v>1002.19976196</v>
      </c>
      <c r="H408">
        <v>891957.78814439999</v>
      </c>
      <c r="I408" t="s">
        <v>1587</v>
      </c>
      <c r="J408">
        <v>0.32120995117607998</v>
      </c>
    </row>
    <row r="409" spans="1:10" x14ac:dyDescent="0.25">
      <c r="A409" t="s">
        <v>126</v>
      </c>
      <c r="B409" t="s">
        <v>1096</v>
      </c>
      <c r="C409" t="s">
        <v>108</v>
      </c>
      <c r="D409" t="s">
        <v>1097</v>
      </c>
      <c r="E409" t="s">
        <v>725</v>
      </c>
      <c r="F409">
        <v>9</v>
      </c>
      <c r="G409">
        <v>38849.291476270002</v>
      </c>
      <c r="H409">
        <v>349643.62328643003</v>
      </c>
      <c r="I409" t="s">
        <v>1587</v>
      </c>
      <c r="J409">
        <v>0.12591292172974</v>
      </c>
    </row>
    <row r="410" spans="1:10" x14ac:dyDescent="0.25">
      <c r="A410" t="s">
        <v>127</v>
      </c>
      <c r="B410" t="s">
        <v>1152</v>
      </c>
      <c r="C410" t="s">
        <v>108</v>
      </c>
      <c r="D410" t="s">
        <v>911</v>
      </c>
      <c r="E410" t="s">
        <v>726</v>
      </c>
      <c r="F410">
        <v>1465</v>
      </c>
      <c r="G410">
        <v>1046.6060341297</v>
      </c>
      <c r="H410">
        <v>1533277.84</v>
      </c>
      <c r="I410" t="s">
        <v>1587</v>
      </c>
      <c r="J410">
        <v>0.55216077113956996</v>
      </c>
    </row>
    <row r="411" spans="1:10" x14ac:dyDescent="0.25">
      <c r="A411" t="s">
        <v>127</v>
      </c>
      <c r="B411" t="s">
        <v>38</v>
      </c>
      <c r="C411" t="s">
        <v>108</v>
      </c>
      <c r="D411" t="s">
        <v>238</v>
      </c>
      <c r="E411" t="s">
        <v>726</v>
      </c>
      <c r="F411">
        <v>2258</v>
      </c>
      <c r="G411">
        <v>712.30882320744001</v>
      </c>
      <c r="H411">
        <v>1301388.22</v>
      </c>
      <c r="I411" t="s">
        <v>1587</v>
      </c>
      <c r="J411">
        <v>0.46865317189163003</v>
      </c>
    </row>
    <row r="412" spans="1:10" x14ac:dyDescent="0.25">
      <c r="A412" t="s">
        <v>127</v>
      </c>
      <c r="B412" t="s">
        <v>38</v>
      </c>
      <c r="C412" t="s">
        <v>108</v>
      </c>
      <c r="D412" t="s">
        <v>1063</v>
      </c>
      <c r="E412" t="s">
        <v>726</v>
      </c>
      <c r="F412">
        <v>1087</v>
      </c>
      <c r="G412">
        <v>1032.2379300827999</v>
      </c>
      <c r="H412">
        <v>1122042.6299999999</v>
      </c>
      <c r="I412" t="s">
        <v>1587</v>
      </c>
      <c r="J412">
        <v>0.40406761753777998</v>
      </c>
    </row>
    <row r="413" spans="1:10" x14ac:dyDescent="0.25">
      <c r="A413" t="s">
        <v>127</v>
      </c>
      <c r="B413" t="s">
        <v>258</v>
      </c>
      <c r="C413" t="s">
        <v>108</v>
      </c>
      <c r="D413" t="s">
        <v>259</v>
      </c>
      <c r="E413" t="s">
        <v>726</v>
      </c>
      <c r="F413">
        <v>350</v>
      </c>
      <c r="G413">
        <v>1059.4646</v>
      </c>
      <c r="H413">
        <v>370812.61</v>
      </c>
      <c r="I413" t="s">
        <v>1587</v>
      </c>
      <c r="J413">
        <v>0.13353625242889999</v>
      </c>
    </row>
    <row r="414" spans="1:10" x14ac:dyDescent="0.25">
      <c r="A414" t="s">
        <v>127</v>
      </c>
      <c r="B414" t="s">
        <v>397</v>
      </c>
      <c r="C414" t="s">
        <v>108</v>
      </c>
      <c r="D414" t="s">
        <v>398</v>
      </c>
      <c r="E414" t="s">
        <v>726</v>
      </c>
      <c r="F414">
        <v>3949</v>
      </c>
      <c r="G414">
        <v>1015.9053608508</v>
      </c>
      <c r="H414">
        <v>4011810.27</v>
      </c>
      <c r="I414" t="s">
        <v>1587</v>
      </c>
      <c r="J414">
        <v>1.444724624957</v>
      </c>
    </row>
    <row r="415" spans="1:10" x14ac:dyDescent="0.25">
      <c r="A415" t="s">
        <v>127</v>
      </c>
      <c r="B415" t="s">
        <v>1098</v>
      </c>
      <c r="C415" t="s">
        <v>108</v>
      </c>
      <c r="D415" t="s">
        <v>1099</v>
      </c>
      <c r="E415" t="s">
        <v>726</v>
      </c>
      <c r="F415">
        <v>262</v>
      </c>
      <c r="G415">
        <v>1004.85</v>
      </c>
      <c r="H415">
        <v>263270.7</v>
      </c>
      <c r="I415" t="s">
        <v>1587</v>
      </c>
      <c r="J415">
        <v>9.4808487371378994E-2</v>
      </c>
    </row>
    <row r="416" spans="1:10" x14ac:dyDescent="0.25">
      <c r="A416" t="s">
        <v>127</v>
      </c>
      <c r="B416" t="s">
        <v>237</v>
      </c>
      <c r="C416" t="s">
        <v>108</v>
      </c>
      <c r="D416" t="s">
        <v>1078</v>
      </c>
      <c r="E416" t="s">
        <v>726</v>
      </c>
      <c r="F416">
        <v>551</v>
      </c>
      <c r="G416">
        <v>864.99259528130995</v>
      </c>
      <c r="H416">
        <v>476610.92</v>
      </c>
      <c r="I416" t="s">
        <v>1587</v>
      </c>
      <c r="J416">
        <v>0.17163611594409001</v>
      </c>
    </row>
    <row r="417" spans="1:10" x14ac:dyDescent="0.25">
      <c r="A417" t="s">
        <v>127</v>
      </c>
      <c r="B417" t="s">
        <v>204</v>
      </c>
      <c r="C417" t="s">
        <v>108</v>
      </c>
      <c r="D417" t="s">
        <v>207</v>
      </c>
      <c r="E417" t="s">
        <v>726</v>
      </c>
      <c r="F417">
        <v>1000</v>
      </c>
      <c r="G417">
        <v>985.80110000000002</v>
      </c>
      <c r="H417">
        <v>985801.1</v>
      </c>
      <c r="I417" t="s">
        <v>1587</v>
      </c>
      <c r="J417">
        <v>0.35500460605772</v>
      </c>
    </row>
    <row r="418" spans="1:10" x14ac:dyDescent="0.25">
      <c r="A418" t="s">
        <v>127</v>
      </c>
      <c r="B418" t="s">
        <v>204</v>
      </c>
      <c r="C418" t="s">
        <v>108</v>
      </c>
      <c r="D418" t="s">
        <v>206</v>
      </c>
      <c r="E418" t="s">
        <v>726</v>
      </c>
      <c r="F418">
        <v>991</v>
      </c>
      <c r="G418">
        <v>980.16366296670003</v>
      </c>
      <c r="H418">
        <v>971342.19</v>
      </c>
      <c r="I418" t="s">
        <v>1587</v>
      </c>
      <c r="J418">
        <v>0.34979769398533</v>
      </c>
    </row>
    <row r="419" spans="1:10" x14ac:dyDescent="0.25">
      <c r="A419" t="s">
        <v>127</v>
      </c>
      <c r="B419" t="s">
        <v>354</v>
      </c>
      <c r="C419" t="s">
        <v>108</v>
      </c>
      <c r="D419" t="s">
        <v>957</v>
      </c>
      <c r="E419" t="s">
        <v>726</v>
      </c>
      <c r="F419">
        <v>1667</v>
      </c>
      <c r="G419">
        <v>1059.2830413917</v>
      </c>
      <c r="H419">
        <v>1765824.83</v>
      </c>
      <c r="I419" t="s">
        <v>1587</v>
      </c>
      <c r="J419">
        <v>0.63590510108082998</v>
      </c>
    </row>
    <row r="420" spans="1:10" x14ac:dyDescent="0.25">
      <c r="A420" t="s">
        <v>127</v>
      </c>
      <c r="B420" t="s">
        <v>396</v>
      </c>
      <c r="C420" t="s">
        <v>108</v>
      </c>
      <c r="D420" t="s">
        <v>1404</v>
      </c>
      <c r="E420" t="s">
        <v>725</v>
      </c>
      <c r="F420">
        <v>687</v>
      </c>
      <c r="G420">
        <v>443.21791848616999</v>
      </c>
      <c r="H420">
        <v>304490.71000000002</v>
      </c>
      <c r="I420" t="s">
        <v>1587</v>
      </c>
      <c r="J420">
        <v>0.10965255014606</v>
      </c>
    </row>
    <row r="421" spans="1:10" x14ac:dyDescent="0.25">
      <c r="A421" t="s">
        <v>127</v>
      </c>
      <c r="B421" t="s">
        <v>396</v>
      </c>
      <c r="C421" t="s">
        <v>108</v>
      </c>
      <c r="D421" t="s">
        <v>1405</v>
      </c>
      <c r="E421" t="s">
        <v>725</v>
      </c>
      <c r="F421">
        <v>1015</v>
      </c>
      <c r="G421">
        <v>79.020128078818004</v>
      </c>
      <c r="H421">
        <v>80205.429999999993</v>
      </c>
      <c r="I421" t="s">
        <v>1587</v>
      </c>
      <c r="J421">
        <v>2.8883409727219998E-2</v>
      </c>
    </row>
    <row r="422" spans="1:10" x14ac:dyDescent="0.25">
      <c r="A422" t="s">
        <v>127</v>
      </c>
      <c r="B422" t="s">
        <v>759</v>
      </c>
      <c r="C422" t="s">
        <v>108</v>
      </c>
      <c r="D422" t="s">
        <v>760</v>
      </c>
      <c r="E422" t="s">
        <v>726</v>
      </c>
      <c r="F422">
        <v>1020</v>
      </c>
      <c r="G422">
        <v>849.87812745097995</v>
      </c>
      <c r="H422">
        <v>866875.69</v>
      </c>
      <c r="I422" t="s">
        <v>1587</v>
      </c>
      <c r="J422">
        <v>0.31217743906906997</v>
      </c>
    </row>
    <row r="423" spans="1:10" x14ac:dyDescent="0.25">
      <c r="A423" t="s">
        <v>127</v>
      </c>
      <c r="B423" t="s">
        <v>295</v>
      </c>
      <c r="C423" t="s">
        <v>108</v>
      </c>
      <c r="D423" t="s">
        <v>508</v>
      </c>
      <c r="E423" t="s">
        <v>726</v>
      </c>
      <c r="F423">
        <v>2376</v>
      </c>
      <c r="G423">
        <v>941.28387626262997</v>
      </c>
      <c r="H423">
        <v>2236490.4900000002</v>
      </c>
      <c r="I423" t="s">
        <v>1587</v>
      </c>
      <c r="J423">
        <v>0.80540022257460997</v>
      </c>
    </row>
    <row r="424" spans="1:10" x14ac:dyDescent="0.25">
      <c r="A424" t="s">
        <v>127</v>
      </c>
      <c r="B424" t="s">
        <v>208</v>
      </c>
      <c r="C424" t="s">
        <v>108</v>
      </c>
      <c r="D424" t="s">
        <v>1003</v>
      </c>
      <c r="E424" t="s">
        <v>726</v>
      </c>
      <c r="F424">
        <v>1747</v>
      </c>
      <c r="G424">
        <v>1010.8836405265999</v>
      </c>
      <c r="H424">
        <v>1766013.72</v>
      </c>
      <c r="I424" t="s">
        <v>1587</v>
      </c>
      <c r="J424">
        <v>0.63597312374792003</v>
      </c>
    </row>
    <row r="425" spans="1:10" x14ac:dyDescent="0.25">
      <c r="A425" t="s">
        <v>127</v>
      </c>
      <c r="B425" t="s">
        <v>208</v>
      </c>
      <c r="C425" t="s">
        <v>108</v>
      </c>
      <c r="D425" t="s">
        <v>185</v>
      </c>
      <c r="E425" t="s">
        <v>726</v>
      </c>
      <c r="F425">
        <v>1035</v>
      </c>
      <c r="G425">
        <v>1044.0548115941999</v>
      </c>
      <c r="H425">
        <v>1080596.73</v>
      </c>
      <c r="I425" t="s">
        <v>1587</v>
      </c>
      <c r="J425">
        <v>0.38914220773431002</v>
      </c>
    </row>
    <row r="426" spans="1:10" x14ac:dyDescent="0.25">
      <c r="A426" t="s">
        <v>127</v>
      </c>
      <c r="B426" t="s">
        <v>230</v>
      </c>
      <c r="C426" t="s">
        <v>108</v>
      </c>
      <c r="D426" t="s">
        <v>211</v>
      </c>
      <c r="E426" t="s">
        <v>726</v>
      </c>
      <c r="F426">
        <v>1222</v>
      </c>
      <c r="G426">
        <v>346.73187397709</v>
      </c>
      <c r="H426">
        <v>423706.35</v>
      </c>
      <c r="I426" t="s">
        <v>1587</v>
      </c>
      <c r="J426">
        <v>0.15258423414815001</v>
      </c>
    </row>
    <row r="427" spans="1:10" x14ac:dyDescent="0.25">
      <c r="A427" t="s">
        <v>127</v>
      </c>
      <c r="B427" t="s">
        <v>230</v>
      </c>
      <c r="C427" t="s">
        <v>108</v>
      </c>
      <c r="D427" t="s">
        <v>327</v>
      </c>
      <c r="E427" t="s">
        <v>726</v>
      </c>
      <c r="F427">
        <v>247</v>
      </c>
      <c r="G427">
        <v>1051.9846153845999</v>
      </c>
      <c r="H427">
        <v>259840.2</v>
      </c>
      <c r="I427" t="s">
        <v>1587</v>
      </c>
      <c r="J427">
        <v>9.3573102970731001E-2</v>
      </c>
    </row>
    <row r="428" spans="1:10" x14ac:dyDescent="0.25">
      <c r="A428" t="s">
        <v>127</v>
      </c>
      <c r="B428" t="s">
        <v>8</v>
      </c>
      <c r="C428" t="s">
        <v>108</v>
      </c>
      <c r="D428" t="s">
        <v>137</v>
      </c>
      <c r="E428" t="s">
        <v>726</v>
      </c>
      <c r="F428">
        <v>2742</v>
      </c>
      <c r="G428">
        <v>694.57</v>
      </c>
      <c r="H428">
        <v>1904510.94</v>
      </c>
      <c r="I428" t="s">
        <v>1587</v>
      </c>
      <c r="J428">
        <v>0.68584844953746005</v>
      </c>
    </row>
    <row r="429" spans="1:10" x14ac:dyDescent="0.25">
      <c r="A429" t="s">
        <v>127</v>
      </c>
      <c r="B429" t="s">
        <v>231</v>
      </c>
      <c r="C429" t="s">
        <v>108</v>
      </c>
      <c r="D429" t="s">
        <v>221</v>
      </c>
      <c r="E429" t="s">
        <v>726</v>
      </c>
      <c r="F429">
        <v>1613</v>
      </c>
      <c r="G429">
        <v>1026.3017730936001</v>
      </c>
      <c r="H429">
        <v>1655424.76</v>
      </c>
      <c r="I429" t="s">
        <v>1587</v>
      </c>
      <c r="J429">
        <v>0.59614806149233002</v>
      </c>
    </row>
    <row r="430" spans="1:10" x14ac:dyDescent="0.25">
      <c r="A430" t="s">
        <v>127</v>
      </c>
      <c r="B430" t="s">
        <v>231</v>
      </c>
      <c r="C430" t="s">
        <v>108</v>
      </c>
      <c r="D430" t="s">
        <v>261</v>
      </c>
      <c r="E430" t="s">
        <v>726</v>
      </c>
      <c r="F430">
        <v>483</v>
      </c>
      <c r="G430">
        <v>1024.9045962733001</v>
      </c>
      <c r="H430">
        <v>495028.92</v>
      </c>
      <c r="I430" t="s">
        <v>1587</v>
      </c>
      <c r="J430">
        <v>0.17826876712937001</v>
      </c>
    </row>
    <row r="431" spans="1:10" x14ac:dyDescent="0.25">
      <c r="A431" t="s">
        <v>127</v>
      </c>
      <c r="B431" t="s">
        <v>428</v>
      </c>
      <c r="C431" t="s">
        <v>108</v>
      </c>
      <c r="D431" t="s">
        <v>349</v>
      </c>
      <c r="E431" t="s">
        <v>726</v>
      </c>
      <c r="F431">
        <v>4745</v>
      </c>
      <c r="G431">
        <v>747.70553213909</v>
      </c>
      <c r="H431">
        <v>3547862.75</v>
      </c>
      <c r="I431" t="s">
        <v>1587</v>
      </c>
      <c r="J431">
        <v>1.2776488258236001</v>
      </c>
    </row>
    <row r="432" spans="1:10" x14ac:dyDescent="0.25">
      <c r="A432" t="s">
        <v>127</v>
      </c>
      <c r="B432" t="s">
        <v>505</v>
      </c>
      <c r="C432" t="s">
        <v>108</v>
      </c>
      <c r="D432" t="s">
        <v>764</v>
      </c>
      <c r="E432" t="s">
        <v>723</v>
      </c>
      <c r="F432">
        <v>722</v>
      </c>
      <c r="G432">
        <v>1023.9826592798</v>
      </c>
      <c r="H432">
        <v>739315.48</v>
      </c>
      <c r="I432" t="s">
        <v>1587</v>
      </c>
      <c r="J432">
        <v>0.26624072617668998</v>
      </c>
    </row>
    <row r="433" spans="1:10" x14ac:dyDescent="0.25">
      <c r="A433" t="s">
        <v>127</v>
      </c>
      <c r="B433" t="s">
        <v>497</v>
      </c>
      <c r="C433" t="s">
        <v>108</v>
      </c>
      <c r="D433" t="s">
        <v>498</v>
      </c>
      <c r="E433" t="s">
        <v>726</v>
      </c>
      <c r="F433">
        <v>2977</v>
      </c>
      <c r="G433">
        <v>908.64048706751998</v>
      </c>
      <c r="H433">
        <v>2705022.73</v>
      </c>
      <c r="I433" t="s">
        <v>1587</v>
      </c>
      <c r="J433">
        <v>0.97412706137256</v>
      </c>
    </row>
    <row r="434" spans="1:10" x14ac:dyDescent="0.25">
      <c r="A434" t="s">
        <v>127</v>
      </c>
      <c r="B434" t="s">
        <v>45</v>
      </c>
      <c r="C434" t="s">
        <v>108</v>
      </c>
      <c r="D434" t="s">
        <v>437</v>
      </c>
      <c r="E434" t="s">
        <v>726</v>
      </c>
      <c r="F434">
        <v>1662</v>
      </c>
      <c r="G434">
        <v>912.22446450059999</v>
      </c>
      <c r="H434">
        <v>1516117.06</v>
      </c>
      <c r="I434" t="s">
        <v>1587</v>
      </c>
      <c r="J434">
        <v>0.54598086736025997</v>
      </c>
    </row>
    <row r="435" spans="1:10" x14ac:dyDescent="0.25">
      <c r="A435" t="s">
        <v>127</v>
      </c>
      <c r="B435" t="s">
        <v>732</v>
      </c>
      <c r="C435" t="s">
        <v>108</v>
      </c>
      <c r="D435" t="s">
        <v>1109</v>
      </c>
      <c r="E435" t="s">
        <v>726</v>
      </c>
      <c r="F435">
        <v>2350</v>
      </c>
      <c r="G435">
        <v>1027.9206340426001</v>
      </c>
      <c r="H435">
        <v>2415613.4900000002</v>
      </c>
      <c r="I435" t="s">
        <v>1587</v>
      </c>
      <c r="J435">
        <v>0.86990561828868995</v>
      </c>
    </row>
    <row r="436" spans="1:10" x14ac:dyDescent="0.25">
      <c r="A436" t="s">
        <v>127</v>
      </c>
      <c r="B436" t="s">
        <v>1410</v>
      </c>
      <c r="C436" t="s">
        <v>108</v>
      </c>
      <c r="D436" t="s">
        <v>1064</v>
      </c>
      <c r="E436" t="s">
        <v>725</v>
      </c>
      <c r="F436">
        <v>1910</v>
      </c>
      <c r="G436">
        <v>1002.1056335079001</v>
      </c>
      <c r="H436">
        <v>1914021.76</v>
      </c>
      <c r="I436" t="s">
        <v>1587</v>
      </c>
      <c r="J436">
        <v>0.68927346590981997</v>
      </c>
    </row>
    <row r="437" spans="1:10" x14ac:dyDescent="0.25">
      <c r="A437" t="s">
        <v>127</v>
      </c>
      <c r="B437" t="s">
        <v>513</v>
      </c>
      <c r="C437" t="s">
        <v>108</v>
      </c>
      <c r="D437" t="s">
        <v>514</v>
      </c>
      <c r="E437" t="s">
        <v>726</v>
      </c>
      <c r="F437">
        <v>1670</v>
      </c>
      <c r="G437">
        <v>1044.9804011976</v>
      </c>
      <c r="H437">
        <v>1745117.27</v>
      </c>
      <c r="I437" t="s">
        <v>1587</v>
      </c>
      <c r="J437">
        <v>0.62844793839333002</v>
      </c>
    </row>
    <row r="438" spans="1:10" x14ac:dyDescent="0.25">
      <c r="A438" t="s">
        <v>127</v>
      </c>
      <c r="B438" t="s">
        <v>1358</v>
      </c>
      <c r="C438" t="s">
        <v>108</v>
      </c>
      <c r="D438" t="s">
        <v>326</v>
      </c>
      <c r="E438" t="s">
        <v>725</v>
      </c>
      <c r="F438">
        <v>949</v>
      </c>
      <c r="G438">
        <v>1057.8580505796001</v>
      </c>
      <c r="H438">
        <v>1003907.29</v>
      </c>
      <c r="I438" t="s">
        <v>1587</v>
      </c>
      <c r="J438">
        <v>0.36152496888564001</v>
      </c>
    </row>
    <row r="439" spans="1:10" x14ac:dyDescent="0.25">
      <c r="A439" t="s">
        <v>127</v>
      </c>
      <c r="B439" t="s">
        <v>1359</v>
      </c>
      <c r="C439" t="s">
        <v>108</v>
      </c>
      <c r="D439" t="s">
        <v>210</v>
      </c>
      <c r="E439" t="s">
        <v>725</v>
      </c>
      <c r="F439">
        <v>31824</v>
      </c>
      <c r="G439">
        <v>56.463640962794997</v>
      </c>
      <c r="H439">
        <v>1796898.91</v>
      </c>
      <c r="I439" t="s">
        <v>1587</v>
      </c>
      <c r="J439">
        <v>0.64709543301392003</v>
      </c>
    </row>
    <row r="440" spans="1:10" x14ac:dyDescent="0.25">
      <c r="A440" t="s">
        <v>127</v>
      </c>
      <c r="B440" t="s">
        <v>1359</v>
      </c>
      <c r="C440" t="s">
        <v>108</v>
      </c>
      <c r="D440" t="s">
        <v>1181</v>
      </c>
      <c r="E440" t="s">
        <v>725</v>
      </c>
      <c r="F440">
        <v>191757</v>
      </c>
      <c r="G440">
        <v>7.96</v>
      </c>
      <c r="H440">
        <v>1526385.72</v>
      </c>
      <c r="I440" t="s">
        <v>1587</v>
      </c>
      <c r="J440">
        <v>0.54967879546972997</v>
      </c>
    </row>
    <row r="441" spans="1:10" x14ac:dyDescent="0.25">
      <c r="A441" t="s">
        <v>127</v>
      </c>
      <c r="B441" t="s">
        <v>1359</v>
      </c>
      <c r="C441" t="s">
        <v>108</v>
      </c>
      <c r="D441" t="s">
        <v>12</v>
      </c>
      <c r="E441" t="s">
        <v>725</v>
      </c>
      <c r="F441">
        <v>23092</v>
      </c>
      <c r="G441">
        <v>56.463641087823</v>
      </c>
      <c r="H441">
        <v>1303858.3999999999</v>
      </c>
      <c r="I441" t="s">
        <v>1587</v>
      </c>
      <c r="J441">
        <v>0.46954272788604001</v>
      </c>
    </row>
    <row r="442" spans="1:10" x14ac:dyDescent="0.25">
      <c r="A442" t="s">
        <v>127</v>
      </c>
      <c r="B442" t="s">
        <v>1359</v>
      </c>
      <c r="C442" t="s">
        <v>108</v>
      </c>
      <c r="D442" t="s">
        <v>1182</v>
      </c>
      <c r="E442" t="s">
        <v>725</v>
      </c>
      <c r="F442">
        <v>13352</v>
      </c>
      <c r="G442">
        <v>26.660100359497001</v>
      </c>
      <c r="H442">
        <v>355965.66</v>
      </c>
      <c r="I442" t="s">
        <v>1587</v>
      </c>
      <c r="J442">
        <v>0.12818960021284001</v>
      </c>
    </row>
    <row r="443" spans="1:10" x14ac:dyDescent="0.25">
      <c r="A443" t="s">
        <v>127</v>
      </c>
      <c r="B443" t="s">
        <v>1359</v>
      </c>
      <c r="C443" t="s">
        <v>108</v>
      </c>
      <c r="D443" t="s">
        <v>1248</v>
      </c>
      <c r="E443" t="s">
        <v>725</v>
      </c>
      <c r="F443">
        <v>9695</v>
      </c>
      <c r="G443">
        <v>26.660100051573</v>
      </c>
      <c r="H443">
        <v>258469.67</v>
      </c>
      <c r="I443" t="s">
        <v>1587</v>
      </c>
      <c r="J443">
        <v>9.3079550607339995E-2</v>
      </c>
    </row>
    <row r="444" spans="1:10" x14ac:dyDescent="0.25">
      <c r="A444" t="s">
        <v>127</v>
      </c>
      <c r="B444" t="s">
        <v>35</v>
      </c>
      <c r="C444" t="s">
        <v>108</v>
      </c>
      <c r="D444" t="s">
        <v>3</v>
      </c>
      <c r="E444" t="s">
        <v>78</v>
      </c>
      <c r="F444">
        <v>194</v>
      </c>
      <c r="G444">
        <v>10895.871546392</v>
      </c>
      <c r="H444">
        <v>2113799.08</v>
      </c>
      <c r="I444" t="s">
        <v>1587</v>
      </c>
      <c r="J444">
        <v>0.76121685163525998</v>
      </c>
    </row>
    <row r="445" spans="1:10" x14ac:dyDescent="0.25">
      <c r="A445" t="s">
        <v>127</v>
      </c>
      <c r="B445" t="s">
        <v>855</v>
      </c>
      <c r="C445" t="s">
        <v>108</v>
      </c>
      <c r="D445" t="s">
        <v>265</v>
      </c>
      <c r="E445" t="s">
        <v>726</v>
      </c>
      <c r="F445">
        <v>2328</v>
      </c>
      <c r="G445">
        <v>1033.5850730241</v>
      </c>
      <c r="H445">
        <v>2406186.0499999998</v>
      </c>
      <c r="I445" t="s">
        <v>1587</v>
      </c>
      <c r="J445">
        <v>0.86651062854549998</v>
      </c>
    </row>
    <row r="446" spans="1:10" x14ac:dyDescent="0.25">
      <c r="A446" t="s">
        <v>127</v>
      </c>
      <c r="B446" t="s">
        <v>289</v>
      </c>
      <c r="C446" t="s">
        <v>108</v>
      </c>
      <c r="D446" t="s">
        <v>266</v>
      </c>
      <c r="E446" t="s">
        <v>726</v>
      </c>
      <c r="F446">
        <v>400</v>
      </c>
      <c r="G446">
        <v>1052.445925</v>
      </c>
      <c r="H446">
        <v>420978.37</v>
      </c>
      <c r="I446" t="s">
        <v>1587</v>
      </c>
      <c r="J446">
        <v>0.15160183976329</v>
      </c>
    </row>
    <row r="447" spans="1:10" x14ac:dyDescent="0.25">
      <c r="A447" t="s">
        <v>127</v>
      </c>
      <c r="B447" t="s">
        <v>427</v>
      </c>
      <c r="C447" t="s">
        <v>108</v>
      </c>
      <c r="D447" t="s">
        <v>469</v>
      </c>
      <c r="E447" t="s">
        <v>726</v>
      </c>
      <c r="F447">
        <v>1685</v>
      </c>
      <c r="G447">
        <v>1024.7626350148</v>
      </c>
      <c r="H447">
        <v>1726725.04</v>
      </c>
      <c r="I447" t="s">
        <v>1587</v>
      </c>
      <c r="J447">
        <v>0.62182456744591996</v>
      </c>
    </row>
    <row r="448" spans="1:10" x14ac:dyDescent="0.25">
      <c r="A448" t="s">
        <v>127</v>
      </c>
      <c r="B448" t="s">
        <v>267</v>
      </c>
      <c r="C448" t="s">
        <v>108</v>
      </c>
      <c r="D448" t="s">
        <v>268</v>
      </c>
      <c r="E448" t="s">
        <v>726</v>
      </c>
      <c r="F448">
        <v>4145</v>
      </c>
      <c r="G448">
        <v>1049.1142123039999</v>
      </c>
      <c r="H448">
        <v>4348578.41</v>
      </c>
      <c r="I448" t="s">
        <v>1587</v>
      </c>
      <c r="J448">
        <v>1.5660008548916999</v>
      </c>
    </row>
    <row r="449" spans="1:10" x14ac:dyDescent="0.25">
      <c r="A449" t="s">
        <v>127</v>
      </c>
      <c r="B449" t="s">
        <v>1166</v>
      </c>
      <c r="C449" t="s">
        <v>108</v>
      </c>
      <c r="D449" t="s">
        <v>1167</v>
      </c>
      <c r="E449" t="s">
        <v>726</v>
      </c>
      <c r="F449">
        <v>850</v>
      </c>
      <c r="G449">
        <v>1028.8008352940999</v>
      </c>
      <c r="H449">
        <v>874480.71</v>
      </c>
      <c r="I449" t="s">
        <v>1587</v>
      </c>
      <c r="J449">
        <v>0.31491614277831997</v>
      </c>
    </row>
    <row r="450" spans="1:10" x14ac:dyDescent="0.25">
      <c r="A450" t="s">
        <v>127</v>
      </c>
      <c r="B450" t="s">
        <v>758</v>
      </c>
      <c r="C450" t="s">
        <v>108</v>
      </c>
      <c r="D450" t="s">
        <v>837</v>
      </c>
      <c r="E450" t="s">
        <v>726</v>
      </c>
      <c r="F450">
        <v>1179100</v>
      </c>
      <c r="G450">
        <v>1.0703819947418001</v>
      </c>
      <c r="H450">
        <v>1262087.4099999999</v>
      </c>
      <c r="I450" t="s">
        <v>1587</v>
      </c>
      <c r="J450">
        <v>0.45450024735970002</v>
      </c>
    </row>
    <row r="451" spans="1:10" x14ac:dyDescent="0.25">
      <c r="A451" t="s">
        <v>127</v>
      </c>
      <c r="B451" t="s">
        <v>758</v>
      </c>
      <c r="C451" t="s">
        <v>108</v>
      </c>
      <c r="D451" t="s">
        <v>1113</v>
      </c>
      <c r="E451" t="s">
        <v>726</v>
      </c>
      <c r="F451">
        <v>410</v>
      </c>
      <c r="G451">
        <v>1049.7794634146001</v>
      </c>
      <c r="H451">
        <v>430409.58</v>
      </c>
      <c r="I451" t="s">
        <v>1587</v>
      </c>
      <c r="J451">
        <v>0.15499818715090999</v>
      </c>
    </row>
    <row r="452" spans="1:10" x14ac:dyDescent="0.25">
      <c r="A452" t="s">
        <v>127</v>
      </c>
      <c r="B452" t="s">
        <v>13</v>
      </c>
      <c r="C452" t="s">
        <v>108</v>
      </c>
      <c r="D452" t="s">
        <v>242</v>
      </c>
      <c r="E452" t="s">
        <v>726</v>
      </c>
      <c r="F452">
        <v>2524</v>
      </c>
      <c r="G452">
        <v>1080.0696038035001</v>
      </c>
      <c r="H452">
        <v>2726095.68</v>
      </c>
      <c r="I452" t="s">
        <v>1587</v>
      </c>
      <c r="J452">
        <v>0.98171580753364995</v>
      </c>
    </row>
    <row r="453" spans="1:10" x14ac:dyDescent="0.25">
      <c r="A453" t="s">
        <v>127</v>
      </c>
      <c r="B453" t="s">
        <v>13</v>
      </c>
      <c r="C453" t="s">
        <v>108</v>
      </c>
      <c r="D453" t="s">
        <v>97</v>
      </c>
      <c r="E453" t="s">
        <v>726</v>
      </c>
      <c r="F453">
        <v>336</v>
      </c>
      <c r="G453">
        <v>336.33360119048001</v>
      </c>
      <c r="H453">
        <v>113008.09</v>
      </c>
      <c r="I453" t="s">
        <v>1587</v>
      </c>
      <c r="J453">
        <v>4.0696234232023003E-2</v>
      </c>
    </row>
    <row r="454" spans="1:10" x14ac:dyDescent="0.25">
      <c r="A454" t="s">
        <v>127</v>
      </c>
      <c r="B454" t="s">
        <v>33</v>
      </c>
      <c r="C454" t="s">
        <v>108</v>
      </c>
      <c r="D454" t="s">
        <v>751</v>
      </c>
      <c r="E454" t="s">
        <v>726</v>
      </c>
      <c r="F454">
        <v>1601</v>
      </c>
      <c r="G454">
        <v>1041.8202935664999</v>
      </c>
      <c r="H454">
        <v>1667954.29</v>
      </c>
      <c r="I454" t="s">
        <v>1587</v>
      </c>
      <c r="J454">
        <v>0.60066016932193</v>
      </c>
    </row>
    <row r="455" spans="1:10" x14ac:dyDescent="0.25">
      <c r="A455" t="s">
        <v>127</v>
      </c>
      <c r="B455" t="s">
        <v>33</v>
      </c>
      <c r="C455" t="s">
        <v>108</v>
      </c>
      <c r="D455" t="s">
        <v>822</v>
      </c>
      <c r="E455" t="s">
        <v>726</v>
      </c>
      <c r="F455">
        <v>216</v>
      </c>
      <c r="G455">
        <v>1087.7739351851999</v>
      </c>
      <c r="H455">
        <v>234959.17</v>
      </c>
      <c r="I455" t="s">
        <v>1587</v>
      </c>
      <c r="J455">
        <v>8.4612999098398006E-2</v>
      </c>
    </row>
    <row r="456" spans="1:10" x14ac:dyDescent="0.25">
      <c r="A456" t="s">
        <v>127</v>
      </c>
      <c r="B456" t="s">
        <v>975</v>
      </c>
      <c r="C456" t="s">
        <v>108</v>
      </c>
      <c r="D456" t="s">
        <v>976</v>
      </c>
      <c r="E456" t="s">
        <v>726</v>
      </c>
      <c r="F456">
        <v>283</v>
      </c>
      <c r="G456">
        <v>515.12484098940001</v>
      </c>
      <c r="H456">
        <v>145780.32999999999</v>
      </c>
      <c r="I456" t="s">
        <v>1587</v>
      </c>
      <c r="J456">
        <v>5.2498103950801997E-2</v>
      </c>
    </row>
    <row r="457" spans="1:10" x14ac:dyDescent="0.25">
      <c r="A457" t="s">
        <v>127</v>
      </c>
      <c r="B457" t="s">
        <v>156</v>
      </c>
      <c r="C457" t="s">
        <v>108</v>
      </c>
      <c r="D457" t="s">
        <v>328</v>
      </c>
      <c r="E457" t="s">
        <v>726</v>
      </c>
      <c r="F457">
        <v>2787</v>
      </c>
      <c r="G457">
        <v>1056.8876713312</v>
      </c>
      <c r="H457">
        <v>2945545.94</v>
      </c>
      <c r="I457" t="s">
        <v>1587</v>
      </c>
      <c r="J457">
        <v>1.0607437707816001</v>
      </c>
    </row>
    <row r="458" spans="1:10" x14ac:dyDescent="0.25">
      <c r="A458" t="s">
        <v>127</v>
      </c>
      <c r="B458" t="s">
        <v>156</v>
      </c>
      <c r="C458" t="s">
        <v>108</v>
      </c>
      <c r="D458" t="s">
        <v>1039</v>
      </c>
      <c r="E458" t="s">
        <v>726</v>
      </c>
      <c r="F458">
        <v>77</v>
      </c>
      <c r="G458">
        <v>1016.4988311688001</v>
      </c>
      <c r="H458">
        <v>78270.41</v>
      </c>
      <c r="I458" t="s">
        <v>1587</v>
      </c>
      <c r="J458">
        <v>2.8186574419552E-2</v>
      </c>
    </row>
    <row r="459" spans="1:10" x14ac:dyDescent="0.25">
      <c r="A459" t="s">
        <v>127</v>
      </c>
      <c r="B459" t="s">
        <v>290</v>
      </c>
      <c r="C459" t="s">
        <v>108</v>
      </c>
      <c r="D459" t="s">
        <v>240</v>
      </c>
      <c r="E459" t="s">
        <v>726</v>
      </c>
      <c r="F459">
        <v>2539</v>
      </c>
      <c r="G459">
        <v>839.92285939346004</v>
      </c>
      <c r="H459">
        <v>2132564.14</v>
      </c>
      <c r="I459" t="s">
        <v>1587</v>
      </c>
      <c r="J459">
        <v>0.76797448533333001</v>
      </c>
    </row>
    <row r="460" spans="1:10" x14ac:dyDescent="0.25">
      <c r="A460" t="s">
        <v>127</v>
      </c>
      <c r="B460" t="s">
        <v>825</v>
      </c>
      <c r="C460" t="s">
        <v>108</v>
      </c>
      <c r="D460" t="s">
        <v>826</v>
      </c>
      <c r="E460" t="s">
        <v>726</v>
      </c>
      <c r="F460">
        <v>1326</v>
      </c>
      <c r="G460">
        <v>1064.3538461538001</v>
      </c>
      <c r="H460">
        <v>1411333.2</v>
      </c>
      <c r="I460" t="s">
        <v>1587</v>
      </c>
      <c r="J460">
        <v>0.50824632543237003</v>
      </c>
    </row>
    <row r="461" spans="1:10" x14ac:dyDescent="0.25">
      <c r="A461" t="s">
        <v>127</v>
      </c>
      <c r="B461" t="s">
        <v>476</v>
      </c>
      <c r="C461" t="s">
        <v>108</v>
      </c>
      <c r="D461" t="s">
        <v>470</v>
      </c>
      <c r="E461" t="s">
        <v>726</v>
      </c>
      <c r="F461">
        <v>3537</v>
      </c>
      <c r="G461">
        <v>990.11737913486002</v>
      </c>
      <c r="H461">
        <v>3502045.17</v>
      </c>
      <c r="I461" t="s">
        <v>1587</v>
      </c>
      <c r="J461">
        <v>1.2611490958695</v>
      </c>
    </row>
    <row r="462" spans="1:10" x14ac:dyDescent="0.25">
      <c r="A462" t="s">
        <v>127</v>
      </c>
      <c r="B462" t="s">
        <v>418</v>
      </c>
      <c r="C462" t="s">
        <v>108</v>
      </c>
      <c r="D462" t="s">
        <v>419</v>
      </c>
      <c r="E462" t="s">
        <v>726</v>
      </c>
      <c r="F462">
        <v>1468</v>
      </c>
      <c r="G462">
        <v>630.55882152589004</v>
      </c>
      <c r="H462">
        <v>925660.35</v>
      </c>
      <c r="I462" t="s">
        <v>1587</v>
      </c>
      <c r="J462">
        <v>0.33334684643281998</v>
      </c>
    </row>
    <row r="463" spans="1:10" x14ac:dyDescent="0.25">
      <c r="A463" t="s">
        <v>127</v>
      </c>
      <c r="B463" t="s">
        <v>944</v>
      </c>
      <c r="C463" t="s">
        <v>108</v>
      </c>
      <c r="D463" t="s">
        <v>945</v>
      </c>
      <c r="E463" t="s">
        <v>726</v>
      </c>
      <c r="F463">
        <v>1108</v>
      </c>
      <c r="G463">
        <v>1044.3264350181</v>
      </c>
      <c r="H463">
        <v>1157113.69</v>
      </c>
      <c r="I463" t="s">
        <v>1587</v>
      </c>
      <c r="J463">
        <v>0.41669733345038001</v>
      </c>
    </row>
    <row r="464" spans="1:10" x14ac:dyDescent="0.25">
      <c r="A464" t="s">
        <v>127</v>
      </c>
      <c r="B464" t="s">
        <v>1034</v>
      </c>
      <c r="C464" t="s">
        <v>108</v>
      </c>
      <c r="D464" t="s">
        <v>1033</v>
      </c>
      <c r="E464" t="s">
        <v>726</v>
      </c>
      <c r="F464">
        <v>456</v>
      </c>
      <c r="G464">
        <v>1036.9914254385999</v>
      </c>
      <c r="H464">
        <v>472868.09</v>
      </c>
      <c r="I464" t="s">
        <v>1587</v>
      </c>
      <c r="J464">
        <v>0.17028825592477001</v>
      </c>
    </row>
    <row r="465" spans="1:10" x14ac:dyDescent="0.25">
      <c r="A465" t="s">
        <v>127</v>
      </c>
      <c r="B465" t="s">
        <v>234</v>
      </c>
      <c r="C465" t="s">
        <v>108</v>
      </c>
      <c r="D465" t="s">
        <v>471</v>
      </c>
      <c r="E465" t="s">
        <v>726</v>
      </c>
      <c r="F465">
        <v>3073</v>
      </c>
      <c r="G465">
        <v>989.50968760168996</v>
      </c>
      <c r="H465">
        <v>3040763.27</v>
      </c>
      <c r="I465" t="s">
        <v>1587</v>
      </c>
      <c r="J465">
        <v>1.0950332341697999</v>
      </c>
    </row>
    <row r="466" spans="1:10" x14ac:dyDescent="0.25">
      <c r="A466" t="s">
        <v>127</v>
      </c>
      <c r="B466" t="s">
        <v>234</v>
      </c>
      <c r="C466" t="s">
        <v>108</v>
      </c>
      <c r="D466" t="s">
        <v>509</v>
      </c>
      <c r="E466" t="s">
        <v>726</v>
      </c>
      <c r="F466">
        <v>1191</v>
      </c>
      <c r="G466">
        <v>841.56026028547001</v>
      </c>
      <c r="H466">
        <v>1002298.27</v>
      </c>
      <c r="I466" t="s">
        <v>1587</v>
      </c>
      <c r="J466">
        <v>0.36094553200812002</v>
      </c>
    </row>
    <row r="467" spans="1:10" x14ac:dyDescent="0.25">
      <c r="A467" t="s">
        <v>127</v>
      </c>
      <c r="B467" t="s">
        <v>891</v>
      </c>
      <c r="C467" t="s">
        <v>108</v>
      </c>
      <c r="D467" t="s">
        <v>472</v>
      </c>
      <c r="E467" t="s">
        <v>726</v>
      </c>
      <c r="F467">
        <v>2616</v>
      </c>
      <c r="G467">
        <v>841.90112767584003</v>
      </c>
      <c r="H467">
        <v>2202413.35</v>
      </c>
      <c r="I467" t="s">
        <v>1587</v>
      </c>
      <c r="J467">
        <v>0.79312843502915997</v>
      </c>
    </row>
    <row r="468" spans="1:10" x14ac:dyDescent="0.25">
      <c r="A468" t="s">
        <v>127</v>
      </c>
      <c r="B468" t="s">
        <v>213</v>
      </c>
      <c r="C468" t="s">
        <v>108</v>
      </c>
      <c r="D468" t="s">
        <v>332</v>
      </c>
      <c r="E468" t="s">
        <v>726</v>
      </c>
      <c r="F468">
        <v>3532</v>
      </c>
      <c r="G468">
        <v>1054.5818601358999</v>
      </c>
      <c r="H468">
        <v>3724783.13</v>
      </c>
      <c r="I468" t="s">
        <v>1587</v>
      </c>
      <c r="J468">
        <v>1.3413610186842999</v>
      </c>
    </row>
    <row r="469" spans="1:10" x14ac:dyDescent="0.25">
      <c r="A469" t="s">
        <v>127</v>
      </c>
      <c r="B469" t="s">
        <v>203</v>
      </c>
      <c r="C469" t="s">
        <v>108</v>
      </c>
      <c r="D469" t="s">
        <v>750</v>
      </c>
      <c r="E469" t="s">
        <v>723</v>
      </c>
      <c r="F469">
        <v>1099</v>
      </c>
      <c r="G469">
        <v>1371.8396633303</v>
      </c>
      <c r="H469">
        <v>1507651.79</v>
      </c>
      <c r="I469" t="s">
        <v>1587</v>
      </c>
      <c r="J469">
        <v>0.54293237224139002</v>
      </c>
    </row>
    <row r="470" spans="1:10" x14ac:dyDescent="0.25">
      <c r="A470" t="s">
        <v>127</v>
      </c>
      <c r="B470" t="s">
        <v>429</v>
      </c>
      <c r="C470" t="s">
        <v>108</v>
      </c>
      <c r="D470" t="s">
        <v>347</v>
      </c>
      <c r="E470" t="s">
        <v>726</v>
      </c>
      <c r="F470">
        <v>1646</v>
      </c>
      <c r="G470">
        <v>996.45914945321999</v>
      </c>
      <c r="H470">
        <v>1640171.76</v>
      </c>
      <c r="I470" t="s">
        <v>1587</v>
      </c>
      <c r="J470">
        <v>0.59065518340951995</v>
      </c>
    </row>
    <row r="471" spans="1:10" x14ac:dyDescent="0.25">
      <c r="A471" t="s">
        <v>127</v>
      </c>
      <c r="B471" t="s">
        <v>473</v>
      </c>
      <c r="C471" t="s">
        <v>108</v>
      </c>
      <c r="D471" t="s">
        <v>1121</v>
      </c>
      <c r="E471" t="s">
        <v>725</v>
      </c>
      <c r="F471">
        <v>2306</v>
      </c>
      <c r="G471">
        <v>43.351066782307001</v>
      </c>
      <c r="H471">
        <v>99967.56</v>
      </c>
      <c r="I471" t="s">
        <v>1587</v>
      </c>
      <c r="J471">
        <v>3.6000106163760003E-2</v>
      </c>
    </row>
    <row r="472" spans="1:10" x14ac:dyDescent="0.25">
      <c r="A472" t="s">
        <v>127</v>
      </c>
      <c r="B472" t="s">
        <v>10</v>
      </c>
      <c r="C472" t="s">
        <v>108</v>
      </c>
      <c r="D472" t="s">
        <v>1330</v>
      </c>
      <c r="E472" t="s">
        <v>726</v>
      </c>
      <c r="F472">
        <v>1523</v>
      </c>
      <c r="G472">
        <v>672.93023637556996</v>
      </c>
      <c r="H472">
        <v>1024872.75</v>
      </c>
      <c r="I472" t="s">
        <v>1587</v>
      </c>
      <c r="J472">
        <v>0.36907500597539</v>
      </c>
    </row>
    <row r="473" spans="1:10" x14ac:dyDescent="0.25">
      <c r="A473" t="s">
        <v>127</v>
      </c>
      <c r="B473" t="s">
        <v>215</v>
      </c>
      <c r="C473" t="s">
        <v>108</v>
      </c>
      <c r="D473" t="s">
        <v>216</v>
      </c>
      <c r="E473" t="s">
        <v>726</v>
      </c>
      <c r="F473">
        <v>74</v>
      </c>
      <c r="G473">
        <v>507.30391891891998</v>
      </c>
      <c r="H473">
        <v>37540.49</v>
      </c>
      <c r="I473" t="s">
        <v>1587</v>
      </c>
      <c r="J473">
        <v>1.3519001818586E-2</v>
      </c>
    </row>
    <row r="474" spans="1:10" x14ac:dyDescent="0.25">
      <c r="A474" t="s">
        <v>127</v>
      </c>
      <c r="B474" t="s">
        <v>233</v>
      </c>
      <c r="C474" t="s">
        <v>108</v>
      </c>
      <c r="D474" t="s">
        <v>239</v>
      </c>
      <c r="E474" t="s">
        <v>726</v>
      </c>
      <c r="F474">
        <v>3306</v>
      </c>
      <c r="G474">
        <v>1055.9808318209</v>
      </c>
      <c r="H474">
        <v>3491072.63</v>
      </c>
      <c r="I474" t="s">
        <v>1587</v>
      </c>
      <c r="J474">
        <v>1.2571976879839999</v>
      </c>
    </row>
    <row r="475" spans="1:10" x14ac:dyDescent="0.25">
      <c r="A475" t="s">
        <v>127</v>
      </c>
      <c r="B475" t="s">
        <v>506</v>
      </c>
      <c r="C475" t="s">
        <v>108</v>
      </c>
      <c r="D475" t="s">
        <v>879</v>
      </c>
      <c r="E475" t="s">
        <v>726</v>
      </c>
      <c r="F475">
        <v>2406</v>
      </c>
      <c r="G475">
        <v>1021.6954197839</v>
      </c>
      <c r="H475">
        <v>2458199.1800000002</v>
      </c>
      <c r="I475" t="s">
        <v>1587</v>
      </c>
      <c r="J475">
        <v>0.88524148685503001</v>
      </c>
    </row>
    <row r="476" spans="1:10" x14ac:dyDescent="0.25">
      <c r="A476" t="s">
        <v>186</v>
      </c>
      <c r="B476" t="s">
        <v>189</v>
      </c>
      <c r="C476" t="s">
        <v>108</v>
      </c>
      <c r="D476" t="s">
        <v>271</v>
      </c>
      <c r="E476" t="s">
        <v>723</v>
      </c>
      <c r="F476">
        <v>2371</v>
      </c>
      <c r="G476">
        <v>1105.3571816706999</v>
      </c>
      <c r="H476">
        <v>2620801.8777413</v>
      </c>
      <c r="I476" t="s">
        <v>1587</v>
      </c>
      <c r="J476">
        <v>0.94379762627865005</v>
      </c>
    </row>
    <row r="477" spans="1:10" x14ac:dyDescent="0.25">
      <c r="A477" t="s">
        <v>186</v>
      </c>
      <c r="B477" t="s">
        <v>189</v>
      </c>
      <c r="C477" t="s">
        <v>108</v>
      </c>
      <c r="D477" t="s">
        <v>271</v>
      </c>
      <c r="E477" t="s">
        <v>725</v>
      </c>
      <c r="F477">
        <v>95</v>
      </c>
      <c r="G477">
        <v>1105.3571816706999</v>
      </c>
      <c r="H477">
        <v>105008.93225872</v>
      </c>
      <c r="I477" t="s">
        <v>1587</v>
      </c>
      <c r="J477">
        <v>3.7815594473417001E-2</v>
      </c>
    </row>
    <row r="478" spans="1:10" x14ac:dyDescent="0.25">
      <c r="A478" t="s">
        <v>131</v>
      </c>
      <c r="B478" t="s">
        <v>140</v>
      </c>
      <c r="C478" t="s">
        <v>108</v>
      </c>
      <c r="D478">
        <v>760199</v>
      </c>
      <c r="E478" t="s">
        <v>725</v>
      </c>
      <c r="F478">
        <v>15072</v>
      </c>
      <c r="G478">
        <v>4206.5542396497003</v>
      </c>
      <c r="H478">
        <v>63401185.5</v>
      </c>
      <c r="I478" t="s">
        <v>1587</v>
      </c>
      <c r="J478">
        <v>22.831900757688999</v>
      </c>
    </row>
    <row r="479" spans="1:10" x14ac:dyDescent="0.25">
      <c r="A479" t="s">
        <v>488</v>
      </c>
      <c r="B479" t="s">
        <v>1027</v>
      </c>
      <c r="C479" t="s">
        <v>108</v>
      </c>
      <c r="D479" t="s">
        <v>1082</v>
      </c>
      <c r="E479" t="s">
        <v>725</v>
      </c>
      <c r="F479">
        <v>1210</v>
      </c>
      <c r="G479">
        <v>1059.0314132230999</v>
      </c>
      <c r="H479">
        <v>1281428.01</v>
      </c>
      <c r="I479" t="s">
        <v>1587</v>
      </c>
      <c r="J479">
        <v>0.46146514330464999</v>
      </c>
    </row>
    <row r="480" spans="1:10" x14ac:dyDescent="0.25">
      <c r="A480" t="s">
        <v>488</v>
      </c>
      <c r="B480" t="s">
        <v>1123</v>
      </c>
      <c r="C480" t="s">
        <v>108</v>
      </c>
      <c r="D480" t="s">
        <v>1159</v>
      </c>
      <c r="E480" t="s">
        <v>725</v>
      </c>
      <c r="F480">
        <v>2957</v>
      </c>
      <c r="G480">
        <v>1028.3765607033999</v>
      </c>
      <c r="H480">
        <v>3040909.49</v>
      </c>
      <c r="I480" t="s">
        <v>1587</v>
      </c>
      <c r="J480">
        <v>1.0950858906067999</v>
      </c>
    </row>
    <row r="481" spans="1:10" x14ac:dyDescent="0.25">
      <c r="A481" t="s">
        <v>488</v>
      </c>
      <c r="B481" t="s">
        <v>1123</v>
      </c>
      <c r="C481" t="s">
        <v>108</v>
      </c>
      <c r="D481" t="s">
        <v>1125</v>
      </c>
      <c r="E481" t="s">
        <v>725</v>
      </c>
      <c r="F481">
        <v>2300</v>
      </c>
      <c r="G481">
        <v>1051.0610086956999</v>
      </c>
      <c r="H481">
        <v>2417440.3199999998</v>
      </c>
      <c r="I481" t="s">
        <v>1587</v>
      </c>
      <c r="J481">
        <v>0.87056349244249998</v>
      </c>
    </row>
    <row r="482" spans="1:10" x14ac:dyDescent="0.25">
      <c r="A482" t="s">
        <v>488</v>
      </c>
      <c r="B482" t="s">
        <v>1062</v>
      </c>
      <c r="C482" t="s">
        <v>108</v>
      </c>
      <c r="D482" t="s">
        <v>1128</v>
      </c>
      <c r="E482" t="s">
        <v>725</v>
      </c>
      <c r="F482">
        <v>1895</v>
      </c>
      <c r="G482">
        <v>1074.3038575198</v>
      </c>
      <c r="H482">
        <v>2035805.81</v>
      </c>
      <c r="I482" t="s">
        <v>1587</v>
      </c>
      <c r="J482">
        <v>0.73313008028604998</v>
      </c>
    </row>
    <row r="483" spans="1:10" x14ac:dyDescent="0.25">
      <c r="A483" t="s">
        <v>488</v>
      </c>
      <c r="B483" t="s">
        <v>1062</v>
      </c>
      <c r="C483" t="s">
        <v>108</v>
      </c>
      <c r="D483" t="s">
        <v>1146</v>
      </c>
      <c r="E483" t="s">
        <v>725</v>
      </c>
      <c r="F483">
        <v>652</v>
      </c>
      <c r="G483">
        <v>1047.6115184048999</v>
      </c>
      <c r="H483">
        <v>683042.71</v>
      </c>
      <c r="I483" t="s">
        <v>1587</v>
      </c>
      <c r="J483">
        <v>0.24597589532427</v>
      </c>
    </row>
    <row r="484" spans="1:10" x14ac:dyDescent="0.25">
      <c r="A484" t="s">
        <v>144</v>
      </c>
      <c r="B484" t="s">
        <v>103</v>
      </c>
      <c r="C484" t="s">
        <v>108</v>
      </c>
      <c r="D484" t="s">
        <v>144</v>
      </c>
      <c r="E484" t="s">
        <v>725</v>
      </c>
      <c r="F484" t="s">
        <v>103</v>
      </c>
      <c r="G484" t="s">
        <v>1587</v>
      </c>
      <c r="H484" t="s">
        <v>1587</v>
      </c>
      <c r="I484" t="s">
        <v>1587</v>
      </c>
      <c r="J484" t="s">
        <v>1587</v>
      </c>
    </row>
    <row r="485" spans="1:10" x14ac:dyDescent="0.25">
      <c r="A485" t="s">
        <v>99</v>
      </c>
      <c r="B485" t="s">
        <v>140</v>
      </c>
      <c r="C485" t="s">
        <v>101</v>
      </c>
      <c r="D485" t="s">
        <v>188</v>
      </c>
      <c r="E485" t="s">
        <v>724</v>
      </c>
      <c r="F485">
        <v>226</v>
      </c>
      <c r="G485">
        <v>16113.965583756</v>
      </c>
      <c r="H485">
        <v>3174451.22</v>
      </c>
      <c r="I485" t="s">
        <v>1587</v>
      </c>
      <c r="J485">
        <v>10.78806102131</v>
      </c>
    </row>
    <row r="486" spans="1:10" x14ac:dyDescent="0.25">
      <c r="A486" t="s">
        <v>105</v>
      </c>
      <c r="B486" t="s">
        <v>103</v>
      </c>
      <c r="C486" t="s">
        <v>101</v>
      </c>
      <c r="D486" t="s">
        <v>105</v>
      </c>
      <c r="E486" t="s">
        <v>725</v>
      </c>
      <c r="F486" t="s">
        <v>103</v>
      </c>
      <c r="G486" t="s">
        <v>1587</v>
      </c>
      <c r="H486">
        <v>-13905.16</v>
      </c>
      <c r="I486" t="s">
        <v>1587</v>
      </c>
      <c r="J486">
        <v>-4.7255322005260003E-2</v>
      </c>
    </row>
    <row r="487" spans="1:10" x14ac:dyDescent="0.25">
      <c r="A487" t="s">
        <v>113</v>
      </c>
      <c r="B487" t="s">
        <v>114</v>
      </c>
      <c r="C487" t="s">
        <v>101</v>
      </c>
      <c r="D487" t="s">
        <v>1163</v>
      </c>
      <c r="E487" t="s">
        <v>725</v>
      </c>
      <c r="F487" t="s">
        <v>103</v>
      </c>
      <c r="G487">
        <v>110.51560000000001</v>
      </c>
      <c r="H487">
        <v>28889.5</v>
      </c>
      <c r="I487">
        <v>0</v>
      </c>
      <c r="J487" t="s">
        <v>1587</v>
      </c>
    </row>
    <row r="488" spans="1:10" x14ac:dyDescent="0.25">
      <c r="A488" t="s">
        <v>113</v>
      </c>
      <c r="B488" t="s">
        <v>114</v>
      </c>
      <c r="C488" t="s">
        <v>101</v>
      </c>
      <c r="D488" t="s">
        <v>1478</v>
      </c>
      <c r="E488" t="s">
        <v>755</v>
      </c>
      <c r="F488">
        <v>10</v>
      </c>
      <c r="G488">
        <v>110.5468</v>
      </c>
      <c r="H488">
        <v>8077.5</v>
      </c>
      <c r="I488">
        <v>6354451.1575999996</v>
      </c>
      <c r="J488">
        <v>21.594978814990998</v>
      </c>
    </row>
    <row r="489" spans="1:10" x14ac:dyDescent="0.25">
      <c r="A489" t="s">
        <v>113</v>
      </c>
      <c r="B489" t="s">
        <v>114</v>
      </c>
      <c r="C489" t="s">
        <v>101</v>
      </c>
      <c r="D489" t="s">
        <v>1394</v>
      </c>
      <c r="E489" t="s">
        <v>876</v>
      </c>
      <c r="F489">
        <v>6</v>
      </c>
      <c r="G489">
        <v>57517.39</v>
      </c>
      <c r="H489">
        <v>100.92</v>
      </c>
      <c r="I489">
        <v>345104.34</v>
      </c>
      <c r="J489">
        <v>1.1728032408194</v>
      </c>
    </row>
    <row r="490" spans="1:10" x14ac:dyDescent="0.25">
      <c r="A490" t="s">
        <v>113</v>
      </c>
      <c r="B490" t="s">
        <v>114</v>
      </c>
      <c r="C490" t="s">
        <v>101</v>
      </c>
      <c r="D490" t="s">
        <v>1396</v>
      </c>
      <c r="E490" t="s">
        <v>876</v>
      </c>
      <c r="F490">
        <v>-70</v>
      </c>
      <c r="G490">
        <v>287586.95</v>
      </c>
      <c r="H490">
        <v>-5887</v>
      </c>
      <c r="I490">
        <v>-20131086.5</v>
      </c>
      <c r="J490">
        <v>-68.413522381128999</v>
      </c>
    </row>
    <row r="491" spans="1:10" x14ac:dyDescent="0.25">
      <c r="A491" t="s">
        <v>118</v>
      </c>
      <c r="B491" t="s">
        <v>25</v>
      </c>
      <c r="C491" t="s">
        <v>101</v>
      </c>
      <c r="D491" t="s">
        <v>119</v>
      </c>
      <c r="E491" t="s">
        <v>724</v>
      </c>
      <c r="F491">
        <v>2075184</v>
      </c>
      <c r="G491">
        <v>4.6676857889515002</v>
      </c>
      <c r="H491">
        <v>2362936.5799982999</v>
      </c>
      <c r="I491" t="s">
        <v>1587</v>
      </c>
      <c r="J491">
        <v>8.0302081361032993</v>
      </c>
    </row>
    <row r="492" spans="1:10" x14ac:dyDescent="0.25">
      <c r="A492" t="s">
        <v>124</v>
      </c>
      <c r="B492" t="s">
        <v>852</v>
      </c>
      <c r="C492" t="s">
        <v>101</v>
      </c>
      <c r="D492" t="s">
        <v>340</v>
      </c>
      <c r="E492" t="s">
        <v>724</v>
      </c>
      <c r="F492">
        <v>367156</v>
      </c>
      <c r="G492">
        <v>14.899602032432</v>
      </c>
      <c r="H492">
        <v>382413.18576441001</v>
      </c>
      <c r="I492" t="s">
        <v>1587</v>
      </c>
      <c r="J492">
        <v>1.2995936927264999</v>
      </c>
    </row>
    <row r="493" spans="1:10" x14ac:dyDescent="0.25">
      <c r="A493" t="s">
        <v>124</v>
      </c>
      <c r="B493" t="s">
        <v>853</v>
      </c>
      <c r="C493" t="s">
        <v>101</v>
      </c>
      <c r="D493" t="s">
        <v>125</v>
      </c>
      <c r="E493" t="s">
        <v>724</v>
      </c>
      <c r="F493">
        <v>1777247</v>
      </c>
      <c r="G493">
        <v>3.8381686496622001</v>
      </c>
      <c r="H493">
        <v>2682711.0066932999</v>
      </c>
      <c r="I493" t="s">
        <v>1587</v>
      </c>
      <c r="J493">
        <v>9.1169301517091004</v>
      </c>
    </row>
    <row r="494" spans="1:10" x14ac:dyDescent="0.25">
      <c r="A494" t="s">
        <v>127</v>
      </c>
      <c r="B494" t="s">
        <v>48</v>
      </c>
      <c r="C494" t="s">
        <v>101</v>
      </c>
      <c r="D494" t="s">
        <v>296</v>
      </c>
      <c r="E494" t="s">
        <v>731</v>
      </c>
      <c r="F494">
        <v>13693</v>
      </c>
      <c r="G494">
        <v>34.559814614049998</v>
      </c>
      <c r="H494">
        <v>318779.73</v>
      </c>
      <c r="I494" t="s">
        <v>1587</v>
      </c>
      <c r="J494">
        <v>1.0833416364787001</v>
      </c>
    </row>
    <row r="495" spans="1:10" x14ac:dyDescent="0.25">
      <c r="A495" t="s">
        <v>127</v>
      </c>
      <c r="B495" t="s">
        <v>473</v>
      </c>
      <c r="C495" t="s">
        <v>101</v>
      </c>
      <c r="D495" t="s">
        <v>1122</v>
      </c>
      <c r="E495" t="s">
        <v>725</v>
      </c>
      <c r="F495">
        <v>725</v>
      </c>
      <c r="G495">
        <v>46.762717241379001</v>
      </c>
      <c r="H495">
        <v>33902.97</v>
      </c>
      <c r="I495" t="s">
        <v>1587</v>
      </c>
      <c r="J495">
        <v>0.11521591727708</v>
      </c>
    </row>
    <row r="496" spans="1:10" x14ac:dyDescent="0.25">
      <c r="A496" t="s">
        <v>130</v>
      </c>
      <c r="B496" t="s">
        <v>396</v>
      </c>
      <c r="C496" t="s">
        <v>101</v>
      </c>
      <c r="D496" t="s">
        <v>1442</v>
      </c>
      <c r="E496" t="s">
        <v>725</v>
      </c>
      <c r="F496">
        <v>102661</v>
      </c>
      <c r="G496">
        <v>2.4910336934181001</v>
      </c>
      <c r="H496">
        <v>255732.01</v>
      </c>
      <c r="I496" t="s">
        <v>1587</v>
      </c>
      <c r="J496">
        <v>0.86908014575894998</v>
      </c>
    </row>
    <row r="497" spans="1:10" x14ac:dyDescent="0.25">
      <c r="A497" t="s">
        <v>130</v>
      </c>
      <c r="B497" t="s">
        <v>396</v>
      </c>
      <c r="C497" t="s">
        <v>101</v>
      </c>
      <c r="D497" t="s">
        <v>1443</v>
      </c>
      <c r="E497" t="s">
        <v>725</v>
      </c>
      <c r="F497">
        <v>29193</v>
      </c>
      <c r="G497">
        <v>5.3853444318844002</v>
      </c>
      <c r="H497">
        <v>157214.35999999999</v>
      </c>
      <c r="I497" t="s">
        <v>1587</v>
      </c>
      <c r="J497">
        <v>0.53427757793871999</v>
      </c>
    </row>
    <row r="498" spans="1:10" x14ac:dyDescent="0.25">
      <c r="A498" t="s">
        <v>130</v>
      </c>
      <c r="B498" t="s">
        <v>396</v>
      </c>
      <c r="C498" t="s">
        <v>101</v>
      </c>
      <c r="D498" t="s">
        <v>1444</v>
      </c>
      <c r="E498" t="s">
        <v>725</v>
      </c>
      <c r="F498">
        <v>131402</v>
      </c>
      <c r="G498">
        <v>0.50409811113986003</v>
      </c>
      <c r="H498">
        <v>66239.5</v>
      </c>
      <c r="I498" t="s">
        <v>1587</v>
      </c>
      <c r="J498">
        <v>0.22510844189977999</v>
      </c>
    </row>
    <row r="499" spans="1:10" x14ac:dyDescent="0.25">
      <c r="A499" t="s">
        <v>130</v>
      </c>
      <c r="B499" t="s">
        <v>133</v>
      </c>
      <c r="C499" t="s">
        <v>101</v>
      </c>
      <c r="D499" t="s">
        <v>1445</v>
      </c>
      <c r="E499" t="s">
        <v>731</v>
      </c>
      <c r="F499">
        <v>250000</v>
      </c>
      <c r="G499">
        <v>4.94980376</v>
      </c>
      <c r="H499">
        <v>1237450.94</v>
      </c>
      <c r="I499" t="s">
        <v>1587</v>
      </c>
      <c r="J499">
        <v>4.2053556115433004</v>
      </c>
    </row>
    <row r="500" spans="1:10" x14ac:dyDescent="0.25">
      <c r="A500" t="s">
        <v>130</v>
      </c>
      <c r="B500" t="s">
        <v>1079</v>
      </c>
      <c r="C500" t="s">
        <v>101</v>
      </c>
      <c r="D500" t="s">
        <v>1446</v>
      </c>
      <c r="E500" t="s">
        <v>725</v>
      </c>
      <c r="F500">
        <v>400000</v>
      </c>
      <c r="G500">
        <v>5.2283948499999999</v>
      </c>
      <c r="H500">
        <v>2091357.94</v>
      </c>
      <c r="I500" t="s">
        <v>1587</v>
      </c>
      <c r="J500">
        <v>7.1072747730302996</v>
      </c>
    </row>
    <row r="501" spans="1:10" x14ac:dyDescent="0.25">
      <c r="A501" t="s">
        <v>130</v>
      </c>
      <c r="B501" t="s">
        <v>295</v>
      </c>
      <c r="C501" t="s">
        <v>101</v>
      </c>
      <c r="D501" t="s">
        <v>1447</v>
      </c>
      <c r="E501" t="s">
        <v>731</v>
      </c>
      <c r="F501">
        <v>500000</v>
      </c>
      <c r="G501">
        <v>4.5372778499999997</v>
      </c>
      <c r="H501">
        <v>907455.57</v>
      </c>
      <c r="I501" t="s">
        <v>1587</v>
      </c>
      <c r="J501">
        <v>3.0838987229066999</v>
      </c>
    </row>
    <row r="502" spans="1:10" x14ac:dyDescent="0.25">
      <c r="A502" t="s">
        <v>130</v>
      </c>
      <c r="B502" t="s">
        <v>1448</v>
      </c>
      <c r="C502" t="s">
        <v>101</v>
      </c>
      <c r="D502" t="s">
        <v>1449</v>
      </c>
      <c r="E502" t="s">
        <v>731</v>
      </c>
      <c r="F502">
        <v>400000</v>
      </c>
      <c r="G502">
        <v>5.8516135499999997</v>
      </c>
      <c r="H502">
        <v>2340645.42</v>
      </c>
      <c r="I502" t="s">
        <v>1587</v>
      </c>
      <c r="J502">
        <v>7.9544538158662004</v>
      </c>
    </row>
    <row r="503" spans="1:10" x14ac:dyDescent="0.25">
      <c r="A503" t="s">
        <v>130</v>
      </c>
      <c r="B503" t="s">
        <v>1410</v>
      </c>
      <c r="C503" t="s">
        <v>101</v>
      </c>
      <c r="D503" t="s">
        <v>1451</v>
      </c>
      <c r="E503" t="s">
        <v>725</v>
      </c>
      <c r="F503">
        <v>200000</v>
      </c>
      <c r="G503">
        <v>5.2509197500000004</v>
      </c>
      <c r="H503">
        <v>1050183.95</v>
      </c>
      <c r="I503" t="s">
        <v>1587</v>
      </c>
      <c r="J503">
        <v>3.5689471190552999</v>
      </c>
    </row>
    <row r="504" spans="1:10" x14ac:dyDescent="0.25">
      <c r="A504" t="s">
        <v>130</v>
      </c>
      <c r="B504" t="s">
        <v>232</v>
      </c>
      <c r="C504" t="s">
        <v>101</v>
      </c>
      <c r="D504" t="s">
        <v>1452</v>
      </c>
      <c r="E504" t="s">
        <v>731</v>
      </c>
      <c r="F504">
        <v>400000</v>
      </c>
      <c r="G504">
        <v>5.5578770999999998</v>
      </c>
      <c r="H504">
        <v>2223150.84</v>
      </c>
      <c r="I504" t="s">
        <v>1587</v>
      </c>
      <c r="J504">
        <v>7.5551600132940999</v>
      </c>
    </row>
    <row r="505" spans="1:10" x14ac:dyDescent="0.25">
      <c r="A505" t="s">
        <v>130</v>
      </c>
      <c r="B505" t="s">
        <v>1453</v>
      </c>
      <c r="C505" t="s">
        <v>101</v>
      </c>
      <c r="D505" t="s">
        <v>1454</v>
      </c>
      <c r="E505" t="s">
        <v>731</v>
      </c>
      <c r="F505">
        <v>200000</v>
      </c>
      <c r="G505">
        <v>5.1976557999999997</v>
      </c>
      <c r="H505">
        <v>1039531.16</v>
      </c>
      <c r="I505" t="s">
        <v>1587</v>
      </c>
      <c r="J505">
        <v>3.5327446574004</v>
      </c>
    </row>
    <row r="506" spans="1:10" x14ac:dyDescent="0.25">
      <c r="A506" t="s">
        <v>130</v>
      </c>
      <c r="B506" t="s">
        <v>156</v>
      </c>
      <c r="C506" t="s">
        <v>101</v>
      </c>
      <c r="D506" t="s">
        <v>291</v>
      </c>
      <c r="E506" t="s">
        <v>731</v>
      </c>
      <c r="F506">
        <v>250000</v>
      </c>
      <c r="G506">
        <v>5.8822093999999998</v>
      </c>
      <c r="H506">
        <v>1470552.35</v>
      </c>
      <c r="I506" t="s">
        <v>1587</v>
      </c>
      <c r="J506">
        <v>4.9975278835222001</v>
      </c>
    </row>
    <row r="507" spans="1:10" x14ac:dyDescent="0.25">
      <c r="A507" t="s">
        <v>130</v>
      </c>
      <c r="B507" t="s">
        <v>1455</v>
      </c>
      <c r="C507" t="s">
        <v>101</v>
      </c>
      <c r="D507" t="s">
        <v>1456</v>
      </c>
      <c r="E507" t="s">
        <v>731</v>
      </c>
      <c r="F507">
        <v>250000</v>
      </c>
      <c r="G507">
        <v>5.79038304</v>
      </c>
      <c r="H507">
        <v>1447595.76</v>
      </c>
      <c r="I507" t="s">
        <v>1587</v>
      </c>
      <c r="J507">
        <v>4.9195121647104001</v>
      </c>
    </row>
    <row r="508" spans="1:10" x14ac:dyDescent="0.25">
      <c r="A508" t="s">
        <v>130</v>
      </c>
      <c r="B508" t="s">
        <v>1457</v>
      </c>
      <c r="C508" t="s">
        <v>101</v>
      </c>
      <c r="D508" t="s">
        <v>1458</v>
      </c>
      <c r="E508" t="s">
        <v>731</v>
      </c>
      <c r="F508">
        <v>250000</v>
      </c>
      <c r="G508">
        <v>6.0198219999999996</v>
      </c>
      <c r="H508">
        <v>1504955.5</v>
      </c>
      <c r="I508" t="s">
        <v>1587</v>
      </c>
      <c r="J508">
        <v>5.1144436134558999</v>
      </c>
    </row>
    <row r="509" spans="1:10" x14ac:dyDescent="0.25">
      <c r="A509" t="s">
        <v>144</v>
      </c>
      <c r="B509" t="s">
        <v>103</v>
      </c>
      <c r="C509" t="s">
        <v>101</v>
      </c>
      <c r="D509" t="s">
        <v>144</v>
      </c>
      <c r="E509" t="s">
        <v>725</v>
      </c>
      <c r="F509" t="s">
        <v>103</v>
      </c>
      <c r="G509" t="s">
        <v>1587</v>
      </c>
      <c r="H509">
        <v>9111523.3499999996</v>
      </c>
      <c r="I509" t="s">
        <v>1587</v>
      </c>
      <c r="J509">
        <v>30.964618160644001</v>
      </c>
    </row>
    <row r="510" spans="1:10" x14ac:dyDescent="0.25">
      <c r="A510" t="s">
        <v>132</v>
      </c>
      <c r="B510" t="s">
        <v>292</v>
      </c>
      <c r="C510" t="s">
        <v>101</v>
      </c>
      <c r="D510" t="s">
        <v>293</v>
      </c>
      <c r="E510" t="s">
        <v>731</v>
      </c>
      <c r="F510">
        <v>-10000</v>
      </c>
      <c r="G510">
        <v>628.62</v>
      </c>
      <c r="H510">
        <v>-4588949.01</v>
      </c>
      <c r="I510" t="s">
        <v>1587</v>
      </c>
      <c r="J510">
        <v>-15.595092982263999</v>
      </c>
    </row>
    <row r="511" spans="1:10" x14ac:dyDescent="0.25">
      <c r="A511" t="s">
        <v>132</v>
      </c>
      <c r="B511" t="s">
        <v>114</v>
      </c>
      <c r="C511" t="s">
        <v>101</v>
      </c>
      <c r="D511" t="s">
        <v>1460</v>
      </c>
      <c r="E511" t="s">
        <v>725</v>
      </c>
      <c r="F511">
        <v>1</v>
      </c>
      <c r="G511" t="s">
        <v>1587</v>
      </c>
      <c r="H511" t="s">
        <v>1587</v>
      </c>
      <c r="I511" t="s">
        <v>1587</v>
      </c>
      <c r="J511" t="s">
        <v>1587</v>
      </c>
    </row>
    <row r="512" spans="1:10" x14ac:dyDescent="0.25">
      <c r="A512" t="s">
        <v>132</v>
      </c>
      <c r="B512" t="s">
        <v>473</v>
      </c>
      <c r="C512" t="s">
        <v>101</v>
      </c>
      <c r="D512" t="s">
        <v>1022</v>
      </c>
      <c r="E512" t="s">
        <v>725</v>
      </c>
      <c r="F512">
        <v>1217</v>
      </c>
      <c r="G512">
        <v>5.54</v>
      </c>
      <c r="H512">
        <v>6745.01</v>
      </c>
      <c r="I512" t="s">
        <v>1587</v>
      </c>
      <c r="J512">
        <v>2.2922254722609999E-2</v>
      </c>
    </row>
    <row r="513" spans="1:10" x14ac:dyDescent="0.25">
      <c r="A513" t="s">
        <v>132</v>
      </c>
      <c r="B513" t="s">
        <v>103</v>
      </c>
      <c r="C513" t="s">
        <v>101</v>
      </c>
      <c r="D513" t="s">
        <v>804</v>
      </c>
      <c r="E513" t="s">
        <v>725</v>
      </c>
      <c r="F513">
        <v>114</v>
      </c>
      <c r="G513">
        <v>630.12</v>
      </c>
      <c r="H513">
        <v>71833.42</v>
      </c>
      <c r="I513" t="s">
        <v>1587</v>
      </c>
      <c r="J513">
        <v>0.24411883019245001</v>
      </c>
    </row>
    <row r="514" spans="1:10" x14ac:dyDescent="0.25">
      <c r="A514" t="s">
        <v>132</v>
      </c>
      <c r="B514" t="s">
        <v>103</v>
      </c>
      <c r="C514" t="s">
        <v>101</v>
      </c>
      <c r="D514" t="s">
        <v>1461</v>
      </c>
      <c r="E514" t="s">
        <v>725</v>
      </c>
      <c r="F514">
        <v>114</v>
      </c>
      <c r="G514">
        <v>525.5</v>
      </c>
      <c r="H514">
        <v>59907.05</v>
      </c>
      <c r="I514" t="s">
        <v>1587</v>
      </c>
      <c r="J514">
        <v>0.20358823186033001</v>
      </c>
    </row>
    <row r="515" spans="1:10" x14ac:dyDescent="0.25">
      <c r="A515" t="s">
        <v>132</v>
      </c>
      <c r="B515" t="s">
        <v>103</v>
      </c>
      <c r="C515" t="s">
        <v>101</v>
      </c>
      <c r="D515" t="s">
        <v>1462</v>
      </c>
      <c r="E515" t="s">
        <v>725</v>
      </c>
      <c r="F515">
        <v>355</v>
      </c>
      <c r="G515" t="s">
        <v>1587</v>
      </c>
      <c r="H515" t="s">
        <v>1587</v>
      </c>
      <c r="I515" t="s">
        <v>1587</v>
      </c>
      <c r="J515" t="s">
        <v>1587</v>
      </c>
    </row>
    <row r="516" spans="1:10" x14ac:dyDescent="0.25">
      <c r="A516" t="s">
        <v>99</v>
      </c>
      <c r="B516" t="s">
        <v>140</v>
      </c>
      <c r="C516" t="s">
        <v>357</v>
      </c>
      <c r="D516" t="s">
        <v>274</v>
      </c>
      <c r="E516" t="s">
        <v>724</v>
      </c>
      <c r="F516">
        <v>225</v>
      </c>
      <c r="G516">
        <v>16115.254800000001</v>
      </c>
      <c r="H516">
        <v>3625932.33</v>
      </c>
      <c r="I516" t="s">
        <v>1587</v>
      </c>
      <c r="J516">
        <v>1.4765355498241</v>
      </c>
    </row>
    <row r="517" spans="1:10" x14ac:dyDescent="0.25">
      <c r="A517" t="s">
        <v>99</v>
      </c>
      <c r="B517" t="s">
        <v>140</v>
      </c>
      <c r="C517" t="s">
        <v>357</v>
      </c>
      <c r="D517" t="s">
        <v>188</v>
      </c>
      <c r="E517" t="s">
        <v>724</v>
      </c>
      <c r="F517">
        <v>90</v>
      </c>
      <c r="G517">
        <v>16113.965555556</v>
      </c>
      <c r="H517">
        <v>1450256.9</v>
      </c>
      <c r="I517" t="s">
        <v>1587</v>
      </c>
      <c r="J517">
        <v>0.59056696991026003</v>
      </c>
    </row>
    <row r="518" spans="1:10" x14ac:dyDescent="0.25">
      <c r="A518" t="s">
        <v>99</v>
      </c>
      <c r="B518" t="s">
        <v>140</v>
      </c>
      <c r="C518" t="s">
        <v>357</v>
      </c>
      <c r="D518" t="s">
        <v>247</v>
      </c>
      <c r="E518" t="s">
        <v>724</v>
      </c>
      <c r="F518">
        <v>81</v>
      </c>
      <c r="G518">
        <v>16088.697777777999</v>
      </c>
      <c r="H518">
        <v>1303184.52</v>
      </c>
      <c r="I518" t="s">
        <v>1587</v>
      </c>
      <c r="J518">
        <v>0.53067682919513004</v>
      </c>
    </row>
    <row r="519" spans="1:10" x14ac:dyDescent="0.25">
      <c r="A519" t="s">
        <v>105</v>
      </c>
      <c r="B519" t="s">
        <v>103</v>
      </c>
      <c r="C519" t="s">
        <v>357</v>
      </c>
      <c r="D519" t="s">
        <v>105</v>
      </c>
      <c r="E519" t="s">
        <v>725</v>
      </c>
      <c r="F519" t="s">
        <v>103</v>
      </c>
      <c r="G519" t="s">
        <v>1587</v>
      </c>
      <c r="H519">
        <v>-163110.47</v>
      </c>
      <c r="I519" t="s">
        <v>1587</v>
      </c>
      <c r="J519">
        <v>-6.6421098240280002E-2</v>
      </c>
    </row>
    <row r="520" spans="1:10" x14ac:dyDescent="0.25">
      <c r="A520" t="s">
        <v>134</v>
      </c>
      <c r="B520" t="s">
        <v>191</v>
      </c>
      <c r="C520" t="s">
        <v>357</v>
      </c>
      <c r="D520" t="s">
        <v>517</v>
      </c>
      <c r="E520" t="s">
        <v>78</v>
      </c>
      <c r="F520">
        <v>2</v>
      </c>
      <c r="G520">
        <v>534022.09</v>
      </c>
      <c r="H520">
        <v>534022.09</v>
      </c>
      <c r="I520" t="s">
        <v>1587</v>
      </c>
      <c r="J520">
        <v>0.21746202866295</v>
      </c>
    </row>
    <row r="521" spans="1:10" x14ac:dyDescent="0.25">
      <c r="A521" t="s">
        <v>134</v>
      </c>
      <c r="B521" t="s">
        <v>191</v>
      </c>
      <c r="C521" t="s">
        <v>357</v>
      </c>
      <c r="D521" t="s">
        <v>320</v>
      </c>
      <c r="E521" t="s">
        <v>723</v>
      </c>
      <c r="F521">
        <v>1</v>
      </c>
      <c r="G521">
        <v>431190.47</v>
      </c>
      <c r="H521">
        <v>431190.47</v>
      </c>
      <c r="I521" t="s">
        <v>1587</v>
      </c>
      <c r="J521">
        <v>0.17558740752902</v>
      </c>
    </row>
    <row r="522" spans="1:10" x14ac:dyDescent="0.25">
      <c r="A522" t="s">
        <v>134</v>
      </c>
      <c r="B522" t="s">
        <v>490</v>
      </c>
      <c r="C522" t="s">
        <v>357</v>
      </c>
      <c r="D522" t="s">
        <v>491</v>
      </c>
      <c r="E522" t="s">
        <v>726</v>
      </c>
      <c r="F522">
        <v>4</v>
      </c>
      <c r="G522">
        <v>704805.05249999999</v>
      </c>
      <c r="H522">
        <v>2819220.21</v>
      </c>
      <c r="I522" t="s">
        <v>1587</v>
      </c>
      <c r="J522">
        <v>1.1480299365785001</v>
      </c>
    </row>
    <row r="523" spans="1:10" x14ac:dyDescent="0.25">
      <c r="A523" t="s">
        <v>134</v>
      </c>
      <c r="B523" t="s">
        <v>190</v>
      </c>
      <c r="C523" t="s">
        <v>357</v>
      </c>
      <c r="D523" t="s">
        <v>111</v>
      </c>
      <c r="E523" t="s">
        <v>78</v>
      </c>
      <c r="F523">
        <v>1</v>
      </c>
      <c r="G523">
        <v>549943.69999999995</v>
      </c>
      <c r="H523">
        <v>549943.69999999995</v>
      </c>
      <c r="I523" t="s">
        <v>1587</v>
      </c>
      <c r="J523">
        <v>0.22394555373618999</v>
      </c>
    </row>
    <row r="524" spans="1:10" x14ac:dyDescent="0.25">
      <c r="A524" t="s">
        <v>134</v>
      </c>
      <c r="B524" t="s">
        <v>190</v>
      </c>
      <c r="C524" t="s">
        <v>357</v>
      </c>
      <c r="D524" t="s">
        <v>503</v>
      </c>
      <c r="E524" t="s">
        <v>726</v>
      </c>
      <c r="F524">
        <v>2</v>
      </c>
      <c r="G524">
        <v>420855.89</v>
      </c>
      <c r="H524">
        <v>420855.89</v>
      </c>
      <c r="I524" t="s">
        <v>1587</v>
      </c>
      <c r="J524">
        <v>0.17137900721325999</v>
      </c>
    </row>
    <row r="525" spans="1:10" x14ac:dyDescent="0.25">
      <c r="A525" t="s">
        <v>134</v>
      </c>
      <c r="B525" t="s">
        <v>190</v>
      </c>
      <c r="C525" t="s">
        <v>357</v>
      </c>
      <c r="D525" t="s">
        <v>501</v>
      </c>
      <c r="E525" t="s">
        <v>726</v>
      </c>
      <c r="F525">
        <v>2</v>
      </c>
      <c r="G525">
        <v>420855.89</v>
      </c>
      <c r="H525">
        <v>420855.89</v>
      </c>
      <c r="I525" t="s">
        <v>1587</v>
      </c>
      <c r="J525">
        <v>0.17137900721325999</v>
      </c>
    </row>
    <row r="526" spans="1:10" x14ac:dyDescent="0.25">
      <c r="A526" t="s">
        <v>135</v>
      </c>
      <c r="B526" t="s">
        <v>399</v>
      </c>
      <c r="C526" t="s">
        <v>357</v>
      </c>
      <c r="D526" t="s">
        <v>887</v>
      </c>
      <c r="E526" t="s">
        <v>726</v>
      </c>
      <c r="F526">
        <v>7</v>
      </c>
      <c r="G526">
        <v>309657.89714285999</v>
      </c>
      <c r="H526">
        <v>2167605.2799999998</v>
      </c>
      <c r="I526" t="s">
        <v>1587</v>
      </c>
      <c r="J526">
        <v>0.88268229040736002</v>
      </c>
    </row>
    <row r="527" spans="1:10" x14ac:dyDescent="0.25">
      <c r="A527" t="s">
        <v>135</v>
      </c>
      <c r="B527" t="s">
        <v>196</v>
      </c>
      <c r="C527" t="s">
        <v>357</v>
      </c>
      <c r="D527" t="s">
        <v>321</v>
      </c>
      <c r="E527" t="s">
        <v>78</v>
      </c>
      <c r="F527">
        <v>10</v>
      </c>
      <c r="G527">
        <v>304574.30499999999</v>
      </c>
      <c r="H527">
        <v>3045743.05</v>
      </c>
      <c r="I527" t="s">
        <v>1587</v>
      </c>
      <c r="J527">
        <v>1.2402735295820999</v>
      </c>
    </row>
    <row r="528" spans="1:10" x14ac:dyDescent="0.25">
      <c r="A528" t="s">
        <v>135</v>
      </c>
      <c r="B528" t="s">
        <v>196</v>
      </c>
      <c r="C528" t="s">
        <v>357</v>
      </c>
      <c r="D528" t="s">
        <v>285</v>
      </c>
      <c r="E528" t="s">
        <v>78</v>
      </c>
      <c r="F528">
        <v>7</v>
      </c>
      <c r="G528">
        <v>303810.32857143</v>
      </c>
      <c r="H528">
        <v>2126672.2999999998</v>
      </c>
      <c r="I528" t="s">
        <v>1587</v>
      </c>
      <c r="J528">
        <v>0.86601374984188995</v>
      </c>
    </row>
    <row r="529" spans="1:10" x14ac:dyDescent="0.25">
      <c r="A529" t="s">
        <v>135</v>
      </c>
      <c r="B529" t="s">
        <v>196</v>
      </c>
      <c r="C529" t="s">
        <v>357</v>
      </c>
      <c r="D529" t="s">
        <v>197</v>
      </c>
      <c r="E529" t="s">
        <v>78</v>
      </c>
      <c r="F529">
        <v>3</v>
      </c>
      <c r="G529">
        <v>304671.96333333</v>
      </c>
      <c r="H529">
        <v>914015.89</v>
      </c>
      <c r="I529" t="s">
        <v>1587</v>
      </c>
      <c r="J529">
        <v>0.37220136281173999</v>
      </c>
    </row>
    <row r="530" spans="1:10" x14ac:dyDescent="0.25">
      <c r="A530" t="s">
        <v>135</v>
      </c>
      <c r="B530" t="s">
        <v>196</v>
      </c>
      <c r="C530" t="s">
        <v>357</v>
      </c>
      <c r="D530" t="s">
        <v>322</v>
      </c>
      <c r="E530" t="s">
        <v>78</v>
      </c>
      <c r="F530">
        <v>2</v>
      </c>
      <c r="G530">
        <v>306953.19</v>
      </c>
      <c r="H530">
        <v>613906.38</v>
      </c>
      <c r="I530" t="s">
        <v>1587</v>
      </c>
      <c r="J530">
        <v>0.24999214321626001</v>
      </c>
    </row>
    <row r="531" spans="1:10" x14ac:dyDescent="0.25">
      <c r="A531" t="s">
        <v>135</v>
      </c>
      <c r="B531" t="s">
        <v>196</v>
      </c>
      <c r="C531" t="s">
        <v>357</v>
      </c>
      <c r="D531" t="s">
        <v>6</v>
      </c>
      <c r="E531" t="s">
        <v>78</v>
      </c>
      <c r="F531">
        <v>1</v>
      </c>
      <c r="G531">
        <v>305936.78999999998</v>
      </c>
      <c r="H531">
        <v>305936.78999999998</v>
      </c>
      <c r="I531" t="s">
        <v>1587</v>
      </c>
      <c r="J531">
        <v>0.12458217785716</v>
      </c>
    </row>
    <row r="532" spans="1:10" x14ac:dyDescent="0.25">
      <c r="A532" t="s">
        <v>135</v>
      </c>
      <c r="B532" t="s">
        <v>190</v>
      </c>
      <c r="C532" t="s">
        <v>357</v>
      </c>
      <c r="D532" t="s">
        <v>899</v>
      </c>
      <c r="E532" t="s">
        <v>725</v>
      </c>
      <c r="F532">
        <v>14</v>
      </c>
      <c r="G532">
        <v>350793.71071428998</v>
      </c>
      <c r="H532">
        <v>4911111.95</v>
      </c>
      <c r="I532" t="s">
        <v>1587</v>
      </c>
      <c r="J532">
        <v>1.9998805061375999</v>
      </c>
    </row>
    <row r="533" spans="1:10" x14ac:dyDescent="0.25">
      <c r="A533" t="s">
        <v>135</v>
      </c>
      <c r="B533" t="s">
        <v>190</v>
      </c>
      <c r="C533" t="s">
        <v>357</v>
      </c>
      <c r="D533" t="s">
        <v>199</v>
      </c>
      <c r="E533" t="s">
        <v>78</v>
      </c>
      <c r="F533">
        <v>3</v>
      </c>
      <c r="G533">
        <v>546388.59333333001</v>
      </c>
      <c r="H533">
        <v>1639165.78</v>
      </c>
      <c r="I533" t="s">
        <v>1587</v>
      </c>
      <c r="J533">
        <v>0.66749357846543</v>
      </c>
    </row>
    <row r="534" spans="1:10" x14ac:dyDescent="0.25">
      <c r="A534" t="s">
        <v>135</v>
      </c>
      <c r="B534" t="s">
        <v>190</v>
      </c>
      <c r="C534" t="s">
        <v>357</v>
      </c>
      <c r="D534" t="s">
        <v>250</v>
      </c>
      <c r="E534" t="s">
        <v>78</v>
      </c>
      <c r="F534">
        <v>1</v>
      </c>
      <c r="G534">
        <v>526517.56999999995</v>
      </c>
      <c r="H534">
        <v>526517.56999999995</v>
      </c>
      <c r="I534" t="s">
        <v>1587</v>
      </c>
      <c r="J534">
        <v>0.21440607241338999</v>
      </c>
    </row>
    <row r="535" spans="1:10" x14ac:dyDescent="0.25">
      <c r="A535" t="s">
        <v>112</v>
      </c>
      <c r="B535" t="s">
        <v>201</v>
      </c>
      <c r="C535" t="s">
        <v>357</v>
      </c>
      <c r="D535" t="s">
        <v>777</v>
      </c>
      <c r="E535" t="s">
        <v>725</v>
      </c>
      <c r="F535">
        <v>7</v>
      </c>
      <c r="G535">
        <v>61292.851428570997</v>
      </c>
      <c r="H535">
        <v>429049.96</v>
      </c>
      <c r="I535" t="s">
        <v>1587</v>
      </c>
      <c r="J535">
        <v>0.17471575885439</v>
      </c>
    </row>
    <row r="536" spans="1:10" x14ac:dyDescent="0.25">
      <c r="A536" t="s">
        <v>112</v>
      </c>
      <c r="B536" t="s">
        <v>201</v>
      </c>
      <c r="C536" t="s">
        <v>357</v>
      </c>
      <c r="D536" t="s">
        <v>930</v>
      </c>
      <c r="E536" t="s">
        <v>726</v>
      </c>
      <c r="F536">
        <v>5</v>
      </c>
      <c r="G536">
        <v>55650.05</v>
      </c>
      <c r="H536">
        <v>278250.25</v>
      </c>
      <c r="I536" t="s">
        <v>1587</v>
      </c>
      <c r="J536">
        <v>0.11330779189485</v>
      </c>
    </row>
    <row r="537" spans="1:10" x14ac:dyDescent="0.25">
      <c r="A537" t="s">
        <v>112</v>
      </c>
      <c r="B537" t="s">
        <v>465</v>
      </c>
      <c r="C537" t="s">
        <v>357</v>
      </c>
      <c r="D537" t="s">
        <v>1053</v>
      </c>
      <c r="E537" t="s">
        <v>726</v>
      </c>
      <c r="F537">
        <v>56</v>
      </c>
      <c r="G537">
        <v>56445.537678571003</v>
      </c>
      <c r="H537">
        <v>3160950.11</v>
      </c>
      <c r="I537" t="s">
        <v>1587</v>
      </c>
      <c r="J537">
        <v>1.2871876206899999</v>
      </c>
    </row>
    <row r="538" spans="1:10" x14ac:dyDescent="0.25">
      <c r="A538" t="s">
        <v>112</v>
      </c>
      <c r="B538" t="s">
        <v>360</v>
      </c>
      <c r="C538" t="s">
        <v>357</v>
      </c>
      <c r="D538" t="s">
        <v>1051</v>
      </c>
      <c r="E538" t="s">
        <v>726</v>
      </c>
      <c r="F538">
        <v>44</v>
      </c>
      <c r="G538">
        <v>54545.811136363998</v>
      </c>
      <c r="H538">
        <v>2400015.69</v>
      </c>
      <c r="I538" t="s">
        <v>1587</v>
      </c>
      <c r="J538">
        <v>0.97732339269019997</v>
      </c>
    </row>
    <row r="539" spans="1:10" x14ac:dyDescent="0.25">
      <c r="A539" t="s">
        <v>112</v>
      </c>
      <c r="B539" t="s">
        <v>360</v>
      </c>
      <c r="C539" t="s">
        <v>357</v>
      </c>
      <c r="D539" t="s">
        <v>1050</v>
      </c>
      <c r="E539" t="s">
        <v>726</v>
      </c>
      <c r="F539">
        <v>38</v>
      </c>
      <c r="G539">
        <v>55966.709736842</v>
      </c>
      <c r="H539">
        <v>2126734.9700000002</v>
      </c>
      <c r="I539" t="s">
        <v>1587</v>
      </c>
      <c r="J539">
        <v>0.86603927003214998</v>
      </c>
    </row>
    <row r="540" spans="1:10" x14ac:dyDescent="0.25">
      <c r="A540" t="s">
        <v>112</v>
      </c>
      <c r="B540" t="s">
        <v>368</v>
      </c>
      <c r="C540" t="s">
        <v>357</v>
      </c>
      <c r="D540" t="s">
        <v>954</v>
      </c>
      <c r="E540" t="s">
        <v>726</v>
      </c>
      <c r="F540">
        <v>-6</v>
      </c>
      <c r="G540">
        <v>111703.52033898</v>
      </c>
      <c r="H540">
        <v>670221.1220339</v>
      </c>
      <c r="I540" t="s">
        <v>1587</v>
      </c>
      <c r="J540">
        <v>0.27292437443973999</v>
      </c>
    </row>
    <row r="541" spans="1:10" x14ac:dyDescent="0.25">
      <c r="A541" t="s">
        <v>112</v>
      </c>
      <c r="B541" t="s">
        <v>368</v>
      </c>
      <c r="C541" t="s">
        <v>357</v>
      </c>
      <c r="D541" t="s">
        <v>954</v>
      </c>
      <c r="E541" t="s">
        <v>725</v>
      </c>
      <c r="F541">
        <v>112</v>
      </c>
      <c r="G541">
        <v>111703.52033898</v>
      </c>
      <c r="H541">
        <v>12510794.277966</v>
      </c>
      <c r="I541" t="s">
        <v>1587</v>
      </c>
      <c r="J541">
        <v>5.0945883228750999</v>
      </c>
    </row>
    <row r="542" spans="1:10" x14ac:dyDescent="0.25">
      <c r="A542" t="s">
        <v>112</v>
      </c>
      <c r="B542" t="s">
        <v>368</v>
      </c>
      <c r="C542" t="s">
        <v>357</v>
      </c>
      <c r="D542" t="s">
        <v>486</v>
      </c>
      <c r="E542" t="s">
        <v>726</v>
      </c>
      <c r="F542">
        <v>41</v>
      </c>
      <c r="G542">
        <v>136495.18902439001</v>
      </c>
      <c r="H542">
        <v>5596302.75</v>
      </c>
      <c r="I542" t="s">
        <v>1587</v>
      </c>
      <c r="J542">
        <v>2.2789007642493999</v>
      </c>
    </row>
    <row r="543" spans="1:10" x14ac:dyDescent="0.25">
      <c r="A543" t="s">
        <v>112</v>
      </c>
      <c r="B543" t="s">
        <v>368</v>
      </c>
      <c r="C543" t="s">
        <v>357</v>
      </c>
      <c r="D543" t="s">
        <v>1138</v>
      </c>
      <c r="E543" t="s">
        <v>725</v>
      </c>
      <c r="F543">
        <v>21</v>
      </c>
      <c r="G543">
        <v>104519.78333332999</v>
      </c>
      <c r="H543">
        <v>2194915.4500000002</v>
      </c>
      <c r="I543" t="s">
        <v>1587</v>
      </c>
      <c r="J543">
        <v>0.89380341270274999</v>
      </c>
    </row>
    <row r="544" spans="1:10" x14ac:dyDescent="0.25">
      <c r="A544" t="s">
        <v>112</v>
      </c>
      <c r="B544" t="s">
        <v>808</v>
      </c>
      <c r="C544" t="s">
        <v>357</v>
      </c>
      <c r="D544" t="s">
        <v>809</v>
      </c>
      <c r="E544" t="s">
        <v>726</v>
      </c>
      <c r="F544">
        <v>34</v>
      </c>
      <c r="G544">
        <v>60475.118529412</v>
      </c>
      <c r="H544">
        <v>2056154.03</v>
      </c>
      <c r="I544" t="s">
        <v>1587</v>
      </c>
      <c r="J544">
        <v>0.83729762303897004</v>
      </c>
    </row>
    <row r="545" spans="1:10" x14ac:dyDescent="0.25">
      <c r="A545" t="s">
        <v>113</v>
      </c>
      <c r="B545" t="s">
        <v>114</v>
      </c>
      <c r="C545" t="s">
        <v>357</v>
      </c>
      <c r="D545" t="s">
        <v>1163</v>
      </c>
      <c r="E545" t="s">
        <v>755</v>
      </c>
      <c r="F545">
        <v>1</v>
      </c>
      <c r="G545">
        <v>110.51560000000001</v>
      </c>
      <c r="H545">
        <v>10042.415000000001</v>
      </c>
      <c r="I545" t="s">
        <v>1587</v>
      </c>
      <c r="J545" t="s">
        <v>1587</v>
      </c>
    </row>
    <row r="546" spans="1:10" x14ac:dyDescent="0.25">
      <c r="A546" t="s">
        <v>113</v>
      </c>
      <c r="B546" t="s">
        <v>114</v>
      </c>
      <c r="C546" t="s">
        <v>357</v>
      </c>
      <c r="D546" t="s">
        <v>1163</v>
      </c>
      <c r="E546" t="s">
        <v>895</v>
      </c>
      <c r="F546">
        <v>-1</v>
      </c>
      <c r="G546">
        <v>110.51560000000001</v>
      </c>
      <c r="H546">
        <v>10042.415000000001</v>
      </c>
      <c r="I546" t="s">
        <v>1587</v>
      </c>
      <c r="J546" t="s">
        <v>1587</v>
      </c>
    </row>
    <row r="547" spans="1:10" x14ac:dyDescent="0.25">
      <c r="A547" t="s">
        <v>113</v>
      </c>
      <c r="B547" t="s">
        <v>114</v>
      </c>
      <c r="C547" t="s">
        <v>357</v>
      </c>
      <c r="D547" t="s">
        <v>1478</v>
      </c>
      <c r="E547" t="s">
        <v>725</v>
      </c>
      <c r="F547">
        <v>8</v>
      </c>
      <c r="G547">
        <v>110.5468</v>
      </c>
      <c r="H547">
        <v>6235.92</v>
      </c>
      <c r="I547">
        <v>5083560.9260799997</v>
      </c>
      <c r="J547">
        <v>2.0701043880358001</v>
      </c>
    </row>
    <row r="548" spans="1:10" x14ac:dyDescent="0.25">
      <c r="A548" t="s">
        <v>113</v>
      </c>
      <c r="B548" t="s">
        <v>114</v>
      </c>
      <c r="C548" t="s">
        <v>357</v>
      </c>
      <c r="D548" t="s">
        <v>177</v>
      </c>
      <c r="E548" t="s">
        <v>430</v>
      </c>
      <c r="F548">
        <v>-9</v>
      </c>
      <c r="G548">
        <v>177502.20586086999</v>
      </c>
      <c r="H548">
        <v>1728.09</v>
      </c>
      <c r="I548">
        <v>-1597519.8527478999</v>
      </c>
      <c r="J548">
        <v>-0.65053471478659997</v>
      </c>
    </row>
    <row r="549" spans="1:10" x14ac:dyDescent="0.25">
      <c r="A549" t="s">
        <v>113</v>
      </c>
      <c r="B549" t="s">
        <v>114</v>
      </c>
      <c r="C549" t="s">
        <v>357</v>
      </c>
      <c r="D549" t="s">
        <v>1480</v>
      </c>
      <c r="E549" t="s">
        <v>725</v>
      </c>
      <c r="F549">
        <v>10</v>
      </c>
      <c r="G549">
        <v>99858.55</v>
      </c>
      <c r="H549">
        <v>967</v>
      </c>
      <c r="I549">
        <v>2870034.58555</v>
      </c>
      <c r="J549">
        <v>1.1687223337643999</v>
      </c>
    </row>
    <row r="550" spans="1:10" x14ac:dyDescent="0.25">
      <c r="A550" t="s">
        <v>113</v>
      </c>
      <c r="B550" t="s">
        <v>114</v>
      </c>
      <c r="C550" t="s">
        <v>357</v>
      </c>
      <c r="D550" t="s">
        <v>241</v>
      </c>
      <c r="E550" t="s">
        <v>728</v>
      </c>
      <c r="F550">
        <v>-130</v>
      </c>
      <c r="G550">
        <v>91177.18</v>
      </c>
      <c r="H550" t="s">
        <v>1587</v>
      </c>
      <c r="I550" t="s">
        <v>1587</v>
      </c>
      <c r="J550" t="s">
        <v>1587</v>
      </c>
    </row>
    <row r="551" spans="1:10" x14ac:dyDescent="0.25">
      <c r="A551" t="s">
        <v>113</v>
      </c>
      <c r="B551" t="s">
        <v>114</v>
      </c>
      <c r="C551" t="s">
        <v>357</v>
      </c>
      <c r="D551" t="s">
        <v>202</v>
      </c>
      <c r="E551" t="s">
        <v>431</v>
      </c>
      <c r="F551">
        <v>2</v>
      </c>
      <c r="G551">
        <v>59837.78</v>
      </c>
      <c r="H551">
        <v>-134.80000000000001</v>
      </c>
      <c r="I551">
        <v>119675.56</v>
      </c>
      <c r="J551">
        <v>4.8733733203761002E-2</v>
      </c>
    </row>
    <row r="552" spans="1:10" x14ac:dyDescent="0.25">
      <c r="A552" t="s">
        <v>113</v>
      </c>
      <c r="B552" t="s">
        <v>114</v>
      </c>
      <c r="C552" t="s">
        <v>357</v>
      </c>
      <c r="D552" t="s">
        <v>116</v>
      </c>
      <c r="E552" t="s">
        <v>350</v>
      </c>
      <c r="F552">
        <v>4</v>
      </c>
      <c r="G552">
        <v>160200.83481885001</v>
      </c>
      <c r="H552">
        <v>-481.52</v>
      </c>
      <c r="I552">
        <v>640803.33927540004</v>
      </c>
      <c r="J552">
        <v>0.26094499973367002</v>
      </c>
    </row>
    <row r="553" spans="1:10" x14ac:dyDescent="0.25">
      <c r="A553" t="s">
        <v>113</v>
      </c>
      <c r="B553" t="s">
        <v>114</v>
      </c>
      <c r="C553" t="s">
        <v>357</v>
      </c>
      <c r="D553" t="s">
        <v>479</v>
      </c>
      <c r="E553" t="s">
        <v>431</v>
      </c>
      <c r="F553">
        <v>-25</v>
      </c>
      <c r="G553">
        <v>89079.679999999993</v>
      </c>
      <c r="H553">
        <v>-758</v>
      </c>
      <c r="I553">
        <v>-2226992</v>
      </c>
      <c r="J553">
        <v>-0.90686547842274001</v>
      </c>
    </row>
    <row r="554" spans="1:10" x14ac:dyDescent="0.25">
      <c r="A554" t="s">
        <v>113</v>
      </c>
      <c r="B554" t="s">
        <v>114</v>
      </c>
      <c r="C554" t="s">
        <v>357</v>
      </c>
      <c r="D554" t="s">
        <v>1394</v>
      </c>
      <c r="E554" t="s">
        <v>895</v>
      </c>
      <c r="F554">
        <v>1</v>
      </c>
      <c r="G554">
        <v>57517.39</v>
      </c>
      <c r="H554">
        <v>-51.568125000000002</v>
      </c>
      <c r="I554">
        <v>-46732.879374999997</v>
      </c>
      <c r="J554">
        <v>-1.9030349014492E-2</v>
      </c>
    </row>
    <row r="555" spans="1:10" x14ac:dyDescent="0.25">
      <c r="A555" t="s">
        <v>113</v>
      </c>
      <c r="B555" t="s">
        <v>114</v>
      </c>
      <c r="C555" t="s">
        <v>357</v>
      </c>
      <c r="D555" t="s">
        <v>1394</v>
      </c>
      <c r="E555" t="s">
        <v>876</v>
      </c>
      <c r="F555">
        <v>-15</v>
      </c>
      <c r="G555">
        <v>57517.39</v>
      </c>
      <c r="H555">
        <v>-773.52187500000002</v>
      </c>
      <c r="I555">
        <v>-700993.19062500005</v>
      </c>
      <c r="J555">
        <v>-0.28545523521737998</v>
      </c>
    </row>
    <row r="556" spans="1:10" x14ac:dyDescent="0.25">
      <c r="A556" t="s">
        <v>113</v>
      </c>
      <c r="B556" t="s">
        <v>114</v>
      </c>
      <c r="C556" t="s">
        <v>357</v>
      </c>
      <c r="D556" t="s">
        <v>179</v>
      </c>
      <c r="E556" t="s">
        <v>430</v>
      </c>
      <c r="F556">
        <v>-31</v>
      </c>
      <c r="G556">
        <v>139301.90008560001</v>
      </c>
      <c r="H556">
        <v>-1622.54</v>
      </c>
      <c r="I556">
        <v>-4318358.9026536001</v>
      </c>
      <c r="J556">
        <v>-1.7585023261224</v>
      </c>
    </row>
    <row r="557" spans="1:10" x14ac:dyDescent="0.25">
      <c r="A557" t="s">
        <v>113</v>
      </c>
      <c r="B557" t="s">
        <v>114</v>
      </c>
      <c r="C557" t="s">
        <v>357</v>
      </c>
      <c r="D557" t="s">
        <v>1396</v>
      </c>
      <c r="E557" t="s">
        <v>876</v>
      </c>
      <c r="F557">
        <v>-65</v>
      </c>
      <c r="G557">
        <v>287586.95</v>
      </c>
      <c r="H557">
        <v>-5466.5</v>
      </c>
      <c r="I557">
        <v>-18693151.75</v>
      </c>
      <c r="J557">
        <v>-7.6121396057968003</v>
      </c>
    </row>
    <row r="558" spans="1:10" x14ac:dyDescent="0.25">
      <c r="A558" t="s">
        <v>113</v>
      </c>
      <c r="B558" t="s">
        <v>114</v>
      </c>
      <c r="C558" t="s">
        <v>357</v>
      </c>
      <c r="D558" t="s">
        <v>251</v>
      </c>
      <c r="E558" t="s">
        <v>895</v>
      </c>
      <c r="F558">
        <v>-4</v>
      </c>
      <c r="G558">
        <v>74914.45</v>
      </c>
      <c r="H558">
        <v>-10040.4</v>
      </c>
      <c r="I558">
        <v>-2153116.2074500001</v>
      </c>
      <c r="J558">
        <v>-0.87678211667078998</v>
      </c>
    </row>
    <row r="559" spans="1:10" x14ac:dyDescent="0.25">
      <c r="A559" t="s">
        <v>126</v>
      </c>
      <c r="B559" t="s">
        <v>1139</v>
      </c>
      <c r="C559" t="s">
        <v>357</v>
      </c>
      <c r="D559" t="s">
        <v>512</v>
      </c>
      <c r="E559" t="s">
        <v>725</v>
      </c>
      <c r="F559">
        <v>61</v>
      </c>
      <c r="G559">
        <v>66660.729367446998</v>
      </c>
      <c r="H559">
        <v>4066304.4914143002</v>
      </c>
      <c r="I559" t="s">
        <v>1587</v>
      </c>
      <c r="J559">
        <v>1.6558618836615</v>
      </c>
    </row>
    <row r="560" spans="1:10" x14ac:dyDescent="0.25">
      <c r="A560" t="s">
        <v>126</v>
      </c>
      <c r="B560" t="s">
        <v>252</v>
      </c>
      <c r="C560" t="s">
        <v>357</v>
      </c>
      <c r="D560" t="s">
        <v>253</v>
      </c>
      <c r="E560" t="s">
        <v>126</v>
      </c>
      <c r="F560">
        <v>97</v>
      </c>
      <c r="G560">
        <v>600.39131469999995</v>
      </c>
      <c r="H560">
        <v>58237.957525899998</v>
      </c>
      <c r="I560" t="s">
        <v>1587</v>
      </c>
      <c r="J560">
        <v>2.3715394224177001E-2</v>
      </c>
    </row>
    <row r="561" spans="1:10" x14ac:dyDescent="0.25">
      <c r="A561" t="s">
        <v>126</v>
      </c>
      <c r="B561" t="s">
        <v>877</v>
      </c>
      <c r="C561" t="s">
        <v>357</v>
      </c>
      <c r="D561" t="s">
        <v>1140</v>
      </c>
      <c r="E561" t="s">
        <v>725</v>
      </c>
      <c r="F561">
        <v>5021</v>
      </c>
      <c r="G561">
        <v>852.81640101836001</v>
      </c>
      <c r="H561">
        <v>4281991.1495131999</v>
      </c>
      <c r="I561" t="s">
        <v>1587</v>
      </c>
      <c r="J561">
        <v>1.7436928163214001</v>
      </c>
    </row>
    <row r="562" spans="1:10" x14ac:dyDescent="0.25">
      <c r="A562" t="s">
        <v>126</v>
      </c>
      <c r="B562" t="s">
        <v>1048</v>
      </c>
      <c r="C562" t="s">
        <v>357</v>
      </c>
      <c r="D562" t="s">
        <v>1095</v>
      </c>
      <c r="E562" t="s">
        <v>725</v>
      </c>
      <c r="F562">
        <v>2300</v>
      </c>
      <c r="G562">
        <v>1093.0341587229</v>
      </c>
      <c r="H562">
        <v>2513978.5650626998</v>
      </c>
      <c r="I562" t="s">
        <v>1587</v>
      </c>
      <c r="J562">
        <v>1.0237308325087</v>
      </c>
    </row>
    <row r="563" spans="1:10" x14ac:dyDescent="0.25">
      <c r="A563" t="s">
        <v>126</v>
      </c>
      <c r="B563" t="s">
        <v>1141</v>
      </c>
      <c r="C563" t="s">
        <v>357</v>
      </c>
      <c r="D563" t="s">
        <v>1142</v>
      </c>
      <c r="E563" t="s">
        <v>725</v>
      </c>
      <c r="F563">
        <v>1540</v>
      </c>
      <c r="G563">
        <v>1238.7405098300001</v>
      </c>
      <c r="H563">
        <v>1907660.3851381999</v>
      </c>
      <c r="I563" t="s">
        <v>1587</v>
      </c>
      <c r="J563">
        <v>0.77682872135889003</v>
      </c>
    </row>
    <row r="564" spans="1:10" x14ac:dyDescent="0.25">
      <c r="A564" t="s">
        <v>126</v>
      </c>
      <c r="B564" t="s">
        <v>305</v>
      </c>
      <c r="C564" t="s">
        <v>357</v>
      </c>
      <c r="D564" t="s">
        <v>306</v>
      </c>
      <c r="E564" t="s">
        <v>126</v>
      </c>
      <c r="F564">
        <v>2500</v>
      </c>
      <c r="G564">
        <v>545.52732102000004</v>
      </c>
      <c r="H564">
        <v>1363818.3025499999</v>
      </c>
      <c r="I564" t="s">
        <v>1587</v>
      </c>
      <c r="J564">
        <v>0.55536784030823005</v>
      </c>
    </row>
    <row r="565" spans="1:10" x14ac:dyDescent="0.25">
      <c r="A565" t="s">
        <v>126</v>
      </c>
      <c r="B565" t="s">
        <v>254</v>
      </c>
      <c r="C565" t="s">
        <v>357</v>
      </c>
      <c r="D565" t="s">
        <v>255</v>
      </c>
      <c r="E565" t="s">
        <v>126</v>
      </c>
      <c r="F565">
        <v>1000000</v>
      </c>
      <c r="G565">
        <v>8.3671220000000004E-2</v>
      </c>
      <c r="H565">
        <v>83671.22</v>
      </c>
      <c r="I565" t="s">
        <v>1587</v>
      </c>
      <c r="J565">
        <v>3.4072210836641997E-2</v>
      </c>
    </row>
    <row r="566" spans="1:10" x14ac:dyDescent="0.25">
      <c r="A566" t="s">
        <v>126</v>
      </c>
      <c r="B566" t="s">
        <v>467</v>
      </c>
      <c r="C566" t="s">
        <v>357</v>
      </c>
      <c r="D566" t="s">
        <v>468</v>
      </c>
      <c r="E566" t="s">
        <v>126</v>
      </c>
      <c r="F566">
        <v>2336</v>
      </c>
      <c r="G566">
        <v>1013.54902903</v>
      </c>
      <c r="H566">
        <v>2367650.5318141002</v>
      </c>
      <c r="I566" t="s">
        <v>1587</v>
      </c>
      <c r="J566">
        <v>0.96414380126710997</v>
      </c>
    </row>
    <row r="567" spans="1:10" x14ac:dyDescent="0.25">
      <c r="A567" t="s">
        <v>126</v>
      </c>
      <c r="B567" t="s">
        <v>467</v>
      </c>
      <c r="C567" t="s">
        <v>357</v>
      </c>
      <c r="D567" t="s">
        <v>468</v>
      </c>
      <c r="E567" t="s">
        <v>725</v>
      </c>
      <c r="F567">
        <v>94</v>
      </c>
      <c r="G567">
        <v>1013.54902903</v>
      </c>
      <c r="H567">
        <v>95273.608728820007</v>
      </c>
      <c r="I567" t="s">
        <v>1587</v>
      </c>
      <c r="J567">
        <v>3.8796882414001997E-2</v>
      </c>
    </row>
    <row r="568" spans="1:10" x14ac:dyDescent="0.25">
      <c r="A568" t="s">
        <v>126</v>
      </c>
      <c r="B568" t="s">
        <v>416</v>
      </c>
      <c r="C568" t="s">
        <v>357</v>
      </c>
      <c r="D568" t="s">
        <v>417</v>
      </c>
      <c r="E568" t="s">
        <v>126</v>
      </c>
      <c r="F568">
        <v>1439</v>
      </c>
      <c r="G568">
        <v>1005.96786836</v>
      </c>
      <c r="H568">
        <v>1447587.76257</v>
      </c>
      <c r="I568" t="s">
        <v>1587</v>
      </c>
      <c r="J568">
        <v>0.58948005599570996</v>
      </c>
    </row>
    <row r="569" spans="1:10" x14ac:dyDescent="0.25">
      <c r="A569" t="s">
        <v>126</v>
      </c>
      <c r="B569" t="s">
        <v>416</v>
      </c>
      <c r="C569" t="s">
        <v>357</v>
      </c>
      <c r="D569" t="s">
        <v>417</v>
      </c>
      <c r="E569" t="s">
        <v>725</v>
      </c>
      <c r="F569">
        <v>807</v>
      </c>
      <c r="G569">
        <v>1005.96786836</v>
      </c>
      <c r="H569">
        <v>811816.06976652006</v>
      </c>
      <c r="I569" t="s">
        <v>1587</v>
      </c>
      <c r="J569">
        <v>0.33058402028389999</v>
      </c>
    </row>
    <row r="570" spans="1:10" x14ac:dyDescent="0.25">
      <c r="A570" t="s">
        <v>126</v>
      </c>
      <c r="B570" t="s">
        <v>136</v>
      </c>
      <c r="C570" t="s">
        <v>357</v>
      </c>
      <c r="D570" t="s">
        <v>136</v>
      </c>
      <c r="E570" t="s">
        <v>126</v>
      </c>
      <c r="F570">
        <v>2324</v>
      </c>
      <c r="G570">
        <v>341.53126839226002</v>
      </c>
      <c r="H570">
        <v>793718.66774362</v>
      </c>
      <c r="I570" t="s">
        <v>1587</v>
      </c>
      <c r="J570">
        <v>0.32321447915231999</v>
      </c>
    </row>
    <row r="571" spans="1:10" x14ac:dyDescent="0.25">
      <c r="A571" t="s">
        <v>126</v>
      </c>
      <c r="B571" t="s">
        <v>136</v>
      </c>
      <c r="C571" t="s">
        <v>357</v>
      </c>
      <c r="D571" t="s">
        <v>136</v>
      </c>
      <c r="E571" t="s">
        <v>725</v>
      </c>
      <c r="F571">
        <v>288</v>
      </c>
      <c r="G571">
        <v>341.53126839226002</v>
      </c>
      <c r="H571">
        <v>98361.005296971998</v>
      </c>
      <c r="I571" t="s">
        <v>1587</v>
      </c>
      <c r="J571">
        <v>4.0054117898393998E-2</v>
      </c>
    </row>
    <row r="572" spans="1:10" x14ac:dyDescent="0.25">
      <c r="A572" t="s">
        <v>126</v>
      </c>
      <c r="B572" t="s">
        <v>1143</v>
      </c>
      <c r="C572" t="s">
        <v>357</v>
      </c>
      <c r="D572" t="s">
        <v>1144</v>
      </c>
      <c r="E572" t="s">
        <v>725</v>
      </c>
      <c r="F572">
        <v>2337</v>
      </c>
      <c r="G572">
        <v>1065.8030452094999</v>
      </c>
      <c r="H572">
        <v>2490781.7166546001</v>
      </c>
      <c r="I572" t="s">
        <v>1587</v>
      </c>
      <c r="J572">
        <v>1.0142847181851999</v>
      </c>
    </row>
    <row r="573" spans="1:10" x14ac:dyDescent="0.25">
      <c r="A573" t="s">
        <v>126</v>
      </c>
      <c r="B573" t="s">
        <v>1237</v>
      </c>
      <c r="C573" t="s">
        <v>357</v>
      </c>
      <c r="D573" t="s">
        <v>1238</v>
      </c>
      <c r="E573" t="s">
        <v>725</v>
      </c>
      <c r="F573">
        <v>1204</v>
      </c>
      <c r="G573">
        <v>1025.6342651699999</v>
      </c>
      <c r="H573">
        <v>1234863.6552647001</v>
      </c>
      <c r="I573" t="s">
        <v>1587</v>
      </c>
      <c r="J573">
        <v>0.50285551969582998</v>
      </c>
    </row>
    <row r="574" spans="1:10" x14ac:dyDescent="0.25">
      <c r="A574" t="s">
        <v>126</v>
      </c>
      <c r="B574" t="s">
        <v>1145</v>
      </c>
      <c r="C574" t="s">
        <v>357</v>
      </c>
      <c r="D574" t="s">
        <v>1094</v>
      </c>
      <c r="E574" t="s">
        <v>725</v>
      </c>
      <c r="F574">
        <v>1908</v>
      </c>
      <c r="G574">
        <v>1004.09895295</v>
      </c>
      <c r="H574">
        <v>1915820.8022286</v>
      </c>
      <c r="I574" t="s">
        <v>1587</v>
      </c>
      <c r="J574">
        <v>0.78015176901635996</v>
      </c>
    </row>
    <row r="575" spans="1:10" x14ac:dyDescent="0.25">
      <c r="A575" t="s">
        <v>126</v>
      </c>
      <c r="B575" t="s">
        <v>256</v>
      </c>
      <c r="C575" t="s">
        <v>357</v>
      </c>
      <c r="D575" t="s">
        <v>257</v>
      </c>
      <c r="E575" t="s">
        <v>126</v>
      </c>
      <c r="F575">
        <v>2000000</v>
      </c>
      <c r="G575">
        <v>2.0772160000000001E-2</v>
      </c>
      <c r="H575">
        <v>41544.32</v>
      </c>
      <c r="I575" t="s">
        <v>1587</v>
      </c>
      <c r="J575">
        <v>1.6917487639178001E-2</v>
      </c>
    </row>
    <row r="576" spans="1:10" x14ac:dyDescent="0.25">
      <c r="A576" t="s">
        <v>126</v>
      </c>
      <c r="B576" t="s">
        <v>1096</v>
      </c>
      <c r="C576" t="s">
        <v>357</v>
      </c>
      <c r="D576" t="s">
        <v>1097</v>
      </c>
      <c r="E576" t="s">
        <v>725</v>
      </c>
      <c r="F576">
        <v>32</v>
      </c>
      <c r="G576">
        <v>38606.484205530003</v>
      </c>
      <c r="H576">
        <v>1235407.4945769999</v>
      </c>
      <c r="I576" t="s">
        <v>1587</v>
      </c>
      <c r="J576">
        <v>0.50307697944876995</v>
      </c>
    </row>
    <row r="577" spans="1:10" x14ac:dyDescent="0.25">
      <c r="A577" t="s">
        <v>127</v>
      </c>
      <c r="B577" t="s">
        <v>1152</v>
      </c>
      <c r="C577" t="s">
        <v>357</v>
      </c>
      <c r="D577" t="s">
        <v>911</v>
      </c>
      <c r="E577" t="s">
        <v>726</v>
      </c>
      <c r="F577">
        <v>1712</v>
      </c>
      <c r="G577">
        <v>1046.6060397195999</v>
      </c>
      <c r="H577">
        <v>1791789.54</v>
      </c>
      <c r="I577" t="s">
        <v>1587</v>
      </c>
      <c r="J577">
        <v>0.72964432670838997</v>
      </c>
    </row>
    <row r="578" spans="1:10" x14ac:dyDescent="0.25">
      <c r="A578" t="s">
        <v>127</v>
      </c>
      <c r="B578" t="s">
        <v>38</v>
      </c>
      <c r="C578" t="s">
        <v>357</v>
      </c>
      <c r="D578" t="s">
        <v>1063</v>
      </c>
      <c r="E578" t="s">
        <v>726</v>
      </c>
      <c r="F578">
        <v>1357</v>
      </c>
      <c r="G578">
        <v>1032.2379366248999</v>
      </c>
      <c r="H578">
        <v>1400746.88</v>
      </c>
      <c r="I578" t="s">
        <v>1587</v>
      </c>
      <c r="J578">
        <v>0.57040572641498999</v>
      </c>
    </row>
    <row r="579" spans="1:10" x14ac:dyDescent="0.25">
      <c r="A579" t="s">
        <v>127</v>
      </c>
      <c r="B579" t="s">
        <v>38</v>
      </c>
      <c r="C579" t="s">
        <v>357</v>
      </c>
      <c r="D579" t="s">
        <v>238</v>
      </c>
      <c r="E579" t="s">
        <v>726</v>
      </c>
      <c r="F579">
        <v>1429</v>
      </c>
      <c r="G579">
        <v>712.30882352941001</v>
      </c>
      <c r="H579">
        <v>472260.75</v>
      </c>
      <c r="I579" t="s">
        <v>1587</v>
      </c>
      <c r="J579">
        <v>0.1923118587714</v>
      </c>
    </row>
    <row r="580" spans="1:10" x14ac:dyDescent="0.25">
      <c r="A580" t="s">
        <v>127</v>
      </c>
      <c r="B580" t="s">
        <v>258</v>
      </c>
      <c r="C580" t="s">
        <v>357</v>
      </c>
      <c r="D580" t="s">
        <v>259</v>
      </c>
      <c r="E580" t="s">
        <v>726</v>
      </c>
      <c r="F580">
        <v>490</v>
      </c>
      <c r="G580">
        <v>1059.4645918367</v>
      </c>
      <c r="H580">
        <v>519137.65</v>
      </c>
      <c r="I580" t="s">
        <v>1587</v>
      </c>
      <c r="J580">
        <v>0.21140085520492</v>
      </c>
    </row>
    <row r="581" spans="1:10" x14ac:dyDescent="0.25">
      <c r="A581" t="s">
        <v>127</v>
      </c>
      <c r="B581" t="s">
        <v>354</v>
      </c>
      <c r="C581" t="s">
        <v>357</v>
      </c>
      <c r="D581" t="s">
        <v>957</v>
      </c>
      <c r="E581" t="s">
        <v>726</v>
      </c>
      <c r="F581">
        <v>3078</v>
      </c>
      <c r="G581">
        <v>1059.2830474334</v>
      </c>
      <c r="H581">
        <v>3260473.22</v>
      </c>
      <c r="I581" t="s">
        <v>1587</v>
      </c>
      <c r="J581">
        <v>1.3277149655409</v>
      </c>
    </row>
    <row r="582" spans="1:10" x14ac:dyDescent="0.25">
      <c r="A582" t="s">
        <v>127</v>
      </c>
      <c r="B582" t="s">
        <v>48</v>
      </c>
      <c r="C582" t="s">
        <v>357</v>
      </c>
      <c r="D582" t="s">
        <v>296</v>
      </c>
      <c r="E582" t="s">
        <v>731</v>
      </c>
      <c r="F582">
        <v>56402</v>
      </c>
      <c r="G582">
        <v>34.559815090760999</v>
      </c>
      <c r="H582">
        <v>1020482.22</v>
      </c>
      <c r="I582" t="s">
        <v>1587</v>
      </c>
      <c r="J582">
        <v>0.41555609389804998</v>
      </c>
    </row>
    <row r="583" spans="1:10" x14ac:dyDescent="0.25">
      <c r="A583" t="s">
        <v>127</v>
      </c>
      <c r="B583" t="s">
        <v>759</v>
      </c>
      <c r="C583" t="s">
        <v>357</v>
      </c>
      <c r="D583" t="s">
        <v>760</v>
      </c>
      <c r="E583" t="s">
        <v>726</v>
      </c>
      <c r="F583">
        <v>1080</v>
      </c>
      <c r="G583">
        <v>849.87812962963005</v>
      </c>
      <c r="H583">
        <v>917868.38</v>
      </c>
      <c r="I583" t="s">
        <v>1587</v>
      </c>
      <c r="J583">
        <v>0.37377015613788001</v>
      </c>
    </row>
    <row r="584" spans="1:10" x14ac:dyDescent="0.25">
      <c r="A584" t="s">
        <v>127</v>
      </c>
      <c r="B584" t="s">
        <v>37</v>
      </c>
      <c r="C584" t="s">
        <v>357</v>
      </c>
      <c r="D584" t="s">
        <v>260</v>
      </c>
      <c r="E584" t="s">
        <v>726</v>
      </c>
      <c r="F584">
        <v>2949</v>
      </c>
      <c r="G584">
        <v>1058.4904238725001</v>
      </c>
      <c r="H584">
        <v>3121488.26</v>
      </c>
      <c r="I584" t="s">
        <v>1587</v>
      </c>
      <c r="J584">
        <v>1.2711181469424999</v>
      </c>
    </row>
    <row r="585" spans="1:10" x14ac:dyDescent="0.25">
      <c r="A585" t="s">
        <v>127</v>
      </c>
      <c r="B585" t="s">
        <v>295</v>
      </c>
      <c r="C585" t="s">
        <v>357</v>
      </c>
      <c r="D585" t="s">
        <v>300</v>
      </c>
      <c r="E585" t="s">
        <v>726</v>
      </c>
      <c r="F585">
        <v>2847</v>
      </c>
      <c r="G585">
        <v>940.11929399368</v>
      </c>
      <c r="H585">
        <v>2676519.63</v>
      </c>
      <c r="I585" t="s">
        <v>1587</v>
      </c>
      <c r="J585">
        <v>1.0899200602282</v>
      </c>
    </row>
    <row r="586" spans="1:10" x14ac:dyDescent="0.25">
      <c r="A586" t="s">
        <v>127</v>
      </c>
      <c r="B586" t="s">
        <v>295</v>
      </c>
      <c r="C586" t="s">
        <v>357</v>
      </c>
      <c r="D586" t="s">
        <v>508</v>
      </c>
      <c r="E586" t="s">
        <v>726</v>
      </c>
      <c r="F586">
        <v>583</v>
      </c>
      <c r="G586">
        <v>941.28387650085995</v>
      </c>
      <c r="H586">
        <v>548768.5</v>
      </c>
      <c r="I586" t="s">
        <v>1587</v>
      </c>
      <c r="J586">
        <v>0.22346699417682001</v>
      </c>
    </row>
    <row r="587" spans="1:10" x14ac:dyDescent="0.25">
      <c r="A587" t="s">
        <v>127</v>
      </c>
      <c r="B587" t="s">
        <v>208</v>
      </c>
      <c r="C587" t="s">
        <v>357</v>
      </c>
      <c r="D587" t="s">
        <v>185</v>
      </c>
      <c r="E587" t="s">
        <v>726</v>
      </c>
      <c r="F587">
        <v>2138</v>
      </c>
      <c r="G587">
        <v>1044.0548082319999</v>
      </c>
      <c r="H587">
        <v>2232189.1800000002</v>
      </c>
      <c r="I587" t="s">
        <v>1587</v>
      </c>
      <c r="J587">
        <v>0.90898185024946998</v>
      </c>
    </row>
    <row r="588" spans="1:10" x14ac:dyDescent="0.25">
      <c r="A588" t="s">
        <v>127</v>
      </c>
      <c r="B588" t="s">
        <v>208</v>
      </c>
      <c r="C588" t="s">
        <v>357</v>
      </c>
      <c r="D588" t="s">
        <v>1003</v>
      </c>
      <c r="E588" t="s">
        <v>726</v>
      </c>
      <c r="F588">
        <v>251</v>
      </c>
      <c r="G588">
        <v>1010.883625498</v>
      </c>
      <c r="H588">
        <v>253731.79</v>
      </c>
      <c r="I588" t="s">
        <v>1587</v>
      </c>
      <c r="J588">
        <v>0.10332349695437</v>
      </c>
    </row>
    <row r="589" spans="1:10" x14ac:dyDescent="0.25">
      <c r="A589" t="s">
        <v>127</v>
      </c>
      <c r="B589" t="s">
        <v>230</v>
      </c>
      <c r="C589" t="s">
        <v>357</v>
      </c>
      <c r="D589" t="s">
        <v>327</v>
      </c>
      <c r="E589" t="s">
        <v>726</v>
      </c>
      <c r="F589">
        <v>2951</v>
      </c>
      <c r="G589">
        <v>1051.9846189225</v>
      </c>
      <c r="H589">
        <v>1601120.59</v>
      </c>
      <c r="I589" t="s">
        <v>1587</v>
      </c>
      <c r="J589">
        <v>0.65200099051225002</v>
      </c>
    </row>
    <row r="590" spans="1:10" x14ac:dyDescent="0.25">
      <c r="A590" t="s">
        <v>127</v>
      </c>
      <c r="B590" t="s">
        <v>8</v>
      </c>
      <c r="C590" t="s">
        <v>357</v>
      </c>
      <c r="D590" t="s">
        <v>137</v>
      </c>
      <c r="E590" t="s">
        <v>726</v>
      </c>
      <c r="F590">
        <v>3249</v>
      </c>
      <c r="G590">
        <v>694.57</v>
      </c>
      <c r="H590">
        <v>2256657.9300000002</v>
      </c>
      <c r="I590" t="s">
        <v>1587</v>
      </c>
      <c r="J590">
        <v>0.91894590251151997</v>
      </c>
    </row>
    <row r="591" spans="1:10" x14ac:dyDescent="0.25">
      <c r="A591" t="s">
        <v>127</v>
      </c>
      <c r="B591" t="s">
        <v>231</v>
      </c>
      <c r="C591" t="s">
        <v>357</v>
      </c>
      <c r="D591" t="s">
        <v>221</v>
      </c>
      <c r="E591" t="s">
        <v>726</v>
      </c>
      <c r="F591">
        <v>1822</v>
      </c>
      <c r="G591">
        <v>1026.3017727772001</v>
      </c>
      <c r="H591">
        <v>1869921.83</v>
      </c>
      <c r="I591" t="s">
        <v>1587</v>
      </c>
      <c r="J591">
        <v>0.76146099984916005</v>
      </c>
    </row>
    <row r="592" spans="1:10" x14ac:dyDescent="0.25">
      <c r="A592" t="s">
        <v>127</v>
      </c>
      <c r="B592" t="s">
        <v>231</v>
      </c>
      <c r="C592" t="s">
        <v>357</v>
      </c>
      <c r="D592" t="s">
        <v>261</v>
      </c>
      <c r="E592" t="s">
        <v>726</v>
      </c>
      <c r="F592">
        <v>1447</v>
      </c>
      <c r="G592">
        <v>1024.9045888044</v>
      </c>
      <c r="H592">
        <v>1483036.94</v>
      </c>
      <c r="I592" t="s">
        <v>1587</v>
      </c>
      <c r="J592">
        <v>0.60391550760474</v>
      </c>
    </row>
    <row r="593" spans="1:10" x14ac:dyDescent="0.25">
      <c r="A593" t="s">
        <v>127</v>
      </c>
      <c r="B593" t="s">
        <v>428</v>
      </c>
      <c r="C593" t="s">
        <v>357</v>
      </c>
      <c r="D593" t="s">
        <v>349</v>
      </c>
      <c r="E593" t="s">
        <v>726</v>
      </c>
      <c r="F593">
        <v>4766</v>
      </c>
      <c r="G593">
        <v>747.70553084347</v>
      </c>
      <c r="H593">
        <v>3563564.56</v>
      </c>
      <c r="I593" t="s">
        <v>1587</v>
      </c>
      <c r="J593">
        <v>1.4511384322866001</v>
      </c>
    </row>
    <row r="594" spans="1:10" x14ac:dyDescent="0.25">
      <c r="A594" t="s">
        <v>127</v>
      </c>
      <c r="B594" t="s">
        <v>505</v>
      </c>
      <c r="C594" t="s">
        <v>357</v>
      </c>
      <c r="D594" t="s">
        <v>764</v>
      </c>
      <c r="E594" t="s">
        <v>726</v>
      </c>
      <c r="F594">
        <v>1373</v>
      </c>
      <c r="G594">
        <v>1023.9826511289</v>
      </c>
      <c r="H594">
        <v>1405928.18</v>
      </c>
      <c r="I594" t="s">
        <v>1587</v>
      </c>
      <c r="J594">
        <v>0.57251563166088004</v>
      </c>
    </row>
    <row r="595" spans="1:10" x14ac:dyDescent="0.25">
      <c r="A595" t="s">
        <v>127</v>
      </c>
      <c r="B595" t="s">
        <v>372</v>
      </c>
      <c r="C595" t="s">
        <v>357</v>
      </c>
      <c r="D595" t="s">
        <v>373</v>
      </c>
      <c r="E595" t="s">
        <v>726</v>
      </c>
      <c r="F595">
        <v>1617</v>
      </c>
      <c r="G595">
        <v>1029.5750649351</v>
      </c>
      <c r="H595">
        <v>1664822.88</v>
      </c>
      <c r="I595" t="s">
        <v>1587</v>
      </c>
      <c r="J595">
        <v>0.67794154516960003</v>
      </c>
    </row>
    <row r="596" spans="1:10" x14ac:dyDescent="0.25">
      <c r="A596" t="s">
        <v>127</v>
      </c>
      <c r="B596" t="s">
        <v>732</v>
      </c>
      <c r="C596" t="s">
        <v>357</v>
      </c>
      <c r="D596" t="s">
        <v>440</v>
      </c>
      <c r="E596" t="s">
        <v>726</v>
      </c>
      <c r="F596">
        <v>3809</v>
      </c>
      <c r="G596">
        <v>1095.8987372014001</v>
      </c>
      <c r="H596">
        <v>4174278.29</v>
      </c>
      <c r="I596" t="s">
        <v>1587</v>
      </c>
      <c r="J596">
        <v>1.6998304791982</v>
      </c>
    </row>
    <row r="597" spans="1:10" x14ac:dyDescent="0.25">
      <c r="A597" t="s">
        <v>127</v>
      </c>
      <c r="B597" t="s">
        <v>1410</v>
      </c>
      <c r="C597" t="s">
        <v>357</v>
      </c>
      <c r="D597" t="s">
        <v>7</v>
      </c>
      <c r="E597" t="s">
        <v>726</v>
      </c>
      <c r="F597">
        <v>2016</v>
      </c>
      <c r="G597">
        <v>956.99335813491996</v>
      </c>
      <c r="H597">
        <v>1929298.61</v>
      </c>
      <c r="I597" t="s">
        <v>1587</v>
      </c>
      <c r="J597">
        <v>0.78564014014328998</v>
      </c>
    </row>
    <row r="598" spans="1:10" x14ac:dyDescent="0.25">
      <c r="A598" t="s">
        <v>127</v>
      </c>
      <c r="B598" t="s">
        <v>513</v>
      </c>
      <c r="C598" t="s">
        <v>357</v>
      </c>
      <c r="D598" t="s">
        <v>514</v>
      </c>
      <c r="E598" t="s">
        <v>726</v>
      </c>
      <c r="F598">
        <v>985</v>
      </c>
      <c r="G598">
        <v>1044.9803959390999</v>
      </c>
      <c r="H598">
        <v>1029305.69</v>
      </c>
      <c r="I598" t="s">
        <v>1587</v>
      </c>
      <c r="J598">
        <v>0.41914914692333999</v>
      </c>
    </row>
    <row r="599" spans="1:10" x14ac:dyDescent="0.25">
      <c r="A599" t="s">
        <v>127</v>
      </c>
      <c r="B599" t="s">
        <v>1358</v>
      </c>
      <c r="C599" t="s">
        <v>357</v>
      </c>
      <c r="D599" t="s">
        <v>331</v>
      </c>
      <c r="E599" t="s">
        <v>726</v>
      </c>
      <c r="F599">
        <v>5000</v>
      </c>
      <c r="G599">
        <v>1044.805292</v>
      </c>
      <c r="H599">
        <v>5224026.46</v>
      </c>
      <c r="I599" t="s">
        <v>1587</v>
      </c>
      <c r="J599">
        <v>2.1273041191620998</v>
      </c>
    </row>
    <row r="600" spans="1:10" x14ac:dyDescent="0.25">
      <c r="A600" t="s">
        <v>127</v>
      </c>
      <c r="B600" t="s">
        <v>1358</v>
      </c>
      <c r="C600" t="s">
        <v>357</v>
      </c>
      <c r="D600" t="s">
        <v>326</v>
      </c>
      <c r="E600" t="s">
        <v>725</v>
      </c>
      <c r="F600">
        <v>2088</v>
      </c>
      <c r="G600">
        <v>1057.8580555556</v>
      </c>
      <c r="H600">
        <v>2208807.62</v>
      </c>
      <c r="I600" t="s">
        <v>1587</v>
      </c>
      <c r="J600">
        <v>0.89946051851785003</v>
      </c>
    </row>
    <row r="601" spans="1:10" x14ac:dyDescent="0.25">
      <c r="A601" t="s">
        <v>127</v>
      </c>
      <c r="B601" t="s">
        <v>1358</v>
      </c>
      <c r="C601" t="s">
        <v>357</v>
      </c>
      <c r="D601" t="s">
        <v>288</v>
      </c>
      <c r="E601" t="s">
        <v>726</v>
      </c>
      <c r="F601">
        <v>1627</v>
      </c>
      <c r="G601">
        <v>1014.3886969883</v>
      </c>
      <c r="H601">
        <v>1650410.41</v>
      </c>
      <c r="I601" t="s">
        <v>1587</v>
      </c>
      <c r="J601">
        <v>0.67207256517244995</v>
      </c>
    </row>
    <row r="602" spans="1:10" x14ac:dyDescent="0.25">
      <c r="A602" t="s">
        <v>127</v>
      </c>
      <c r="B602" t="s">
        <v>1359</v>
      </c>
      <c r="C602" t="s">
        <v>357</v>
      </c>
      <c r="D602" t="s">
        <v>210</v>
      </c>
      <c r="E602" t="s">
        <v>725</v>
      </c>
      <c r="F602">
        <v>21752</v>
      </c>
      <c r="G602">
        <v>56.463641044501998</v>
      </c>
      <c r="H602">
        <v>1228197.1200000001</v>
      </c>
      <c r="I602" t="s">
        <v>1587</v>
      </c>
      <c r="J602">
        <v>0.50014080375063996</v>
      </c>
    </row>
    <row r="603" spans="1:10" x14ac:dyDescent="0.25">
      <c r="A603" t="s">
        <v>127</v>
      </c>
      <c r="B603" t="s">
        <v>1359</v>
      </c>
      <c r="C603" t="s">
        <v>357</v>
      </c>
      <c r="D603" t="s">
        <v>1181</v>
      </c>
      <c r="E603" t="s">
        <v>725</v>
      </c>
      <c r="F603">
        <v>75934</v>
      </c>
      <c r="G603">
        <v>7.96</v>
      </c>
      <c r="H603">
        <v>604434.64</v>
      </c>
      <c r="I603" t="s">
        <v>1587</v>
      </c>
      <c r="J603">
        <v>0.24613510465187</v>
      </c>
    </row>
    <row r="604" spans="1:10" x14ac:dyDescent="0.25">
      <c r="A604" t="s">
        <v>127</v>
      </c>
      <c r="B604" t="s">
        <v>1359</v>
      </c>
      <c r="C604" t="s">
        <v>357</v>
      </c>
      <c r="D604" t="s">
        <v>1182</v>
      </c>
      <c r="E604" t="s">
        <v>725</v>
      </c>
      <c r="F604">
        <v>9128</v>
      </c>
      <c r="G604">
        <v>26.660099693252</v>
      </c>
      <c r="H604">
        <v>243353.39</v>
      </c>
      <c r="I604" t="s">
        <v>1587</v>
      </c>
      <c r="J604">
        <v>9.9097252458989996E-2</v>
      </c>
    </row>
    <row r="605" spans="1:10" x14ac:dyDescent="0.25">
      <c r="A605" t="s">
        <v>127</v>
      </c>
      <c r="B605" t="s">
        <v>35</v>
      </c>
      <c r="C605" t="s">
        <v>357</v>
      </c>
      <c r="D605" t="s">
        <v>3</v>
      </c>
      <c r="E605" t="s">
        <v>78</v>
      </c>
      <c r="F605">
        <v>222</v>
      </c>
      <c r="G605">
        <v>10895.871576576999</v>
      </c>
      <c r="H605">
        <v>2418883.4900000002</v>
      </c>
      <c r="I605" t="s">
        <v>1587</v>
      </c>
      <c r="J605">
        <v>0.98500665175614999</v>
      </c>
    </row>
    <row r="606" spans="1:10" x14ac:dyDescent="0.25">
      <c r="A606" t="s">
        <v>127</v>
      </c>
      <c r="B606" t="s">
        <v>309</v>
      </c>
      <c r="C606" t="s">
        <v>357</v>
      </c>
      <c r="D606" t="s">
        <v>310</v>
      </c>
      <c r="E606" t="s">
        <v>726</v>
      </c>
      <c r="F606">
        <v>2305</v>
      </c>
      <c r="G606">
        <v>1056.769362256</v>
      </c>
      <c r="H606">
        <v>2435853.38</v>
      </c>
      <c r="I606" t="s">
        <v>1587</v>
      </c>
      <c r="J606">
        <v>0.99191705260788998</v>
      </c>
    </row>
    <row r="607" spans="1:10" x14ac:dyDescent="0.25">
      <c r="A607" t="s">
        <v>127</v>
      </c>
      <c r="B607" t="s">
        <v>427</v>
      </c>
      <c r="C607" t="s">
        <v>357</v>
      </c>
      <c r="D607" t="s">
        <v>469</v>
      </c>
      <c r="E607" t="s">
        <v>726</v>
      </c>
      <c r="F607">
        <v>2385</v>
      </c>
      <c r="G607">
        <v>1024.7626373165999</v>
      </c>
      <c r="H607">
        <v>2444058.89</v>
      </c>
      <c r="I607" t="s">
        <v>1587</v>
      </c>
      <c r="J607">
        <v>0.99525846279340002</v>
      </c>
    </row>
    <row r="608" spans="1:10" x14ac:dyDescent="0.25">
      <c r="A608" t="s">
        <v>127</v>
      </c>
      <c r="B608" t="s">
        <v>267</v>
      </c>
      <c r="C608" t="s">
        <v>357</v>
      </c>
      <c r="D608" t="s">
        <v>268</v>
      </c>
      <c r="E608" t="s">
        <v>726</v>
      </c>
      <c r="F608">
        <v>5544</v>
      </c>
      <c r="G608">
        <v>1049.114215368</v>
      </c>
      <c r="H608">
        <v>5816289.21</v>
      </c>
      <c r="I608" t="s">
        <v>1587</v>
      </c>
      <c r="J608">
        <v>2.3684826425383001</v>
      </c>
    </row>
    <row r="609" spans="1:10" x14ac:dyDescent="0.25">
      <c r="A609" t="s">
        <v>127</v>
      </c>
      <c r="B609" t="s">
        <v>1166</v>
      </c>
      <c r="C609" t="s">
        <v>357</v>
      </c>
      <c r="D609" t="s">
        <v>1167</v>
      </c>
      <c r="E609" t="s">
        <v>726</v>
      </c>
      <c r="F609">
        <v>2375</v>
      </c>
      <c r="G609">
        <v>1028.8008294737001</v>
      </c>
      <c r="H609">
        <v>2443401.9700000002</v>
      </c>
      <c r="I609" t="s">
        <v>1587</v>
      </c>
      <c r="J609">
        <v>0.99499095484093003</v>
      </c>
    </row>
    <row r="610" spans="1:10" x14ac:dyDescent="0.25">
      <c r="A610" t="s">
        <v>127</v>
      </c>
      <c r="B610" t="s">
        <v>758</v>
      </c>
      <c r="C610" t="s">
        <v>357</v>
      </c>
      <c r="D610" t="s">
        <v>1113</v>
      </c>
      <c r="E610" t="s">
        <v>726</v>
      </c>
      <c r="F610">
        <v>821</v>
      </c>
      <c r="G610">
        <v>1049.7794518879</v>
      </c>
      <c r="H610">
        <v>861868.93</v>
      </c>
      <c r="I610" t="s">
        <v>1587</v>
      </c>
      <c r="J610">
        <v>0.35096631669181999</v>
      </c>
    </row>
    <row r="611" spans="1:10" x14ac:dyDescent="0.25">
      <c r="A611" t="s">
        <v>127</v>
      </c>
      <c r="B611" t="s">
        <v>758</v>
      </c>
      <c r="C611" t="s">
        <v>357</v>
      </c>
      <c r="D611" t="s">
        <v>837</v>
      </c>
      <c r="E611" t="s">
        <v>726</v>
      </c>
      <c r="F611">
        <v>8000</v>
      </c>
      <c r="G611">
        <v>1.0703825</v>
      </c>
      <c r="H611">
        <v>8563.06</v>
      </c>
      <c r="I611" t="s">
        <v>1587</v>
      </c>
      <c r="J611">
        <v>3.4870100582590998E-3</v>
      </c>
    </row>
    <row r="612" spans="1:10" x14ac:dyDescent="0.25">
      <c r="A612" t="s">
        <v>127</v>
      </c>
      <c r="B612" t="s">
        <v>33</v>
      </c>
      <c r="C612" t="s">
        <v>357</v>
      </c>
      <c r="D612" t="s">
        <v>822</v>
      </c>
      <c r="E612" t="s">
        <v>726</v>
      </c>
      <c r="F612">
        <v>641</v>
      </c>
      <c r="G612">
        <v>1087.7739469579001</v>
      </c>
      <c r="H612">
        <v>697263.1</v>
      </c>
      <c r="I612" t="s">
        <v>1587</v>
      </c>
      <c r="J612">
        <v>0.28393628480390998</v>
      </c>
    </row>
    <row r="613" spans="1:10" x14ac:dyDescent="0.25">
      <c r="A613" t="s">
        <v>127</v>
      </c>
      <c r="B613" t="s">
        <v>33</v>
      </c>
      <c r="C613" t="s">
        <v>357</v>
      </c>
      <c r="D613" t="s">
        <v>751</v>
      </c>
      <c r="E613" t="s">
        <v>726</v>
      </c>
      <c r="F613">
        <v>309</v>
      </c>
      <c r="G613">
        <v>1041.8202912621</v>
      </c>
      <c r="H613">
        <v>321922.46999999997</v>
      </c>
      <c r="I613" t="s">
        <v>1587</v>
      </c>
      <c r="J613">
        <v>0.13109179322223999</v>
      </c>
    </row>
    <row r="614" spans="1:10" x14ac:dyDescent="0.25">
      <c r="A614" t="s">
        <v>127</v>
      </c>
      <c r="B614" t="s">
        <v>975</v>
      </c>
      <c r="C614" t="s">
        <v>357</v>
      </c>
      <c r="D614" t="s">
        <v>976</v>
      </c>
      <c r="E614" t="s">
        <v>726</v>
      </c>
      <c r="F614">
        <v>1083</v>
      </c>
      <c r="G614">
        <v>515.12484764543001</v>
      </c>
      <c r="H614">
        <v>557880.21</v>
      </c>
      <c r="I614" t="s">
        <v>1587</v>
      </c>
      <c r="J614">
        <v>0.22717742297422999</v>
      </c>
    </row>
    <row r="615" spans="1:10" x14ac:dyDescent="0.25">
      <c r="A615" t="s">
        <v>127</v>
      </c>
      <c r="B615" t="s">
        <v>156</v>
      </c>
      <c r="C615" t="s">
        <v>357</v>
      </c>
      <c r="D615" t="s">
        <v>212</v>
      </c>
      <c r="E615" t="s">
        <v>726</v>
      </c>
      <c r="F615">
        <v>3527</v>
      </c>
      <c r="G615">
        <v>1024.4108449107</v>
      </c>
      <c r="H615">
        <v>3613097.05</v>
      </c>
      <c r="I615" t="s">
        <v>1587</v>
      </c>
      <c r="J615">
        <v>1.4713088259122999</v>
      </c>
    </row>
    <row r="616" spans="1:10" x14ac:dyDescent="0.25">
      <c r="A616" t="s">
        <v>127</v>
      </c>
      <c r="B616" t="s">
        <v>156</v>
      </c>
      <c r="C616" t="s">
        <v>357</v>
      </c>
      <c r="D616" t="s">
        <v>328</v>
      </c>
      <c r="E616" t="s">
        <v>726</v>
      </c>
      <c r="F616">
        <v>2567</v>
      </c>
      <c r="G616">
        <v>1056.8876704324</v>
      </c>
      <c r="H616">
        <v>2713030.65</v>
      </c>
      <c r="I616" t="s">
        <v>1587</v>
      </c>
      <c r="J616">
        <v>1.1047879105034</v>
      </c>
    </row>
    <row r="617" spans="1:10" x14ac:dyDescent="0.25">
      <c r="A617" t="s">
        <v>127</v>
      </c>
      <c r="B617" t="s">
        <v>863</v>
      </c>
      <c r="C617" t="s">
        <v>357</v>
      </c>
      <c r="D617" t="s">
        <v>864</v>
      </c>
      <c r="E617" t="s">
        <v>726</v>
      </c>
      <c r="F617">
        <v>2277</v>
      </c>
      <c r="G617">
        <v>1055.3947342995</v>
      </c>
      <c r="H617">
        <v>2403133.81</v>
      </c>
      <c r="I617" t="s">
        <v>1587</v>
      </c>
      <c r="J617">
        <v>0.97859313922974001</v>
      </c>
    </row>
    <row r="618" spans="1:10" x14ac:dyDescent="0.25">
      <c r="A618" t="s">
        <v>127</v>
      </c>
      <c r="B618" t="s">
        <v>825</v>
      </c>
      <c r="C618" t="s">
        <v>357</v>
      </c>
      <c r="D618" t="s">
        <v>826</v>
      </c>
      <c r="E618" t="s">
        <v>726</v>
      </c>
      <c r="F618">
        <v>1941</v>
      </c>
      <c r="G618">
        <v>1064.3538433797</v>
      </c>
      <c r="H618">
        <v>2065910.81</v>
      </c>
      <c r="I618" t="s">
        <v>1587</v>
      </c>
      <c r="J618">
        <v>0.84127073428613997</v>
      </c>
    </row>
    <row r="619" spans="1:10" x14ac:dyDescent="0.25">
      <c r="A619" t="s">
        <v>127</v>
      </c>
      <c r="B619" t="s">
        <v>476</v>
      </c>
      <c r="C619" t="s">
        <v>357</v>
      </c>
      <c r="D619" t="s">
        <v>477</v>
      </c>
      <c r="E619" t="s">
        <v>726</v>
      </c>
      <c r="F619">
        <v>1991</v>
      </c>
      <c r="G619">
        <v>969.97088397790003</v>
      </c>
      <c r="H619">
        <v>1931212.03</v>
      </c>
      <c r="I619" t="s">
        <v>1587</v>
      </c>
      <c r="J619">
        <v>0.78641931426862</v>
      </c>
    </row>
    <row r="620" spans="1:10" x14ac:dyDescent="0.25">
      <c r="A620" t="s">
        <v>127</v>
      </c>
      <c r="B620" t="s">
        <v>476</v>
      </c>
      <c r="C620" t="s">
        <v>357</v>
      </c>
      <c r="D620" t="s">
        <v>470</v>
      </c>
      <c r="E620" t="s">
        <v>726</v>
      </c>
      <c r="F620">
        <v>1590</v>
      </c>
      <c r="G620">
        <v>990.11737735848999</v>
      </c>
      <c r="H620">
        <v>1574286.63</v>
      </c>
      <c r="I620" t="s">
        <v>1587</v>
      </c>
      <c r="J620">
        <v>0.64107378827112005</v>
      </c>
    </row>
    <row r="621" spans="1:10" x14ac:dyDescent="0.25">
      <c r="A621" t="s">
        <v>127</v>
      </c>
      <c r="B621" t="s">
        <v>405</v>
      </c>
      <c r="C621" t="s">
        <v>357</v>
      </c>
      <c r="D621" t="s">
        <v>406</v>
      </c>
      <c r="E621" t="s">
        <v>726</v>
      </c>
      <c r="F621">
        <v>1360</v>
      </c>
      <c r="G621">
        <v>765.81943382352995</v>
      </c>
      <c r="H621">
        <v>1041514.43</v>
      </c>
      <c r="I621" t="s">
        <v>1587</v>
      </c>
      <c r="J621">
        <v>0.42412073408711998</v>
      </c>
    </row>
    <row r="622" spans="1:10" x14ac:dyDescent="0.25">
      <c r="A622" t="s">
        <v>127</v>
      </c>
      <c r="B622" t="s">
        <v>329</v>
      </c>
      <c r="C622" t="s">
        <v>357</v>
      </c>
      <c r="D622" t="s">
        <v>330</v>
      </c>
      <c r="E622" t="s">
        <v>726</v>
      </c>
      <c r="F622">
        <v>2854</v>
      </c>
      <c r="G622">
        <v>641.40884022424996</v>
      </c>
      <c r="H622">
        <v>1830580.83</v>
      </c>
      <c r="I622" t="s">
        <v>1587</v>
      </c>
      <c r="J622">
        <v>0.74544073808502997</v>
      </c>
    </row>
    <row r="623" spans="1:10" x14ac:dyDescent="0.25">
      <c r="A623" t="s">
        <v>127</v>
      </c>
      <c r="B623" t="s">
        <v>1034</v>
      </c>
      <c r="C623" t="s">
        <v>357</v>
      </c>
      <c r="D623" t="s">
        <v>1033</v>
      </c>
      <c r="E623" t="s">
        <v>726</v>
      </c>
      <c r="F623">
        <v>810</v>
      </c>
      <c r="G623">
        <v>1036.9914320988</v>
      </c>
      <c r="H623">
        <v>839963.06</v>
      </c>
      <c r="I623" t="s">
        <v>1587</v>
      </c>
      <c r="J623">
        <v>0.34204590868056001</v>
      </c>
    </row>
    <row r="624" spans="1:10" x14ac:dyDescent="0.25">
      <c r="A624" t="s">
        <v>127</v>
      </c>
      <c r="B624" t="s">
        <v>234</v>
      </c>
      <c r="C624" t="s">
        <v>357</v>
      </c>
      <c r="D624" t="s">
        <v>471</v>
      </c>
      <c r="E624" t="s">
        <v>726</v>
      </c>
      <c r="F624">
        <v>2769</v>
      </c>
      <c r="G624">
        <v>989.50968580715005</v>
      </c>
      <c r="H624">
        <v>2739952.32</v>
      </c>
      <c r="I624" t="s">
        <v>1587</v>
      </c>
      <c r="J624">
        <v>1.1157508296089</v>
      </c>
    </row>
    <row r="625" spans="1:10" x14ac:dyDescent="0.25">
      <c r="A625" t="s">
        <v>127</v>
      </c>
      <c r="B625" t="s">
        <v>234</v>
      </c>
      <c r="C625" t="s">
        <v>357</v>
      </c>
      <c r="D625" t="s">
        <v>509</v>
      </c>
      <c r="E625" t="s">
        <v>726</v>
      </c>
      <c r="F625">
        <v>2011</v>
      </c>
      <c r="G625">
        <v>841.56025857782004</v>
      </c>
      <c r="H625">
        <v>1692377.68</v>
      </c>
      <c r="I625" t="s">
        <v>1587</v>
      </c>
      <c r="J625">
        <v>0.68916228457272</v>
      </c>
    </row>
    <row r="626" spans="1:10" x14ac:dyDescent="0.25">
      <c r="A626" t="s">
        <v>127</v>
      </c>
      <c r="B626" t="s">
        <v>1032</v>
      </c>
      <c r="C626" t="s">
        <v>357</v>
      </c>
      <c r="D626" t="s">
        <v>1031</v>
      </c>
      <c r="E626" t="s">
        <v>726</v>
      </c>
      <c r="F626">
        <v>3300</v>
      </c>
      <c r="G626">
        <v>994.09753939394</v>
      </c>
      <c r="H626">
        <v>3280521.88</v>
      </c>
      <c r="I626" t="s">
        <v>1587</v>
      </c>
      <c r="J626">
        <v>1.3358790890054999</v>
      </c>
    </row>
    <row r="627" spans="1:10" x14ac:dyDescent="0.25">
      <c r="A627" t="s">
        <v>127</v>
      </c>
      <c r="B627" t="s">
        <v>891</v>
      </c>
      <c r="C627" t="s">
        <v>357</v>
      </c>
      <c r="D627" t="s">
        <v>472</v>
      </c>
      <c r="E627" t="s">
        <v>726</v>
      </c>
      <c r="F627">
        <v>4261</v>
      </c>
      <c r="G627">
        <v>841.90112414926</v>
      </c>
      <c r="H627">
        <v>3587340.69</v>
      </c>
      <c r="I627" t="s">
        <v>1587</v>
      </c>
      <c r="J627">
        <v>1.4608204390057</v>
      </c>
    </row>
    <row r="628" spans="1:10" x14ac:dyDescent="0.25">
      <c r="A628" t="s">
        <v>127</v>
      </c>
      <c r="B628" t="s">
        <v>213</v>
      </c>
      <c r="C628" t="s">
        <v>357</v>
      </c>
      <c r="D628" t="s">
        <v>332</v>
      </c>
      <c r="E628" t="s">
        <v>726</v>
      </c>
      <c r="F628">
        <v>5071</v>
      </c>
      <c r="G628">
        <v>1054.5818595937999</v>
      </c>
      <c r="H628">
        <v>5347784.6100000003</v>
      </c>
      <c r="I628" t="s">
        <v>1587</v>
      </c>
      <c r="J628">
        <v>2.1777003459597002</v>
      </c>
    </row>
    <row r="629" spans="1:10" x14ac:dyDescent="0.25">
      <c r="A629" t="s">
        <v>127</v>
      </c>
      <c r="B629" t="s">
        <v>203</v>
      </c>
      <c r="C629" t="s">
        <v>357</v>
      </c>
      <c r="D629" t="s">
        <v>750</v>
      </c>
      <c r="E629" t="s">
        <v>723</v>
      </c>
      <c r="F629">
        <v>2856</v>
      </c>
      <c r="G629">
        <v>1371.8396533613</v>
      </c>
      <c r="H629">
        <v>3917974.05</v>
      </c>
      <c r="I629" t="s">
        <v>1587</v>
      </c>
      <c r="J629">
        <v>1.5954594409414999</v>
      </c>
    </row>
    <row r="630" spans="1:10" x14ac:dyDescent="0.25">
      <c r="A630" t="s">
        <v>127</v>
      </c>
      <c r="B630" t="s">
        <v>429</v>
      </c>
      <c r="C630" t="s">
        <v>357</v>
      </c>
      <c r="D630" t="s">
        <v>347</v>
      </c>
      <c r="E630" t="s">
        <v>726</v>
      </c>
      <c r="F630">
        <v>883</v>
      </c>
      <c r="G630">
        <v>996.45915062287997</v>
      </c>
      <c r="H630">
        <v>879873.43</v>
      </c>
      <c r="I630" t="s">
        <v>1587</v>
      </c>
      <c r="J630">
        <v>0.35829802668729999</v>
      </c>
    </row>
    <row r="631" spans="1:10" x14ac:dyDescent="0.25">
      <c r="A631" t="s">
        <v>127</v>
      </c>
      <c r="B631" t="s">
        <v>429</v>
      </c>
      <c r="C631" t="s">
        <v>357</v>
      </c>
      <c r="D631" t="s">
        <v>892</v>
      </c>
      <c r="E631" t="s">
        <v>726</v>
      </c>
      <c r="F631">
        <v>655</v>
      </c>
      <c r="G631">
        <v>993.59916030533998</v>
      </c>
      <c r="H631">
        <v>650807.44999999995</v>
      </c>
      <c r="I631" t="s">
        <v>1587</v>
      </c>
      <c r="J631">
        <v>0.26501882786526998</v>
      </c>
    </row>
    <row r="632" spans="1:10" x14ac:dyDescent="0.25">
      <c r="A632" t="s">
        <v>127</v>
      </c>
      <c r="B632" t="s">
        <v>473</v>
      </c>
      <c r="C632" t="s">
        <v>357</v>
      </c>
      <c r="D632" t="s">
        <v>1122</v>
      </c>
      <c r="E632" t="s">
        <v>725</v>
      </c>
      <c r="F632">
        <v>816</v>
      </c>
      <c r="G632">
        <v>48.241985294118003</v>
      </c>
      <c r="H632">
        <v>39365.46</v>
      </c>
      <c r="I632" t="s">
        <v>1587</v>
      </c>
      <c r="J632">
        <v>1.603022225326E-2</v>
      </c>
    </row>
    <row r="633" spans="1:10" x14ac:dyDescent="0.25">
      <c r="A633" t="s">
        <v>127</v>
      </c>
      <c r="B633" t="s">
        <v>473</v>
      </c>
      <c r="C633" t="s">
        <v>357</v>
      </c>
      <c r="D633" t="s">
        <v>1121</v>
      </c>
      <c r="E633" t="s">
        <v>725</v>
      </c>
      <c r="F633">
        <v>70</v>
      </c>
      <c r="G633">
        <v>43.350999999999999</v>
      </c>
      <c r="H633">
        <v>3034.57</v>
      </c>
      <c r="I633" t="s">
        <v>1587</v>
      </c>
      <c r="J633">
        <v>1.23572369135E-3</v>
      </c>
    </row>
    <row r="634" spans="1:10" x14ac:dyDescent="0.25">
      <c r="A634" t="s">
        <v>127</v>
      </c>
      <c r="B634" t="s">
        <v>10</v>
      </c>
      <c r="C634" t="s">
        <v>357</v>
      </c>
      <c r="D634" t="s">
        <v>1330</v>
      </c>
      <c r="E634" t="s">
        <v>726</v>
      </c>
      <c r="F634">
        <v>1279</v>
      </c>
      <c r="G634">
        <v>672.93024237685995</v>
      </c>
      <c r="H634">
        <v>860677.78</v>
      </c>
      <c r="I634" t="s">
        <v>1587</v>
      </c>
      <c r="J634">
        <v>0.35048126204653002</v>
      </c>
    </row>
    <row r="635" spans="1:10" x14ac:dyDescent="0.25">
      <c r="A635" t="s">
        <v>127</v>
      </c>
      <c r="B635" t="s">
        <v>46</v>
      </c>
      <c r="C635" t="s">
        <v>357</v>
      </c>
      <c r="D635" t="s">
        <v>4</v>
      </c>
      <c r="E635" t="s">
        <v>726</v>
      </c>
      <c r="F635">
        <v>1000</v>
      </c>
      <c r="G635">
        <v>1059.5904499999999</v>
      </c>
      <c r="H635">
        <v>1059590.45</v>
      </c>
      <c r="I635" t="s">
        <v>1587</v>
      </c>
      <c r="J635">
        <v>0.43148156812930999</v>
      </c>
    </row>
    <row r="636" spans="1:10" x14ac:dyDescent="0.25">
      <c r="A636" t="s">
        <v>236</v>
      </c>
      <c r="B636" t="s">
        <v>270</v>
      </c>
      <c r="C636" t="s">
        <v>357</v>
      </c>
      <c r="D636" t="s">
        <v>439</v>
      </c>
      <c r="E636" t="s">
        <v>725</v>
      </c>
      <c r="F636">
        <v>5344</v>
      </c>
      <c r="G636">
        <v>460.47772080838001</v>
      </c>
      <c r="H636">
        <v>2460792.94</v>
      </c>
      <c r="I636" t="s">
        <v>1587</v>
      </c>
      <c r="J636">
        <v>1.0020728259609</v>
      </c>
    </row>
    <row r="637" spans="1:10" x14ac:dyDescent="0.25">
      <c r="A637" t="s">
        <v>236</v>
      </c>
      <c r="B637" t="s">
        <v>270</v>
      </c>
      <c r="C637" t="s">
        <v>357</v>
      </c>
      <c r="D637" t="s">
        <v>1016</v>
      </c>
      <c r="E637" t="s">
        <v>726</v>
      </c>
      <c r="F637">
        <v>3482</v>
      </c>
      <c r="G637">
        <v>446.82770246984001</v>
      </c>
      <c r="H637">
        <v>1555854.06</v>
      </c>
      <c r="I637" t="s">
        <v>1587</v>
      </c>
      <c r="J637">
        <v>0.6335677615716</v>
      </c>
    </row>
    <row r="638" spans="1:10" x14ac:dyDescent="0.25">
      <c r="A638" t="s">
        <v>236</v>
      </c>
      <c r="B638" t="s">
        <v>740</v>
      </c>
      <c r="C638" t="s">
        <v>357</v>
      </c>
      <c r="D638" t="s">
        <v>438</v>
      </c>
      <c r="E638" t="s">
        <v>726</v>
      </c>
      <c r="F638">
        <v>4775</v>
      </c>
      <c r="G638">
        <v>667.78555811518004</v>
      </c>
      <c r="H638">
        <v>3188676.04</v>
      </c>
      <c r="I638" t="s">
        <v>1587</v>
      </c>
      <c r="J638">
        <v>1.2984780468676</v>
      </c>
    </row>
    <row r="639" spans="1:10" x14ac:dyDescent="0.25">
      <c r="A639" t="s">
        <v>186</v>
      </c>
      <c r="B639" t="s">
        <v>189</v>
      </c>
      <c r="C639" t="s">
        <v>357</v>
      </c>
      <c r="D639" t="s">
        <v>271</v>
      </c>
      <c r="E639" t="s">
        <v>723</v>
      </c>
      <c r="F639">
        <v>3549</v>
      </c>
      <c r="G639">
        <v>1105.3571823049001</v>
      </c>
      <c r="H639">
        <v>3922912.64</v>
      </c>
      <c r="I639" t="s">
        <v>1587</v>
      </c>
      <c r="J639">
        <v>1.5974705109331999</v>
      </c>
    </row>
    <row r="640" spans="1:10" x14ac:dyDescent="0.25">
      <c r="A640" t="s">
        <v>186</v>
      </c>
      <c r="B640" t="s">
        <v>189</v>
      </c>
      <c r="C640" t="s">
        <v>357</v>
      </c>
      <c r="D640" t="s">
        <v>272</v>
      </c>
      <c r="E640" t="s">
        <v>726</v>
      </c>
      <c r="F640">
        <v>3263</v>
      </c>
      <c r="G640">
        <v>84.841913339824998</v>
      </c>
      <c r="H640">
        <v>174265.29</v>
      </c>
      <c r="I640" t="s">
        <v>1587</v>
      </c>
      <c r="J640">
        <v>7.0963512930592998E-2</v>
      </c>
    </row>
    <row r="641" spans="1:10" x14ac:dyDescent="0.25">
      <c r="A641" t="s">
        <v>130</v>
      </c>
      <c r="B641" t="s">
        <v>348</v>
      </c>
      <c r="C641" t="s">
        <v>357</v>
      </c>
      <c r="D641" t="s">
        <v>276</v>
      </c>
      <c r="E641" t="s">
        <v>731</v>
      </c>
      <c r="F641">
        <v>500000</v>
      </c>
      <c r="G641">
        <v>5.8280174999999996</v>
      </c>
      <c r="H641">
        <v>582801.75</v>
      </c>
      <c r="I641" t="s">
        <v>1587</v>
      </c>
      <c r="J641">
        <v>0.23732585830545</v>
      </c>
    </row>
    <row r="642" spans="1:10" x14ac:dyDescent="0.25">
      <c r="A642" t="s">
        <v>130</v>
      </c>
      <c r="B642" t="s">
        <v>396</v>
      </c>
      <c r="C642" t="s">
        <v>357</v>
      </c>
      <c r="D642" t="s">
        <v>1443</v>
      </c>
      <c r="E642" t="s">
        <v>725</v>
      </c>
      <c r="F642">
        <v>178840</v>
      </c>
      <c r="G642">
        <v>5.3927420599418001</v>
      </c>
      <c r="H642">
        <v>964437.99</v>
      </c>
      <c r="I642" t="s">
        <v>1587</v>
      </c>
      <c r="J642">
        <v>0.39273401934557001</v>
      </c>
    </row>
    <row r="643" spans="1:10" x14ac:dyDescent="0.25">
      <c r="A643" t="s">
        <v>130</v>
      </c>
      <c r="B643" t="s">
        <v>396</v>
      </c>
      <c r="C643" t="s">
        <v>357</v>
      </c>
      <c r="D643" t="s">
        <v>1442</v>
      </c>
      <c r="E643" t="s">
        <v>725</v>
      </c>
      <c r="F643">
        <v>345137</v>
      </c>
      <c r="G643">
        <v>2.4664594349489999</v>
      </c>
      <c r="H643">
        <v>851266.41</v>
      </c>
      <c r="I643" t="s">
        <v>1587</v>
      </c>
      <c r="J643">
        <v>0.34664880707693002</v>
      </c>
    </row>
    <row r="644" spans="1:10" x14ac:dyDescent="0.25">
      <c r="A644" t="s">
        <v>130</v>
      </c>
      <c r="B644" t="s">
        <v>396</v>
      </c>
      <c r="C644" t="s">
        <v>357</v>
      </c>
      <c r="D644" t="s">
        <v>1444</v>
      </c>
      <c r="E644" t="s">
        <v>725</v>
      </c>
      <c r="F644">
        <v>457247</v>
      </c>
      <c r="G644">
        <v>0.43380459576552999</v>
      </c>
      <c r="H644">
        <v>198355.85</v>
      </c>
      <c r="I644" t="s">
        <v>1587</v>
      </c>
      <c r="J644">
        <v>8.0773560393660002E-2</v>
      </c>
    </row>
    <row r="645" spans="1:10" x14ac:dyDescent="0.25">
      <c r="A645" t="s">
        <v>130</v>
      </c>
      <c r="B645" t="s">
        <v>1079</v>
      </c>
      <c r="C645" t="s">
        <v>357</v>
      </c>
      <c r="D645" t="s">
        <v>1080</v>
      </c>
      <c r="E645" t="s">
        <v>725</v>
      </c>
      <c r="F645">
        <v>250000</v>
      </c>
      <c r="G645">
        <v>5.2302933600000001</v>
      </c>
      <c r="H645">
        <v>1307573.3400000001</v>
      </c>
      <c r="I645" t="s">
        <v>1587</v>
      </c>
      <c r="J645">
        <v>0.53246402436647</v>
      </c>
    </row>
    <row r="646" spans="1:10" x14ac:dyDescent="0.25">
      <c r="A646" t="s">
        <v>130</v>
      </c>
      <c r="B646" t="s">
        <v>36</v>
      </c>
      <c r="C646" t="s">
        <v>357</v>
      </c>
      <c r="D646" t="s">
        <v>312</v>
      </c>
      <c r="E646" t="s">
        <v>731</v>
      </c>
      <c r="F646">
        <v>250000</v>
      </c>
      <c r="G646">
        <v>5.8020963999999999</v>
      </c>
      <c r="H646">
        <v>1450524.1</v>
      </c>
      <c r="I646" t="s">
        <v>1587</v>
      </c>
      <c r="J646">
        <v>0.59067577786998005</v>
      </c>
    </row>
    <row r="647" spans="1:10" x14ac:dyDescent="0.25">
      <c r="A647" t="s">
        <v>130</v>
      </c>
      <c r="B647" t="s">
        <v>1410</v>
      </c>
      <c r="C647" t="s">
        <v>357</v>
      </c>
      <c r="D647" t="s">
        <v>1058</v>
      </c>
      <c r="E647" t="s">
        <v>725</v>
      </c>
      <c r="F647">
        <v>400000</v>
      </c>
      <c r="G647">
        <v>5.2265868500000003</v>
      </c>
      <c r="H647">
        <v>2090634.74</v>
      </c>
      <c r="I647" t="s">
        <v>1587</v>
      </c>
      <c r="J647">
        <v>0.85133869977858001</v>
      </c>
    </row>
    <row r="648" spans="1:10" x14ac:dyDescent="0.25">
      <c r="A648" t="s">
        <v>130</v>
      </c>
      <c r="B648" t="s">
        <v>156</v>
      </c>
      <c r="C648" t="s">
        <v>357</v>
      </c>
      <c r="D648" t="s">
        <v>291</v>
      </c>
      <c r="E648" t="s">
        <v>731</v>
      </c>
      <c r="F648">
        <v>500000</v>
      </c>
      <c r="G648">
        <v>5.8855608999999998</v>
      </c>
      <c r="H648">
        <v>2942780.45</v>
      </c>
      <c r="I648" t="s">
        <v>1587</v>
      </c>
      <c r="J648">
        <v>1.1983455713727</v>
      </c>
    </row>
    <row r="649" spans="1:10" x14ac:dyDescent="0.25">
      <c r="A649" t="s">
        <v>131</v>
      </c>
      <c r="B649" t="s">
        <v>140</v>
      </c>
      <c r="C649" t="s">
        <v>357</v>
      </c>
      <c r="D649">
        <v>760199</v>
      </c>
      <c r="E649" t="s">
        <v>725</v>
      </c>
      <c r="F649">
        <v>4498</v>
      </c>
      <c r="G649">
        <v>3892.5643397065</v>
      </c>
      <c r="H649">
        <v>17508754.399999999</v>
      </c>
      <c r="I649" t="s">
        <v>1587</v>
      </c>
      <c r="J649">
        <v>7.1298347437001999</v>
      </c>
    </row>
    <row r="650" spans="1:10" x14ac:dyDescent="0.25">
      <c r="A650" t="s">
        <v>488</v>
      </c>
      <c r="B650" t="s">
        <v>767</v>
      </c>
      <c r="C650" t="s">
        <v>357</v>
      </c>
      <c r="D650" t="s">
        <v>768</v>
      </c>
      <c r="E650" t="s">
        <v>726</v>
      </c>
      <c r="F650">
        <v>568</v>
      </c>
      <c r="G650">
        <v>1211.9670598591999</v>
      </c>
      <c r="H650">
        <v>688397.29</v>
      </c>
      <c r="I650" t="s">
        <v>1587</v>
      </c>
      <c r="J650">
        <v>0.28032599027781002</v>
      </c>
    </row>
    <row r="651" spans="1:10" x14ac:dyDescent="0.25">
      <c r="A651" t="s">
        <v>144</v>
      </c>
      <c r="B651" t="s">
        <v>103</v>
      </c>
      <c r="C651" t="s">
        <v>357</v>
      </c>
      <c r="D651" t="s">
        <v>144</v>
      </c>
      <c r="E651" t="s">
        <v>725</v>
      </c>
      <c r="F651" t="s">
        <v>103</v>
      </c>
      <c r="G651" t="s">
        <v>1587</v>
      </c>
      <c r="H651">
        <v>11277261.68</v>
      </c>
      <c r="I651" t="s">
        <v>1587</v>
      </c>
      <c r="J651">
        <v>4.5922748302335998</v>
      </c>
    </row>
    <row r="652" spans="1:10" x14ac:dyDescent="0.25">
      <c r="A652" t="s">
        <v>132</v>
      </c>
      <c r="B652" t="s">
        <v>1024</v>
      </c>
      <c r="C652" t="s">
        <v>357</v>
      </c>
      <c r="D652" t="s">
        <v>1023</v>
      </c>
      <c r="E652" t="s">
        <v>725</v>
      </c>
      <c r="F652">
        <v>892</v>
      </c>
      <c r="G652">
        <v>5.55</v>
      </c>
      <c r="H652">
        <v>4950.6000000000004</v>
      </c>
      <c r="I652" t="s">
        <v>1587</v>
      </c>
      <c r="J652">
        <v>2.0159606489299998E-3</v>
      </c>
    </row>
    <row r="653" spans="1:10" x14ac:dyDescent="0.25">
      <c r="A653" t="s">
        <v>132</v>
      </c>
      <c r="B653" t="s">
        <v>292</v>
      </c>
      <c r="C653" t="s">
        <v>357</v>
      </c>
      <c r="D653" t="s">
        <v>293</v>
      </c>
      <c r="E653" t="s">
        <v>731</v>
      </c>
      <c r="F653">
        <v>-4750</v>
      </c>
      <c r="G653">
        <v>628.70000000000005</v>
      </c>
      <c r="H653">
        <v>-2986323.59</v>
      </c>
      <c r="I653" t="s">
        <v>1587</v>
      </c>
      <c r="J653">
        <v>-1.2160770093338999</v>
      </c>
    </row>
    <row r="654" spans="1:10" x14ac:dyDescent="0.25">
      <c r="A654" t="s">
        <v>132</v>
      </c>
      <c r="B654" t="s">
        <v>158</v>
      </c>
      <c r="C654" t="s">
        <v>357</v>
      </c>
      <c r="D654" t="s">
        <v>229</v>
      </c>
      <c r="E654" t="s">
        <v>733</v>
      </c>
      <c r="F654">
        <v>50839</v>
      </c>
      <c r="G654">
        <v>17.559999999999999</v>
      </c>
      <c r="H654">
        <v>892732.84</v>
      </c>
      <c r="I654" t="s">
        <v>1587</v>
      </c>
      <c r="J654">
        <v>0.36353457670719003</v>
      </c>
    </row>
    <row r="655" spans="1:10" x14ac:dyDescent="0.25">
      <c r="A655" t="s">
        <v>132</v>
      </c>
      <c r="B655" t="s">
        <v>473</v>
      </c>
      <c r="C655" t="s">
        <v>357</v>
      </c>
      <c r="D655" t="s">
        <v>1022</v>
      </c>
      <c r="E655" t="s">
        <v>725</v>
      </c>
      <c r="F655">
        <v>1487</v>
      </c>
      <c r="G655">
        <v>5.54</v>
      </c>
      <c r="H655">
        <v>8241.68</v>
      </c>
      <c r="I655" t="s">
        <v>1587</v>
      </c>
      <c r="J655">
        <v>3.35613916718E-3</v>
      </c>
    </row>
    <row r="656" spans="1:10" x14ac:dyDescent="0.25">
      <c r="A656" t="s">
        <v>132</v>
      </c>
      <c r="B656" t="s">
        <v>103</v>
      </c>
      <c r="C656" t="s">
        <v>357</v>
      </c>
      <c r="D656" t="s">
        <v>804</v>
      </c>
      <c r="E656" t="s">
        <v>725</v>
      </c>
      <c r="F656">
        <v>270</v>
      </c>
      <c r="G656">
        <v>630.19000000000005</v>
      </c>
      <c r="H656">
        <v>170152.49</v>
      </c>
      <c r="I656" t="s">
        <v>1587</v>
      </c>
      <c r="J656">
        <v>6.928871735896E-2</v>
      </c>
    </row>
    <row r="657" spans="1:10" x14ac:dyDescent="0.25">
      <c r="A657" t="s">
        <v>132</v>
      </c>
      <c r="B657" t="s">
        <v>103</v>
      </c>
      <c r="C657" t="s">
        <v>357</v>
      </c>
      <c r="D657" t="s">
        <v>1462</v>
      </c>
      <c r="E657" t="s">
        <v>725</v>
      </c>
      <c r="F657">
        <v>2171</v>
      </c>
      <c r="G657" t="s">
        <v>1587</v>
      </c>
      <c r="H657">
        <v>1.25</v>
      </c>
      <c r="I657" t="s">
        <v>1587</v>
      </c>
      <c r="J657">
        <v>5.0901927000000004E-7</v>
      </c>
    </row>
    <row r="658" spans="1:10" x14ac:dyDescent="0.25">
      <c r="A658" t="s">
        <v>99</v>
      </c>
      <c r="B658" t="s">
        <v>140</v>
      </c>
      <c r="C658" t="s">
        <v>284</v>
      </c>
      <c r="D658" t="s">
        <v>1227</v>
      </c>
      <c r="E658" t="s">
        <v>724</v>
      </c>
      <c r="F658">
        <v>426</v>
      </c>
      <c r="G658">
        <v>16005.319577464999</v>
      </c>
      <c r="H658">
        <v>6818266.1399999997</v>
      </c>
      <c r="I658" t="s">
        <v>1587</v>
      </c>
      <c r="J658">
        <v>3.487654132936</v>
      </c>
    </row>
    <row r="659" spans="1:10" x14ac:dyDescent="0.25">
      <c r="A659" t="s">
        <v>99</v>
      </c>
      <c r="B659" t="s">
        <v>140</v>
      </c>
      <c r="C659" t="s">
        <v>284</v>
      </c>
      <c r="D659" t="s">
        <v>247</v>
      </c>
      <c r="E659" t="s">
        <v>724</v>
      </c>
      <c r="F659">
        <v>120</v>
      </c>
      <c r="G659">
        <v>16080.763855421999</v>
      </c>
      <c r="H659">
        <v>1929691.6626506001</v>
      </c>
      <c r="I659" t="s">
        <v>1587</v>
      </c>
      <c r="J659">
        <v>0.98706870109582001</v>
      </c>
    </row>
    <row r="660" spans="1:10" x14ac:dyDescent="0.25">
      <c r="A660" t="s">
        <v>99</v>
      </c>
      <c r="B660" t="s">
        <v>140</v>
      </c>
      <c r="C660" t="s">
        <v>284</v>
      </c>
      <c r="D660" t="s">
        <v>247</v>
      </c>
      <c r="E660" t="s">
        <v>725</v>
      </c>
      <c r="F660">
        <v>129</v>
      </c>
      <c r="G660">
        <v>16080.763855421999</v>
      </c>
      <c r="H660">
        <v>2074418.5373494001</v>
      </c>
      <c r="I660" t="s">
        <v>1587</v>
      </c>
      <c r="J660">
        <v>1.0610988536779999</v>
      </c>
    </row>
    <row r="661" spans="1:10" x14ac:dyDescent="0.25">
      <c r="A661" t="s">
        <v>99</v>
      </c>
      <c r="B661" t="s">
        <v>140</v>
      </c>
      <c r="C661" t="s">
        <v>284</v>
      </c>
      <c r="D661" t="s">
        <v>187</v>
      </c>
      <c r="E661" t="s">
        <v>724</v>
      </c>
      <c r="F661">
        <v>20</v>
      </c>
      <c r="G661">
        <v>16106.7765</v>
      </c>
      <c r="H661">
        <v>322135.53000000003</v>
      </c>
      <c r="I661" t="s">
        <v>1587</v>
      </c>
      <c r="J661">
        <v>0.16477756800646001</v>
      </c>
    </row>
    <row r="662" spans="1:10" x14ac:dyDescent="0.25">
      <c r="A662" t="s">
        <v>105</v>
      </c>
      <c r="B662" t="s">
        <v>103</v>
      </c>
      <c r="C662" t="s">
        <v>284</v>
      </c>
      <c r="D662" t="s">
        <v>105</v>
      </c>
      <c r="E662" t="s">
        <v>725</v>
      </c>
      <c r="F662" t="s">
        <v>103</v>
      </c>
      <c r="G662" t="s">
        <v>1587</v>
      </c>
      <c r="H662">
        <v>-32918.51</v>
      </c>
      <c r="I662" t="s">
        <v>1587</v>
      </c>
      <c r="J662">
        <v>-1.6838353782940001E-2</v>
      </c>
    </row>
    <row r="663" spans="1:10" x14ac:dyDescent="0.25">
      <c r="A663" t="s">
        <v>134</v>
      </c>
      <c r="B663" t="s">
        <v>219</v>
      </c>
      <c r="C663" t="s">
        <v>284</v>
      </c>
      <c r="D663" t="s">
        <v>249</v>
      </c>
      <c r="E663" t="s">
        <v>78</v>
      </c>
      <c r="F663">
        <v>2</v>
      </c>
      <c r="G663">
        <v>894580.80500000005</v>
      </c>
      <c r="H663">
        <v>1789161.61</v>
      </c>
      <c r="I663" t="s">
        <v>1587</v>
      </c>
      <c r="J663">
        <v>0.91518529131614001</v>
      </c>
    </row>
    <row r="664" spans="1:10" x14ac:dyDescent="0.25">
      <c r="A664" t="s">
        <v>134</v>
      </c>
      <c r="B664" t="s">
        <v>219</v>
      </c>
      <c r="C664" t="s">
        <v>284</v>
      </c>
      <c r="D664" t="s">
        <v>971</v>
      </c>
      <c r="E664" t="s">
        <v>725</v>
      </c>
      <c r="F664">
        <v>2</v>
      </c>
      <c r="G664">
        <v>666834.86</v>
      </c>
      <c r="H664">
        <v>1333669.72</v>
      </c>
      <c r="I664" t="s">
        <v>1587</v>
      </c>
      <c r="J664">
        <v>0.68219377410949</v>
      </c>
    </row>
    <row r="665" spans="1:10" x14ac:dyDescent="0.25">
      <c r="A665" t="s">
        <v>134</v>
      </c>
      <c r="B665" t="s">
        <v>193</v>
      </c>
      <c r="C665" t="s">
        <v>284</v>
      </c>
      <c r="D665" t="s">
        <v>1057</v>
      </c>
      <c r="E665" t="s">
        <v>78</v>
      </c>
      <c r="F665">
        <v>2</v>
      </c>
      <c r="G665">
        <v>529989.43999999994</v>
      </c>
      <c r="H665">
        <v>1059978.8799999999</v>
      </c>
      <c r="I665" t="s">
        <v>1587</v>
      </c>
      <c r="J665">
        <v>0.54219645372434999</v>
      </c>
    </row>
    <row r="666" spans="1:10" x14ac:dyDescent="0.25">
      <c r="A666" t="s">
        <v>134</v>
      </c>
      <c r="B666" t="s">
        <v>193</v>
      </c>
      <c r="C666" t="s">
        <v>284</v>
      </c>
      <c r="D666" t="s">
        <v>1056</v>
      </c>
      <c r="E666" t="s">
        <v>78</v>
      </c>
      <c r="F666">
        <v>1</v>
      </c>
      <c r="G666">
        <v>526844.12</v>
      </c>
      <c r="H666">
        <v>526844.12</v>
      </c>
      <c r="I666" t="s">
        <v>1587</v>
      </c>
      <c r="J666">
        <v>0.26948934447592998</v>
      </c>
    </row>
    <row r="667" spans="1:10" x14ac:dyDescent="0.25">
      <c r="A667" t="s">
        <v>134</v>
      </c>
      <c r="B667" t="s">
        <v>190</v>
      </c>
      <c r="C667" t="s">
        <v>284</v>
      </c>
      <c r="D667" t="s">
        <v>195</v>
      </c>
      <c r="E667" t="s">
        <v>78</v>
      </c>
      <c r="F667">
        <v>12</v>
      </c>
      <c r="G667">
        <v>555354.26916667004</v>
      </c>
      <c r="H667">
        <v>6664251.2300000004</v>
      </c>
      <c r="I667" t="s">
        <v>1587</v>
      </c>
      <c r="J667">
        <v>3.4088729990867002</v>
      </c>
    </row>
    <row r="668" spans="1:10" x14ac:dyDescent="0.25">
      <c r="A668" t="s">
        <v>134</v>
      </c>
      <c r="B668" t="s">
        <v>190</v>
      </c>
      <c r="C668" t="s">
        <v>284</v>
      </c>
      <c r="D668" t="s">
        <v>194</v>
      </c>
      <c r="E668" t="s">
        <v>78</v>
      </c>
      <c r="F668">
        <v>1</v>
      </c>
      <c r="G668">
        <v>928640.76</v>
      </c>
      <c r="H668">
        <v>928640.76</v>
      </c>
      <c r="I668" t="s">
        <v>1587</v>
      </c>
      <c r="J668">
        <v>0.47501486714140001</v>
      </c>
    </row>
    <row r="669" spans="1:10" x14ac:dyDescent="0.25">
      <c r="A669" t="s">
        <v>112</v>
      </c>
      <c r="B669" t="s">
        <v>201</v>
      </c>
      <c r="C669" t="s">
        <v>284</v>
      </c>
      <c r="D669" t="s">
        <v>930</v>
      </c>
      <c r="E669" t="s">
        <v>726</v>
      </c>
      <c r="F669">
        <v>38</v>
      </c>
      <c r="G669">
        <v>55646.379473683999</v>
      </c>
      <c r="H669">
        <v>2114562.42</v>
      </c>
      <c r="I669" t="s">
        <v>1587</v>
      </c>
      <c r="J669">
        <v>1.0816331032018001</v>
      </c>
    </row>
    <row r="670" spans="1:10" x14ac:dyDescent="0.25">
      <c r="A670" t="s">
        <v>112</v>
      </c>
      <c r="B670" t="s">
        <v>201</v>
      </c>
      <c r="C670" t="s">
        <v>284</v>
      </c>
      <c r="D670" t="s">
        <v>771</v>
      </c>
      <c r="E670" t="s">
        <v>725</v>
      </c>
      <c r="F670">
        <v>11</v>
      </c>
      <c r="G670">
        <v>61297.774545455002</v>
      </c>
      <c r="H670">
        <v>674275.52</v>
      </c>
      <c r="I670" t="s">
        <v>1587</v>
      </c>
      <c r="J670">
        <v>0.34490290577972998</v>
      </c>
    </row>
    <row r="671" spans="1:10" x14ac:dyDescent="0.25">
      <c r="A671" t="s">
        <v>112</v>
      </c>
      <c r="B671" t="s">
        <v>201</v>
      </c>
      <c r="C671" t="s">
        <v>284</v>
      </c>
      <c r="D671" t="s">
        <v>774</v>
      </c>
      <c r="E671" t="s">
        <v>726</v>
      </c>
      <c r="F671">
        <v>1</v>
      </c>
      <c r="G671">
        <v>61297.77</v>
      </c>
      <c r="H671">
        <v>61297.77</v>
      </c>
      <c r="I671" t="s">
        <v>1587</v>
      </c>
      <c r="J671">
        <v>3.1354807291264997E-2</v>
      </c>
    </row>
    <row r="672" spans="1:10" x14ac:dyDescent="0.25">
      <c r="A672" t="s">
        <v>112</v>
      </c>
      <c r="B672" t="s">
        <v>201</v>
      </c>
      <c r="C672" t="s">
        <v>284</v>
      </c>
      <c r="D672" t="s">
        <v>775</v>
      </c>
      <c r="E672" t="s">
        <v>726</v>
      </c>
      <c r="F672">
        <v>1</v>
      </c>
      <c r="G672">
        <v>60640.87</v>
      </c>
      <c r="H672">
        <v>60640.87</v>
      </c>
      <c r="I672" t="s">
        <v>1587</v>
      </c>
      <c r="J672">
        <v>3.1018792246840999E-2</v>
      </c>
    </row>
    <row r="673" spans="1:10" x14ac:dyDescent="0.25">
      <c r="A673" t="s">
        <v>112</v>
      </c>
      <c r="B673" t="s">
        <v>1383</v>
      </c>
      <c r="C673" t="s">
        <v>284</v>
      </c>
      <c r="D673" t="s">
        <v>1384</v>
      </c>
      <c r="E673" t="s">
        <v>726</v>
      </c>
      <c r="F673">
        <v>28</v>
      </c>
      <c r="G673">
        <v>55337.163928570997</v>
      </c>
      <c r="H673">
        <v>1549440.59</v>
      </c>
      <c r="I673" t="s">
        <v>1587</v>
      </c>
      <c r="J673">
        <v>0.79256408689442004</v>
      </c>
    </row>
    <row r="674" spans="1:10" x14ac:dyDescent="0.25">
      <c r="A674" t="s">
        <v>112</v>
      </c>
      <c r="B674" t="s">
        <v>409</v>
      </c>
      <c r="C674" t="s">
        <v>284</v>
      </c>
      <c r="D674" t="s">
        <v>510</v>
      </c>
      <c r="E674" t="s">
        <v>726</v>
      </c>
      <c r="F674">
        <v>17</v>
      </c>
      <c r="G674">
        <v>147906.14352941001</v>
      </c>
      <c r="H674">
        <v>2514404.44</v>
      </c>
      <c r="I674" t="s">
        <v>1587</v>
      </c>
      <c r="J674">
        <v>1.2861588059158</v>
      </c>
    </row>
    <row r="675" spans="1:10" x14ac:dyDescent="0.25">
      <c r="A675" t="s">
        <v>112</v>
      </c>
      <c r="B675" t="s">
        <v>409</v>
      </c>
      <c r="C675" t="s">
        <v>284</v>
      </c>
      <c r="D675" t="s">
        <v>511</v>
      </c>
      <c r="E675" t="s">
        <v>726</v>
      </c>
      <c r="F675">
        <v>13</v>
      </c>
      <c r="G675">
        <v>70610.013076923002</v>
      </c>
      <c r="H675">
        <v>917930.17</v>
      </c>
      <c r="I675" t="s">
        <v>1587</v>
      </c>
      <c r="J675">
        <v>0.46953622598648997</v>
      </c>
    </row>
    <row r="676" spans="1:10" x14ac:dyDescent="0.25">
      <c r="A676" t="s">
        <v>112</v>
      </c>
      <c r="B676" t="s">
        <v>465</v>
      </c>
      <c r="C676" t="s">
        <v>284</v>
      </c>
      <c r="D676" t="s">
        <v>1054</v>
      </c>
      <c r="E676" t="s">
        <v>726</v>
      </c>
      <c r="F676">
        <v>42</v>
      </c>
      <c r="G676">
        <v>54329.451904761998</v>
      </c>
      <c r="H676">
        <v>2281836.98</v>
      </c>
      <c r="I676" t="s">
        <v>1587</v>
      </c>
      <c r="J676">
        <v>1.167196763895</v>
      </c>
    </row>
    <row r="677" spans="1:10" x14ac:dyDescent="0.25">
      <c r="A677" t="s">
        <v>112</v>
      </c>
      <c r="B677" t="s">
        <v>465</v>
      </c>
      <c r="C677" t="s">
        <v>284</v>
      </c>
      <c r="D677" t="s">
        <v>1053</v>
      </c>
      <c r="E677" t="s">
        <v>726</v>
      </c>
      <c r="F677">
        <v>5</v>
      </c>
      <c r="G677">
        <v>56367.724000000002</v>
      </c>
      <c r="H677">
        <v>281838.62</v>
      </c>
      <c r="I677" t="s">
        <v>1587</v>
      </c>
      <c r="J677">
        <v>0.14416504250213</v>
      </c>
    </row>
    <row r="678" spans="1:10" x14ac:dyDescent="0.25">
      <c r="A678" t="s">
        <v>112</v>
      </c>
      <c r="B678" t="s">
        <v>141</v>
      </c>
      <c r="C678" t="s">
        <v>284</v>
      </c>
      <c r="D678" t="s">
        <v>950</v>
      </c>
      <c r="E678" t="s">
        <v>725</v>
      </c>
      <c r="F678">
        <v>1</v>
      </c>
      <c r="G678">
        <v>70334.2</v>
      </c>
      <c r="H678">
        <v>70334.2</v>
      </c>
      <c r="I678" t="s">
        <v>1587</v>
      </c>
      <c r="J678">
        <v>3.5977088350609997E-2</v>
      </c>
    </row>
    <row r="679" spans="1:10" x14ac:dyDescent="0.25">
      <c r="A679" t="s">
        <v>112</v>
      </c>
      <c r="B679" t="s">
        <v>141</v>
      </c>
      <c r="C679" t="s">
        <v>284</v>
      </c>
      <c r="D679" t="s">
        <v>951</v>
      </c>
      <c r="E679" t="s">
        <v>725</v>
      </c>
      <c r="F679">
        <v>1</v>
      </c>
      <c r="G679">
        <v>69881.94</v>
      </c>
      <c r="H679">
        <v>69881.94</v>
      </c>
      <c r="I679" t="s">
        <v>1587</v>
      </c>
      <c r="J679">
        <v>3.5745749997750001E-2</v>
      </c>
    </row>
    <row r="680" spans="1:10" x14ac:dyDescent="0.25">
      <c r="A680" t="s">
        <v>112</v>
      </c>
      <c r="B680" t="s">
        <v>141</v>
      </c>
      <c r="C680" t="s">
        <v>284</v>
      </c>
      <c r="D680" t="s">
        <v>952</v>
      </c>
      <c r="E680" t="s">
        <v>725</v>
      </c>
      <c r="F680">
        <v>1</v>
      </c>
      <c r="G680">
        <v>68747.27</v>
      </c>
      <c r="H680">
        <v>68747.27</v>
      </c>
      <c r="I680" t="s">
        <v>1587</v>
      </c>
      <c r="J680">
        <v>3.5165347820170001E-2</v>
      </c>
    </row>
    <row r="681" spans="1:10" x14ac:dyDescent="0.25">
      <c r="A681" t="s">
        <v>112</v>
      </c>
      <c r="B681" t="s">
        <v>141</v>
      </c>
      <c r="C681" t="s">
        <v>284</v>
      </c>
      <c r="D681" t="s">
        <v>953</v>
      </c>
      <c r="E681" t="s">
        <v>725</v>
      </c>
      <c r="F681">
        <v>1</v>
      </c>
      <c r="G681">
        <v>67315.570000000007</v>
      </c>
      <c r="H681">
        <v>67315.570000000007</v>
      </c>
      <c r="I681" t="s">
        <v>1587</v>
      </c>
      <c r="J681">
        <v>3.4433009961889999E-2</v>
      </c>
    </row>
    <row r="682" spans="1:10" x14ac:dyDescent="0.25">
      <c r="A682" t="s">
        <v>112</v>
      </c>
      <c r="B682" t="s">
        <v>341</v>
      </c>
      <c r="C682" t="s">
        <v>284</v>
      </c>
      <c r="D682" t="s">
        <v>342</v>
      </c>
      <c r="E682" t="s">
        <v>726</v>
      </c>
      <c r="F682">
        <v>54</v>
      </c>
      <c r="G682">
        <v>71527.490740741006</v>
      </c>
      <c r="H682">
        <v>3862484.5</v>
      </c>
      <c r="I682" t="s">
        <v>1587</v>
      </c>
      <c r="J682">
        <v>1.9757237035376001</v>
      </c>
    </row>
    <row r="683" spans="1:10" x14ac:dyDescent="0.25">
      <c r="A683" t="s">
        <v>112</v>
      </c>
      <c r="B683" t="s">
        <v>805</v>
      </c>
      <c r="C683" t="s">
        <v>284</v>
      </c>
      <c r="D683" t="s">
        <v>997</v>
      </c>
      <c r="E683" t="s">
        <v>725</v>
      </c>
      <c r="F683">
        <v>57</v>
      </c>
      <c r="G683">
        <v>54507.874912280997</v>
      </c>
      <c r="H683">
        <v>3106948.87</v>
      </c>
      <c r="I683" t="s">
        <v>1587</v>
      </c>
      <c r="J683">
        <v>1.5892549285669999</v>
      </c>
    </row>
    <row r="684" spans="1:10" x14ac:dyDescent="0.25">
      <c r="A684" t="s">
        <v>112</v>
      </c>
      <c r="B684" t="s">
        <v>1062</v>
      </c>
      <c r="C684" t="s">
        <v>284</v>
      </c>
      <c r="D684" t="s">
        <v>1568</v>
      </c>
      <c r="E684" t="s">
        <v>725</v>
      </c>
      <c r="F684">
        <v>17</v>
      </c>
      <c r="G684">
        <v>54127.327647058999</v>
      </c>
      <c r="H684">
        <v>920164.57</v>
      </c>
      <c r="I684" t="s">
        <v>1587</v>
      </c>
      <c r="J684">
        <v>0.47067915796283999</v>
      </c>
    </row>
    <row r="685" spans="1:10" x14ac:dyDescent="0.25">
      <c r="A685" t="s">
        <v>112</v>
      </c>
      <c r="B685" t="s">
        <v>370</v>
      </c>
      <c r="C685" t="s">
        <v>284</v>
      </c>
      <c r="D685" t="s">
        <v>371</v>
      </c>
      <c r="E685" t="s">
        <v>726</v>
      </c>
      <c r="F685">
        <v>34</v>
      </c>
      <c r="G685">
        <v>70301.330294118001</v>
      </c>
      <c r="H685">
        <v>2390245.23</v>
      </c>
      <c r="I685" t="s">
        <v>1587</v>
      </c>
      <c r="J685">
        <v>1.2226493486715</v>
      </c>
    </row>
    <row r="686" spans="1:10" x14ac:dyDescent="0.25">
      <c r="A686" t="s">
        <v>112</v>
      </c>
      <c r="B686" t="s">
        <v>324</v>
      </c>
      <c r="C686" t="s">
        <v>284</v>
      </c>
      <c r="D686" t="s">
        <v>325</v>
      </c>
      <c r="E686" t="s">
        <v>726</v>
      </c>
      <c r="F686">
        <v>16</v>
      </c>
      <c r="G686">
        <v>71943.037500000006</v>
      </c>
      <c r="H686">
        <v>1151088.6000000001</v>
      </c>
      <c r="I686" t="s">
        <v>1587</v>
      </c>
      <c r="J686">
        <v>0.58880055878333004</v>
      </c>
    </row>
    <row r="687" spans="1:10" x14ac:dyDescent="0.25">
      <c r="A687" t="s">
        <v>112</v>
      </c>
      <c r="B687" t="s">
        <v>360</v>
      </c>
      <c r="C687" t="s">
        <v>284</v>
      </c>
      <c r="D687" t="s">
        <v>353</v>
      </c>
      <c r="E687" t="s">
        <v>726</v>
      </c>
      <c r="F687">
        <v>15</v>
      </c>
      <c r="G687">
        <v>212779.81866667001</v>
      </c>
      <c r="H687">
        <v>3191697.28</v>
      </c>
      <c r="I687" t="s">
        <v>1587</v>
      </c>
      <c r="J687">
        <v>1.6326051199978999</v>
      </c>
    </row>
    <row r="688" spans="1:10" x14ac:dyDescent="0.25">
      <c r="A688" t="s">
        <v>112</v>
      </c>
      <c r="B688" t="s">
        <v>360</v>
      </c>
      <c r="C688" t="s">
        <v>284</v>
      </c>
      <c r="D688" t="s">
        <v>936</v>
      </c>
      <c r="E688" t="s">
        <v>725</v>
      </c>
      <c r="F688">
        <v>15</v>
      </c>
      <c r="G688">
        <v>55351.815999999999</v>
      </c>
      <c r="H688">
        <v>830277.24</v>
      </c>
      <c r="I688" t="s">
        <v>1587</v>
      </c>
      <c r="J688">
        <v>0.42470032528953999</v>
      </c>
    </row>
    <row r="689" spans="1:10" x14ac:dyDescent="0.25">
      <c r="A689" t="s">
        <v>112</v>
      </c>
      <c r="B689" t="s">
        <v>191</v>
      </c>
      <c r="C689" t="s">
        <v>284</v>
      </c>
      <c r="D689" t="s">
        <v>839</v>
      </c>
      <c r="E689" t="s">
        <v>725</v>
      </c>
      <c r="F689">
        <v>60</v>
      </c>
      <c r="G689">
        <v>57744.552833333</v>
      </c>
      <c r="H689">
        <v>3464673.17</v>
      </c>
      <c r="I689" t="s">
        <v>1587</v>
      </c>
      <c r="J689">
        <v>1.7722367318186001</v>
      </c>
    </row>
    <row r="690" spans="1:10" x14ac:dyDescent="0.25">
      <c r="A690" t="s">
        <v>112</v>
      </c>
      <c r="B690" t="s">
        <v>808</v>
      </c>
      <c r="C690" t="s">
        <v>284</v>
      </c>
      <c r="D690" t="s">
        <v>809</v>
      </c>
      <c r="E690" t="s">
        <v>726</v>
      </c>
      <c r="F690">
        <v>35</v>
      </c>
      <c r="G690">
        <v>60495.802000000003</v>
      </c>
      <c r="H690">
        <v>2117353.0699999998</v>
      </c>
      <c r="I690" t="s">
        <v>1587</v>
      </c>
      <c r="J690">
        <v>1.083060566109</v>
      </c>
    </row>
    <row r="691" spans="1:10" x14ac:dyDescent="0.25">
      <c r="A691" t="s">
        <v>113</v>
      </c>
      <c r="B691" t="s">
        <v>114</v>
      </c>
      <c r="C691" t="s">
        <v>284</v>
      </c>
      <c r="D691" t="s">
        <v>972</v>
      </c>
      <c r="E691" t="s">
        <v>434</v>
      </c>
      <c r="F691">
        <v>-4</v>
      </c>
      <c r="G691">
        <v>83289.23</v>
      </c>
      <c r="H691">
        <v>544.55999999999995</v>
      </c>
      <c r="I691">
        <v>-333156.92</v>
      </c>
      <c r="J691">
        <v>-0.17041518842122999</v>
      </c>
    </row>
    <row r="692" spans="1:10" x14ac:dyDescent="0.25">
      <c r="A692" t="s">
        <v>113</v>
      </c>
      <c r="B692" t="s">
        <v>114</v>
      </c>
      <c r="C692" t="s">
        <v>284</v>
      </c>
      <c r="D692" t="s">
        <v>177</v>
      </c>
      <c r="E692" t="s">
        <v>430</v>
      </c>
      <c r="F692">
        <v>-20</v>
      </c>
      <c r="G692">
        <v>177636.46260599999</v>
      </c>
      <c r="H692">
        <v>473.34</v>
      </c>
      <c r="I692">
        <v>-7460731.4294520002</v>
      </c>
      <c r="J692">
        <v>-3.8162855879154001</v>
      </c>
    </row>
    <row r="693" spans="1:10" x14ac:dyDescent="0.25">
      <c r="A693" t="s">
        <v>113</v>
      </c>
      <c r="B693" t="s">
        <v>114</v>
      </c>
      <c r="C693" t="s">
        <v>284</v>
      </c>
      <c r="D693" t="s">
        <v>479</v>
      </c>
      <c r="E693" t="s">
        <v>431</v>
      </c>
      <c r="F693">
        <v>1</v>
      </c>
      <c r="G693">
        <v>89005.72</v>
      </c>
      <c r="H693">
        <v>-82.02</v>
      </c>
      <c r="I693">
        <v>89005.72</v>
      </c>
      <c r="J693">
        <v>4.5527874805565E-2</v>
      </c>
    </row>
    <row r="694" spans="1:10" x14ac:dyDescent="0.25">
      <c r="A694" t="s">
        <v>113</v>
      </c>
      <c r="B694" t="s">
        <v>114</v>
      </c>
      <c r="C694" t="s">
        <v>284</v>
      </c>
      <c r="D694" t="s">
        <v>1163</v>
      </c>
      <c r="E694" t="s">
        <v>895</v>
      </c>
      <c r="F694">
        <v>-1</v>
      </c>
      <c r="G694">
        <v>109.875</v>
      </c>
      <c r="H694">
        <v>-1073.58</v>
      </c>
      <c r="I694">
        <v>-630858.30000000005</v>
      </c>
      <c r="J694">
        <v>-0.32269429091132001</v>
      </c>
    </row>
    <row r="695" spans="1:10" x14ac:dyDescent="0.25">
      <c r="A695" t="s">
        <v>113</v>
      </c>
      <c r="B695" t="s">
        <v>114</v>
      </c>
      <c r="C695" t="s">
        <v>284</v>
      </c>
      <c r="D695" t="s">
        <v>116</v>
      </c>
      <c r="E695" t="s">
        <v>430</v>
      </c>
      <c r="F695">
        <v>-10</v>
      </c>
      <c r="G695">
        <v>160269.114933</v>
      </c>
      <c r="H695">
        <v>-429.12857142857001</v>
      </c>
      <c r="I695">
        <v>686867.63542714005</v>
      </c>
      <c r="J695">
        <v>0.35134397782211002</v>
      </c>
    </row>
    <row r="696" spans="1:10" x14ac:dyDescent="0.25">
      <c r="A696" t="s">
        <v>113</v>
      </c>
      <c r="B696" t="s">
        <v>114</v>
      </c>
      <c r="C696" t="s">
        <v>284</v>
      </c>
      <c r="D696" t="s">
        <v>116</v>
      </c>
      <c r="E696" t="s">
        <v>350</v>
      </c>
      <c r="F696">
        <v>25</v>
      </c>
      <c r="G696">
        <v>160269.114933</v>
      </c>
      <c r="H696">
        <v>-1072.8214285714</v>
      </c>
      <c r="I696">
        <v>1717169.0885679</v>
      </c>
      <c r="J696">
        <v>0.87835994455527999</v>
      </c>
    </row>
    <row r="697" spans="1:10" x14ac:dyDescent="0.25">
      <c r="A697" t="s">
        <v>113</v>
      </c>
      <c r="B697" t="s">
        <v>114</v>
      </c>
      <c r="C697" t="s">
        <v>284</v>
      </c>
      <c r="D697" t="s">
        <v>143</v>
      </c>
      <c r="E697" t="s">
        <v>431</v>
      </c>
      <c r="F697">
        <v>9</v>
      </c>
      <c r="G697">
        <v>77918.289999999994</v>
      </c>
      <c r="H697">
        <v>-1574.01</v>
      </c>
      <c r="I697">
        <v>701264.61</v>
      </c>
      <c r="J697">
        <v>0.35870826470089001</v>
      </c>
    </row>
    <row r="698" spans="1:10" x14ac:dyDescent="0.25">
      <c r="A698" t="s">
        <v>113</v>
      </c>
      <c r="B698" t="s">
        <v>114</v>
      </c>
      <c r="C698" t="s">
        <v>284</v>
      </c>
      <c r="D698" t="s">
        <v>319</v>
      </c>
      <c r="E698" t="s">
        <v>350</v>
      </c>
      <c r="F698">
        <v>20</v>
      </c>
      <c r="G698">
        <v>152647.90862999999</v>
      </c>
      <c r="H698">
        <v>-5292.6</v>
      </c>
      <c r="I698">
        <v>3052958.1726000002</v>
      </c>
      <c r="J698">
        <v>1.5616378078708</v>
      </c>
    </row>
    <row r="699" spans="1:10" x14ac:dyDescent="0.25">
      <c r="A699" t="s">
        <v>337</v>
      </c>
      <c r="B699" t="s">
        <v>338</v>
      </c>
      <c r="C699" t="s">
        <v>284</v>
      </c>
      <c r="D699" t="s">
        <v>339</v>
      </c>
      <c r="E699" t="s">
        <v>725</v>
      </c>
      <c r="F699">
        <v>14563</v>
      </c>
      <c r="G699">
        <v>89.4</v>
      </c>
      <c r="H699">
        <v>1301932.2</v>
      </c>
      <c r="I699" t="s">
        <v>1587</v>
      </c>
      <c r="J699">
        <v>0.66595951593823</v>
      </c>
    </row>
    <row r="700" spans="1:10" x14ac:dyDescent="0.25">
      <c r="A700" t="s">
        <v>117</v>
      </c>
      <c r="B700" t="s">
        <v>375</v>
      </c>
      <c r="C700" t="s">
        <v>284</v>
      </c>
      <c r="D700" t="s">
        <v>286</v>
      </c>
      <c r="E700" t="s">
        <v>729</v>
      </c>
      <c r="F700">
        <v>838254</v>
      </c>
      <c r="G700">
        <v>2.0560705422646</v>
      </c>
      <c r="H700">
        <v>1723509.3563353999</v>
      </c>
      <c r="I700" t="s">
        <v>1587</v>
      </c>
      <c r="J700">
        <v>0.88160309473885001</v>
      </c>
    </row>
    <row r="701" spans="1:10" x14ac:dyDescent="0.25">
      <c r="A701" t="s">
        <v>117</v>
      </c>
      <c r="B701" t="s">
        <v>851</v>
      </c>
      <c r="C701" t="s">
        <v>284</v>
      </c>
      <c r="D701" t="s">
        <v>244</v>
      </c>
      <c r="E701" t="s">
        <v>730</v>
      </c>
      <c r="F701">
        <v>5189362</v>
      </c>
      <c r="G701">
        <v>1.4890822730993001</v>
      </c>
      <c r="H701">
        <v>7727386.9628953002</v>
      </c>
      <c r="I701" t="s">
        <v>1587</v>
      </c>
      <c r="J701">
        <v>3.952684234461</v>
      </c>
    </row>
    <row r="702" spans="1:10" x14ac:dyDescent="0.25">
      <c r="A702" t="s">
        <v>117</v>
      </c>
      <c r="B702" t="s">
        <v>851</v>
      </c>
      <c r="C702" t="s">
        <v>284</v>
      </c>
      <c r="D702" t="s">
        <v>244</v>
      </c>
      <c r="E702" t="s">
        <v>725</v>
      </c>
      <c r="F702">
        <v>4998523</v>
      </c>
      <c r="G702">
        <v>1.4890822730993001</v>
      </c>
      <c r="H702">
        <v>7443211.9909792999</v>
      </c>
      <c r="I702" t="s">
        <v>1587</v>
      </c>
      <c r="J702">
        <v>3.8073241099177002</v>
      </c>
    </row>
    <row r="703" spans="1:10" x14ac:dyDescent="0.25">
      <c r="A703" t="s">
        <v>117</v>
      </c>
      <c r="B703" t="s">
        <v>287</v>
      </c>
      <c r="C703" t="s">
        <v>284</v>
      </c>
      <c r="D703" t="s">
        <v>287</v>
      </c>
      <c r="E703" t="s">
        <v>729</v>
      </c>
      <c r="F703">
        <v>1294864</v>
      </c>
      <c r="G703">
        <v>1.9395860510055001</v>
      </c>
      <c r="H703">
        <v>1292196.837659</v>
      </c>
      <c r="I703" t="s">
        <v>1587</v>
      </c>
      <c r="J703">
        <v>0.66097971960775004</v>
      </c>
    </row>
    <row r="704" spans="1:10" x14ac:dyDescent="0.25">
      <c r="A704" t="s">
        <v>118</v>
      </c>
      <c r="B704" t="s">
        <v>496</v>
      </c>
      <c r="C704" t="s">
        <v>284</v>
      </c>
      <c r="D704" t="s">
        <v>496</v>
      </c>
      <c r="E704" t="s">
        <v>725</v>
      </c>
      <c r="F704">
        <v>4638652</v>
      </c>
      <c r="G704">
        <v>1.548339426833</v>
      </c>
      <c r="H704">
        <v>7182207.7789578</v>
      </c>
      <c r="I704" t="s">
        <v>1587</v>
      </c>
      <c r="J704">
        <v>3.6738162062835999</v>
      </c>
    </row>
    <row r="705" spans="1:10" x14ac:dyDescent="0.25">
      <c r="A705" t="s">
        <v>118</v>
      </c>
      <c r="B705" t="s">
        <v>26</v>
      </c>
      <c r="C705" t="s">
        <v>284</v>
      </c>
      <c r="D705" t="s">
        <v>120</v>
      </c>
      <c r="E705" t="s">
        <v>730</v>
      </c>
      <c r="F705">
        <v>8608579</v>
      </c>
      <c r="G705">
        <v>1.7524802046029</v>
      </c>
      <c r="H705">
        <v>15085817.513436999</v>
      </c>
      <c r="I705" t="s">
        <v>1587</v>
      </c>
      <c r="J705">
        <v>7.7166412573410001</v>
      </c>
    </row>
    <row r="706" spans="1:10" x14ac:dyDescent="0.25">
      <c r="A706" t="s">
        <v>118</v>
      </c>
      <c r="B706" t="s">
        <v>25</v>
      </c>
      <c r="C706" t="s">
        <v>284</v>
      </c>
      <c r="D706" t="s">
        <v>119</v>
      </c>
      <c r="E706" t="s">
        <v>724</v>
      </c>
      <c r="F706">
        <v>2460696</v>
      </c>
      <c r="G706">
        <v>4.6676896598192004</v>
      </c>
      <c r="H706">
        <v>11485765.275158999</v>
      </c>
      <c r="I706" t="s">
        <v>1587</v>
      </c>
      <c r="J706">
        <v>5.8751559281079997</v>
      </c>
    </row>
    <row r="707" spans="1:10" x14ac:dyDescent="0.25">
      <c r="A707" t="s">
        <v>118</v>
      </c>
      <c r="B707" t="s">
        <v>25</v>
      </c>
      <c r="C707" t="s">
        <v>284</v>
      </c>
      <c r="D707" t="s">
        <v>119</v>
      </c>
      <c r="E707" t="s">
        <v>725</v>
      </c>
      <c r="F707">
        <v>780003</v>
      </c>
      <c r="G707">
        <v>4.6676896598192004</v>
      </c>
      <c r="H707">
        <v>3640811.9377279999</v>
      </c>
      <c r="I707" t="s">
        <v>1587</v>
      </c>
      <c r="J707">
        <v>1.8623345790751999</v>
      </c>
    </row>
    <row r="708" spans="1:10" x14ac:dyDescent="0.25">
      <c r="A708" t="s">
        <v>118</v>
      </c>
      <c r="B708" t="s">
        <v>145</v>
      </c>
      <c r="C708" t="s">
        <v>284</v>
      </c>
      <c r="D708" t="s">
        <v>121</v>
      </c>
      <c r="E708" t="s">
        <v>731</v>
      </c>
      <c r="F708">
        <v>4695222</v>
      </c>
      <c r="G708">
        <v>1.4945288426307</v>
      </c>
      <c r="H708">
        <v>5638189.2688528998</v>
      </c>
      <c r="I708" t="s">
        <v>1587</v>
      </c>
      <c r="J708">
        <v>2.8840256015277999</v>
      </c>
    </row>
    <row r="709" spans="1:10" x14ac:dyDescent="0.25">
      <c r="A709" t="s">
        <v>122</v>
      </c>
      <c r="B709" t="s">
        <v>860</v>
      </c>
      <c r="C709" t="s">
        <v>284</v>
      </c>
      <c r="D709" t="s">
        <v>123</v>
      </c>
      <c r="E709" t="s">
        <v>727</v>
      </c>
      <c r="F709">
        <v>991120</v>
      </c>
      <c r="G709">
        <v>1.9918680838934999</v>
      </c>
      <c r="H709">
        <v>1974180.2953085001</v>
      </c>
      <c r="I709" t="s">
        <v>1587</v>
      </c>
      <c r="J709">
        <v>1.0098253609815</v>
      </c>
    </row>
    <row r="710" spans="1:10" x14ac:dyDescent="0.25">
      <c r="A710" t="s">
        <v>124</v>
      </c>
      <c r="B710" t="s">
        <v>861</v>
      </c>
      <c r="C710" t="s">
        <v>284</v>
      </c>
      <c r="D710" t="s">
        <v>226</v>
      </c>
      <c r="E710" t="s">
        <v>724</v>
      </c>
      <c r="F710">
        <v>487062</v>
      </c>
      <c r="G710">
        <v>14.735726566867999</v>
      </c>
      <c r="H710">
        <v>5207369.9971061004</v>
      </c>
      <c r="I710" t="s">
        <v>1587</v>
      </c>
      <c r="J710">
        <v>2.6636545302312999</v>
      </c>
    </row>
    <row r="711" spans="1:10" x14ac:dyDescent="0.25">
      <c r="A711" t="s">
        <v>124</v>
      </c>
      <c r="B711" t="s">
        <v>900</v>
      </c>
      <c r="C711" t="s">
        <v>284</v>
      </c>
      <c r="D711" t="s">
        <v>904</v>
      </c>
      <c r="E711" t="s">
        <v>725</v>
      </c>
      <c r="F711">
        <v>332596</v>
      </c>
      <c r="G711">
        <v>11.090675970453001</v>
      </c>
      <c r="H711">
        <v>3688714.4650689</v>
      </c>
      <c r="I711" t="s">
        <v>1587</v>
      </c>
      <c r="J711">
        <v>1.8868375016698999</v>
      </c>
    </row>
    <row r="712" spans="1:10" x14ac:dyDescent="0.25">
      <c r="A712" t="s">
        <v>124</v>
      </c>
      <c r="B712" t="s">
        <v>900</v>
      </c>
      <c r="C712" t="s">
        <v>284</v>
      </c>
      <c r="D712" t="s">
        <v>901</v>
      </c>
      <c r="E712" t="s">
        <v>725</v>
      </c>
      <c r="F712">
        <v>332596</v>
      </c>
      <c r="G712">
        <v>11.090637350203</v>
      </c>
      <c r="H712">
        <v>3688701.6201281999</v>
      </c>
      <c r="I712" t="s">
        <v>1587</v>
      </c>
      <c r="J712">
        <v>1.8868309312736999</v>
      </c>
    </row>
    <row r="713" spans="1:10" x14ac:dyDescent="0.25">
      <c r="A713" t="s">
        <v>124</v>
      </c>
      <c r="B713" t="s">
        <v>900</v>
      </c>
      <c r="C713" t="s">
        <v>284</v>
      </c>
      <c r="D713" t="s">
        <v>903</v>
      </c>
      <c r="E713" t="s">
        <v>725</v>
      </c>
      <c r="F713">
        <v>332597</v>
      </c>
      <c r="G713">
        <v>11.090583875171999</v>
      </c>
      <c r="H713">
        <v>3688694.9251306001</v>
      </c>
      <c r="I713" t="s">
        <v>1587</v>
      </c>
      <c r="J713">
        <v>1.8868275066733999</v>
      </c>
    </row>
    <row r="714" spans="1:10" x14ac:dyDescent="0.25">
      <c r="A714" t="s">
        <v>124</v>
      </c>
      <c r="B714" t="s">
        <v>900</v>
      </c>
      <c r="C714" t="s">
        <v>284</v>
      </c>
      <c r="D714" t="s">
        <v>902</v>
      </c>
      <c r="E714" t="s">
        <v>725</v>
      </c>
      <c r="F714">
        <v>332597</v>
      </c>
      <c r="G714">
        <v>11.090580505128001</v>
      </c>
      <c r="H714">
        <v>3688693.8042640998</v>
      </c>
      <c r="I714" t="s">
        <v>1587</v>
      </c>
      <c r="J714">
        <v>1.8868269333319001</v>
      </c>
    </row>
    <row r="715" spans="1:10" x14ac:dyDescent="0.25">
      <c r="A715" t="s">
        <v>124</v>
      </c>
      <c r="B715" t="s">
        <v>900</v>
      </c>
      <c r="C715" t="s">
        <v>284</v>
      </c>
      <c r="D715" t="s">
        <v>908</v>
      </c>
      <c r="E715" t="s">
        <v>725</v>
      </c>
      <c r="F715">
        <v>332597</v>
      </c>
      <c r="G715">
        <v>11.090577329563001</v>
      </c>
      <c r="H715">
        <v>3688692.7480807002</v>
      </c>
      <c r="I715" t="s">
        <v>1587</v>
      </c>
      <c r="J715">
        <v>1.8868263930769</v>
      </c>
    </row>
    <row r="716" spans="1:10" x14ac:dyDescent="0.25">
      <c r="A716" t="s">
        <v>124</v>
      </c>
      <c r="B716" t="s">
        <v>900</v>
      </c>
      <c r="C716" t="s">
        <v>284</v>
      </c>
      <c r="D716" t="s">
        <v>909</v>
      </c>
      <c r="E716" t="s">
        <v>725</v>
      </c>
      <c r="F716">
        <v>332597</v>
      </c>
      <c r="G716">
        <v>11.090480914812</v>
      </c>
      <c r="H716">
        <v>3688660.6808238002</v>
      </c>
      <c r="I716" t="s">
        <v>1587</v>
      </c>
      <c r="J716">
        <v>1.8868099901529001</v>
      </c>
    </row>
    <row r="717" spans="1:10" x14ac:dyDescent="0.25">
      <c r="A717" t="s">
        <v>124</v>
      </c>
      <c r="B717" t="s">
        <v>900</v>
      </c>
      <c r="C717" t="s">
        <v>284</v>
      </c>
      <c r="D717" t="s">
        <v>907</v>
      </c>
      <c r="E717" t="s">
        <v>725</v>
      </c>
      <c r="F717">
        <v>332596</v>
      </c>
      <c r="G717">
        <v>11.090337767409</v>
      </c>
      <c r="H717">
        <v>3688601.9800892002</v>
      </c>
      <c r="I717" t="s">
        <v>1587</v>
      </c>
      <c r="J717">
        <v>1.8867799637716001</v>
      </c>
    </row>
    <row r="718" spans="1:10" x14ac:dyDescent="0.25">
      <c r="A718" t="s">
        <v>124</v>
      </c>
      <c r="B718" t="s">
        <v>900</v>
      </c>
      <c r="C718" t="s">
        <v>284</v>
      </c>
      <c r="D718" t="s">
        <v>906</v>
      </c>
      <c r="E718" t="s">
        <v>725</v>
      </c>
      <c r="F718">
        <v>332597</v>
      </c>
      <c r="G718">
        <v>11.090299777386001</v>
      </c>
      <c r="H718">
        <v>3688600.4350592</v>
      </c>
      <c r="I718" t="s">
        <v>1587</v>
      </c>
      <c r="J718">
        <v>1.8867791734635</v>
      </c>
    </row>
    <row r="719" spans="1:10" x14ac:dyDescent="0.25">
      <c r="A719" t="s">
        <v>124</v>
      </c>
      <c r="B719" t="s">
        <v>900</v>
      </c>
      <c r="C719" t="s">
        <v>284</v>
      </c>
      <c r="D719" t="s">
        <v>905</v>
      </c>
      <c r="E719" t="s">
        <v>725</v>
      </c>
      <c r="F719">
        <v>332600</v>
      </c>
      <c r="G719">
        <v>11.089860065018</v>
      </c>
      <c r="H719">
        <v>3688487.4576249998</v>
      </c>
      <c r="I719" t="s">
        <v>1587</v>
      </c>
      <c r="J719">
        <v>1.8867213836665999</v>
      </c>
    </row>
    <row r="720" spans="1:10" x14ac:dyDescent="0.25">
      <c r="A720" t="s">
        <v>126</v>
      </c>
      <c r="B720" t="s">
        <v>1139</v>
      </c>
      <c r="C720" t="s">
        <v>284</v>
      </c>
      <c r="D720" t="s">
        <v>512</v>
      </c>
      <c r="E720" t="s">
        <v>725</v>
      </c>
      <c r="F720">
        <v>61</v>
      </c>
      <c r="G720">
        <v>66619.985297291001</v>
      </c>
      <c r="H720">
        <v>4063819.1031348002</v>
      </c>
      <c r="I720" t="s">
        <v>1587</v>
      </c>
      <c r="J720">
        <v>2.0787096307966002</v>
      </c>
    </row>
    <row r="721" spans="1:10" x14ac:dyDescent="0.25">
      <c r="A721" t="s">
        <v>126</v>
      </c>
      <c r="B721" t="s">
        <v>877</v>
      </c>
      <c r="C721" t="s">
        <v>284</v>
      </c>
      <c r="D721" t="s">
        <v>1140</v>
      </c>
      <c r="E721" t="s">
        <v>725</v>
      </c>
      <c r="F721">
        <v>3918</v>
      </c>
      <c r="G721">
        <v>855.34934324024005</v>
      </c>
      <c r="H721">
        <v>3351258.7268151999</v>
      </c>
      <c r="I721" t="s">
        <v>1587</v>
      </c>
      <c r="J721">
        <v>1.7142233977265999</v>
      </c>
    </row>
    <row r="722" spans="1:10" x14ac:dyDescent="0.25">
      <c r="A722" t="s">
        <v>126</v>
      </c>
      <c r="B722" t="s">
        <v>732</v>
      </c>
      <c r="C722" t="s">
        <v>284</v>
      </c>
      <c r="D722" t="s">
        <v>910</v>
      </c>
      <c r="E722" t="s">
        <v>725</v>
      </c>
      <c r="F722">
        <v>1799</v>
      </c>
      <c r="G722">
        <v>1201.4031007992</v>
      </c>
      <c r="H722">
        <v>2161324.1783377999</v>
      </c>
      <c r="I722" t="s">
        <v>1587</v>
      </c>
      <c r="J722">
        <v>1.1055525038795999</v>
      </c>
    </row>
    <row r="723" spans="1:10" x14ac:dyDescent="0.25">
      <c r="A723" t="s">
        <v>126</v>
      </c>
      <c r="B723" t="s">
        <v>136</v>
      </c>
      <c r="C723" t="s">
        <v>284</v>
      </c>
      <c r="D723" t="s">
        <v>136</v>
      </c>
      <c r="E723" t="s">
        <v>126</v>
      </c>
      <c r="F723">
        <v>952</v>
      </c>
      <c r="G723">
        <v>341.31727410000002</v>
      </c>
      <c r="H723">
        <v>324934.04494320002</v>
      </c>
      <c r="I723" t="s">
        <v>1587</v>
      </c>
      <c r="J723">
        <v>0.16620905396012001</v>
      </c>
    </row>
    <row r="724" spans="1:10" x14ac:dyDescent="0.25">
      <c r="A724" t="s">
        <v>126</v>
      </c>
      <c r="B724" t="s">
        <v>136</v>
      </c>
      <c r="C724" t="s">
        <v>284</v>
      </c>
      <c r="D724" t="s">
        <v>136</v>
      </c>
      <c r="E724" t="s">
        <v>725</v>
      </c>
      <c r="F724">
        <v>129</v>
      </c>
      <c r="G724">
        <v>341.31727410000002</v>
      </c>
      <c r="H724">
        <v>44029.928358899997</v>
      </c>
      <c r="I724" t="s">
        <v>1587</v>
      </c>
      <c r="J724">
        <v>2.2522025168965999E-2</v>
      </c>
    </row>
    <row r="725" spans="1:10" x14ac:dyDescent="0.25">
      <c r="A725" t="s">
        <v>126</v>
      </c>
      <c r="B725" t="s">
        <v>1096</v>
      </c>
      <c r="C725" t="s">
        <v>284</v>
      </c>
      <c r="D725" t="s">
        <v>1097</v>
      </c>
      <c r="E725" t="s">
        <v>725</v>
      </c>
      <c r="F725">
        <v>12</v>
      </c>
      <c r="G725">
        <v>39441.865459710003</v>
      </c>
      <c r="H725">
        <v>473302.38551653002</v>
      </c>
      <c r="I725" t="s">
        <v>1587</v>
      </c>
      <c r="J725">
        <v>0.24210187562071001</v>
      </c>
    </row>
    <row r="726" spans="1:10" x14ac:dyDescent="0.25">
      <c r="A726" t="s">
        <v>127</v>
      </c>
      <c r="B726" t="s">
        <v>38</v>
      </c>
      <c r="C726" t="s">
        <v>284</v>
      </c>
      <c r="D726" t="s">
        <v>238</v>
      </c>
      <c r="E726" t="s">
        <v>726</v>
      </c>
      <c r="F726">
        <v>1886</v>
      </c>
      <c r="G726">
        <v>711.89935312831005</v>
      </c>
      <c r="H726">
        <v>1342642.18</v>
      </c>
      <c r="I726" t="s">
        <v>1587</v>
      </c>
      <c r="J726">
        <v>0.68678333347238996</v>
      </c>
    </row>
    <row r="727" spans="1:10" x14ac:dyDescent="0.25">
      <c r="A727" t="s">
        <v>127</v>
      </c>
      <c r="B727" t="s">
        <v>258</v>
      </c>
      <c r="C727" t="s">
        <v>284</v>
      </c>
      <c r="D727" t="s">
        <v>923</v>
      </c>
      <c r="E727" t="s">
        <v>726</v>
      </c>
      <c r="F727">
        <v>744</v>
      </c>
      <c r="G727">
        <v>445.31174731183</v>
      </c>
      <c r="H727">
        <v>331311.94</v>
      </c>
      <c r="I727" t="s">
        <v>1587</v>
      </c>
      <c r="J727">
        <v>0.16947145111469999</v>
      </c>
    </row>
    <row r="728" spans="1:10" x14ac:dyDescent="0.25">
      <c r="A728" t="s">
        <v>127</v>
      </c>
      <c r="B728" t="s">
        <v>397</v>
      </c>
      <c r="C728" t="s">
        <v>284</v>
      </c>
      <c r="D728" t="s">
        <v>398</v>
      </c>
      <c r="E728" t="s">
        <v>726</v>
      </c>
      <c r="F728">
        <v>6297</v>
      </c>
      <c r="G728">
        <v>1015.3368937589</v>
      </c>
      <c r="H728">
        <v>6393576.4199999999</v>
      </c>
      <c r="I728" t="s">
        <v>1587</v>
      </c>
      <c r="J728">
        <v>3.2704184271479</v>
      </c>
    </row>
    <row r="729" spans="1:10" x14ac:dyDescent="0.25">
      <c r="A729" t="s">
        <v>127</v>
      </c>
      <c r="B729" t="s">
        <v>204</v>
      </c>
      <c r="C729" t="s">
        <v>284</v>
      </c>
      <c r="D729" t="s">
        <v>410</v>
      </c>
      <c r="E729" t="s">
        <v>726</v>
      </c>
      <c r="F729">
        <v>1340</v>
      </c>
      <c r="G729">
        <v>658.41932089551995</v>
      </c>
      <c r="H729">
        <v>882281.89</v>
      </c>
      <c r="I729" t="s">
        <v>1587</v>
      </c>
      <c r="J729">
        <v>0.45130155040751002</v>
      </c>
    </row>
    <row r="730" spans="1:10" x14ac:dyDescent="0.25">
      <c r="A730" t="s">
        <v>127</v>
      </c>
      <c r="B730" t="s">
        <v>230</v>
      </c>
      <c r="C730" t="s">
        <v>284</v>
      </c>
      <c r="D730" t="s">
        <v>211</v>
      </c>
      <c r="E730" t="s">
        <v>726</v>
      </c>
      <c r="F730">
        <v>507</v>
      </c>
      <c r="G730">
        <v>346.55642998027997</v>
      </c>
      <c r="H730">
        <v>175704.11</v>
      </c>
      <c r="I730" t="s">
        <v>1587</v>
      </c>
      <c r="J730">
        <v>8.9875512752474004E-2</v>
      </c>
    </row>
    <row r="731" spans="1:10" x14ac:dyDescent="0.25">
      <c r="A731" t="s">
        <v>127</v>
      </c>
      <c r="B731" t="s">
        <v>45</v>
      </c>
      <c r="C731" t="s">
        <v>284</v>
      </c>
      <c r="D731" t="s">
        <v>437</v>
      </c>
      <c r="E731" t="s">
        <v>726</v>
      </c>
      <c r="F731">
        <v>240</v>
      </c>
      <c r="G731">
        <v>911.60629166667002</v>
      </c>
      <c r="H731">
        <v>218785.51</v>
      </c>
      <c r="I731" t="s">
        <v>1587</v>
      </c>
      <c r="J731">
        <v>0.11191235022369</v>
      </c>
    </row>
    <row r="732" spans="1:10" x14ac:dyDescent="0.25">
      <c r="A732" t="s">
        <v>127</v>
      </c>
      <c r="B732" t="s">
        <v>372</v>
      </c>
      <c r="C732" t="s">
        <v>284</v>
      </c>
      <c r="D732" t="s">
        <v>373</v>
      </c>
      <c r="E732" t="s">
        <v>726</v>
      </c>
      <c r="F732">
        <v>1330</v>
      </c>
      <c r="G732">
        <v>1029.1448796991999</v>
      </c>
      <c r="H732">
        <v>1368762.69</v>
      </c>
      <c r="I732" t="s">
        <v>1587</v>
      </c>
      <c r="J732">
        <v>0.70014439958295005</v>
      </c>
    </row>
    <row r="733" spans="1:10" x14ac:dyDescent="0.25">
      <c r="A733" t="s">
        <v>127</v>
      </c>
      <c r="B733" t="s">
        <v>1359</v>
      </c>
      <c r="C733" t="s">
        <v>284</v>
      </c>
      <c r="D733" t="s">
        <v>12</v>
      </c>
      <c r="E733" t="s">
        <v>725</v>
      </c>
      <c r="F733">
        <v>4887</v>
      </c>
      <c r="G733">
        <v>56.410978105177001</v>
      </c>
      <c r="H733">
        <v>275680.45</v>
      </c>
      <c r="I733" t="s">
        <v>1587</v>
      </c>
      <c r="J733">
        <v>0.14101503829126999</v>
      </c>
    </row>
    <row r="734" spans="1:10" x14ac:dyDescent="0.25">
      <c r="A734" t="s">
        <v>127</v>
      </c>
      <c r="B734" t="s">
        <v>1359</v>
      </c>
      <c r="C734" t="s">
        <v>284</v>
      </c>
      <c r="D734" t="s">
        <v>1181</v>
      </c>
      <c r="E734" t="s">
        <v>725</v>
      </c>
      <c r="F734">
        <v>32414</v>
      </c>
      <c r="G734">
        <v>7.72</v>
      </c>
      <c r="H734">
        <v>250236.08</v>
      </c>
      <c r="I734" t="s">
        <v>1587</v>
      </c>
      <c r="J734">
        <v>0.12799982879836999</v>
      </c>
    </row>
    <row r="735" spans="1:10" x14ac:dyDescent="0.25">
      <c r="A735" t="s">
        <v>127</v>
      </c>
      <c r="B735" t="s">
        <v>1359</v>
      </c>
      <c r="C735" t="s">
        <v>284</v>
      </c>
      <c r="D735" t="s">
        <v>210</v>
      </c>
      <c r="E735" t="s">
        <v>725</v>
      </c>
      <c r="F735">
        <v>4412</v>
      </c>
      <c r="G735">
        <v>56.410976881232997</v>
      </c>
      <c r="H735">
        <v>248885.23</v>
      </c>
      <c r="I735" t="s">
        <v>1587</v>
      </c>
      <c r="J735">
        <v>0.12730884703133999</v>
      </c>
    </row>
    <row r="736" spans="1:10" x14ac:dyDescent="0.25">
      <c r="A736" t="s">
        <v>127</v>
      </c>
      <c r="B736" t="s">
        <v>1359</v>
      </c>
      <c r="C736" t="s">
        <v>284</v>
      </c>
      <c r="D736" t="s">
        <v>1248</v>
      </c>
      <c r="E736" t="s">
        <v>725</v>
      </c>
      <c r="F736">
        <v>2067</v>
      </c>
      <c r="G736">
        <v>26.637266569908</v>
      </c>
      <c r="H736">
        <v>55059.23</v>
      </c>
      <c r="I736" t="s">
        <v>1587</v>
      </c>
      <c r="J736">
        <v>2.816369251696E-2</v>
      </c>
    </row>
    <row r="737" spans="1:10" x14ac:dyDescent="0.25">
      <c r="A737" t="s">
        <v>127</v>
      </c>
      <c r="B737" t="s">
        <v>1359</v>
      </c>
      <c r="C737" t="s">
        <v>284</v>
      </c>
      <c r="D737" t="s">
        <v>1182</v>
      </c>
      <c r="E737" t="s">
        <v>725</v>
      </c>
      <c r="F737">
        <v>1859</v>
      </c>
      <c r="G737">
        <v>26.637267348037</v>
      </c>
      <c r="H737">
        <v>49518.68</v>
      </c>
      <c r="I737" t="s">
        <v>1587</v>
      </c>
      <c r="J737">
        <v>2.532961099103E-2</v>
      </c>
    </row>
    <row r="738" spans="1:10" x14ac:dyDescent="0.25">
      <c r="A738" t="s">
        <v>127</v>
      </c>
      <c r="B738" t="s">
        <v>267</v>
      </c>
      <c r="C738" t="s">
        <v>284</v>
      </c>
      <c r="D738" t="s">
        <v>746</v>
      </c>
      <c r="E738" t="s">
        <v>78</v>
      </c>
      <c r="F738">
        <v>1377</v>
      </c>
      <c r="G738">
        <v>1017.662745098</v>
      </c>
      <c r="H738">
        <v>1401321.6</v>
      </c>
      <c r="I738" t="s">
        <v>1587</v>
      </c>
      <c r="J738">
        <v>0.71679881211155005</v>
      </c>
    </row>
    <row r="739" spans="1:10" x14ac:dyDescent="0.25">
      <c r="A739" t="s">
        <v>127</v>
      </c>
      <c r="B739" t="s">
        <v>975</v>
      </c>
      <c r="C739" t="s">
        <v>284</v>
      </c>
      <c r="D739" t="s">
        <v>976</v>
      </c>
      <c r="E739" t="s">
        <v>726</v>
      </c>
      <c r="F739">
        <v>868</v>
      </c>
      <c r="G739">
        <v>514.33791474654004</v>
      </c>
      <c r="H739">
        <v>446445.31</v>
      </c>
      <c r="I739" t="s">
        <v>1587</v>
      </c>
      <c r="J739">
        <v>0.22836404425706</v>
      </c>
    </row>
    <row r="740" spans="1:10" x14ac:dyDescent="0.25">
      <c r="A740" t="s">
        <v>127</v>
      </c>
      <c r="B740" t="s">
        <v>863</v>
      </c>
      <c r="C740" t="s">
        <v>284</v>
      </c>
      <c r="D740" t="s">
        <v>864</v>
      </c>
      <c r="E740" t="s">
        <v>726</v>
      </c>
      <c r="F740">
        <v>1274</v>
      </c>
      <c r="G740">
        <v>1054.9766718994999</v>
      </c>
      <c r="H740">
        <v>1344040.28</v>
      </c>
      <c r="I740" t="s">
        <v>1587</v>
      </c>
      <c r="J740">
        <v>0.68749848438366001</v>
      </c>
    </row>
    <row r="741" spans="1:10" x14ac:dyDescent="0.25">
      <c r="A741" t="s">
        <v>127</v>
      </c>
      <c r="B741" t="s">
        <v>234</v>
      </c>
      <c r="C741" t="s">
        <v>284</v>
      </c>
      <c r="D741" t="s">
        <v>471</v>
      </c>
      <c r="E741" t="s">
        <v>726</v>
      </c>
      <c r="F741">
        <v>531</v>
      </c>
      <c r="G741">
        <v>988.52096045198005</v>
      </c>
      <c r="H741">
        <v>524904.63</v>
      </c>
      <c r="I741" t="s">
        <v>1587</v>
      </c>
      <c r="J741">
        <v>0.26849726376576</v>
      </c>
    </row>
    <row r="742" spans="1:10" x14ac:dyDescent="0.25">
      <c r="A742" t="s">
        <v>127</v>
      </c>
      <c r="B742" t="s">
        <v>203</v>
      </c>
      <c r="C742" t="s">
        <v>284</v>
      </c>
      <c r="D742" t="s">
        <v>750</v>
      </c>
      <c r="E742" t="s">
        <v>723</v>
      </c>
      <c r="F742">
        <v>1674</v>
      </c>
      <c r="G742">
        <v>1375.0622939068001</v>
      </c>
      <c r="H742">
        <v>2301854.2799999998</v>
      </c>
      <c r="I742" t="s">
        <v>1587</v>
      </c>
      <c r="J742">
        <v>1.1774359387294999</v>
      </c>
    </row>
    <row r="743" spans="1:10" x14ac:dyDescent="0.25">
      <c r="A743" t="s">
        <v>236</v>
      </c>
      <c r="B743" t="s">
        <v>270</v>
      </c>
      <c r="C743" t="s">
        <v>284</v>
      </c>
      <c r="D743" t="s">
        <v>1016</v>
      </c>
      <c r="E743" t="s">
        <v>726</v>
      </c>
      <c r="F743">
        <v>1650</v>
      </c>
      <c r="G743">
        <v>446.98907272727001</v>
      </c>
      <c r="H743">
        <v>737531.97</v>
      </c>
      <c r="I743" t="s">
        <v>1587</v>
      </c>
      <c r="J743">
        <v>0.37725960977857997</v>
      </c>
    </row>
    <row r="744" spans="1:10" x14ac:dyDescent="0.25">
      <c r="A744" t="s">
        <v>186</v>
      </c>
      <c r="B744" t="s">
        <v>189</v>
      </c>
      <c r="C744" t="s">
        <v>284</v>
      </c>
      <c r="D744" t="s">
        <v>272</v>
      </c>
      <c r="E744" t="s">
        <v>726</v>
      </c>
      <c r="F744">
        <v>14908</v>
      </c>
      <c r="G744">
        <v>84.800556748055001</v>
      </c>
      <c r="H744">
        <v>632103.35</v>
      </c>
      <c r="I744" t="s">
        <v>1587</v>
      </c>
      <c r="J744">
        <v>0.32333115425591002</v>
      </c>
    </row>
    <row r="745" spans="1:10" x14ac:dyDescent="0.25">
      <c r="A745" t="s">
        <v>488</v>
      </c>
      <c r="B745" t="s">
        <v>767</v>
      </c>
      <c r="C745" t="s">
        <v>284</v>
      </c>
      <c r="D745" t="s">
        <v>768</v>
      </c>
      <c r="E745" t="s">
        <v>726</v>
      </c>
      <c r="F745">
        <v>988</v>
      </c>
      <c r="G745">
        <v>1211.440951417</v>
      </c>
      <c r="H745">
        <v>1196903.6599999999</v>
      </c>
      <c r="I745" t="s">
        <v>1587</v>
      </c>
      <c r="J745">
        <v>0.61223570784891002</v>
      </c>
    </row>
    <row r="746" spans="1:10" x14ac:dyDescent="0.25">
      <c r="A746" t="s">
        <v>488</v>
      </c>
      <c r="B746" t="s">
        <v>1027</v>
      </c>
      <c r="C746" t="s">
        <v>284</v>
      </c>
      <c r="D746" t="s">
        <v>1083</v>
      </c>
      <c r="E746" t="s">
        <v>725</v>
      </c>
      <c r="F746">
        <v>890</v>
      </c>
      <c r="G746">
        <v>1058.5014157303001</v>
      </c>
      <c r="H746">
        <v>942066.26</v>
      </c>
      <c r="I746" t="s">
        <v>1587</v>
      </c>
      <c r="J746">
        <v>0.48188222896041</v>
      </c>
    </row>
    <row r="747" spans="1:10" x14ac:dyDescent="0.25">
      <c r="A747" t="s">
        <v>488</v>
      </c>
      <c r="B747" t="s">
        <v>1123</v>
      </c>
      <c r="C747" t="s">
        <v>284</v>
      </c>
      <c r="D747" t="s">
        <v>1126</v>
      </c>
      <c r="E747" t="s">
        <v>725</v>
      </c>
      <c r="F747">
        <v>2870</v>
      </c>
      <c r="G747">
        <v>1049.5388222997001</v>
      </c>
      <c r="H747">
        <v>3012176.42</v>
      </c>
      <c r="I747" t="s">
        <v>1587</v>
      </c>
      <c r="J747">
        <v>1.5407772774832</v>
      </c>
    </row>
    <row r="748" spans="1:10" x14ac:dyDescent="0.25">
      <c r="A748" t="s">
        <v>488</v>
      </c>
      <c r="B748" t="s">
        <v>1123</v>
      </c>
      <c r="C748" t="s">
        <v>284</v>
      </c>
      <c r="D748" t="s">
        <v>1160</v>
      </c>
      <c r="E748" t="s">
        <v>725</v>
      </c>
      <c r="F748">
        <v>1495</v>
      </c>
      <c r="G748">
        <v>1028.2422541806</v>
      </c>
      <c r="H748">
        <v>1537222.17</v>
      </c>
      <c r="I748" t="s">
        <v>1587</v>
      </c>
      <c r="J748">
        <v>0.78631416614683003</v>
      </c>
    </row>
    <row r="749" spans="1:10" x14ac:dyDescent="0.25">
      <c r="A749" t="s">
        <v>488</v>
      </c>
      <c r="B749" t="s">
        <v>1062</v>
      </c>
      <c r="C749" t="s">
        <v>284</v>
      </c>
      <c r="D749" t="s">
        <v>1128</v>
      </c>
      <c r="E749" t="s">
        <v>725</v>
      </c>
      <c r="F749">
        <v>886</v>
      </c>
      <c r="G749">
        <v>1073.2106772008999</v>
      </c>
      <c r="H749">
        <v>950864.66</v>
      </c>
      <c r="I749" t="s">
        <v>1587</v>
      </c>
      <c r="J749">
        <v>0.4863827537996</v>
      </c>
    </row>
    <row r="750" spans="1:10" x14ac:dyDescent="0.25">
      <c r="A750" t="s">
        <v>144</v>
      </c>
      <c r="B750" t="s">
        <v>103</v>
      </c>
      <c r="C750" t="s">
        <v>284</v>
      </c>
      <c r="D750" t="s">
        <v>144</v>
      </c>
      <c r="E750" t="s">
        <v>725</v>
      </c>
      <c r="F750" t="s">
        <v>103</v>
      </c>
      <c r="G750" t="s">
        <v>1587</v>
      </c>
      <c r="H750">
        <v>2965.78</v>
      </c>
      <c r="I750" t="s">
        <v>1587</v>
      </c>
      <c r="J750">
        <v>1.51704475331E-3</v>
      </c>
    </row>
    <row r="751" spans="1:10" x14ac:dyDescent="0.25">
      <c r="A751" t="s">
        <v>132</v>
      </c>
      <c r="B751" t="s">
        <v>158</v>
      </c>
      <c r="C751" t="s">
        <v>284</v>
      </c>
      <c r="D751" t="s">
        <v>229</v>
      </c>
      <c r="E751" t="s">
        <v>733</v>
      </c>
      <c r="F751">
        <v>19029</v>
      </c>
      <c r="G751">
        <v>17.850000000000001</v>
      </c>
      <c r="H751">
        <v>339667.65</v>
      </c>
      <c r="I751" t="s">
        <v>1587</v>
      </c>
      <c r="J751">
        <v>0.17374553281183</v>
      </c>
    </row>
    <row r="752" spans="1:10" x14ac:dyDescent="0.25">
      <c r="A752" t="s">
        <v>132</v>
      </c>
      <c r="B752" t="s">
        <v>158</v>
      </c>
      <c r="C752" t="s">
        <v>284</v>
      </c>
      <c r="D752" t="s">
        <v>229</v>
      </c>
      <c r="E752" t="s">
        <v>725</v>
      </c>
      <c r="F752">
        <v>2382</v>
      </c>
      <c r="G752">
        <v>17.850000000000001</v>
      </c>
      <c r="H752">
        <v>42518.7</v>
      </c>
      <c r="I752" t="s">
        <v>1587</v>
      </c>
      <c r="J752">
        <v>2.174900726038E-2</v>
      </c>
    </row>
    <row r="753" spans="1:10" x14ac:dyDescent="0.25">
      <c r="A753" t="s">
        <v>99</v>
      </c>
      <c r="B753" t="s">
        <v>140</v>
      </c>
      <c r="C753" t="s">
        <v>1150</v>
      </c>
      <c r="D753" t="s">
        <v>1227</v>
      </c>
      <c r="E753" t="s">
        <v>724</v>
      </c>
      <c r="F753">
        <v>27</v>
      </c>
      <c r="G753">
        <v>16013.828888889</v>
      </c>
      <c r="H753">
        <v>432373.38</v>
      </c>
      <c r="I753" t="s">
        <v>1587</v>
      </c>
      <c r="J753">
        <v>1.0473696196505</v>
      </c>
    </row>
    <row r="754" spans="1:10" x14ac:dyDescent="0.25">
      <c r="A754" t="s">
        <v>99</v>
      </c>
      <c r="B754" t="s">
        <v>140</v>
      </c>
      <c r="C754" t="s">
        <v>1150</v>
      </c>
      <c r="D754" t="s">
        <v>187</v>
      </c>
      <c r="E754" t="s">
        <v>724</v>
      </c>
      <c r="F754">
        <v>14</v>
      </c>
      <c r="G754">
        <v>16114.674999999999</v>
      </c>
      <c r="H754">
        <v>225605.45</v>
      </c>
      <c r="I754" t="s">
        <v>1587</v>
      </c>
      <c r="J754">
        <v>0.54650056013524995</v>
      </c>
    </row>
    <row r="755" spans="1:10" x14ac:dyDescent="0.25">
      <c r="A755" t="s">
        <v>99</v>
      </c>
      <c r="B755" t="s">
        <v>140</v>
      </c>
      <c r="C755" t="s">
        <v>1150</v>
      </c>
      <c r="D755" t="s">
        <v>283</v>
      </c>
      <c r="E755" t="s">
        <v>724</v>
      </c>
      <c r="F755">
        <v>5</v>
      </c>
      <c r="G755">
        <v>16101.541999999999</v>
      </c>
      <c r="H755">
        <v>80507.710000000006</v>
      </c>
      <c r="I755" t="s">
        <v>1587</v>
      </c>
      <c r="J755">
        <v>0.19501970635109001</v>
      </c>
    </row>
    <row r="756" spans="1:10" x14ac:dyDescent="0.25">
      <c r="A756" t="s">
        <v>105</v>
      </c>
      <c r="B756" t="s">
        <v>103</v>
      </c>
      <c r="C756" t="s">
        <v>1150</v>
      </c>
      <c r="D756" t="s">
        <v>105</v>
      </c>
      <c r="E756" t="s">
        <v>725</v>
      </c>
      <c r="F756" t="s">
        <v>103</v>
      </c>
      <c r="G756" t="s">
        <v>1587</v>
      </c>
      <c r="H756">
        <v>-12087.53</v>
      </c>
      <c r="I756" t="s">
        <v>1587</v>
      </c>
      <c r="J756">
        <v>-2.9280506812450001E-2</v>
      </c>
    </row>
    <row r="757" spans="1:10" x14ac:dyDescent="0.25">
      <c r="A757" t="s">
        <v>134</v>
      </c>
      <c r="B757" t="s">
        <v>191</v>
      </c>
      <c r="C757" t="s">
        <v>1150</v>
      </c>
      <c r="D757" t="s">
        <v>517</v>
      </c>
      <c r="E757" t="s">
        <v>78</v>
      </c>
      <c r="F757">
        <v>2</v>
      </c>
      <c r="G757">
        <v>534022.09</v>
      </c>
      <c r="H757">
        <v>534022.09</v>
      </c>
      <c r="I757" t="s">
        <v>1587</v>
      </c>
      <c r="J757">
        <v>1.2936007144756001</v>
      </c>
    </row>
    <row r="758" spans="1:10" x14ac:dyDescent="0.25">
      <c r="A758" t="s">
        <v>134</v>
      </c>
      <c r="B758" t="s">
        <v>490</v>
      </c>
      <c r="C758" t="s">
        <v>1150</v>
      </c>
      <c r="D758" t="s">
        <v>491</v>
      </c>
      <c r="E758" t="s">
        <v>726</v>
      </c>
      <c r="F758">
        <v>1</v>
      </c>
      <c r="G758">
        <v>704805.05</v>
      </c>
      <c r="H758">
        <v>352402.52500000002</v>
      </c>
      <c r="I758" t="s">
        <v>1587</v>
      </c>
      <c r="J758">
        <v>0.85365037637866004</v>
      </c>
    </row>
    <row r="759" spans="1:10" x14ac:dyDescent="0.25">
      <c r="A759" t="s">
        <v>134</v>
      </c>
      <c r="B759" t="s">
        <v>490</v>
      </c>
      <c r="C759" t="s">
        <v>1150</v>
      </c>
      <c r="D759" t="s">
        <v>491</v>
      </c>
      <c r="E759" t="s">
        <v>78</v>
      </c>
      <c r="F759">
        <v>1</v>
      </c>
      <c r="G759">
        <v>704805.05</v>
      </c>
      <c r="H759">
        <v>352402.52500000002</v>
      </c>
      <c r="I759" t="s">
        <v>1587</v>
      </c>
      <c r="J759">
        <v>0.85365037637866004</v>
      </c>
    </row>
    <row r="760" spans="1:10" x14ac:dyDescent="0.25">
      <c r="A760" t="s">
        <v>134</v>
      </c>
      <c r="B760" t="s">
        <v>190</v>
      </c>
      <c r="C760" t="s">
        <v>1150</v>
      </c>
      <c r="D760" t="s">
        <v>501</v>
      </c>
      <c r="E760" t="s">
        <v>726</v>
      </c>
      <c r="F760">
        <v>1</v>
      </c>
      <c r="G760">
        <v>420855.89</v>
      </c>
      <c r="H760">
        <v>210427.94500000001</v>
      </c>
      <c r="I760" t="s">
        <v>1587</v>
      </c>
      <c r="J760">
        <v>0.50973498118334004</v>
      </c>
    </row>
    <row r="761" spans="1:10" x14ac:dyDescent="0.25">
      <c r="A761" t="s">
        <v>134</v>
      </c>
      <c r="B761" t="s">
        <v>190</v>
      </c>
      <c r="C761" t="s">
        <v>1150</v>
      </c>
      <c r="D761" t="s">
        <v>501</v>
      </c>
      <c r="E761" t="s">
        <v>78</v>
      </c>
      <c r="F761">
        <v>1</v>
      </c>
      <c r="G761">
        <v>420855.89</v>
      </c>
      <c r="H761">
        <v>210427.94500000001</v>
      </c>
      <c r="I761" t="s">
        <v>1587</v>
      </c>
      <c r="J761">
        <v>0.50973498118334004</v>
      </c>
    </row>
    <row r="762" spans="1:10" x14ac:dyDescent="0.25">
      <c r="A762" t="s">
        <v>135</v>
      </c>
      <c r="B762" t="s">
        <v>399</v>
      </c>
      <c r="C762" t="s">
        <v>1150</v>
      </c>
      <c r="D762" t="s">
        <v>887</v>
      </c>
      <c r="E762" t="s">
        <v>726</v>
      </c>
      <c r="F762">
        <v>1</v>
      </c>
      <c r="G762">
        <v>309657.90000000002</v>
      </c>
      <c r="H762">
        <v>154828.95000000001</v>
      </c>
      <c r="I762" t="s">
        <v>1587</v>
      </c>
      <c r="J762">
        <v>0.37505347455104998</v>
      </c>
    </row>
    <row r="763" spans="1:10" x14ac:dyDescent="0.25">
      <c r="A763" t="s">
        <v>135</v>
      </c>
      <c r="B763" t="s">
        <v>399</v>
      </c>
      <c r="C763" t="s">
        <v>1150</v>
      </c>
      <c r="D763" t="s">
        <v>887</v>
      </c>
      <c r="E763" t="s">
        <v>78</v>
      </c>
      <c r="F763">
        <v>1</v>
      </c>
      <c r="G763">
        <v>309657.90000000002</v>
      </c>
      <c r="H763">
        <v>154828.95000000001</v>
      </c>
      <c r="I763" t="s">
        <v>1587</v>
      </c>
      <c r="J763">
        <v>0.37505347455104998</v>
      </c>
    </row>
    <row r="764" spans="1:10" x14ac:dyDescent="0.25">
      <c r="A764" t="s">
        <v>135</v>
      </c>
      <c r="B764" t="s">
        <v>190</v>
      </c>
      <c r="C764" t="s">
        <v>1150</v>
      </c>
      <c r="D764" t="s">
        <v>198</v>
      </c>
      <c r="E764" t="s">
        <v>78</v>
      </c>
      <c r="F764">
        <v>2</v>
      </c>
      <c r="G764">
        <v>546388.59</v>
      </c>
      <c r="H764">
        <v>546388.59</v>
      </c>
      <c r="I764" t="s">
        <v>1587</v>
      </c>
      <c r="J764">
        <v>1.3235569906955</v>
      </c>
    </row>
    <row r="765" spans="1:10" x14ac:dyDescent="0.25">
      <c r="A765" t="s">
        <v>135</v>
      </c>
      <c r="B765" t="s">
        <v>190</v>
      </c>
      <c r="C765" t="s">
        <v>1150</v>
      </c>
      <c r="D765" t="s">
        <v>1292</v>
      </c>
      <c r="E765" t="s">
        <v>726</v>
      </c>
      <c r="F765">
        <v>1</v>
      </c>
      <c r="G765">
        <v>350793.71</v>
      </c>
      <c r="H765">
        <v>175396.85500000001</v>
      </c>
      <c r="I765" t="s">
        <v>1587</v>
      </c>
      <c r="J765">
        <v>0.42487661314681002</v>
      </c>
    </row>
    <row r="766" spans="1:10" x14ac:dyDescent="0.25">
      <c r="A766" t="s">
        <v>135</v>
      </c>
      <c r="B766" t="s">
        <v>190</v>
      </c>
      <c r="C766" t="s">
        <v>1150</v>
      </c>
      <c r="D766" t="s">
        <v>1292</v>
      </c>
      <c r="E766" t="s">
        <v>78</v>
      </c>
      <c r="F766">
        <v>1</v>
      </c>
      <c r="G766">
        <v>350793.71</v>
      </c>
      <c r="H766">
        <v>175396.85500000001</v>
      </c>
      <c r="I766" t="s">
        <v>1587</v>
      </c>
      <c r="J766">
        <v>0.42487661314681002</v>
      </c>
    </row>
    <row r="767" spans="1:10" x14ac:dyDescent="0.25">
      <c r="A767" t="s">
        <v>112</v>
      </c>
      <c r="B767" t="s">
        <v>201</v>
      </c>
      <c r="C767" t="s">
        <v>1150</v>
      </c>
      <c r="D767" t="s">
        <v>1293</v>
      </c>
      <c r="E767" t="s">
        <v>726</v>
      </c>
      <c r="F767">
        <v>2</v>
      </c>
      <c r="G767">
        <v>61292.85</v>
      </c>
      <c r="H767">
        <v>122585.7</v>
      </c>
      <c r="I767" t="s">
        <v>1587</v>
      </c>
      <c r="J767">
        <v>0.29694829497502001</v>
      </c>
    </row>
    <row r="768" spans="1:10" x14ac:dyDescent="0.25">
      <c r="A768" t="s">
        <v>112</v>
      </c>
      <c r="B768" t="s">
        <v>201</v>
      </c>
      <c r="C768" t="s">
        <v>1150</v>
      </c>
      <c r="D768" t="s">
        <v>930</v>
      </c>
      <c r="E768" t="s">
        <v>726</v>
      </c>
      <c r="F768">
        <v>2</v>
      </c>
      <c r="G768">
        <v>55650.05</v>
      </c>
      <c r="H768">
        <v>111300.1</v>
      </c>
      <c r="I768" t="s">
        <v>1587</v>
      </c>
      <c r="J768">
        <v>0.26961036177587999</v>
      </c>
    </row>
    <row r="769" spans="1:10" x14ac:dyDescent="0.25">
      <c r="A769" t="s">
        <v>112</v>
      </c>
      <c r="B769" t="s">
        <v>805</v>
      </c>
      <c r="C769" t="s">
        <v>1150</v>
      </c>
      <c r="D769" t="s">
        <v>997</v>
      </c>
      <c r="E769" t="s">
        <v>726</v>
      </c>
      <c r="F769">
        <v>1</v>
      </c>
      <c r="G769">
        <v>54586.67</v>
      </c>
      <c r="H769">
        <v>54586.67</v>
      </c>
      <c r="I769" t="s">
        <v>1587</v>
      </c>
      <c r="J769">
        <v>0.13222927784287999</v>
      </c>
    </row>
    <row r="770" spans="1:10" x14ac:dyDescent="0.25">
      <c r="A770" t="s">
        <v>112</v>
      </c>
      <c r="B770" t="s">
        <v>360</v>
      </c>
      <c r="C770" t="s">
        <v>1150</v>
      </c>
      <c r="D770" t="s">
        <v>1295</v>
      </c>
      <c r="E770" t="s">
        <v>726</v>
      </c>
      <c r="F770">
        <v>2</v>
      </c>
      <c r="G770">
        <v>55371.08</v>
      </c>
      <c r="H770">
        <v>110742.16</v>
      </c>
      <c r="I770" t="s">
        <v>1587</v>
      </c>
      <c r="J770">
        <v>0.26825882296100001</v>
      </c>
    </row>
    <row r="771" spans="1:10" x14ac:dyDescent="0.25">
      <c r="A771" t="s">
        <v>112</v>
      </c>
      <c r="B771" t="s">
        <v>368</v>
      </c>
      <c r="C771" t="s">
        <v>1150</v>
      </c>
      <c r="D771" t="s">
        <v>954</v>
      </c>
      <c r="E771" t="s">
        <v>726</v>
      </c>
      <c r="F771">
        <v>9</v>
      </c>
      <c r="G771">
        <v>111703.52</v>
      </c>
      <c r="H771">
        <v>1005331.68</v>
      </c>
      <c r="I771" t="s">
        <v>1587</v>
      </c>
      <c r="J771">
        <v>2.4352883595750998</v>
      </c>
    </row>
    <row r="772" spans="1:10" x14ac:dyDescent="0.25">
      <c r="A772" t="s">
        <v>112</v>
      </c>
      <c r="B772" t="s">
        <v>368</v>
      </c>
      <c r="C772" t="s">
        <v>1150</v>
      </c>
      <c r="D772" t="s">
        <v>486</v>
      </c>
      <c r="E772" t="s">
        <v>726</v>
      </c>
      <c r="F772">
        <v>1</v>
      </c>
      <c r="G772">
        <v>136495.19</v>
      </c>
      <c r="H772">
        <v>136495.19</v>
      </c>
      <c r="I772" t="s">
        <v>1587</v>
      </c>
      <c r="J772">
        <v>0.33064226857447998</v>
      </c>
    </row>
    <row r="773" spans="1:10" x14ac:dyDescent="0.25">
      <c r="A773" t="s">
        <v>113</v>
      </c>
      <c r="B773" t="s">
        <v>114</v>
      </c>
      <c r="C773" t="s">
        <v>1150</v>
      </c>
      <c r="D773" t="s">
        <v>202</v>
      </c>
      <c r="E773" t="s">
        <v>431</v>
      </c>
      <c r="F773">
        <v>1</v>
      </c>
      <c r="G773">
        <v>59837.78</v>
      </c>
      <c r="H773">
        <v>-67.400000000000006</v>
      </c>
      <c r="I773">
        <v>59837.78</v>
      </c>
      <c r="J773">
        <v>0.14494942514576001</v>
      </c>
    </row>
    <row r="774" spans="1:10" x14ac:dyDescent="0.25">
      <c r="A774" t="s">
        <v>126</v>
      </c>
      <c r="B774" t="s">
        <v>877</v>
      </c>
      <c r="C774" t="s">
        <v>1150</v>
      </c>
      <c r="D774" t="s">
        <v>1140</v>
      </c>
      <c r="E774" t="s">
        <v>725</v>
      </c>
      <c r="F774">
        <v>261</v>
      </c>
      <c r="G774">
        <v>917.26787846000002</v>
      </c>
      <c r="H774">
        <v>239406.91627806</v>
      </c>
      <c r="I774" t="s">
        <v>1587</v>
      </c>
      <c r="J774">
        <v>0.57993285998282995</v>
      </c>
    </row>
    <row r="775" spans="1:10" x14ac:dyDescent="0.25">
      <c r="A775" t="s">
        <v>126</v>
      </c>
      <c r="B775" t="s">
        <v>1141</v>
      </c>
      <c r="C775" t="s">
        <v>1150</v>
      </c>
      <c r="D775" t="s">
        <v>1142</v>
      </c>
      <c r="E775" t="s">
        <v>725</v>
      </c>
      <c r="F775">
        <v>43</v>
      </c>
      <c r="G775">
        <v>1238.7405098300001</v>
      </c>
      <c r="H775">
        <v>53265.841922690001</v>
      </c>
      <c r="I775" t="s">
        <v>1587</v>
      </c>
      <c r="J775">
        <v>0.12902973951572</v>
      </c>
    </row>
    <row r="776" spans="1:10" x14ac:dyDescent="0.25">
      <c r="A776" t="s">
        <v>126</v>
      </c>
      <c r="B776" t="s">
        <v>467</v>
      </c>
      <c r="C776" t="s">
        <v>1150</v>
      </c>
      <c r="D776" t="s">
        <v>468</v>
      </c>
      <c r="E776" t="s">
        <v>725</v>
      </c>
      <c r="F776">
        <v>124</v>
      </c>
      <c r="G776">
        <v>1013.54902903</v>
      </c>
      <c r="H776">
        <v>125680.07959972</v>
      </c>
      <c r="I776" t="s">
        <v>1587</v>
      </c>
      <c r="J776">
        <v>0.30444403669809</v>
      </c>
    </row>
    <row r="777" spans="1:10" x14ac:dyDescent="0.25">
      <c r="A777" t="s">
        <v>126</v>
      </c>
      <c r="B777" t="s">
        <v>416</v>
      </c>
      <c r="C777" t="s">
        <v>1150</v>
      </c>
      <c r="D777" t="s">
        <v>417</v>
      </c>
      <c r="E777" t="s">
        <v>725</v>
      </c>
      <c r="F777">
        <v>85</v>
      </c>
      <c r="G777">
        <v>1005.96786836</v>
      </c>
      <c r="H777">
        <v>85507.268810599999</v>
      </c>
      <c r="I777" t="s">
        <v>1587</v>
      </c>
      <c r="J777">
        <v>0.20713050283417</v>
      </c>
    </row>
    <row r="778" spans="1:10" x14ac:dyDescent="0.25">
      <c r="A778" t="s">
        <v>126</v>
      </c>
      <c r="B778" t="s">
        <v>1237</v>
      </c>
      <c r="C778" t="s">
        <v>1150</v>
      </c>
      <c r="D778" t="s">
        <v>1238</v>
      </c>
      <c r="E778" t="s">
        <v>725</v>
      </c>
      <c r="F778">
        <v>598</v>
      </c>
      <c r="G778">
        <v>1025.6342651699999</v>
      </c>
      <c r="H778">
        <v>613329.29057166004</v>
      </c>
      <c r="I778" t="s">
        <v>1587</v>
      </c>
      <c r="J778">
        <v>1.4857123391511999</v>
      </c>
    </row>
    <row r="779" spans="1:10" x14ac:dyDescent="0.25">
      <c r="A779" t="s">
        <v>126</v>
      </c>
      <c r="B779" t="s">
        <v>1399</v>
      </c>
      <c r="C779" t="s">
        <v>1150</v>
      </c>
      <c r="D779" t="s">
        <v>1400</v>
      </c>
      <c r="E779" t="s">
        <v>725</v>
      </c>
      <c r="F779">
        <v>98</v>
      </c>
      <c r="G779">
        <v>1007.11572183</v>
      </c>
      <c r="H779">
        <v>98697.340739339998</v>
      </c>
      <c r="I779" t="s">
        <v>1587</v>
      </c>
      <c r="J779">
        <v>0.23908177749212001</v>
      </c>
    </row>
    <row r="780" spans="1:10" x14ac:dyDescent="0.25">
      <c r="A780" t="s">
        <v>126</v>
      </c>
      <c r="B780" t="s">
        <v>941</v>
      </c>
      <c r="C780" t="s">
        <v>1150</v>
      </c>
      <c r="D780" t="s">
        <v>942</v>
      </c>
      <c r="E780" t="s">
        <v>725</v>
      </c>
      <c r="F780">
        <v>51</v>
      </c>
      <c r="G780">
        <v>1002.19976196</v>
      </c>
      <c r="H780">
        <v>51112.187859960002</v>
      </c>
      <c r="I780" t="s">
        <v>1587</v>
      </c>
      <c r="J780">
        <v>0.12381278597306</v>
      </c>
    </row>
    <row r="781" spans="1:10" x14ac:dyDescent="0.25">
      <c r="A781" t="s">
        <v>127</v>
      </c>
      <c r="B781" t="s">
        <v>397</v>
      </c>
      <c r="C781" t="s">
        <v>1150</v>
      </c>
      <c r="D781" t="s">
        <v>398</v>
      </c>
      <c r="E781" t="s">
        <v>726</v>
      </c>
      <c r="F781">
        <v>1102</v>
      </c>
      <c r="G781">
        <v>1015.9053629764001</v>
      </c>
      <c r="H781">
        <v>1119527.71</v>
      </c>
      <c r="I781" t="s">
        <v>1587</v>
      </c>
      <c r="J781">
        <v>2.7119137441136001</v>
      </c>
    </row>
    <row r="782" spans="1:10" x14ac:dyDescent="0.25">
      <c r="A782" t="s">
        <v>127</v>
      </c>
      <c r="B782" t="s">
        <v>204</v>
      </c>
      <c r="C782" t="s">
        <v>1150</v>
      </c>
      <c r="D782" t="s">
        <v>206</v>
      </c>
      <c r="E782" t="s">
        <v>726</v>
      </c>
      <c r="F782">
        <v>82</v>
      </c>
      <c r="G782">
        <v>980.16365853658999</v>
      </c>
      <c r="H782">
        <v>80373.42</v>
      </c>
      <c r="I782" t="s">
        <v>1587</v>
      </c>
      <c r="J782">
        <v>0.19469440587532999</v>
      </c>
    </row>
    <row r="783" spans="1:10" x14ac:dyDescent="0.25">
      <c r="A783" t="s">
        <v>127</v>
      </c>
      <c r="B783" t="s">
        <v>204</v>
      </c>
      <c r="C783" t="s">
        <v>1150</v>
      </c>
      <c r="D783" t="s">
        <v>207</v>
      </c>
      <c r="E783" t="s">
        <v>726</v>
      </c>
      <c r="F783">
        <v>32</v>
      </c>
      <c r="G783">
        <v>985.80124999999998</v>
      </c>
      <c r="H783">
        <v>31545.64</v>
      </c>
      <c r="I783" t="s">
        <v>1587</v>
      </c>
      <c r="J783">
        <v>7.6415307918426004E-2</v>
      </c>
    </row>
    <row r="784" spans="1:10" x14ac:dyDescent="0.25">
      <c r="A784" t="s">
        <v>127</v>
      </c>
      <c r="B784" t="s">
        <v>354</v>
      </c>
      <c r="C784" t="s">
        <v>1150</v>
      </c>
      <c r="D784" t="s">
        <v>957</v>
      </c>
      <c r="E784" t="s">
        <v>726</v>
      </c>
      <c r="F784">
        <v>177</v>
      </c>
      <c r="G784">
        <v>1059.2830508474999</v>
      </c>
      <c r="H784">
        <v>187493.1</v>
      </c>
      <c r="I784" t="s">
        <v>1587</v>
      </c>
      <c r="J784">
        <v>0.45417823094032</v>
      </c>
    </row>
    <row r="785" spans="1:10" x14ac:dyDescent="0.25">
      <c r="A785" t="s">
        <v>127</v>
      </c>
      <c r="B785" t="s">
        <v>759</v>
      </c>
      <c r="C785" t="s">
        <v>1150</v>
      </c>
      <c r="D785" t="s">
        <v>760</v>
      </c>
      <c r="E785" t="s">
        <v>726</v>
      </c>
      <c r="F785">
        <v>80</v>
      </c>
      <c r="G785">
        <v>849.87812499999995</v>
      </c>
      <c r="H785">
        <v>67990.25</v>
      </c>
      <c r="I785" t="s">
        <v>1587</v>
      </c>
      <c r="J785">
        <v>0.16469774869682999</v>
      </c>
    </row>
    <row r="786" spans="1:10" x14ac:dyDescent="0.25">
      <c r="A786" t="s">
        <v>127</v>
      </c>
      <c r="B786" t="s">
        <v>37</v>
      </c>
      <c r="C786" t="s">
        <v>1150</v>
      </c>
      <c r="D786" t="s">
        <v>260</v>
      </c>
      <c r="E786" t="s">
        <v>726</v>
      </c>
      <c r="F786">
        <v>67</v>
      </c>
      <c r="G786">
        <v>1058.4904477611999</v>
      </c>
      <c r="H786">
        <v>70918.86</v>
      </c>
      <c r="I786" t="s">
        <v>1587</v>
      </c>
      <c r="J786">
        <v>0.17179193461042</v>
      </c>
    </row>
    <row r="787" spans="1:10" x14ac:dyDescent="0.25">
      <c r="A787" t="s">
        <v>127</v>
      </c>
      <c r="B787" t="s">
        <v>208</v>
      </c>
      <c r="C787" t="s">
        <v>1150</v>
      </c>
      <c r="D787" t="s">
        <v>185</v>
      </c>
      <c r="E787" t="s">
        <v>726</v>
      </c>
      <c r="F787">
        <v>619</v>
      </c>
      <c r="G787">
        <v>1044.0548142165001</v>
      </c>
      <c r="H787">
        <v>646269.93000000005</v>
      </c>
      <c r="I787" t="s">
        <v>1587</v>
      </c>
      <c r="J787">
        <v>1.5655068560780001</v>
      </c>
    </row>
    <row r="788" spans="1:10" x14ac:dyDescent="0.25">
      <c r="A788" t="s">
        <v>127</v>
      </c>
      <c r="B788" t="s">
        <v>208</v>
      </c>
      <c r="C788" t="s">
        <v>1150</v>
      </c>
      <c r="D788" t="s">
        <v>1003</v>
      </c>
      <c r="E788" t="s">
        <v>726</v>
      </c>
      <c r="F788">
        <v>313</v>
      </c>
      <c r="G788">
        <v>1010.8836421725</v>
      </c>
      <c r="H788">
        <v>316406.58</v>
      </c>
      <c r="I788" t="s">
        <v>1587</v>
      </c>
      <c r="J788">
        <v>0.76645476960100001</v>
      </c>
    </row>
    <row r="789" spans="1:10" x14ac:dyDescent="0.25">
      <c r="A789" t="s">
        <v>127</v>
      </c>
      <c r="B789" t="s">
        <v>230</v>
      </c>
      <c r="C789" t="s">
        <v>1150</v>
      </c>
      <c r="D789" t="s">
        <v>327</v>
      </c>
      <c r="E789" t="s">
        <v>726</v>
      </c>
      <c r="F789">
        <v>142</v>
      </c>
      <c r="G789">
        <v>1051.9846478873001</v>
      </c>
      <c r="H789">
        <v>149381.82</v>
      </c>
      <c r="I789" t="s">
        <v>1587</v>
      </c>
      <c r="J789">
        <v>0.36185849368453998</v>
      </c>
    </row>
    <row r="790" spans="1:10" x14ac:dyDescent="0.25">
      <c r="A790" t="s">
        <v>127</v>
      </c>
      <c r="B790" t="s">
        <v>8</v>
      </c>
      <c r="C790" t="s">
        <v>1150</v>
      </c>
      <c r="D790" t="s">
        <v>137</v>
      </c>
      <c r="E790" t="s">
        <v>726</v>
      </c>
      <c r="F790">
        <v>136</v>
      </c>
      <c r="G790">
        <v>694.57</v>
      </c>
      <c r="H790">
        <v>94461.52</v>
      </c>
      <c r="I790" t="s">
        <v>1587</v>
      </c>
      <c r="J790">
        <v>0.22882103952377</v>
      </c>
    </row>
    <row r="791" spans="1:10" x14ac:dyDescent="0.25">
      <c r="A791" t="s">
        <v>127</v>
      </c>
      <c r="B791" t="s">
        <v>231</v>
      </c>
      <c r="C791" t="s">
        <v>1150</v>
      </c>
      <c r="D791" t="s">
        <v>221</v>
      </c>
      <c r="E791" t="s">
        <v>726</v>
      </c>
      <c r="F791">
        <v>1055</v>
      </c>
      <c r="G791">
        <v>1026.3017725118</v>
      </c>
      <c r="H791">
        <v>1082748.3700000001</v>
      </c>
      <c r="I791" t="s">
        <v>1587</v>
      </c>
      <c r="J791">
        <v>2.6228204624070002</v>
      </c>
    </row>
    <row r="792" spans="1:10" x14ac:dyDescent="0.25">
      <c r="A792" t="s">
        <v>127</v>
      </c>
      <c r="B792" t="s">
        <v>45</v>
      </c>
      <c r="C792" t="s">
        <v>1150</v>
      </c>
      <c r="D792" t="s">
        <v>437</v>
      </c>
      <c r="E792" t="s">
        <v>726</v>
      </c>
      <c r="F792">
        <v>176</v>
      </c>
      <c r="G792">
        <v>912.22448863635998</v>
      </c>
      <c r="H792">
        <v>160551.51</v>
      </c>
      <c r="I792" t="s">
        <v>1587</v>
      </c>
      <c r="J792">
        <v>0.38891564962441999</v>
      </c>
    </row>
    <row r="793" spans="1:10" x14ac:dyDescent="0.25">
      <c r="A793" t="s">
        <v>127</v>
      </c>
      <c r="B793" t="s">
        <v>513</v>
      </c>
      <c r="C793" t="s">
        <v>1150</v>
      </c>
      <c r="D793" t="s">
        <v>514</v>
      </c>
      <c r="E793" t="s">
        <v>726</v>
      </c>
      <c r="F793">
        <v>115</v>
      </c>
      <c r="G793">
        <v>1044.9804347826</v>
      </c>
      <c r="H793">
        <v>120172.75</v>
      </c>
      <c r="I793" t="s">
        <v>1587</v>
      </c>
      <c r="J793">
        <v>0.29110322994410998</v>
      </c>
    </row>
    <row r="794" spans="1:10" x14ac:dyDescent="0.25">
      <c r="A794" t="s">
        <v>127</v>
      </c>
      <c r="B794" t="s">
        <v>855</v>
      </c>
      <c r="C794" t="s">
        <v>1150</v>
      </c>
      <c r="D794" t="s">
        <v>265</v>
      </c>
      <c r="E794" t="s">
        <v>726</v>
      </c>
      <c r="F794">
        <v>490</v>
      </c>
      <c r="G794">
        <v>1033.5850816326999</v>
      </c>
      <c r="H794">
        <v>506456.69</v>
      </c>
      <c r="I794" t="s">
        <v>1587</v>
      </c>
      <c r="J794">
        <v>1.2268270326326001</v>
      </c>
    </row>
    <row r="795" spans="1:10" x14ac:dyDescent="0.25">
      <c r="A795" t="s">
        <v>127</v>
      </c>
      <c r="B795" t="s">
        <v>309</v>
      </c>
      <c r="C795" t="s">
        <v>1150</v>
      </c>
      <c r="D795" t="s">
        <v>310</v>
      </c>
      <c r="E795" t="s">
        <v>726</v>
      </c>
      <c r="F795">
        <v>380</v>
      </c>
      <c r="G795">
        <v>1056.7693684210999</v>
      </c>
      <c r="H795">
        <v>401572.36</v>
      </c>
      <c r="I795" t="s">
        <v>1587</v>
      </c>
      <c r="J795">
        <v>0.97275805914632996</v>
      </c>
    </row>
    <row r="796" spans="1:10" x14ac:dyDescent="0.25">
      <c r="A796" t="s">
        <v>127</v>
      </c>
      <c r="B796" t="s">
        <v>427</v>
      </c>
      <c r="C796" t="s">
        <v>1150</v>
      </c>
      <c r="D796" t="s">
        <v>469</v>
      </c>
      <c r="E796" t="s">
        <v>726</v>
      </c>
      <c r="F796">
        <v>80</v>
      </c>
      <c r="G796">
        <v>1024.7626250000001</v>
      </c>
      <c r="H796">
        <v>81981.009999999995</v>
      </c>
      <c r="I796" t="s">
        <v>1587</v>
      </c>
      <c r="J796">
        <v>0.1985885885534</v>
      </c>
    </row>
    <row r="797" spans="1:10" x14ac:dyDescent="0.25">
      <c r="A797" t="s">
        <v>127</v>
      </c>
      <c r="B797" t="s">
        <v>267</v>
      </c>
      <c r="C797" t="s">
        <v>1150</v>
      </c>
      <c r="D797" t="s">
        <v>268</v>
      </c>
      <c r="E797" t="s">
        <v>726</v>
      </c>
      <c r="F797">
        <v>1340</v>
      </c>
      <c r="G797">
        <v>1049.1142164179</v>
      </c>
      <c r="H797">
        <v>1405813.05</v>
      </c>
      <c r="I797" t="s">
        <v>1587</v>
      </c>
      <c r="J797">
        <v>3.4054036339567002</v>
      </c>
    </row>
    <row r="798" spans="1:10" x14ac:dyDescent="0.25">
      <c r="A798" t="s">
        <v>127</v>
      </c>
      <c r="B798" t="s">
        <v>1166</v>
      </c>
      <c r="C798" t="s">
        <v>1150</v>
      </c>
      <c r="D798" t="s">
        <v>1167</v>
      </c>
      <c r="E798" t="s">
        <v>726</v>
      </c>
      <c r="F798">
        <v>220</v>
      </c>
      <c r="G798">
        <v>1028.8008181818</v>
      </c>
      <c r="H798">
        <v>226336.18</v>
      </c>
      <c r="I798" t="s">
        <v>1587</v>
      </c>
      <c r="J798">
        <v>0.54827066078799003</v>
      </c>
    </row>
    <row r="799" spans="1:10" x14ac:dyDescent="0.25">
      <c r="A799" t="s">
        <v>127</v>
      </c>
      <c r="B799" t="s">
        <v>758</v>
      </c>
      <c r="C799" t="s">
        <v>1150</v>
      </c>
      <c r="D799" t="s">
        <v>837</v>
      </c>
      <c r="E799" t="s">
        <v>726</v>
      </c>
      <c r="F799">
        <v>190000</v>
      </c>
      <c r="G799">
        <v>1.0703819999999999</v>
      </c>
      <c r="H799">
        <v>203372.58</v>
      </c>
      <c r="I799" t="s">
        <v>1587</v>
      </c>
      <c r="J799">
        <v>0.49264425520816002</v>
      </c>
    </row>
    <row r="800" spans="1:10" x14ac:dyDescent="0.25">
      <c r="A800" t="s">
        <v>127</v>
      </c>
      <c r="B800" t="s">
        <v>33</v>
      </c>
      <c r="C800" t="s">
        <v>1150</v>
      </c>
      <c r="D800" t="s">
        <v>822</v>
      </c>
      <c r="E800" t="s">
        <v>726</v>
      </c>
      <c r="F800">
        <v>19</v>
      </c>
      <c r="G800">
        <v>1087.7736842105001</v>
      </c>
      <c r="H800">
        <v>20667.7</v>
      </c>
      <c r="I800" t="s">
        <v>1587</v>
      </c>
      <c r="J800">
        <v>5.0064879313452999E-2</v>
      </c>
    </row>
    <row r="801" spans="1:10" x14ac:dyDescent="0.25">
      <c r="A801" t="s">
        <v>127</v>
      </c>
      <c r="B801" t="s">
        <v>156</v>
      </c>
      <c r="C801" t="s">
        <v>1150</v>
      </c>
      <c r="D801" t="s">
        <v>1040</v>
      </c>
      <c r="E801" t="s">
        <v>726</v>
      </c>
      <c r="F801">
        <v>507</v>
      </c>
      <c r="G801">
        <v>1017.2695069034</v>
      </c>
      <c r="H801">
        <v>515755.64</v>
      </c>
      <c r="I801" t="s">
        <v>1587</v>
      </c>
      <c r="J801">
        <v>1.2493525584284999</v>
      </c>
    </row>
    <row r="802" spans="1:10" x14ac:dyDescent="0.25">
      <c r="A802" t="s">
        <v>127</v>
      </c>
      <c r="B802" t="s">
        <v>156</v>
      </c>
      <c r="C802" t="s">
        <v>1150</v>
      </c>
      <c r="D802" t="s">
        <v>1039</v>
      </c>
      <c r="E802" t="s">
        <v>726</v>
      </c>
      <c r="F802">
        <v>310</v>
      </c>
      <c r="G802">
        <v>1016.4988387097</v>
      </c>
      <c r="H802">
        <v>315114.64</v>
      </c>
      <c r="I802" t="s">
        <v>1587</v>
      </c>
      <c r="J802">
        <v>0.76332520897352996</v>
      </c>
    </row>
    <row r="803" spans="1:10" x14ac:dyDescent="0.25">
      <c r="A803" t="s">
        <v>127</v>
      </c>
      <c r="B803" t="s">
        <v>290</v>
      </c>
      <c r="C803" t="s">
        <v>1150</v>
      </c>
      <c r="D803" t="s">
        <v>240</v>
      </c>
      <c r="E803" t="s">
        <v>726</v>
      </c>
      <c r="F803">
        <v>1290</v>
      </c>
      <c r="G803">
        <v>839.92286046512004</v>
      </c>
      <c r="H803">
        <v>1083500.49</v>
      </c>
      <c r="I803" t="s">
        <v>1587</v>
      </c>
      <c r="J803">
        <v>2.6246423776191001</v>
      </c>
    </row>
    <row r="804" spans="1:10" x14ac:dyDescent="0.25">
      <c r="A804" t="s">
        <v>127</v>
      </c>
      <c r="B804" t="s">
        <v>825</v>
      </c>
      <c r="C804" t="s">
        <v>1150</v>
      </c>
      <c r="D804" t="s">
        <v>826</v>
      </c>
      <c r="E804" t="s">
        <v>726</v>
      </c>
      <c r="F804">
        <v>57</v>
      </c>
      <c r="G804">
        <v>1064.3538596491001</v>
      </c>
      <c r="H804">
        <v>60668.17</v>
      </c>
      <c r="I804" t="s">
        <v>1587</v>
      </c>
      <c r="J804">
        <v>0.14696093949583</v>
      </c>
    </row>
    <row r="805" spans="1:10" x14ac:dyDescent="0.25">
      <c r="A805" t="s">
        <v>127</v>
      </c>
      <c r="B805" t="s">
        <v>476</v>
      </c>
      <c r="C805" t="s">
        <v>1150</v>
      </c>
      <c r="D805" t="s">
        <v>470</v>
      </c>
      <c r="E805" t="s">
        <v>726</v>
      </c>
      <c r="F805">
        <v>663</v>
      </c>
      <c r="G805">
        <v>990.11737556561002</v>
      </c>
      <c r="H805">
        <v>656447.81999999995</v>
      </c>
      <c r="I805" t="s">
        <v>1587</v>
      </c>
      <c r="J805">
        <v>1.5901615024352</v>
      </c>
    </row>
    <row r="806" spans="1:10" x14ac:dyDescent="0.25">
      <c r="A806" t="s">
        <v>127</v>
      </c>
      <c r="B806" t="s">
        <v>418</v>
      </c>
      <c r="C806" t="s">
        <v>1150</v>
      </c>
      <c r="D806" t="s">
        <v>419</v>
      </c>
      <c r="E806" t="s">
        <v>726</v>
      </c>
      <c r="F806">
        <v>53</v>
      </c>
      <c r="G806">
        <v>630.55886792452998</v>
      </c>
      <c r="H806">
        <v>33419.620000000003</v>
      </c>
      <c r="I806" t="s">
        <v>1587</v>
      </c>
      <c r="J806">
        <v>8.0954786551065999E-2</v>
      </c>
    </row>
    <row r="807" spans="1:10" x14ac:dyDescent="0.25">
      <c r="A807" t="s">
        <v>127</v>
      </c>
      <c r="B807" t="s">
        <v>944</v>
      </c>
      <c r="C807" t="s">
        <v>1150</v>
      </c>
      <c r="D807" t="s">
        <v>945</v>
      </c>
      <c r="E807" t="s">
        <v>726</v>
      </c>
      <c r="F807">
        <v>151</v>
      </c>
      <c r="G807">
        <v>1044.3264238411</v>
      </c>
      <c r="H807">
        <v>157693.29</v>
      </c>
      <c r="I807" t="s">
        <v>1587</v>
      </c>
      <c r="J807">
        <v>0.38199197454924</v>
      </c>
    </row>
    <row r="808" spans="1:10" x14ac:dyDescent="0.25">
      <c r="A808" t="s">
        <v>127</v>
      </c>
      <c r="B808" t="s">
        <v>1034</v>
      </c>
      <c r="C808" t="s">
        <v>1150</v>
      </c>
      <c r="D808" t="s">
        <v>1033</v>
      </c>
      <c r="E808" t="s">
        <v>726</v>
      </c>
      <c r="F808">
        <v>64</v>
      </c>
      <c r="G808">
        <v>1036.99140625</v>
      </c>
      <c r="H808">
        <v>66367.45</v>
      </c>
      <c r="I808" t="s">
        <v>1587</v>
      </c>
      <c r="J808">
        <v>0.1607667217248</v>
      </c>
    </row>
    <row r="809" spans="1:10" x14ac:dyDescent="0.25">
      <c r="A809" t="s">
        <v>127</v>
      </c>
      <c r="B809" t="s">
        <v>234</v>
      </c>
      <c r="C809" t="s">
        <v>1150</v>
      </c>
      <c r="D809" t="s">
        <v>471</v>
      </c>
      <c r="E809" t="s">
        <v>726</v>
      </c>
      <c r="F809">
        <v>147</v>
      </c>
      <c r="G809">
        <v>989.50965986394999</v>
      </c>
      <c r="H809">
        <v>145457.92000000001</v>
      </c>
      <c r="I809" t="s">
        <v>1587</v>
      </c>
      <c r="J809">
        <v>0.35235334410630997</v>
      </c>
    </row>
    <row r="810" spans="1:10" x14ac:dyDescent="0.25">
      <c r="A810" t="s">
        <v>127</v>
      </c>
      <c r="B810" t="s">
        <v>234</v>
      </c>
      <c r="C810" t="s">
        <v>1150</v>
      </c>
      <c r="D810" t="s">
        <v>509</v>
      </c>
      <c r="E810" t="s">
        <v>726</v>
      </c>
      <c r="F810">
        <v>64</v>
      </c>
      <c r="G810">
        <v>841.56031250000001</v>
      </c>
      <c r="H810">
        <v>53859.86</v>
      </c>
      <c r="I810" t="s">
        <v>1587</v>
      </c>
      <c r="J810">
        <v>0.13046867289246</v>
      </c>
    </row>
    <row r="811" spans="1:10" x14ac:dyDescent="0.25">
      <c r="A811" t="s">
        <v>127</v>
      </c>
      <c r="B811" t="s">
        <v>429</v>
      </c>
      <c r="C811" t="s">
        <v>1150</v>
      </c>
      <c r="D811" t="s">
        <v>1172</v>
      </c>
      <c r="E811" t="s">
        <v>726</v>
      </c>
      <c r="F811">
        <v>100</v>
      </c>
      <c r="G811">
        <v>1005.0172</v>
      </c>
      <c r="H811">
        <v>100501.72</v>
      </c>
      <c r="I811" t="s">
        <v>1587</v>
      </c>
      <c r="J811">
        <v>0.24345265717010001</v>
      </c>
    </row>
    <row r="812" spans="1:10" x14ac:dyDescent="0.25">
      <c r="A812" t="s">
        <v>127</v>
      </c>
      <c r="B812" t="s">
        <v>10</v>
      </c>
      <c r="C812" t="s">
        <v>1150</v>
      </c>
      <c r="D812" t="s">
        <v>1330</v>
      </c>
      <c r="E812" t="s">
        <v>726</v>
      </c>
      <c r="F812">
        <v>214</v>
      </c>
      <c r="G812">
        <v>672.93023364485998</v>
      </c>
      <c r="H812">
        <v>144007.07</v>
      </c>
      <c r="I812" t="s">
        <v>1587</v>
      </c>
      <c r="J812">
        <v>0.34883884417879002</v>
      </c>
    </row>
    <row r="813" spans="1:10" x14ac:dyDescent="0.25">
      <c r="A813" t="s">
        <v>127</v>
      </c>
      <c r="B813" t="s">
        <v>233</v>
      </c>
      <c r="C813" t="s">
        <v>1150</v>
      </c>
      <c r="D813" t="s">
        <v>239</v>
      </c>
      <c r="E813" t="s">
        <v>726</v>
      </c>
      <c r="F813">
        <v>1773</v>
      </c>
      <c r="G813">
        <v>1055.9808291032</v>
      </c>
      <c r="H813">
        <v>1872254.01</v>
      </c>
      <c r="I813" t="s">
        <v>1587</v>
      </c>
      <c r="J813">
        <v>4.5352976409943002</v>
      </c>
    </row>
    <row r="814" spans="1:10" x14ac:dyDescent="0.25">
      <c r="A814" t="s">
        <v>127</v>
      </c>
      <c r="B814" t="s">
        <v>506</v>
      </c>
      <c r="C814" t="s">
        <v>1150</v>
      </c>
      <c r="D814" t="s">
        <v>879</v>
      </c>
      <c r="E814" t="s">
        <v>726</v>
      </c>
      <c r="F814">
        <v>83</v>
      </c>
      <c r="G814">
        <v>1021.6954216867</v>
      </c>
      <c r="H814">
        <v>84800.72</v>
      </c>
      <c r="I814" t="s">
        <v>1587</v>
      </c>
      <c r="J814">
        <v>0.20541897804274001</v>
      </c>
    </row>
    <row r="815" spans="1:10" x14ac:dyDescent="0.25">
      <c r="A815" t="s">
        <v>131</v>
      </c>
      <c r="B815" t="s">
        <v>140</v>
      </c>
      <c r="C815" t="s">
        <v>1150</v>
      </c>
      <c r="D815">
        <v>760199</v>
      </c>
      <c r="E815" t="s">
        <v>725</v>
      </c>
      <c r="F815">
        <v>4792</v>
      </c>
      <c r="G815">
        <v>4205.8765212854996</v>
      </c>
      <c r="H815">
        <v>20154560.289999999</v>
      </c>
      <c r="I815" t="s">
        <v>1587</v>
      </c>
      <c r="J815">
        <v>48.821863513335998</v>
      </c>
    </row>
    <row r="816" spans="1:10" x14ac:dyDescent="0.25">
      <c r="A816" t="s">
        <v>488</v>
      </c>
      <c r="B816" t="s">
        <v>201</v>
      </c>
      <c r="C816" t="s">
        <v>1150</v>
      </c>
      <c r="D816" t="s">
        <v>1362</v>
      </c>
      <c r="E816" t="s">
        <v>726</v>
      </c>
      <c r="F816">
        <v>253</v>
      </c>
      <c r="G816">
        <v>1013.4199209486</v>
      </c>
      <c r="H816">
        <v>256395.24</v>
      </c>
      <c r="I816" t="s">
        <v>1587</v>
      </c>
      <c r="J816">
        <v>0.62108491739011995</v>
      </c>
    </row>
    <row r="817" spans="1:10" x14ac:dyDescent="0.25">
      <c r="A817" t="s">
        <v>488</v>
      </c>
      <c r="B817" t="s">
        <v>767</v>
      </c>
      <c r="C817" t="s">
        <v>1150</v>
      </c>
      <c r="D817" t="s">
        <v>768</v>
      </c>
      <c r="E817" t="s">
        <v>726</v>
      </c>
      <c r="F817">
        <v>461</v>
      </c>
      <c r="G817">
        <v>1211.9670498915</v>
      </c>
      <c r="H817">
        <v>558716.81000000006</v>
      </c>
      <c r="I817" t="s">
        <v>1587</v>
      </c>
      <c r="J817">
        <v>1.3534205384753999</v>
      </c>
    </row>
    <row r="818" spans="1:10" x14ac:dyDescent="0.25">
      <c r="A818" t="s">
        <v>488</v>
      </c>
      <c r="B818" t="s">
        <v>1027</v>
      </c>
      <c r="C818" t="s">
        <v>1150</v>
      </c>
      <c r="D818" t="s">
        <v>1340</v>
      </c>
      <c r="E818" t="s">
        <v>726</v>
      </c>
      <c r="F818">
        <v>360</v>
      </c>
      <c r="G818">
        <v>1059.0314166666999</v>
      </c>
      <c r="H818">
        <v>381251.31</v>
      </c>
      <c r="I818" t="s">
        <v>1587</v>
      </c>
      <c r="J818">
        <v>0.92353289544776995</v>
      </c>
    </row>
    <row r="819" spans="1:10" x14ac:dyDescent="0.25">
      <c r="A819" t="s">
        <v>488</v>
      </c>
      <c r="B819" t="s">
        <v>1123</v>
      </c>
      <c r="C819" t="s">
        <v>1150</v>
      </c>
      <c r="D819" t="s">
        <v>1287</v>
      </c>
      <c r="E819" t="s">
        <v>725</v>
      </c>
      <c r="F819">
        <v>369</v>
      </c>
      <c r="G819">
        <v>1028.3765582655999</v>
      </c>
      <c r="H819">
        <v>379470.95</v>
      </c>
      <c r="I819" t="s">
        <v>1587</v>
      </c>
      <c r="J819">
        <v>0.91922019937929</v>
      </c>
    </row>
    <row r="820" spans="1:10" x14ac:dyDescent="0.25">
      <c r="A820" t="s">
        <v>488</v>
      </c>
      <c r="B820" t="s">
        <v>1123</v>
      </c>
      <c r="C820" t="s">
        <v>1150</v>
      </c>
      <c r="D820" t="s">
        <v>1342</v>
      </c>
      <c r="E820" t="s">
        <v>726</v>
      </c>
      <c r="F820">
        <v>298</v>
      </c>
      <c r="G820">
        <v>1051.0610067114001</v>
      </c>
      <c r="H820">
        <v>313216.18</v>
      </c>
      <c r="I820" t="s">
        <v>1587</v>
      </c>
      <c r="J820">
        <v>0.75872643064883005</v>
      </c>
    </row>
    <row r="821" spans="1:10" x14ac:dyDescent="0.25">
      <c r="A821" t="s">
        <v>488</v>
      </c>
      <c r="B821" t="s">
        <v>1062</v>
      </c>
      <c r="C821" t="s">
        <v>1150</v>
      </c>
      <c r="D821" t="s">
        <v>1128</v>
      </c>
      <c r="E821" t="s">
        <v>78</v>
      </c>
      <c r="F821">
        <v>736</v>
      </c>
      <c r="G821">
        <v>1074.3038586957</v>
      </c>
      <c r="H821">
        <v>395343.82</v>
      </c>
      <c r="I821" t="s">
        <v>1587</v>
      </c>
      <c r="J821">
        <v>0.95767021176133005</v>
      </c>
    </row>
    <row r="822" spans="1:10" x14ac:dyDescent="0.25">
      <c r="A822" t="s">
        <v>488</v>
      </c>
      <c r="B822" t="s">
        <v>1062</v>
      </c>
      <c r="C822" t="s">
        <v>1150</v>
      </c>
      <c r="D822" t="s">
        <v>1146</v>
      </c>
      <c r="E822" t="s">
        <v>78</v>
      </c>
      <c r="F822">
        <v>170</v>
      </c>
      <c r="G822">
        <v>1047.6115294117999</v>
      </c>
      <c r="H822">
        <v>178093.96</v>
      </c>
      <c r="I822" t="s">
        <v>1587</v>
      </c>
      <c r="J822">
        <v>0.43141000758937997</v>
      </c>
    </row>
    <row r="823" spans="1:10" x14ac:dyDescent="0.25">
      <c r="A823" t="s">
        <v>144</v>
      </c>
      <c r="B823" t="s">
        <v>103</v>
      </c>
      <c r="C823" t="s">
        <v>1150</v>
      </c>
      <c r="D823" t="s">
        <v>144</v>
      </c>
      <c r="E823" t="s">
        <v>725</v>
      </c>
      <c r="F823" t="s">
        <v>103</v>
      </c>
      <c r="G823" t="s">
        <v>1587</v>
      </c>
      <c r="H823" t="s">
        <v>1587</v>
      </c>
      <c r="I823" t="s">
        <v>1587</v>
      </c>
      <c r="J823" t="s">
        <v>1587</v>
      </c>
    </row>
    <row r="824" spans="1:10" x14ac:dyDescent="0.25">
      <c r="A824" t="s">
        <v>105</v>
      </c>
      <c r="B824" t="s">
        <v>103</v>
      </c>
      <c r="C824" t="s">
        <v>793</v>
      </c>
      <c r="D824" t="s">
        <v>105</v>
      </c>
      <c r="E824" t="s">
        <v>725</v>
      </c>
      <c r="F824" t="s">
        <v>103</v>
      </c>
      <c r="G824" t="s">
        <v>1587</v>
      </c>
      <c r="H824">
        <v>1337.78</v>
      </c>
      <c r="I824" t="s">
        <v>1587</v>
      </c>
      <c r="J824">
        <v>6.6691026354449998E-2</v>
      </c>
    </row>
    <row r="825" spans="1:10" x14ac:dyDescent="0.25">
      <c r="A825" t="s">
        <v>131</v>
      </c>
      <c r="B825" t="s">
        <v>140</v>
      </c>
      <c r="C825" t="s">
        <v>793</v>
      </c>
      <c r="D825">
        <v>760199</v>
      </c>
      <c r="E825" t="s">
        <v>725</v>
      </c>
      <c r="F825">
        <v>8</v>
      </c>
      <c r="G825">
        <v>3474.9074999999998</v>
      </c>
      <c r="H825">
        <v>27799.26</v>
      </c>
      <c r="I825" t="s">
        <v>1587</v>
      </c>
      <c r="J825">
        <v>1.3858490792911</v>
      </c>
    </row>
    <row r="826" spans="1:10" x14ac:dyDescent="0.25">
      <c r="A826" t="s">
        <v>144</v>
      </c>
      <c r="B826" t="s">
        <v>103</v>
      </c>
      <c r="C826" t="s">
        <v>793</v>
      </c>
      <c r="D826" t="s">
        <v>144</v>
      </c>
      <c r="E826" t="s">
        <v>725</v>
      </c>
      <c r="F826" t="s">
        <v>103</v>
      </c>
      <c r="G826" t="s">
        <v>1587</v>
      </c>
      <c r="H826" t="s">
        <v>1587</v>
      </c>
      <c r="I826" t="s">
        <v>1587</v>
      </c>
      <c r="J826" t="s">
        <v>1587</v>
      </c>
    </row>
    <row r="827" spans="1:10" x14ac:dyDescent="0.25">
      <c r="A827" t="s">
        <v>132</v>
      </c>
      <c r="B827" t="s">
        <v>295</v>
      </c>
      <c r="C827" t="s">
        <v>793</v>
      </c>
      <c r="D827" t="s">
        <v>273</v>
      </c>
      <c r="E827" t="s">
        <v>725</v>
      </c>
      <c r="F827">
        <v>280000</v>
      </c>
      <c r="G827">
        <v>3.4</v>
      </c>
      <c r="H827">
        <v>952000</v>
      </c>
      <c r="I827" t="s">
        <v>1587</v>
      </c>
      <c r="J827">
        <v>47.459116663003996</v>
      </c>
    </row>
    <row r="828" spans="1:10" x14ac:dyDescent="0.25">
      <c r="A828" t="s">
        <v>132</v>
      </c>
      <c r="B828" t="s">
        <v>1410</v>
      </c>
      <c r="C828" t="s">
        <v>793</v>
      </c>
      <c r="D828" t="s">
        <v>965</v>
      </c>
      <c r="E828" t="s">
        <v>725</v>
      </c>
      <c r="F828">
        <v>280000</v>
      </c>
      <c r="G828">
        <v>3.66</v>
      </c>
      <c r="H828">
        <v>1024800</v>
      </c>
      <c r="I828" t="s">
        <v>1587</v>
      </c>
      <c r="J828">
        <v>51.088343231350997</v>
      </c>
    </row>
    <row r="829" spans="1:10" x14ac:dyDescent="0.25">
      <c r="A829" t="s">
        <v>99</v>
      </c>
      <c r="B829" t="s">
        <v>140</v>
      </c>
      <c r="C829" t="s">
        <v>358</v>
      </c>
      <c r="D829" t="s">
        <v>297</v>
      </c>
      <c r="E829" t="s">
        <v>724</v>
      </c>
      <c r="F829">
        <v>80</v>
      </c>
      <c r="G829">
        <v>16087.254875000001</v>
      </c>
      <c r="H829">
        <v>1286980.3899999999</v>
      </c>
      <c r="I829" t="s">
        <v>1587</v>
      </c>
      <c r="J829">
        <v>3.4535637417113998</v>
      </c>
    </row>
    <row r="830" spans="1:10" x14ac:dyDescent="0.25">
      <c r="A830" t="s">
        <v>1131</v>
      </c>
      <c r="B830" t="s">
        <v>201</v>
      </c>
      <c r="C830" t="s">
        <v>358</v>
      </c>
      <c r="D830" t="s">
        <v>1352</v>
      </c>
      <c r="E830" t="s">
        <v>725</v>
      </c>
      <c r="F830">
        <v>256</v>
      </c>
      <c r="G830">
        <v>1013.3915625</v>
      </c>
      <c r="H830">
        <v>259428.24</v>
      </c>
      <c r="I830" t="s">
        <v>1587</v>
      </c>
      <c r="J830">
        <v>0.69616597906359001</v>
      </c>
    </row>
    <row r="831" spans="1:10" x14ac:dyDescent="0.25">
      <c r="A831" t="s">
        <v>105</v>
      </c>
      <c r="B831" t="s">
        <v>103</v>
      </c>
      <c r="C831" t="s">
        <v>358</v>
      </c>
      <c r="D831" t="s">
        <v>105</v>
      </c>
      <c r="E831" t="s">
        <v>725</v>
      </c>
      <c r="F831" t="s">
        <v>103</v>
      </c>
      <c r="G831" t="s">
        <v>1587</v>
      </c>
      <c r="H831">
        <v>-12728.87</v>
      </c>
      <c r="I831" t="s">
        <v>1587</v>
      </c>
      <c r="J831">
        <v>-3.4157446567589997E-2</v>
      </c>
    </row>
    <row r="832" spans="1:10" x14ac:dyDescent="0.25">
      <c r="A832" t="s">
        <v>134</v>
      </c>
      <c r="B832" t="s">
        <v>191</v>
      </c>
      <c r="C832" t="s">
        <v>358</v>
      </c>
      <c r="D832" t="s">
        <v>517</v>
      </c>
      <c r="E832" t="s">
        <v>78</v>
      </c>
      <c r="F832">
        <v>1</v>
      </c>
      <c r="G832">
        <v>534430.55000000005</v>
      </c>
      <c r="H832">
        <v>534430.55000000005</v>
      </c>
      <c r="I832" t="s">
        <v>1587</v>
      </c>
      <c r="J832">
        <v>1.4341243924803</v>
      </c>
    </row>
    <row r="833" spans="1:10" x14ac:dyDescent="0.25">
      <c r="A833" t="s">
        <v>134</v>
      </c>
      <c r="B833" t="s">
        <v>490</v>
      </c>
      <c r="C833" t="s">
        <v>358</v>
      </c>
      <c r="D833" t="s">
        <v>491</v>
      </c>
      <c r="E833" t="s">
        <v>726</v>
      </c>
      <c r="F833">
        <v>1</v>
      </c>
      <c r="G833">
        <v>707623.1</v>
      </c>
      <c r="H833">
        <v>707623.1</v>
      </c>
      <c r="I833" t="s">
        <v>1587</v>
      </c>
      <c r="J833">
        <v>1.8988801227634999</v>
      </c>
    </row>
    <row r="834" spans="1:10" x14ac:dyDescent="0.25">
      <c r="A834" t="s">
        <v>134</v>
      </c>
      <c r="B834" t="s">
        <v>190</v>
      </c>
      <c r="C834" t="s">
        <v>358</v>
      </c>
      <c r="D834" t="s">
        <v>503</v>
      </c>
      <c r="E834" t="s">
        <v>726</v>
      </c>
      <c r="F834">
        <v>-1</v>
      </c>
      <c r="G834">
        <v>419790.94</v>
      </c>
      <c r="H834">
        <v>419790.94</v>
      </c>
      <c r="I834" t="s">
        <v>1587</v>
      </c>
      <c r="J834">
        <v>1.1264932867259001</v>
      </c>
    </row>
    <row r="835" spans="1:10" x14ac:dyDescent="0.25">
      <c r="A835" t="s">
        <v>135</v>
      </c>
      <c r="B835" t="s">
        <v>399</v>
      </c>
      <c r="C835" t="s">
        <v>358</v>
      </c>
      <c r="D835" t="s">
        <v>887</v>
      </c>
      <c r="E835" t="s">
        <v>726</v>
      </c>
      <c r="F835">
        <v>1</v>
      </c>
      <c r="G835">
        <v>309810.53999999998</v>
      </c>
      <c r="H835">
        <v>309810.53999999998</v>
      </c>
      <c r="I835" t="s">
        <v>1587</v>
      </c>
      <c r="J835">
        <v>0.83136499674561004</v>
      </c>
    </row>
    <row r="836" spans="1:10" x14ac:dyDescent="0.25">
      <c r="A836" t="s">
        <v>135</v>
      </c>
      <c r="B836" t="s">
        <v>193</v>
      </c>
      <c r="C836" t="s">
        <v>358</v>
      </c>
      <c r="D836" t="s">
        <v>401</v>
      </c>
      <c r="E836" t="s">
        <v>78</v>
      </c>
      <c r="F836">
        <v>4</v>
      </c>
      <c r="G836">
        <v>338183.85</v>
      </c>
      <c r="H836">
        <v>676367.7</v>
      </c>
      <c r="I836" t="s">
        <v>1587</v>
      </c>
      <c r="J836">
        <v>1.8150074258588</v>
      </c>
    </row>
    <row r="837" spans="1:10" x14ac:dyDescent="0.25">
      <c r="A837" t="s">
        <v>135</v>
      </c>
      <c r="B837" t="s">
        <v>193</v>
      </c>
      <c r="C837" t="s">
        <v>358</v>
      </c>
      <c r="D837" t="s">
        <v>402</v>
      </c>
      <c r="E837" t="s">
        <v>78</v>
      </c>
      <c r="F837">
        <v>4</v>
      </c>
      <c r="G837">
        <v>338183.85</v>
      </c>
      <c r="H837">
        <v>338183.85</v>
      </c>
      <c r="I837" t="s">
        <v>1587</v>
      </c>
      <c r="J837">
        <v>0.90750371292942</v>
      </c>
    </row>
    <row r="838" spans="1:10" x14ac:dyDescent="0.25">
      <c r="A838" t="s">
        <v>135</v>
      </c>
      <c r="B838" t="s">
        <v>193</v>
      </c>
      <c r="C838" t="s">
        <v>358</v>
      </c>
      <c r="D838" t="s">
        <v>403</v>
      </c>
      <c r="E838" t="s">
        <v>78</v>
      </c>
      <c r="F838">
        <v>4</v>
      </c>
      <c r="G838">
        <v>338183.85</v>
      </c>
      <c r="H838">
        <v>338183.85</v>
      </c>
      <c r="I838" t="s">
        <v>1587</v>
      </c>
      <c r="J838">
        <v>0.90750371292942</v>
      </c>
    </row>
    <row r="839" spans="1:10" x14ac:dyDescent="0.25">
      <c r="A839" t="s">
        <v>135</v>
      </c>
      <c r="B839" t="s">
        <v>190</v>
      </c>
      <c r="C839" t="s">
        <v>358</v>
      </c>
      <c r="D839" t="s">
        <v>925</v>
      </c>
      <c r="E839" t="s">
        <v>725</v>
      </c>
      <c r="F839">
        <v>3</v>
      </c>
      <c r="G839">
        <v>350229.30666667002</v>
      </c>
      <c r="H839">
        <v>1050687.92</v>
      </c>
      <c r="I839" t="s">
        <v>1587</v>
      </c>
      <c r="J839">
        <v>2.8194817361328002</v>
      </c>
    </row>
    <row r="840" spans="1:10" x14ac:dyDescent="0.25">
      <c r="A840" t="s">
        <v>135</v>
      </c>
      <c r="B840" t="s">
        <v>190</v>
      </c>
      <c r="C840" t="s">
        <v>358</v>
      </c>
      <c r="D840" t="s">
        <v>200</v>
      </c>
      <c r="E840" t="s">
        <v>78</v>
      </c>
      <c r="F840">
        <v>1</v>
      </c>
      <c r="G840">
        <v>546076.49</v>
      </c>
      <c r="H840">
        <v>546076.49</v>
      </c>
      <c r="I840" t="s">
        <v>1587</v>
      </c>
      <c r="J840">
        <v>1.4653758368959999</v>
      </c>
    </row>
    <row r="841" spans="1:10" x14ac:dyDescent="0.25">
      <c r="A841" t="s">
        <v>112</v>
      </c>
      <c r="B841" t="s">
        <v>201</v>
      </c>
      <c r="C841" t="s">
        <v>358</v>
      </c>
      <c r="D841" t="s">
        <v>772</v>
      </c>
      <c r="E841" t="s">
        <v>725</v>
      </c>
      <c r="F841">
        <v>2</v>
      </c>
      <c r="G841">
        <v>60640.87</v>
      </c>
      <c r="H841">
        <v>121281.74</v>
      </c>
      <c r="I841" t="s">
        <v>1587</v>
      </c>
      <c r="J841">
        <v>0.32545501318452003</v>
      </c>
    </row>
    <row r="842" spans="1:10" x14ac:dyDescent="0.25">
      <c r="A842" t="s">
        <v>112</v>
      </c>
      <c r="B842" t="s">
        <v>201</v>
      </c>
      <c r="C842" t="s">
        <v>358</v>
      </c>
      <c r="D842" t="s">
        <v>773</v>
      </c>
      <c r="E842" t="s">
        <v>725</v>
      </c>
      <c r="F842">
        <v>1</v>
      </c>
      <c r="G842">
        <v>61297.77</v>
      </c>
      <c r="H842">
        <v>61297.77</v>
      </c>
      <c r="I842" t="s">
        <v>1587</v>
      </c>
      <c r="J842">
        <v>0.16449027317329001</v>
      </c>
    </row>
    <row r="843" spans="1:10" x14ac:dyDescent="0.25">
      <c r="A843" t="s">
        <v>112</v>
      </c>
      <c r="B843" t="s">
        <v>1383</v>
      </c>
      <c r="C843" t="s">
        <v>358</v>
      </c>
      <c r="D843" t="s">
        <v>1384</v>
      </c>
      <c r="E843" t="s">
        <v>726</v>
      </c>
      <c r="F843">
        <v>5</v>
      </c>
      <c r="G843">
        <v>55337.163999999997</v>
      </c>
      <c r="H843">
        <v>276685.82</v>
      </c>
      <c r="I843" t="s">
        <v>1587</v>
      </c>
      <c r="J843">
        <v>0.74247604953613</v>
      </c>
    </row>
    <row r="844" spans="1:10" x14ac:dyDescent="0.25">
      <c r="A844" t="s">
        <v>112</v>
      </c>
      <c r="B844" t="s">
        <v>465</v>
      </c>
      <c r="C844" t="s">
        <v>358</v>
      </c>
      <c r="D844" t="s">
        <v>1053</v>
      </c>
      <c r="E844" t="s">
        <v>726</v>
      </c>
      <c r="F844">
        <v>5</v>
      </c>
      <c r="G844">
        <v>56367.724000000002</v>
      </c>
      <c r="H844">
        <v>281838.62</v>
      </c>
      <c r="I844" t="s">
        <v>1587</v>
      </c>
      <c r="J844">
        <v>0.75630339561425997</v>
      </c>
    </row>
    <row r="845" spans="1:10" x14ac:dyDescent="0.25">
      <c r="A845" t="s">
        <v>112</v>
      </c>
      <c r="B845" t="s">
        <v>1088</v>
      </c>
      <c r="C845" t="s">
        <v>358</v>
      </c>
      <c r="D845" t="s">
        <v>1092</v>
      </c>
      <c r="E845" t="s">
        <v>725</v>
      </c>
      <c r="F845">
        <v>3</v>
      </c>
      <c r="G845">
        <v>52715.313333332997</v>
      </c>
      <c r="H845">
        <v>158145.94</v>
      </c>
      <c r="I845" t="s">
        <v>1587</v>
      </c>
      <c r="J845">
        <v>0.42437871511225</v>
      </c>
    </row>
    <row r="846" spans="1:10" x14ac:dyDescent="0.25">
      <c r="A846" t="s">
        <v>112</v>
      </c>
      <c r="B846" t="s">
        <v>805</v>
      </c>
      <c r="C846" t="s">
        <v>358</v>
      </c>
      <c r="D846" t="s">
        <v>997</v>
      </c>
      <c r="E846" t="s">
        <v>725</v>
      </c>
      <c r="F846">
        <v>5</v>
      </c>
      <c r="G846">
        <v>54507.874000000003</v>
      </c>
      <c r="H846">
        <v>272539.37</v>
      </c>
      <c r="I846" t="s">
        <v>1587</v>
      </c>
      <c r="J846">
        <v>0.73134920604412001</v>
      </c>
    </row>
    <row r="847" spans="1:10" x14ac:dyDescent="0.25">
      <c r="A847" t="s">
        <v>112</v>
      </c>
      <c r="B847" t="s">
        <v>1062</v>
      </c>
      <c r="C847" t="s">
        <v>358</v>
      </c>
      <c r="D847" t="s">
        <v>1569</v>
      </c>
      <c r="E847" t="s">
        <v>725</v>
      </c>
      <c r="F847">
        <v>3</v>
      </c>
      <c r="G847">
        <v>54127.326666667002</v>
      </c>
      <c r="H847">
        <v>162381.98000000001</v>
      </c>
      <c r="I847" t="s">
        <v>1587</v>
      </c>
      <c r="J847">
        <v>0.43574597001846999</v>
      </c>
    </row>
    <row r="848" spans="1:10" x14ac:dyDescent="0.25">
      <c r="A848" t="s">
        <v>112</v>
      </c>
      <c r="B848" t="s">
        <v>324</v>
      </c>
      <c r="C848" t="s">
        <v>358</v>
      </c>
      <c r="D848" t="s">
        <v>325</v>
      </c>
      <c r="E848" t="s">
        <v>726</v>
      </c>
      <c r="F848">
        <v>1</v>
      </c>
      <c r="G848">
        <v>71943.039999999994</v>
      </c>
      <c r="H848">
        <v>71943.039999999994</v>
      </c>
      <c r="I848" t="s">
        <v>1587</v>
      </c>
      <c r="J848">
        <v>0.19305645707041</v>
      </c>
    </row>
    <row r="849" spans="1:10" x14ac:dyDescent="0.25">
      <c r="A849" t="s">
        <v>112</v>
      </c>
      <c r="B849" t="s">
        <v>360</v>
      </c>
      <c r="C849" t="s">
        <v>358</v>
      </c>
      <c r="D849" t="s">
        <v>1050</v>
      </c>
      <c r="E849" t="s">
        <v>726</v>
      </c>
      <c r="F849">
        <v>10</v>
      </c>
      <c r="G849">
        <v>55943.357000000004</v>
      </c>
      <c r="H849">
        <v>559433.56999999995</v>
      </c>
      <c r="I849" t="s">
        <v>1587</v>
      </c>
      <c r="J849">
        <v>1.5012190615026999</v>
      </c>
    </row>
    <row r="850" spans="1:10" x14ac:dyDescent="0.25">
      <c r="A850" t="s">
        <v>112</v>
      </c>
      <c r="B850" t="s">
        <v>360</v>
      </c>
      <c r="C850" t="s">
        <v>358</v>
      </c>
      <c r="D850" t="s">
        <v>937</v>
      </c>
      <c r="E850" t="s">
        <v>725</v>
      </c>
      <c r="F850">
        <v>2</v>
      </c>
      <c r="G850">
        <v>55351.815000000002</v>
      </c>
      <c r="H850">
        <v>110703.63</v>
      </c>
      <c r="I850" t="s">
        <v>1587</v>
      </c>
      <c r="J850">
        <v>0.29706905063552003</v>
      </c>
    </row>
    <row r="851" spans="1:10" x14ac:dyDescent="0.25">
      <c r="A851" t="s">
        <v>112</v>
      </c>
      <c r="B851" t="s">
        <v>1151</v>
      </c>
      <c r="C851" t="s">
        <v>358</v>
      </c>
      <c r="D851" t="s">
        <v>1135</v>
      </c>
      <c r="E851" t="s">
        <v>725</v>
      </c>
      <c r="F851">
        <v>3</v>
      </c>
      <c r="G851">
        <v>51907.443333333002</v>
      </c>
      <c r="H851">
        <v>155722.32999999999</v>
      </c>
      <c r="I851" t="s">
        <v>1587</v>
      </c>
      <c r="J851">
        <v>0.41787504832362998</v>
      </c>
    </row>
    <row r="852" spans="1:10" x14ac:dyDescent="0.25">
      <c r="A852" t="s">
        <v>112</v>
      </c>
      <c r="B852" t="s">
        <v>368</v>
      </c>
      <c r="C852" t="s">
        <v>358</v>
      </c>
      <c r="D852" t="s">
        <v>1138</v>
      </c>
      <c r="E852" t="s">
        <v>725</v>
      </c>
      <c r="F852">
        <v>4</v>
      </c>
      <c r="G852">
        <v>104364.7</v>
      </c>
      <c r="H852">
        <v>417458.8</v>
      </c>
      <c r="I852" t="s">
        <v>1587</v>
      </c>
      <c r="J852">
        <v>1.1202350762611999</v>
      </c>
    </row>
    <row r="853" spans="1:10" x14ac:dyDescent="0.25">
      <c r="A853" t="s">
        <v>112</v>
      </c>
      <c r="B853" t="s">
        <v>368</v>
      </c>
      <c r="C853" t="s">
        <v>358</v>
      </c>
      <c r="D853" t="s">
        <v>954</v>
      </c>
      <c r="E853" t="s">
        <v>725</v>
      </c>
      <c r="F853">
        <v>3</v>
      </c>
      <c r="G853">
        <v>111624.09333333001</v>
      </c>
      <c r="H853">
        <v>334872.28000000003</v>
      </c>
      <c r="I853" t="s">
        <v>1587</v>
      </c>
      <c r="J853">
        <v>0.89861723869173005</v>
      </c>
    </row>
    <row r="854" spans="1:10" x14ac:dyDescent="0.25">
      <c r="A854" t="s">
        <v>112</v>
      </c>
      <c r="B854" t="s">
        <v>368</v>
      </c>
      <c r="C854" t="s">
        <v>358</v>
      </c>
      <c r="D854" t="s">
        <v>486</v>
      </c>
      <c r="E854" t="s">
        <v>725</v>
      </c>
      <c r="F854">
        <v>2</v>
      </c>
      <c r="G854">
        <v>136396.73499999999</v>
      </c>
      <c r="H854">
        <v>272793.46999999997</v>
      </c>
      <c r="I854" t="s">
        <v>1587</v>
      </c>
      <c r="J854">
        <v>0.73203107389042998</v>
      </c>
    </row>
    <row r="855" spans="1:10" x14ac:dyDescent="0.25">
      <c r="A855" t="s">
        <v>112</v>
      </c>
      <c r="B855" t="s">
        <v>808</v>
      </c>
      <c r="C855" t="s">
        <v>358</v>
      </c>
      <c r="D855" t="s">
        <v>809</v>
      </c>
      <c r="E855" t="s">
        <v>726</v>
      </c>
      <c r="F855">
        <v>2</v>
      </c>
      <c r="G855">
        <v>60495.8</v>
      </c>
      <c r="H855">
        <v>120991.6</v>
      </c>
      <c r="I855" t="s">
        <v>1587</v>
      </c>
      <c r="J855">
        <v>0.32467643334614998</v>
      </c>
    </row>
    <row r="856" spans="1:10" x14ac:dyDescent="0.25">
      <c r="A856" t="s">
        <v>113</v>
      </c>
      <c r="B856" t="s">
        <v>114</v>
      </c>
      <c r="C856" t="s">
        <v>358</v>
      </c>
      <c r="D856" t="s">
        <v>179</v>
      </c>
      <c r="E856" t="s">
        <v>430</v>
      </c>
      <c r="F856">
        <v>-3</v>
      </c>
      <c r="G856">
        <v>139204.32242400001</v>
      </c>
      <c r="H856">
        <v>1324.65</v>
      </c>
      <c r="I856">
        <v>-417612.96727199998</v>
      </c>
      <c r="J856">
        <v>-1.1206487783696</v>
      </c>
    </row>
    <row r="857" spans="1:10" x14ac:dyDescent="0.25">
      <c r="A857" t="s">
        <v>113</v>
      </c>
      <c r="B857" t="s">
        <v>114</v>
      </c>
      <c r="C857" t="s">
        <v>358</v>
      </c>
      <c r="D857" t="s">
        <v>143</v>
      </c>
      <c r="E857" t="s">
        <v>431</v>
      </c>
      <c r="F857">
        <v>-2</v>
      </c>
      <c r="G857">
        <v>77918.289999999994</v>
      </c>
      <c r="H857">
        <v>174.89</v>
      </c>
      <c r="I857">
        <v>-155836.57999999999</v>
      </c>
      <c r="J857">
        <v>-0.41818163392551999</v>
      </c>
    </row>
    <row r="858" spans="1:10" x14ac:dyDescent="0.25">
      <c r="A858" t="s">
        <v>113</v>
      </c>
      <c r="B858" t="s">
        <v>114</v>
      </c>
      <c r="C858" t="s">
        <v>358</v>
      </c>
      <c r="D858" t="s">
        <v>177</v>
      </c>
      <c r="E858" t="s">
        <v>430</v>
      </c>
      <c r="F858">
        <v>-4</v>
      </c>
      <c r="G858">
        <v>177636.46260599999</v>
      </c>
      <c r="H858">
        <v>45.08</v>
      </c>
      <c r="I858">
        <v>-710545.85042399995</v>
      </c>
      <c r="J858">
        <v>-1.9067232142113999</v>
      </c>
    </row>
    <row r="859" spans="1:10" x14ac:dyDescent="0.25">
      <c r="A859" t="s">
        <v>113</v>
      </c>
      <c r="B859" t="s">
        <v>114</v>
      </c>
      <c r="C859" t="s">
        <v>358</v>
      </c>
      <c r="D859" t="s">
        <v>202</v>
      </c>
      <c r="E859" t="s">
        <v>431</v>
      </c>
      <c r="F859">
        <v>2</v>
      </c>
      <c r="G859">
        <v>59875.82</v>
      </c>
      <c r="H859">
        <v>-283.74</v>
      </c>
      <c r="I859">
        <v>119751.64</v>
      </c>
      <c r="J859">
        <v>0.32134904706237999</v>
      </c>
    </row>
    <row r="860" spans="1:10" x14ac:dyDescent="0.25">
      <c r="A860" t="s">
        <v>113</v>
      </c>
      <c r="B860" t="s">
        <v>114</v>
      </c>
      <c r="C860" t="s">
        <v>358</v>
      </c>
      <c r="D860" t="s">
        <v>116</v>
      </c>
      <c r="E860" t="s">
        <v>430</v>
      </c>
      <c r="F860">
        <v>-2</v>
      </c>
      <c r="G860">
        <v>160269.114933</v>
      </c>
      <c r="H860">
        <v>-111.25555555555999</v>
      </c>
      <c r="I860">
        <v>178076.79436999999</v>
      </c>
      <c r="J860">
        <v>0.47786241737251001</v>
      </c>
    </row>
    <row r="861" spans="1:10" x14ac:dyDescent="0.25">
      <c r="A861" t="s">
        <v>113</v>
      </c>
      <c r="B861" t="s">
        <v>114</v>
      </c>
      <c r="C861" t="s">
        <v>358</v>
      </c>
      <c r="D861" t="s">
        <v>116</v>
      </c>
      <c r="E861" t="s">
        <v>350</v>
      </c>
      <c r="F861">
        <v>7</v>
      </c>
      <c r="G861">
        <v>160269.114933</v>
      </c>
      <c r="H861">
        <v>-389.39444444444001</v>
      </c>
      <c r="I861">
        <v>623268.78029499995</v>
      </c>
      <c r="J861">
        <v>1.6725184608038</v>
      </c>
    </row>
    <row r="862" spans="1:10" x14ac:dyDescent="0.25">
      <c r="A862" t="s">
        <v>113</v>
      </c>
      <c r="B862" t="s">
        <v>114</v>
      </c>
      <c r="C862" t="s">
        <v>358</v>
      </c>
      <c r="D862" t="s">
        <v>319</v>
      </c>
      <c r="E862" t="s">
        <v>350</v>
      </c>
      <c r="F862">
        <v>5</v>
      </c>
      <c r="G862">
        <v>152647.90862999999</v>
      </c>
      <c r="H862">
        <v>-1323.15</v>
      </c>
      <c r="I862">
        <v>763239.54315000004</v>
      </c>
      <c r="J862">
        <v>2.0481247678243002</v>
      </c>
    </row>
    <row r="863" spans="1:10" x14ac:dyDescent="0.25">
      <c r="A863" t="s">
        <v>337</v>
      </c>
      <c r="B863" t="s">
        <v>338</v>
      </c>
      <c r="C863" t="s">
        <v>358</v>
      </c>
      <c r="D863" t="s">
        <v>339</v>
      </c>
      <c r="E863" t="s">
        <v>723</v>
      </c>
      <c r="F863">
        <v>2177</v>
      </c>
      <c r="G863">
        <v>89.4</v>
      </c>
      <c r="H863">
        <v>194623.8</v>
      </c>
      <c r="I863" t="s">
        <v>1587</v>
      </c>
      <c r="J863">
        <v>0.52226568809963003</v>
      </c>
    </row>
    <row r="864" spans="1:10" x14ac:dyDescent="0.25">
      <c r="A864" t="s">
        <v>337</v>
      </c>
      <c r="B864" t="s">
        <v>338</v>
      </c>
      <c r="C864" t="s">
        <v>358</v>
      </c>
      <c r="D864" t="s">
        <v>339</v>
      </c>
      <c r="E864" t="s">
        <v>725</v>
      </c>
      <c r="F864">
        <v>1830</v>
      </c>
      <c r="G864">
        <v>89.4</v>
      </c>
      <c r="H864">
        <v>163602</v>
      </c>
      <c r="I864" t="s">
        <v>1587</v>
      </c>
      <c r="J864">
        <v>0.43901984805803002</v>
      </c>
    </row>
    <row r="865" spans="1:10" x14ac:dyDescent="0.25">
      <c r="A865" t="s">
        <v>117</v>
      </c>
      <c r="B865" t="s">
        <v>851</v>
      </c>
      <c r="C865" t="s">
        <v>358</v>
      </c>
      <c r="D865" t="s">
        <v>244</v>
      </c>
      <c r="E865" t="s">
        <v>730</v>
      </c>
      <c r="F865">
        <v>1748224</v>
      </c>
      <c r="G865">
        <v>1.4890822160982999</v>
      </c>
      <c r="H865">
        <v>2601582.9851564001</v>
      </c>
      <c r="I865" t="s">
        <v>1587</v>
      </c>
      <c r="J865">
        <v>6.9812506378511001</v>
      </c>
    </row>
    <row r="866" spans="1:10" x14ac:dyDescent="0.25">
      <c r="A866" t="s">
        <v>118</v>
      </c>
      <c r="B866" t="s">
        <v>26</v>
      </c>
      <c r="C866" t="s">
        <v>358</v>
      </c>
      <c r="D866" t="s">
        <v>120</v>
      </c>
      <c r="E866" t="s">
        <v>730</v>
      </c>
      <c r="F866">
        <v>2926314</v>
      </c>
      <c r="G866">
        <v>1.7524804021861999</v>
      </c>
      <c r="H866">
        <v>5125565.3038136996</v>
      </c>
      <c r="I866" t="s">
        <v>1587</v>
      </c>
      <c r="J866">
        <v>13.754262789525001</v>
      </c>
    </row>
    <row r="867" spans="1:10" x14ac:dyDescent="0.25">
      <c r="A867" t="s">
        <v>118</v>
      </c>
      <c r="B867" t="s">
        <v>25</v>
      </c>
      <c r="C867" t="s">
        <v>358</v>
      </c>
      <c r="D867" t="s">
        <v>119</v>
      </c>
      <c r="E867" t="s">
        <v>724</v>
      </c>
      <c r="F867">
        <v>824323</v>
      </c>
      <c r="G867">
        <v>4.6676913251828003</v>
      </c>
      <c r="H867">
        <v>2284974.9344167002</v>
      </c>
      <c r="I867" t="s">
        <v>1587</v>
      </c>
      <c r="J867">
        <v>6.1316447752718997</v>
      </c>
    </row>
    <row r="868" spans="1:10" x14ac:dyDescent="0.25">
      <c r="A868" t="s">
        <v>118</v>
      </c>
      <c r="B868" t="s">
        <v>145</v>
      </c>
      <c r="C868" t="s">
        <v>358</v>
      </c>
      <c r="D868" t="s">
        <v>121</v>
      </c>
      <c r="E868" t="s">
        <v>731</v>
      </c>
      <c r="F868">
        <v>1274956</v>
      </c>
      <c r="G868">
        <v>1.4945290086142</v>
      </c>
      <c r="H868">
        <v>857486.01869239996</v>
      </c>
      <c r="I868" t="s">
        <v>1587</v>
      </c>
      <c r="J868">
        <v>2.3010316599933001</v>
      </c>
    </row>
    <row r="869" spans="1:10" x14ac:dyDescent="0.25">
      <c r="A869" t="s">
        <v>122</v>
      </c>
      <c r="B869" t="s">
        <v>860</v>
      </c>
      <c r="C869" t="s">
        <v>358</v>
      </c>
      <c r="D869" t="s">
        <v>123</v>
      </c>
      <c r="E869" t="s">
        <v>725</v>
      </c>
      <c r="F869">
        <v>203245</v>
      </c>
      <c r="G869">
        <v>1.9918705938137</v>
      </c>
      <c r="H869">
        <v>404837.73883966001</v>
      </c>
      <c r="I869" t="s">
        <v>1587</v>
      </c>
      <c r="J869">
        <v>1.0863669306826</v>
      </c>
    </row>
    <row r="870" spans="1:10" x14ac:dyDescent="0.25">
      <c r="A870" t="s">
        <v>124</v>
      </c>
      <c r="B870" t="s">
        <v>861</v>
      </c>
      <c r="C870" t="s">
        <v>358</v>
      </c>
      <c r="D870" t="s">
        <v>226</v>
      </c>
      <c r="E870" t="s">
        <v>724</v>
      </c>
      <c r="F870">
        <v>351102</v>
      </c>
      <c r="G870">
        <v>14.736096249433</v>
      </c>
      <c r="H870">
        <v>215235.42181922001</v>
      </c>
      <c r="I870" t="s">
        <v>1587</v>
      </c>
      <c r="J870">
        <v>0.57757620434822998</v>
      </c>
    </row>
    <row r="871" spans="1:10" x14ac:dyDescent="0.25">
      <c r="A871" t="s">
        <v>124</v>
      </c>
      <c r="B871" t="s">
        <v>900</v>
      </c>
      <c r="C871" t="s">
        <v>358</v>
      </c>
      <c r="D871" t="s">
        <v>901</v>
      </c>
      <c r="E871" t="s">
        <v>725</v>
      </c>
      <c r="F871">
        <v>23637</v>
      </c>
      <c r="G871">
        <v>11.090654061873</v>
      </c>
      <c r="H871">
        <v>262149.79006049997</v>
      </c>
      <c r="I871" t="s">
        <v>1587</v>
      </c>
      <c r="J871">
        <v>0.70346915686119005</v>
      </c>
    </row>
    <row r="872" spans="1:10" x14ac:dyDescent="0.25">
      <c r="A872" t="s">
        <v>124</v>
      </c>
      <c r="B872" t="s">
        <v>900</v>
      </c>
      <c r="C872" t="s">
        <v>358</v>
      </c>
      <c r="D872" t="s">
        <v>904</v>
      </c>
      <c r="E872" t="s">
        <v>725</v>
      </c>
      <c r="F872">
        <v>23637</v>
      </c>
      <c r="G872">
        <v>11.090639267452</v>
      </c>
      <c r="H872">
        <v>262149.44036476</v>
      </c>
      <c r="I872" t="s">
        <v>1587</v>
      </c>
      <c r="J872">
        <v>0.70346821846575003</v>
      </c>
    </row>
    <row r="873" spans="1:10" x14ac:dyDescent="0.25">
      <c r="A873" t="s">
        <v>124</v>
      </c>
      <c r="B873" t="s">
        <v>900</v>
      </c>
      <c r="C873" t="s">
        <v>358</v>
      </c>
      <c r="D873" t="s">
        <v>902</v>
      </c>
      <c r="E873" t="s">
        <v>725</v>
      </c>
      <c r="F873">
        <v>23637</v>
      </c>
      <c r="G873">
        <v>11.090610196713</v>
      </c>
      <c r="H873">
        <v>262148.75321970001</v>
      </c>
      <c r="I873" t="s">
        <v>1587</v>
      </c>
      <c r="J873">
        <v>0.70346637453767003</v>
      </c>
    </row>
    <row r="874" spans="1:10" x14ac:dyDescent="0.25">
      <c r="A874" t="s">
        <v>124</v>
      </c>
      <c r="B874" t="s">
        <v>900</v>
      </c>
      <c r="C874" t="s">
        <v>358</v>
      </c>
      <c r="D874" t="s">
        <v>908</v>
      </c>
      <c r="E874" t="s">
        <v>725</v>
      </c>
      <c r="F874">
        <v>23637</v>
      </c>
      <c r="G874">
        <v>11.090592039575</v>
      </c>
      <c r="H874">
        <v>262148.32403943001</v>
      </c>
      <c r="I874" t="s">
        <v>1587</v>
      </c>
      <c r="J874">
        <v>0.70346522284848001</v>
      </c>
    </row>
    <row r="875" spans="1:10" x14ac:dyDescent="0.25">
      <c r="A875" t="s">
        <v>124</v>
      </c>
      <c r="B875" t="s">
        <v>900</v>
      </c>
      <c r="C875" t="s">
        <v>358</v>
      </c>
      <c r="D875" t="s">
        <v>903</v>
      </c>
      <c r="E875" t="s">
        <v>725</v>
      </c>
      <c r="F875">
        <v>23637</v>
      </c>
      <c r="G875">
        <v>11.090584197408001</v>
      </c>
      <c r="H875">
        <v>262148.13867413998</v>
      </c>
      <c r="I875" t="s">
        <v>1587</v>
      </c>
      <c r="J875">
        <v>0.70346472542766003</v>
      </c>
    </row>
    <row r="876" spans="1:10" x14ac:dyDescent="0.25">
      <c r="A876" t="s">
        <v>124</v>
      </c>
      <c r="B876" t="s">
        <v>900</v>
      </c>
      <c r="C876" t="s">
        <v>358</v>
      </c>
      <c r="D876" t="s">
        <v>909</v>
      </c>
      <c r="E876" t="s">
        <v>725</v>
      </c>
      <c r="F876">
        <v>23637</v>
      </c>
      <c r="G876">
        <v>11.09048673151</v>
      </c>
      <c r="H876">
        <v>262145.83487268997</v>
      </c>
      <c r="I876" t="s">
        <v>1587</v>
      </c>
      <c r="J876">
        <v>0.70345854326263002</v>
      </c>
    </row>
    <row r="877" spans="1:10" x14ac:dyDescent="0.25">
      <c r="A877" t="s">
        <v>124</v>
      </c>
      <c r="B877" t="s">
        <v>900</v>
      </c>
      <c r="C877" t="s">
        <v>358</v>
      </c>
      <c r="D877" t="s">
        <v>907</v>
      </c>
      <c r="E877" t="s">
        <v>725</v>
      </c>
      <c r="F877">
        <v>23637</v>
      </c>
      <c r="G877">
        <v>11.090282825411</v>
      </c>
      <c r="H877">
        <v>262141.01514423999</v>
      </c>
      <c r="I877" t="s">
        <v>1587</v>
      </c>
      <c r="J877">
        <v>0.70344560970160996</v>
      </c>
    </row>
    <row r="878" spans="1:10" x14ac:dyDescent="0.25">
      <c r="A878" t="s">
        <v>124</v>
      </c>
      <c r="B878" t="s">
        <v>900</v>
      </c>
      <c r="C878" t="s">
        <v>358</v>
      </c>
      <c r="D878" t="s">
        <v>906</v>
      </c>
      <c r="E878" t="s">
        <v>725</v>
      </c>
      <c r="F878">
        <v>23637</v>
      </c>
      <c r="G878">
        <v>11.090261249933</v>
      </c>
      <c r="H878">
        <v>262140.50516465999</v>
      </c>
      <c r="I878" t="s">
        <v>1587</v>
      </c>
      <c r="J878">
        <v>0.70344424119047</v>
      </c>
    </row>
    <row r="879" spans="1:10" x14ac:dyDescent="0.25">
      <c r="A879" t="s">
        <v>124</v>
      </c>
      <c r="B879" t="s">
        <v>900</v>
      </c>
      <c r="C879" t="s">
        <v>358</v>
      </c>
      <c r="D879" t="s">
        <v>905</v>
      </c>
      <c r="E879" t="s">
        <v>725</v>
      </c>
      <c r="F879">
        <v>23637</v>
      </c>
      <c r="G879">
        <v>11.089804757553001</v>
      </c>
      <c r="H879">
        <v>262129.71505428001</v>
      </c>
      <c r="I879" t="s">
        <v>1587</v>
      </c>
      <c r="J879">
        <v>0.70341528633283001</v>
      </c>
    </row>
    <row r="880" spans="1:10" x14ac:dyDescent="0.25">
      <c r="A880" t="s">
        <v>126</v>
      </c>
      <c r="B880" t="s">
        <v>1139</v>
      </c>
      <c r="C880" t="s">
        <v>358</v>
      </c>
      <c r="D880" t="s">
        <v>512</v>
      </c>
      <c r="E880" t="s">
        <v>725</v>
      </c>
      <c r="F880">
        <v>14</v>
      </c>
      <c r="G880">
        <v>65307.411383252998</v>
      </c>
      <c r="H880">
        <v>914303.75936555001</v>
      </c>
      <c r="I880" t="s">
        <v>1587</v>
      </c>
      <c r="J880">
        <v>2.4534999420273</v>
      </c>
    </row>
    <row r="881" spans="1:10" x14ac:dyDescent="0.25">
      <c r="A881" t="s">
        <v>126</v>
      </c>
      <c r="B881" t="s">
        <v>877</v>
      </c>
      <c r="C881" t="s">
        <v>358</v>
      </c>
      <c r="D881" t="s">
        <v>1140</v>
      </c>
      <c r="E881" t="s">
        <v>725</v>
      </c>
      <c r="F881">
        <v>435</v>
      </c>
      <c r="G881">
        <v>930.52213587930999</v>
      </c>
      <c r="H881">
        <v>404777.12910750002</v>
      </c>
      <c r="I881" t="s">
        <v>1587</v>
      </c>
      <c r="J881">
        <v>1.0862042867332999</v>
      </c>
    </row>
    <row r="882" spans="1:10" x14ac:dyDescent="0.25">
      <c r="A882" t="s">
        <v>126</v>
      </c>
      <c r="B882" t="s">
        <v>732</v>
      </c>
      <c r="C882" t="s">
        <v>358</v>
      </c>
      <c r="D882" t="s">
        <v>910</v>
      </c>
      <c r="E882" t="s">
        <v>725</v>
      </c>
      <c r="F882">
        <v>62</v>
      </c>
      <c r="G882">
        <v>1201.4030135621999</v>
      </c>
      <c r="H882">
        <v>74486.986840858997</v>
      </c>
      <c r="I882" t="s">
        <v>1587</v>
      </c>
      <c r="J882">
        <v>0.19988304327070999</v>
      </c>
    </row>
    <row r="883" spans="1:10" x14ac:dyDescent="0.25">
      <c r="A883" t="s">
        <v>126</v>
      </c>
      <c r="B883" t="s">
        <v>1048</v>
      </c>
      <c r="C883" t="s">
        <v>358</v>
      </c>
      <c r="D883" t="s">
        <v>1077</v>
      </c>
      <c r="E883" t="s">
        <v>725</v>
      </c>
      <c r="F883">
        <v>211</v>
      </c>
      <c r="G883">
        <v>1080.1512200499999</v>
      </c>
      <c r="H883">
        <v>227911.90743055</v>
      </c>
      <c r="I883" t="s">
        <v>1587</v>
      </c>
      <c r="J883">
        <v>0.61159307936806995</v>
      </c>
    </row>
    <row r="884" spans="1:10" x14ac:dyDescent="0.25">
      <c r="A884" t="s">
        <v>126</v>
      </c>
      <c r="B884" t="s">
        <v>1141</v>
      </c>
      <c r="C884" t="s">
        <v>358</v>
      </c>
      <c r="D884" t="s">
        <v>1142</v>
      </c>
      <c r="E884" t="s">
        <v>725</v>
      </c>
      <c r="F884">
        <v>124</v>
      </c>
      <c r="G884">
        <v>1237.89366974</v>
      </c>
      <c r="H884">
        <v>153498.81504776</v>
      </c>
      <c r="I884" t="s">
        <v>1587</v>
      </c>
      <c r="J884">
        <v>0.41190832911183001</v>
      </c>
    </row>
    <row r="885" spans="1:10" x14ac:dyDescent="0.25">
      <c r="A885" t="s">
        <v>126</v>
      </c>
      <c r="B885" t="s">
        <v>467</v>
      </c>
      <c r="C885" t="s">
        <v>358</v>
      </c>
      <c r="D885" t="s">
        <v>468</v>
      </c>
      <c r="E885" t="s">
        <v>725</v>
      </c>
      <c r="F885">
        <v>154</v>
      </c>
      <c r="G885">
        <v>1012.89459673</v>
      </c>
      <c r="H885">
        <v>155985.76789642</v>
      </c>
      <c r="I885" t="s">
        <v>1587</v>
      </c>
      <c r="J885">
        <v>0.41858197406573</v>
      </c>
    </row>
    <row r="886" spans="1:10" x14ac:dyDescent="0.25">
      <c r="A886" t="s">
        <v>126</v>
      </c>
      <c r="B886" t="s">
        <v>416</v>
      </c>
      <c r="C886" t="s">
        <v>358</v>
      </c>
      <c r="D886" t="s">
        <v>417</v>
      </c>
      <c r="E886" t="s">
        <v>725</v>
      </c>
      <c r="F886">
        <v>59</v>
      </c>
      <c r="G886">
        <v>1005.3030169899999</v>
      </c>
      <c r="H886">
        <v>59312.878002409998</v>
      </c>
      <c r="I886" t="s">
        <v>1587</v>
      </c>
      <c r="J886">
        <v>0.15916388973546999</v>
      </c>
    </row>
    <row r="887" spans="1:10" x14ac:dyDescent="0.25">
      <c r="A887" t="s">
        <v>126</v>
      </c>
      <c r="B887" t="s">
        <v>136</v>
      </c>
      <c r="C887" t="s">
        <v>358</v>
      </c>
      <c r="D887" t="s">
        <v>136</v>
      </c>
      <c r="E887" t="s">
        <v>126</v>
      </c>
      <c r="F887">
        <v>271</v>
      </c>
      <c r="G887">
        <v>341.31727410000002</v>
      </c>
      <c r="H887">
        <v>92496.981281100001</v>
      </c>
      <c r="I887" t="s">
        <v>1587</v>
      </c>
      <c r="J887">
        <v>0.24821218975229001</v>
      </c>
    </row>
    <row r="888" spans="1:10" x14ac:dyDescent="0.25">
      <c r="A888" t="s">
        <v>126</v>
      </c>
      <c r="B888" t="s">
        <v>1143</v>
      </c>
      <c r="C888" t="s">
        <v>358</v>
      </c>
      <c r="D888" t="s">
        <v>1144</v>
      </c>
      <c r="E888" t="s">
        <v>725</v>
      </c>
      <c r="F888">
        <v>89</v>
      </c>
      <c r="G888">
        <v>1071.0557951691001</v>
      </c>
      <c r="H888">
        <v>95323.965770046998</v>
      </c>
      <c r="I888" t="s">
        <v>1587</v>
      </c>
      <c r="J888">
        <v>0.25579829689523997</v>
      </c>
    </row>
    <row r="889" spans="1:10" x14ac:dyDescent="0.25">
      <c r="A889" t="s">
        <v>126</v>
      </c>
      <c r="B889" t="s">
        <v>1237</v>
      </c>
      <c r="C889" t="s">
        <v>358</v>
      </c>
      <c r="D889" t="s">
        <v>1238</v>
      </c>
      <c r="E889" t="s">
        <v>725</v>
      </c>
      <c r="F889">
        <v>542</v>
      </c>
      <c r="G889">
        <v>1025.0710065799999</v>
      </c>
      <c r="H889">
        <v>555588.48556635994</v>
      </c>
      <c r="I889" t="s">
        <v>1587</v>
      </c>
      <c r="J889">
        <v>1.4909009212365001</v>
      </c>
    </row>
    <row r="890" spans="1:10" x14ac:dyDescent="0.25">
      <c r="A890" t="s">
        <v>126</v>
      </c>
      <c r="B890" t="s">
        <v>1145</v>
      </c>
      <c r="C890" t="s">
        <v>358</v>
      </c>
      <c r="D890" t="s">
        <v>1094</v>
      </c>
      <c r="E890" t="s">
        <v>725</v>
      </c>
      <c r="F890">
        <v>98</v>
      </c>
      <c r="G890">
        <v>1003.51236116</v>
      </c>
      <c r="H890">
        <v>98344.211393680001</v>
      </c>
      <c r="I890" t="s">
        <v>1587</v>
      </c>
      <c r="J890">
        <v>0.26390301306488001</v>
      </c>
    </row>
    <row r="891" spans="1:10" x14ac:dyDescent="0.25">
      <c r="A891" t="s">
        <v>126</v>
      </c>
      <c r="B891" t="s">
        <v>1399</v>
      </c>
      <c r="C891" t="s">
        <v>358</v>
      </c>
      <c r="D891" t="s">
        <v>1400</v>
      </c>
      <c r="E891" t="s">
        <v>725</v>
      </c>
      <c r="F891">
        <v>175</v>
      </c>
      <c r="G891">
        <v>1006.56656556</v>
      </c>
      <c r="H891">
        <v>176149.148973</v>
      </c>
      <c r="I891" t="s">
        <v>1587</v>
      </c>
      <c r="J891">
        <v>0.47268965304628002</v>
      </c>
    </row>
    <row r="892" spans="1:10" x14ac:dyDescent="0.25">
      <c r="A892" t="s">
        <v>126</v>
      </c>
      <c r="B892" t="s">
        <v>941</v>
      </c>
      <c r="C892" t="s">
        <v>358</v>
      </c>
      <c r="D892" t="s">
        <v>942</v>
      </c>
      <c r="E892" t="s">
        <v>725</v>
      </c>
      <c r="F892">
        <v>71</v>
      </c>
      <c r="G892">
        <v>1001.64936821</v>
      </c>
      <c r="H892">
        <v>71117.105142910004</v>
      </c>
      <c r="I892" t="s">
        <v>1587</v>
      </c>
      <c r="J892">
        <v>0.19084009177252001</v>
      </c>
    </row>
    <row r="893" spans="1:10" x14ac:dyDescent="0.25">
      <c r="A893" t="s">
        <v>127</v>
      </c>
      <c r="B893" t="s">
        <v>1152</v>
      </c>
      <c r="C893" t="s">
        <v>358</v>
      </c>
      <c r="D893" t="s">
        <v>911</v>
      </c>
      <c r="E893" t="s">
        <v>726</v>
      </c>
      <c r="F893">
        <v>69</v>
      </c>
      <c r="G893">
        <v>1040.4633333332999</v>
      </c>
      <c r="H893">
        <v>71791.97</v>
      </c>
      <c r="I893" t="s">
        <v>1587</v>
      </c>
      <c r="J893">
        <v>0.19265106637563001</v>
      </c>
    </row>
    <row r="894" spans="1:10" x14ac:dyDescent="0.25">
      <c r="A894" t="s">
        <v>127</v>
      </c>
      <c r="B894" t="s">
        <v>38</v>
      </c>
      <c r="C894" t="s">
        <v>358</v>
      </c>
      <c r="D894" t="s">
        <v>238</v>
      </c>
      <c r="E894" t="s">
        <v>726</v>
      </c>
      <c r="F894">
        <v>326</v>
      </c>
      <c r="G894">
        <v>711.89933333332999</v>
      </c>
      <c r="H894">
        <v>213569.8</v>
      </c>
      <c r="I894" t="s">
        <v>1587</v>
      </c>
      <c r="J894">
        <v>0.57310657049292002</v>
      </c>
    </row>
    <row r="895" spans="1:10" x14ac:dyDescent="0.25">
      <c r="A895" t="s">
        <v>127</v>
      </c>
      <c r="B895" t="s">
        <v>38</v>
      </c>
      <c r="C895" t="s">
        <v>358</v>
      </c>
      <c r="D895" t="s">
        <v>1063</v>
      </c>
      <c r="E895" t="s">
        <v>726</v>
      </c>
      <c r="F895">
        <v>71</v>
      </c>
      <c r="G895">
        <v>1031.3318309859001</v>
      </c>
      <c r="H895">
        <v>73224.56</v>
      </c>
      <c r="I895" t="s">
        <v>1587</v>
      </c>
      <c r="J895">
        <v>0.19649536805977999</v>
      </c>
    </row>
    <row r="896" spans="1:10" x14ac:dyDescent="0.25">
      <c r="A896" t="s">
        <v>127</v>
      </c>
      <c r="B896" t="s">
        <v>258</v>
      </c>
      <c r="C896" t="s">
        <v>358</v>
      </c>
      <c r="D896" t="s">
        <v>259</v>
      </c>
      <c r="E896" t="s">
        <v>726</v>
      </c>
      <c r="F896">
        <v>41</v>
      </c>
      <c r="G896">
        <v>1058.0297560976001</v>
      </c>
      <c r="H896">
        <v>43379.22</v>
      </c>
      <c r="I896" t="s">
        <v>1587</v>
      </c>
      <c r="J896">
        <v>0.11640651442694</v>
      </c>
    </row>
    <row r="897" spans="1:10" x14ac:dyDescent="0.25">
      <c r="A897" t="s">
        <v>127</v>
      </c>
      <c r="B897" t="s">
        <v>397</v>
      </c>
      <c r="C897" t="s">
        <v>358</v>
      </c>
      <c r="D897" t="s">
        <v>398</v>
      </c>
      <c r="E897" t="s">
        <v>726</v>
      </c>
      <c r="F897">
        <v>470</v>
      </c>
      <c r="G897">
        <v>1015.336893617</v>
      </c>
      <c r="H897">
        <v>477208.34</v>
      </c>
      <c r="I897" t="s">
        <v>1587</v>
      </c>
      <c r="J897">
        <v>1.2805707321354001</v>
      </c>
    </row>
    <row r="898" spans="1:10" x14ac:dyDescent="0.25">
      <c r="A898" t="s">
        <v>127</v>
      </c>
      <c r="B898" t="s">
        <v>1098</v>
      </c>
      <c r="C898" t="s">
        <v>358</v>
      </c>
      <c r="D898" t="s">
        <v>1099</v>
      </c>
      <c r="E898" t="s">
        <v>726</v>
      </c>
      <c r="F898">
        <v>140</v>
      </c>
      <c r="G898">
        <v>1004.31</v>
      </c>
      <c r="H898">
        <v>140603.4</v>
      </c>
      <c r="I898" t="s">
        <v>1587</v>
      </c>
      <c r="J898">
        <v>0.37730396513760001</v>
      </c>
    </row>
    <row r="899" spans="1:10" x14ac:dyDescent="0.25">
      <c r="A899" t="s">
        <v>127</v>
      </c>
      <c r="B899" t="s">
        <v>204</v>
      </c>
      <c r="C899" t="s">
        <v>358</v>
      </c>
      <c r="D899" t="s">
        <v>206</v>
      </c>
      <c r="E899" t="s">
        <v>726</v>
      </c>
      <c r="F899">
        <v>84</v>
      </c>
      <c r="G899">
        <v>980.53738095237998</v>
      </c>
      <c r="H899">
        <v>82365.14</v>
      </c>
      <c r="I899" t="s">
        <v>1587</v>
      </c>
      <c r="J899">
        <v>0.22102377261938999</v>
      </c>
    </row>
    <row r="900" spans="1:10" x14ac:dyDescent="0.25">
      <c r="A900" t="s">
        <v>127</v>
      </c>
      <c r="B900" t="s">
        <v>204</v>
      </c>
      <c r="C900" t="s">
        <v>358</v>
      </c>
      <c r="D900" t="s">
        <v>207</v>
      </c>
      <c r="E900" t="s">
        <v>726</v>
      </c>
      <c r="F900">
        <v>35</v>
      </c>
      <c r="G900">
        <v>985.72771428571002</v>
      </c>
      <c r="H900">
        <v>34500.47</v>
      </c>
      <c r="I900" t="s">
        <v>1587</v>
      </c>
      <c r="J900">
        <v>9.2580720879516007E-2</v>
      </c>
    </row>
    <row r="901" spans="1:10" x14ac:dyDescent="0.25">
      <c r="A901" t="s">
        <v>127</v>
      </c>
      <c r="B901" t="s">
        <v>354</v>
      </c>
      <c r="C901" t="s">
        <v>358</v>
      </c>
      <c r="D901" t="s">
        <v>957</v>
      </c>
      <c r="E901" t="s">
        <v>726</v>
      </c>
      <c r="F901">
        <v>125</v>
      </c>
      <c r="G901">
        <v>1051.7175199999999</v>
      </c>
      <c r="H901">
        <v>131464.69</v>
      </c>
      <c r="I901" t="s">
        <v>1587</v>
      </c>
      <c r="J901">
        <v>0.35278057865305001</v>
      </c>
    </row>
    <row r="902" spans="1:10" x14ac:dyDescent="0.25">
      <c r="A902" t="s">
        <v>127</v>
      </c>
      <c r="B902" t="s">
        <v>396</v>
      </c>
      <c r="C902" t="s">
        <v>358</v>
      </c>
      <c r="D902" t="s">
        <v>1404</v>
      </c>
      <c r="E902" t="s">
        <v>725</v>
      </c>
      <c r="F902">
        <v>61</v>
      </c>
      <c r="G902">
        <v>441.29606557377002</v>
      </c>
      <c r="H902">
        <v>26919.06</v>
      </c>
      <c r="I902" t="s">
        <v>1587</v>
      </c>
      <c r="J902">
        <v>7.2236290699780006E-2</v>
      </c>
    </row>
    <row r="903" spans="1:10" x14ac:dyDescent="0.25">
      <c r="A903" t="s">
        <v>127</v>
      </c>
      <c r="B903" t="s">
        <v>396</v>
      </c>
      <c r="C903" t="s">
        <v>358</v>
      </c>
      <c r="D903" t="s">
        <v>1405</v>
      </c>
      <c r="E903" t="s">
        <v>725</v>
      </c>
      <c r="F903">
        <v>91</v>
      </c>
      <c r="G903">
        <v>88.502527472527007</v>
      </c>
      <c r="H903">
        <v>8053.73</v>
      </c>
      <c r="I903" t="s">
        <v>1587</v>
      </c>
      <c r="J903">
        <v>2.161188323431E-2</v>
      </c>
    </row>
    <row r="904" spans="1:10" x14ac:dyDescent="0.25">
      <c r="A904" t="s">
        <v>127</v>
      </c>
      <c r="B904" t="s">
        <v>759</v>
      </c>
      <c r="C904" t="s">
        <v>358</v>
      </c>
      <c r="D904" t="s">
        <v>760</v>
      </c>
      <c r="E904" t="s">
        <v>726</v>
      </c>
      <c r="F904">
        <v>120</v>
      </c>
      <c r="G904">
        <v>849.28083333332995</v>
      </c>
      <c r="H904">
        <v>101913.7</v>
      </c>
      <c r="I904" t="s">
        <v>1587</v>
      </c>
      <c r="J904">
        <v>0.27348160223611001</v>
      </c>
    </row>
    <row r="905" spans="1:10" x14ac:dyDescent="0.25">
      <c r="A905" t="s">
        <v>127</v>
      </c>
      <c r="B905" t="s">
        <v>37</v>
      </c>
      <c r="C905" t="s">
        <v>358</v>
      </c>
      <c r="D905" t="s">
        <v>260</v>
      </c>
      <c r="E905" t="s">
        <v>726</v>
      </c>
      <c r="F905">
        <v>69</v>
      </c>
      <c r="G905">
        <v>1057.54</v>
      </c>
      <c r="H905">
        <v>72970.259999999995</v>
      </c>
      <c r="I905" t="s">
        <v>1587</v>
      </c>
      <c r="J905">
        <v>0.19581296352095001</v>
      </c>
    </row>
    <row r="906" spans="1:10" x14ac:dyDescent="0.25">
      <c r="A906" t="s">
        <v>127</v>
      </c>
      <c r="B906" t="s">
        <v>295</v>
      </c>
      <c r="C906" t="s">
        <v>358</v>
      </c>
      <c r="D906" t="s">
        <v>300</v>
      </c>
      <c r="E906" t="s">
        <v>726</v>
      </c>
      <c r="F906">
        <v>187</v>
      </c>
      <c r="G906">
        <v>939.73</v>
      </c>
      <c r="H906">
        <v>175729.51</v>
      </c>
      <c r="I906" t="s">
        <v>1587</v>
      </c>
      <c r="J906">
        <v>0.47156356755730999</v>
      </c>
    </row>
    <row r="907" spans="1:10" x14ac:dyDescent="0.25">
      <c r="A907" t="s">
        <v>127</v>
      </c>
      <c r="B907" t="s">
        <v>295</v>
      </c>
      <c r="C907" t="s">
        <v>358</v>
      </c>
      <c r="D907" t="s">
        <v>508</v>
      </c>
      <c r="E907" t="s">
        <v>726</v>
      </c>
      <c r="F907">
        <v>83</v>
      </c>
      <c r="G907">
        <v>940.12590361445996</v>
      </c>
      <c r="H907">
        <v>78030.45</v>
      </c>
      <c r="I907" t="s">
        <v>1587</v>
      </c>
      <c r="J907">
        <v>0.20939179412782</v>
      </c>
    </row>
    <row r="908" spans="1:10" x14ac:dyDescent="0.25">
      <c r="A908" t="s">
        <v>127</v>
      </c>
      <c r="B908" t="s">
        <v>208</v>
      </c>
      <c r="C908" t="s">
        <v>358</v>
      </c>
      <c r="D908" t="s">
        <v>185</v>
      </c>
      <c r="E908" t="s">
        <v>726</v>
      </c>
      <c r="F908">
        <v>184</v>
      </c>
      <c r="G908">
        <v>1041.5369021739</v>
      </c>
      <c r="H908">
        <v>191642.79</v>
      </c>
      <c r="I908" t="s">
        <v>1587</v>
      </c>
      <c r="J908">
        <v>0.51426625925853997</v>
      </c>
    </row>
    <row r="909" spans="1:10" x14ac:dyDescent="0.25">
      <c r="A909" t="s">
        <v>127</v>
      </c>
      <c r="B909" t="s">
        <v>208</v>
      </c>
      <c r="C909" t="s">
        <v>358</v>
      </c>
      <c r="D909" t="s">
        <v>1003</v>
      </c>
      <c r="E909" t="s">
        <v>726</v>
      </c>
      <c r="F909">
        <v>185</v>
      </c>
      <c r="G909">
        <v>1009.7801081081</v>
      </c>
      <c r="H909">
        <v>186809.32</v>
      </c>
      <c r="I909" t="s">
        <v>1587</v>
      </c>
      <c r="J909">
        <v>0.50129582329203004</v>
      </c>
    </row>
    <row r="910" spans="1:10" x14ac:dyDescent="0.25">
      <c r="A910" t="s">
        <v>127</v>
      </c>
      <c r="B910" t="s">
        <v>230</v>
      </c>
      <c r="C910" t="s">
        <v>358</v>
      </c>
      <c r="D910" t="s">
        <v>327</v>
      </c>
      <c r="E910" t="s">
        <v>726</v>
      </c>
      <c r="F910">
        <v>304</v>
      </c>
      <c r="G910">
        <v>1051.2338815789001</v>
      </c>
      <c r="H910">
        <v>159787.54999999999</v>
      </c>
      <c r="I910" t="s">
        <v>1587</v>
      </c>
      <c r="J910">
        <v>0.42878391414875</v>
      </c>
    </row>
    <row r="911" spans="1:10" x14ac:dyDescent="0.25">
      <c r="A911" t="s">
        <v>127</v>
      </c>
      <c r="B911" t="s">
        <v>230</v>
      </c>
      <c r="C911" t="s">
        <v>358</v>
      </c>
      <c r="D911" t="s">
        <v>211</v>
      </c>
      <c r="E911" t="s">
        <v>726</v>
      </c>
      <c r="F911">
        <v>29</v>
      </c>
      <c r="G911">
        <v>346.55655172413998</v>
      </c>
      <c r="H911">
        <v>10050.14</v>
      </c>
      <c r="I911" t="s">
        <v>1587</v>
      </c>
      <c r="J911">
        <v>2.6969174800809001E-2</v>
      </c>
    </row>
    <row r="912" spans="1:10" x14ac:dyDescent="0.25">
      <c r="A912" t="s">
        <v>127</v>
      </c>
      <c r="B912" t="s">
        <v>8</v>
      </c>
      <c r="C912" t="s">
        <v>358</v>
      </c>
      <c r="D912" t="s">
        <v>137</v>
      </c>
      <c r="E912" t="s">
        <v>726</v>
      </c>
      <c r="F912">
        <v>187</v>
      </c>
      <c r="G912">
        <v>694.10267379678999</v>
      </c>
      <c r="H912">
        <v>129797.2</v>
      </c>
      <c r="I912" t="s">
        <v>1587</v>
      </c>
      <c r="J912">
        <v>0.34830593160449003</v>
      </c>
    </row>
    <row r="913" spans="1:10" x14ac:dyDescent="0.25">
      <c r="A913" t="s">
        <v>127</v>
      </c>
      <c r="B913" t="s">
        <v>231</v>
      </c>
      <c r="C913" t="s">
        <v>358</v>
      </c>
      <c r="D913" t="s">
        <v>221</v>
      </c>
      <c r="E913" t="s">
        <v>726</v>
      </c>
      <c r="F913">
        <v>121</v>
      </c>
      <c r="G913">
        <v>1024.0157024793</v>
      </c>
      <c r="H913">
        <v>123905.9</v>
      </c>
      <c r="I913" t="s">
        <v>1587</v>
      </c>
      <c r="J913">
        <v>0.33249684839728999</v>
      </c>
    </row>
    <row r="914" spans="1:10" x14ac:dyDescent="0.25">
      <c r="A914" t="s">
        <v>127</v>
      </c>
      <c r="B914" t="s">
        <v>428</v>
      </c>
      <c r="C914" t="s">
        <v>358</v>
      </c>
      <c r="D914" t="s">
        <v>349</v>
      </c>
      <c r="E914" t="s">
        <v>726</v>
      </c>
      <c r="F914">
        <v>305</v>
      </c>
      <c r="G914">
        <v>746.48144262295</v>
      </c>
      <c r="H914">
        <v>227676.84</v>
      </c>
      <c r="I914" t="s">
        <v>1587</v>
      </c>
      <c r="J914">
        <v>0.61096228471003999</v>
      </c>
    </row>
    <row r="915" spans="1:10" x14ac:dyDescent="0.25">
      <c r="A915" t="s">
        <v>127</v>
      </c>
      <c r="B915" t="s">
        <v>505</v>
      </c>
      <c r="C915" t="s">
        <v>358</v>
      </c>
      <c r="D915" t="s">
        <v>764</v>
      </c>
      <c r="E915" t="s">
        <v>726</v>
      </c>
      <c r="F915">
        <v>112</v>
      </c>
      <c r="G915">
        <v>1023.5421428571</v>
      </c>
      <c r="H915">
        <v>114636.72</v>
      </c>
      <c r="I915" t="s">
        <v>1587</v>
      </c>
      <c r="J915">
        <v>0.30762335054749002</v>
      </c>
    </row>
    <row r="916" spans="1:10" x14ac:dyDescent="0.25">
      <c r="A916" t="s">
        <v>127</v>
      </c>
      <c r="B916" t="s">
        <v>497</v>
      </c>
      <c r="C916" t="s">
        <v>358</v>
      </c>
      <c r="D916" t="s">
        <v>498</v>
      </c>
      <c r="E916" t="s">
        <v>726</v>
      </c>
      <c r="F916">
        <v>199</v>
      </c>
      <c r="G916">
        <v>908.06567839195998</v>
      </c>
      <c r="H916">
        <v>180705.07</v>
      </c>
      <c r="I916" t="s">
        <v>1587</v>
      </c>
      <c r="J916">
        <v>0.48491529672445999</v>
      </c>
    </row>
    <row r="917" spans="1:10" x14ac:dyDescent="0.25">
      <c r="A917" t="s">
        <v>127</v>
      </c>
      <c r="B917" t="s">
        <v>372</v>
      </c>
      <c r="C917" t="s">
        <v>358</v>
      </c>
      <c r="D917" t="s">
        <v>373</v>
      </c>
      <c r="E917" t="s">
        <v>726</v>
      </c>
      <c r="F917">
        <v>148</v>
      </c>
      <c r="G917">
        <v>1029.1448648649</v>
      </c>
      <c r="H917">
        <v>152313.44</v>
      </c>
      <c r="I917" t="s">
        <v>1587</v>
      </c>
      <c r="J917">
        <v>0.40872741950585001</v>
      </c>
    </row>
    <row r="918" spans="1:10" x14ac:dyDescent="0.25">
      <c r="A918" t="s">
        <v>127</v>
      </c>
      <c r="B918" t="s">
        <v>732</v>
      </c>
      <c r="C918" t="s">
        <v>358</v>
      </c>
      <c r="D918" t="s">
        <v>1109</v>
      </c>
      <c r="E918" t="s">
        <v>726</v>
      </c>
      <c r="F918">
        <v>159</v>
      </c>
      <c r="G918">
        <v>1027.3331446540999</v>
      </c>
      <c r="H918">
        <v>163345.97</v>
      </c>
      <c r="I918" t="s">
        <v>1587</v>
      </c>
      <c r="J918">
        <v>0.4383328011289</v>
      </c>
    </row>
    <row r="919" spans="1:10" x14ac:dyDescent="0.25">
      <c r="A919" t="s">
        <v>127</v>
      </c>
      <c r="B919" t="s">
        <v>1410</v>
      </c>
      <c r="C919" t="s">
        <v>358</v>
      </c>
      <c r="D919" t="s">
        <v>1064</v>
      </c>
      <c r="E919" t="s">
        <v>725</v>
      </c>
      <c r="F919">
        <v>140</v>
      </c>
      <c r="G919">
        <v>1005.5924285714</v>
      </c>
      <c r="H919">
        <v>140782.94</v>
      </c>
      <c r="I919" t="s">
        <v>1587</v>
      </c>
      <c r="J919">
        <v>0.37778575401255998</v>
      </c>
    </row>
    <row r="920" spans="1:10" x14ac:dyDescent="0.25">
      <c r="A920" t="s">
        <v>127</v>
      </c>
      <c r="B920" t="s">
        <v>513</v>
      </c>
      <c r="C920" t="s">
        <v>358</v>
      </c>
      <c r="D920" t="s">
        <v>514</v>
      </c>
      <c r="E920" t="s">
        <v>726</v>
      </c>
      <c r="F920">
        <v>159</v>
      </c>
      <c r="G920">
        <v>1041.5901257861999</v>
      </c>
      <c r="H920">
        <v>165612.82999999999</v>
      </c>
      <c r="I920" t="s">
        <v>1587</v>
      </c>
      <c r="J920">
        <v>0.44441583515519001</v>
      </c>
    </row>
    <row r="921" spans="1:10" x14ac:dyDescent="0.25">
      <c r="A921" t="s">
        <v>127</v>
      </c>
      <c r="B921" t="s">
        <v>1359</v>
      </c>
      <c r="C921" t="s">
        <v>358</v>
      </c>
      <c r="D921" t="s">
        <v>210</v>
      </c>
      <c r="E921" t="s">
        <v>725</v>
      </c>
      <c r="F921">
        <v>627</v>
      </c>
      <c r="G921">
        <v>56.410972886762003</v>
      </c>
      <c r="H921">
        <v>35369.68</v>
      </c>
      <c r="I921" t="s">
        <v>1587</v>
      </c>
      <c r="J921">
        <v>9.4913213404849997E-2</v>
      </c>
    </row>
    <row r="922" spans="1:10" x14ac:dyDescent="0.25">
      <c r="A922" t="s">
        <v>127</v>
      </c>
      <c r="B922" t="s">
        <v>1359</v>
      </c>
      <c r="C922" t="s">
        <v>358</v>
      </c>
      <c r="D922" t="s">
        <v>1181</v>
      </c>
      <c r="E922" t="s">
        <v>725</v>
      </c>
      <c r="F922">
        <v>3627</v>
      </c>
      <c r="G922">
        <v>7.72</v>
      </c>
      <c r="H922">
        <v>28000.44</v>
      </c>
      <c r="I922" t="s">
        <v>1587</v>
      </c>
      <c r="J922">
        <v>7.5138133484660002E-2</v>
      </c>
    </row>
    <row r="923" spans="1:10" x14ac:dyDescent="0.25">
      <c r="A923" t="s">
        <v>127</v>
      </c>
      <c r="B923" t="s">
        <v>1359</v>
      </c>
      <c r="C923" t="s">
        <v>358</v>
      </c>
      <c r="D923" t="s">
        <v>12</v>
      </c>
      <c r="E923" t="s">
        <v>725</v>
      </c>
      <c r="F923">
        <v>441</v>
      </c>
      <c r="G923">
        <v>56.410975056688997</v>
      </c>
      <c r="H923">
        <v>24877.24</v>
      </c>
      <c r="I923" t="s">
        <v>1587</v>
      </c>
      <c r="J923">
        <v>6.6757143096680002E-2</v>
      </c>
    </row>
    <row r="924" spans="1:10" x14ac:dyDescent="0.25">
      <c r="A924" t="s">
        <v>127</v>
      </c>
      <c r="B924" t="s">
        <v>1359</v>
      </c>
      <c r="C924" t="s">
        <v>358</v>
      </c>
      <c r="D924" t="s">
        <v>1182</v>
      </c>
      <c r="E924" t="s">
        <v>725</v>
      </c>
      <c r="F924">
        <v>265</v>
      </c>
      <c r="G924">
        <v>26.637283018868001</v>
      </c>
      <c r="H924">
        <v>7058.88</v>
      </c>
      <c r="I924" t="s">
        <v>1587</v>
      </c>
      <c r="J924">
        <v>1.894224046809E-2</v>
      </c>
    </row>
    <row r="925" spans="1:10" x14ac:dyDescent="0.25">
      <c r="A925" t="s">
        <v>127</v>
      </c>
      <c r="B925" t="s">
        <v>1359</v>
      </c>
      <c r="C925" t="s">
        <v>358</v>
      </c>
      <c r="D925" t="s">
        <v>1248</v>
      </c>
      <c r="E925" t="s">
        <v>725</v>
      </c>
      <c r="F925">
        <v>198</v>
      </c>
      <c r="G925">
        <v>26.637272727273</v>
      </c>
      <c r="H925">
        <v>5274.18</v>
      </c>
      <c r="I925" t="s">
        <v>1587</v>
      </c>
      <c r="J925">
        <v>1.4153064768339999E-2</v>
      </c>
    </row>
    <row r="926" spans="1:10" x14ac:dyDescent="0.25">
      <c r="A926" t="s">
        <v>127</v>
      </c>
      <c r="B926" t="s">
        <v>35</v>
      </c>
      <c r="C926" t="s">
        <v>358</v>
      </c>
      <c r="D926" t="s">
        <v>3</v>
      </c>
      <c r="E926" t="s">
        <v>78</v>
      </c>
      <c r="F926">
        <v>28</v>
      </c>
      <c r="G926">
        <v>10889.538214286</v>
      </c>
      <c r="H926">
        <v>304907.07</v>
      </c>
      <c r="I926" t="s">
        <v>1587</v>
      </c>
      <c r="J926">
        <v>0.81820671839720005</v>
      </c>
    </row>
    <row r="927" spans="1:10" x14ac:dyDescent="0.25">
      <c r="A927" t="s">
        <v>127</v>
      </c>
      <c r="B927" t="s">
        <v>309</v>
      </c>
      <c r="C927" t="s">
        <v>358</v>
      </c>
      <c r="D927" t="s">
        <v>310</v>
      </c>
      <c r="E927" t="s">
        <v>726</v>
      </c>
      <c r="F927">
        <v>405</v>
      </c>
      <c r="G927">
        <v>1056.4846363636</v>
      </c>
      <c r="H927">
        <v>232426.62</v>
      </c>
      <c r="I927" t="s">
        <v>1587</v>
      </c>
      <c r="J927">
        <v>0.62370814169166999</v>
      </c>
    </row>
    <row r="928" spans="1:10" x14ac:dyDescent="0.25">
      <c r="A928" t="s">
        <v>127</v>
      </c>
      <c r="B928" t="s">
        <v>289</v>
      </c>
      <c r="C928" t="s">
        <v>358</v>
      </c>
      <c r="D928" t="s">
        <v>266</v>
      </c>
      <c r="E928" t="s">
        <v>726</v>
      </c>
      <c r="F928">
        <v>73</v>
      </c>
      <c r="G928">
        <v>1051.5715068493</v>
      </c>
      <c r="H928">
        <v>76764.72</v>
      </c>
      <c r="I928" t="s">
        <v>1587</v>
      </c>
      <c r="J928">
        <v>0.20599525501287999</v>
      </c>
    </row>
    <row r="929" spans="1:10" x14ac:dyDescent="0.25">
      <c r="A929" t="s">
        <v>127</v>
      </c>
      <c r="B929" t="s">
        <v>427</v>
      </c>
      <c r="C929" t="s">
        <v>358</v>
      </c>
      <c r="D929" t="s">
        <v>469</v>
      </c>
      <c r="E929" t="s">
        <v>726</v>
      </c>
      <c r="F929">
        <v>109</v>
      </c>
      <c r="G929">
        <v>1024.3076146789001</v>
      </c>
      <c r="H929">
        <v>111649.53</v>
      </c>
      <c r="I929" t="s">
        <v>1587</v>
      </c>
      <c r="J929">
        <v>0.29960733790754002</v>
      </c>
    </row>
    <row r="930" spans="1:10" x14ac:dyDescent="0.25">
      <c r="A930" t="s">
        <v>127</v>
      </c>
      <c r="B930" t="s">
        <v>267</v>
      </c>
      <c r="C930" t="s">
        <v>358</v>
      </c>
      <c r="D930" t="s">
        <v>268</v>
      </c>
      <c r="E930" t="s">
        <v>726</v>
      </c>
      <c r="F930">
        <v>335</v>
      </c>
      <c r="G930">
        <v>1048.4772835821</v>
      </c>
      <c r="H930">
        <v>351239.89</v>
      </c>
      <c r="I930" t="s">
        <v>1587</v>
      </c>
      <c r="J930">
        <v>0.94253910795538998</v>
      </c>
    </row>
    <row r="931" spans="1:10" x14ac:dyDescent="0.25">
      <c r="A931" t="s">
        <v>127</v>
      </c>
      <c r="B931" t="s">
        <v>1166</v>
      </c>
      <c r="C931" t="s">
        <v>358</v>
      </c>
      <c r="D931" t="s">
        <v>1167</v>
      </c>
      <c r="E931" t="s">
        <v>726</v>
      </c>
      <c r="F931">
        <v>145</v>
      </c>
      <c r="G931">
        <v>1029.213862069</v>
      </c>
      <c r="H931">
        <v>149236.01</v>
      </c>
      <c r="I931" t="s">
        <v>1587</v>
      </c>
      <c r="J931">
        <v>0.40046925120100002</v>
      </c>
    </row>
    <row r="932" spans="1:10" x14ac:dyDescent="0.25">
      <c r="A932" t="s">
        <v>127</v>
      </c>
      <c r="B932" t="s">
        <v>758</v>
      </c>
      <c r="C932" t="s">
        <v>358</v>
      </c>
      <c r="D932" t="s">
        <v>837</v>
      </c>
      <c r="E932" t="s">
        <v>726</v>
      </c>
      <c r="F932">
        <v>93000</v>
      </c>
      <c r="G932">
        <v>1.0697169892473</v>
      </c>
      <c r="H932">
        <v>99483.68</v>
      </c>
      <c r="I932" t="s">
        <v>1587</v>
      </c>
      <c r="J932">
        <v>0.26696073445223001</v>
      </c>
    </row>
    <row r="933" spans="1:10" x14ac:dyDescent="0.25">
      <c r="A933" t="s">
        <v>127</v>
      </c>
      <c r="B933" t="s">
        <v>758</v>
      </c>
      <c r="C933" t="s">
        <v>358</v>
      </c>
      <c r="D933" t="s">
        <v>1113</v>
      </c>
      <c r="E933" t="s">
        <v>726</v>
      </c>
      <c r="F933">
        <v>31</v>
      </c>
      <c r="G933">
        <v>1049.2706451613001</v>
      </c>
      <c r="H933">
        <v>32527.39</v>
      </c>
      <c r="I933" t="s">
        <v>1587</v>
      </c>
      <c r="J933">
        <v>8.7286034495447001E-2</v>
      </c>
    </row>
    <row r="934" spans="1:10" x14ac:dyDescent="0.25">
      <c r="A934" t="s">
        <v>127</v>
      </c>
      <c r="B934" t="s">
        <v>13</v>
      </c>
      <c r="C934" t="s">
        <v>358</v>
      </c>
      <c r="D934" t="s">
        <v>242</v>
      </c>
      <c r="E934" t="s">
        <v>726</v>
      </c>
      <c r="F934">
        <v>116</v>
      </c>
      <c r="G934">
        <v>1079.6028448275999</v>
      </c>
      <c r="H934">
        <v>125233.93</v>
      </c>
      <c r="I934" t="s">
        <v>1587</v>
      </c>
      <c r="J934">
        <v>0.33606056723212002</v>
      </c>
    </row>
    <row r="935" spans="1:10" x14ac:dyDescent="0.25">
      <c r="A935" t="s">
        <v>127</v>
      </c>
      <c r="B935" t="s">
        <v>33</v>
      </c>
      <c r="C935" t="s">
        <v>358</v>
      </c>
      <c r="D935" t="s">
        <v>822</v>
      </c>
      <c r="E935" t="s">
        <v>726</v>
      </c>
      <c r="F935">
        <v>52</v>
      </c>
      <c r="G935">
        <v>1087.1005769231001</v>
      </c>
      <c r="H935">
        <v>56529.23</v>
      </c>
      <c r="I935" t="s">
        <v>1587</v>
      </c>
      <c r="J935">
        <v>0.15169407443329999</v>
      </c>
    </row>
    <row r="936" spans="1:10" x14ac:dyDescent="0.25">
      <c r="A936" t="s">
        <v>127</v>
      </c>
      <c r="B936" t="s">
        <v>975</v>
      </c>
      <c r="C936" t="s">
        <v>358</v>
      </c>
      <c r="D936" t="s">
        <v>976</v>
      </c>
      <c r="E936" t="s">
        <v>726</v>
      </c>
      <c r="F936">
        <v>44</v>
      </c>
      <c r="G936">
        <v>514.33795454544997</v>
      </c>
      <c r="H936">
        <v>22630.87</v>
      </c>
      <c r="I936" t="s">
        <v>1587</v>
      </c>
      <c r="J936">
        <v>6.0729093219037002E-2</v>
      </c>
    </row>
    <row r="937" spans="1:10" x14ac:dyDescent="0.25">
      <c r="A937" t="s">
        <v>127</v>
      </c>
      <c r="B937" t="s">
        <v>156</v>
      </c>
      <c r="C937" t="s">
        <v>358</v>
      </c>
      <c r="D937" t="s">
        <v>1040</v>
      </c>
      <c r="E937" t="s">
        <v>726</v>
      </c>
      <c r="F937">
        <v>103</v>
      </c>
      <c r="G937">
        <v>1016.8137864078</v>
      </c>
      <c r="H937">
        <v>104731.82</v>
      </c>
      <c r="I937" t="s">
        <v>1587</v>
      </c>
      <c r="J937">
        <v>0.2810439218545</v>
      </c>
    </row>
    <row r="938" spans="1:10" x14ac:dyDescent="0.25">
      <c r="A938" t="s">
        <v>127</v>
      </c>
      <c r="B938" t="s">
        <v>156</v>
      </c>
      <c r="C938" t="s">
        <v>358</v>
      </c>
      <c r="D938" t="s">
        <v>1039</v>
      </c>
      <c r="E938" t="s">
        <v>726</v>
      </c>
      <c r="F938">
        <v>63</v>
      </c>
      <c r="G938">
        <v>1015.8814285714</v>
      </c>
      <c r="H938">
        <v>64000.53</v>
      </c>
      <c r="I938" t="s">
        <v>1587</v>
      </c>
      <c r="J938">
        <v>0.17174302854630999</v>
      </c>
    </row>
    <row r="939" spans="1:10" x14ac:dyDescent="0.25">
      <c r="A939" t="s">
        <v>127</v>
      </c>
      <c r="B939" t="s">
        <v>290</v>
      </c>
      <c r="C939" t="s">
        <v>358</v>
      </c>
      <c r="D939" t="s">
        <v>240</v>
      </c>
      <c r="E939" t="s">
        <v>726</v>
      </c>
      <c r="F939">
        <v>223</v>
      </c>
      <c r="G939">
        <v>839.71107623318005</v>
      </c>
      <c r="H939">
        <v>187255.57</v>
      </c>
      <c r="I939" t="s">
        <v>1587</v>
      </c>
      <c r="J939">
        <v>0.50249331847666001</v>
      </c>
    </row>
    <row r="940" spans="1:10" x14ac:dyDescent="0.25">
      <c r="A940" t="s">
        <v>127</v>
      </c>
      <c r="B940" t="s">
        <v>863</v>
      </c>
      <c r="C940" t="s">
        <v>358</v>
      </c>
      <c r="D940" t="s">
        <v>864</v>
      </c>
      <c r="E940" t="s">
        <v>726</v>
      </c>
      <c r="F940">
        <v>431</v>
      </c>
      <c r="G940">
        <v>1054.9766589327</v>
      </c>
      <c r="H940">
        <v>454694.94</v>
      </c>
      <c r="I940" t="s">
        <v>1587</v>
      </c>
      <c r="J940">
        <v>1.2201568652679</v>
      </c>
    </row>
    <row r="941" spans="1:10" x14ac:dyDescent="0.25">
      <c r="A941" t="s">
        <v>127</v>
      </c>
      <c r="B941" t="s">
        <v>825</v>
      </c>
      <c r="C941" t="s">
        <v>358</v>
      </c>
      <c r="D941" t="s">
        <v>826</v>
      </c>
      <c r="E941" t="s">
        <v>726</v>
      </c>
      <c r="F941">
        <v>158</v>
      </c>
      <c r="G941">
        <v>1063.5217088607999</v>
      </c>
      <c r="H941">
        <v>168036.43</v>
      </c>
      <c r="I941" t="s">
        <v>1587</v>
      </c>
      <c r="J941">
        <v>0.45091947510919</v>
      </c>
    </row>
    <row r="942" spans="1:10" x14ac:dyDescent="0.25">
      <c r="A942" t="s">
        <v>127</v>
      </c>
      <c r="B942" t="s">
        <v>476</v>
      </c>
      <c r="C942" t="s">
        <v>358</v>
      </c>
      <c r="D942" t="s">
        <v>470</v>
      </c>
      <c r="E942" t="s">
        <v>726</v>
      </c>
      <c r="F942">
        <v>182</v>
      </c>
      <c r="G942">
        <v>990.09747252747002</v>
      </c>
      <c r="H942">
        <v>180197.74</v>
      </c>
      <c r="I942" t="s">
        <v>1587</v>
      </c>
      <c r="J942">
        <v>0.48355389564431001</v>
      </c>
    </row>
    <row r="943" spans="1:10" x14ac:dyDescent="0.25">
      <c r="A943" t="s">
        <v>127</v>
      </c>
      <c r="B943" t="s">
        <v>405</v>
      </c>
      <c r="C943" t="s">
        <v>358</v>
      </c>
      <c r="D943" t="s">
        <v>406</v>
      </c>
      <c r="E943" t="s">
        <v>726</v>
      </c>
      <c r="F943">
        <v>40</v>
      </c>
      <c r="G943">
        <v>767.49324999999999</v>
      </c>
      <c r="H943">
        <v>30699.73</v>
      </c>
      <c r="I943" t="s">
        <v>1587</v>
      </c>
      <c r="J943">
        <v>8.2381577242469001E-2</v>
      </c>
    </row>
    <row r="944" spans="1:10" x14ac:dyDescent="0.25">
      <c r="A944" t="s">
        <v>127</v>
      </c>
      <c r="B944" t="s">
        <v>418</v>
      </c>
      <c r="C944" t="s">
        <v>358</v>
      </c>
      <c r="D944" t="s">
        <v>419</v>
      </c>
      <c r="E944" t="s">
        <v>726</v>
      </c>
      <c r="F944">
        <v>54</v>
      </c>
      <c r="G944">
        <v>630.89574074074005</v>
      </c>
      <c r="H944">
        <v>34068.370000000003</v>
      </c>
      <c r="I944" t="s">
        <v>1587</v>
      </c>
      <c r="J944">
        <v>9.1421196690656001E-2</v>
      </c>
    </row>
    <row r="945" spans="1:10" x14ac:dyDescent="0.25">
      <c r="A945" t="s">
        <v>127</v>
      </c>
      <c r="B945" t="s">
        <v>944</v>
      </c>
      <c r="C945" t="s">
        <v>358</v>
      </c>
      <c r="D945" t="s">
        <v>945</v>
      </c>
      <c r="E945" t="s">
        <v>726</v>
      </c>
      <c r="F945">
        <v>211</v>
      </c>
      <c r="G945">
        <v>1049.0468246445</v>
      </c>
      <c r="H945">
        <v>221348.88</v>
      </c>
      <c r="I945" t="s">
        <v>1587</v>
      </c>
      <c r="J945">
        <v>0.59398144072452996</v>
      </c>
    </row>
    <row r="946" spans="1:10" x14ac:dyDescent="0.25">
      <c r="A946" t="s">
        <v>127</v>
      </c>
      <c r="B946" t="s">
        <v>1034</v>
      </c>
      <c r="C946" t="s">
        <v>358</v>
      </c>
      <c r="D946" t="s">
        <v>1033</v>
      </c>
      <c r="E946" t="s">
        <v>726</v>
      </c>
      <c r="F946">
        <v>63</v>
      </c>
      <c r="G946">
        <v>1036.45</v>
      </c>
      <c r="H946">
        <v>65296.35</v>
      </c>
      <c r="I946" t="s">
        <v>1587</v>
      </c>
      <c r="J946">
        <v>0.17522031305083999</v>
      </c>
    </row>
    <row r="947" spans="1:10" x14ac:dyDescent="0.25">
      <c r="A947" t="s">
        <v>127</v>
      </c>
      <c r="B947" t="s">
        <v>234</v>
      </c>
      <c r="C947" t="s">
        <v>358</v>
      </c>
      <c r="D947" t="s">
        <v>471</v>
      </c>
      <c r="E947" t="s">
        <v>726</v>
      </c>
      <c r="F947">
        <v>159</v>
      </c>
      <c r="G947">
        <v>988.52094339623</v>
      </c>
      <c r="H947">
        <v>157174.82999999999</v>
      </c>
      <c r="I947" t="s">
        <v>1587</v>
      </c>
      <c r="J947">
        <v>0.42177277774811001</v>
      </c>
    </row>
    <row r="948" spans="1:10" x14ac:dyDescent="0.25">
      <c r="A948" t="s">
        <v>127</v>
      </c>
      <c r="B948" t="s">
        <v>234</v>
      </c>
      <c r="C948" t="s">
        <v>358</v>
      </c>
      <c r="D948" t="s">
        <v>509</v>
      </c>
      <c r="E948" t="s">
        <v>726</v>
      </c>
      <c r="F948">
        <v>94</v>
      </c>
      <c r="G948">
        <v>843.51382978722995</v>
      </c>
      <c r="H948">
        <v>79290.3</v>
      </c>
      <c r="I948" t="s">
        <v>1587</v>
      </c>
      <c r="J948">
        <v>0.21277255448268001</v>
      </c>
    </row>
    <row r="949" spans="1:10" x14ac:dyDescent="0.25">
      <c r="A949" t="s">
        <v>127</v>
      </c>
      <c r="B949" t="s">
        <v>891</v>
      </c>
      <c r="C949" t="s">
        <v>358</v>
      </c>
      <c r="D949" t="s">
        <v>472</v>
      </c>
      <c r="E949" t="s">
        <v>726</v>
      </c>
      <c r="F949">
        <v>189</v>
      </c>
      <c r="G949">
        <v>839.83608465607995</v>
      </c>
      <c r="H949">
        <v>158729.01999999999</v>
      </c>
      <c r="I949" t="s">
        <v>1587</v>
      </c>
      <c r="J949">
        <v>0.42594338848425001</v>
      </c>
    </row>
    <row r="950" spans="1:10" x14ac:dyDescent="0.25">
      <c r="A950" t="s">
        <v>127</v>
      </c>
      <c r="B950" t="s">
        <v>213</v>
      </c>
      <c r="C950" t="s">
        <v>358</v>
      </c>
      <c r="D950" t="s">
        <v>332</v>
      </c>
      <c r="E950" t="s">
        <v>726</v>
      </c>
      <c r="F950">
        <v>217</v>
      </c>
      <c r="G950">
        <v>1053.82359447</v>
      </c>
      <c r="H950">
        <v>228679.72</v>
      </c>
      <c r="I950" t="s">
        <v>1587</v>
      </c>
      <c r="J950">
        <v>0.61365347568092998</v>
      </c>
    </row>
    <row r="951" spans="1:10" x14ac:dyDescent="0.25">
      <c r="A951" t="s">
        <v>127</v>
      </c>
      <c r="B951" t="s">
        <v>203</v>
      </c>
      <c r="C951" t="s">
        <v>358</v>
      </c>
      <c r="D951" t="s">
        <v>750</v>
      </c>
      <c r="E951" t="s">
        <v>723</v>
      </c>
      <c r="F951">
        <v>172</v>
      </c>
      <c r="G951">
        <v>1375.0623255814</v>
      </c>
      <c r="H951">
        <v>236510.72</v>
      </c>
      <c r="I951" t="s">
        <v>1587</v>
      </c>
      <c r="J951">
        <v>0.63466767129066004</v>
      </c>
    </row>
    <row r="952" spans="1:10" x14ac:dyDescent="0.25">
      <c r="A952" t="s">
        <v>127</v>
      </c>
      <c r="B952" t="s">
        <v>429</v>
      </c>
      <c r="C952" t="s">
        <v>358</v>
      </c>
      <c r="D952" t="s">
        <v>347</v>
      </c>
      <c r="E952" t="s">
        <v>726</v>
      </c>
      <c r="F952">
        <v>126</v>
      </c>
      <c r="G952">
        <v>995.34761904762001</v>
      </c>
      <c r="H952">
        <v>125413.8</v>
      </c>
      <c r="I952" t="s">
        <v>1587</v>
      </c>
      <c r="J952">
        <v>0.33654324164972999</v>
      </c>
    </row>
    <row r="953" spans="1:10" x14ac:dyDescent="0.25">
      <c r="A953" t="s">
        <v>127</v>
      </c>
      <c r="B953" t="s">
        <v>473</v>
      </c>
      <c r="C953" t="s">
        <v>358</v>
      </c>
      <c r="D953" t="s">
        <v>1121</v>
      </c>
      <c r="E953" t="s">
        <v>725</v>
      </c>
      <c r="F953">
        <v>23</v>
      </c>
      <c r="G953">
        <v>42.056521739129998</v>
      </c>
      <c r="H953">
        <v>967.3</v>
      </c>
      <c r="I953" t="s">
        <v>1587</v>
      </c>
      <c r="J953">
        <v>2.59571337164E-3</v>
      </c>
    </row>
    <row r="954" spans="1:10" x14ac:dyDescent="0.25">
      <c r="A954" t="s">
        <v>127</v>
      </c>
      <c r="B954" t="s">
        <v>10</v>
      </c>
      <c r="C954" t="s">
        <v>358</v>
      </c>
      <c r="D954" t="s">
        <v>1330</v>
      </c>
      <c r="E954" t="s">
        <v>726</v>
      </c>
      <c r="F954">
        <v>193</v>
      </c>
      <c r="G954">
        <v>672.56170984456003</v>
      </c>
      <c r="H954">
        <v>129804.41</v>
      </c>
      <c r="I954" t="s">
        <v>1587</v>
      </c>
      <c r="J954">
        <v>0.34832527936982</v>
      </c>
    </row>
    <row r="955" spans="1:10" x14ac:dyDescent="0.25">
      <c r="A955" t="s">
        <v>127</v>
      </c>
      <c r="B955" t="s">
        <v>46</v>
      </c>
      <c r="C955" t="s">
        <v>358</v>
      </c>
      <c r="D955" t="s">
        <v>4</v>
      </c>
      <c r="E955" t="s">
        <v>726</v>
      </c>
      <c r="F955">
        <v>82</v>
      </c>
      <c r="G955">
        <v>1059.1479268293001</v>
      </c>
      <c r="H955">
        <v>86850.13</v>
      </c>
      <c r="I955" t="s">
        <v>1587</v>
      </c>
      <c r="J955">
        <v>0.23305907553954</v>
      </c>
    </row>
    <row r="956" spans="1:10" x14ac:dyDescent="0.25">
      <c r="A956" t="s">
        <v>127</v>
      </c>
      <c r="B956" t="s">
        <v>215</v>
      </c>
      <c r="C956" t="s">
        <v>358</v>
      </c>
      <c r="D956" t="s">
        <v>216</v>
      </c>
      <c r="E956" t="s">
        <v>726</v>
      </c>
      <c r="F956">
        <v>2</v>
      </c>
      <c r="G956">
        <v>507.01499999999999</v>
      </c>
      <c r="H956">
        <v>1014.03</v>
      </c>
      <c r="I956" t="s">
        <v>1587</v>
      </c>
      <c r="J956">
        <v>2.7211115788698999E-3</v>
      </c>
    </row>
    <row r="957" spans="1:10" x14ac:dyDescent="0.25">
      <c r="A957" t="s">
        <v>127</v>
      </c>
      <c r="B957" t="s">
        <v>233</v>
      </c>
      <c r="C957" t="s">
        <v>358</v>
      </c>
      <c r="D957" t="s">
        <v>239</v>
      </c>
      <c r="E957" t="s">
        <v>726</v>
      </c>
      <c r="F957">
        <v>218</v>
      </c>
      <c r="G957">
        <v>1054.8551834862001</v>
      </c>
      <c r="H957">
        <v>229958.43</v>
      </c>
      <c r="I957" t="s">
        <v>1587</v>
      </c>
      <c r="J957">
        <v>0.61708484614040005</v>
      </c>
    </row>
    <row r="958" spans="1:10" x14ac:dyDescent="0.25">
      <c r="A958" t="s">
        <v>127</v>
      </c>
      <c r="B958" t="s">
        <v>506</v>
      </c>
      <c r="C958" t="s">
        <v>358</v>
      </c>
      <c r="D958" t="s">
        <v>879</v>
      </c>
      <c r="E958" t="s">
        <v>726</v>
      </c>
      <c r="F958">
        <v>173</v>
      </c>
      <c r="G958">
        <v>1021.6195375723</v>
      </c>
      <c r="H958">
        <v>176740.18</v>
      </c>
      <c r="I958" t="s">
        <v>1587</v>
      </c>
      <c r="J958">
        <v>0.47427566270185001</v>
      </c>
    </row>
    <row r="959" spans="1:10" x14ac:dyDescent="0.25">
      <c r="A959" t="s">
        <v>236</v>
      </c>
      <c r="B959" t="s">
        <v>237</v>
      </c>
      <c r="C959" t="s">
        <v>358</v>
      </c>
      <c r="D959" t="s">
        <v>311</v>
      </c>
      <c r="E959" t="s">
        <v>723</v>
      </c>
      <c r="F959">
        <v>249</v>
      </c>
      <c r="G959">
        <v>944.97277108434002</v>
      </c>
      <c r="H959">
        <v>235298.22</v>
      </c>
      <c r="I959" t="s">
        <v>1587</v>
      </c>
      <c r="J959">
        <v>0.63141397288984003</v>
      </c>
    </row>
    <row r="960" spans="1:10" x14ac:dyDescent="0.25">
      <c r="A960" t="s">
        <v>236</v>
      </c>
      <c r="B960" t="s">
        <v>270</v>
      </c>
      <c r="C960" t="s">
        <v>358</v>
      </c>
      <c r="D960" t="s">
        <v>439</v>
      </c>
      <c r="E960" t="s">
        <v>725</v>
      </c>
      <c r="F960">
        <v>283</v>
      </c>
      <c r="G960">
        <v>463.70130742049002</v>
      </c>
      <c r="H960">
        <v>131227.47</v>
      </c>
      <c r="I960" t="s">
        <v>1587</v>
      </c>
      <c r="J960">
        <v>0.35214400765539999</v>
      </c>
    </row>
    <row r="961" spans="1:10" x14ac:dyDescent="0.25">
      <c r="A961" t="s">
        <v>236</v>
      </c>
      <c r="B961" t="s">
        <v>270</v>
      </c>
      <c r="C961" t="s">
        <v>358</v>
      </c>
      <c r="D961" t="s">
        <v>1016</v>
      </c>
      <c r="E961" t="s">
        <v>726</v>
      </c>
      <c r="F961">
        <v>70</v>
      </c>
      <c r="G961">
        <v>446.98914285714</v>
      </c>
      <c r="H961">
        <v>31289.24</v>
      </c>
      <c r="I961" t="s">
        <v>1587</v>
      </c>
      <c r="J961">
        <v>8.3963505278977002E-2</v>
      </c>
    </row>
    <row r="962" spans="1:10" x14ac:dyDescent="0.25">
      <c r="A962" t="s">
        <v>236</v>
      </c>
      <c r="B962" t="s">
        <v>740</v>
      </c>
      <c r="C962" t="s">
        <v>358</v>
      </c>
      <c r="D962" t="s">
        <v>438</v>
      </c>
      <c r="E962" t="s">
        <v>726</v>
      </c>
      <c r="F962">
        <v>103</v>
      </c>
      <c r="G962">
        <v>678.49272151899004</v>
      </c>
      <c r="H962">
        <v>69884.750316456004</v>
      </c>
      <c r="I962" t="s">
        <v>1587</v>
      </c>
      <c r="J962">
        <v>0.18753311368750999</v>
      </c>
    </row>
    <row r="963" spans="1:10" x14ac:dyDescent="0.25">
      <c r="A963" t="s">
        <v>236</v>
      </c>
      <c r="B963" t="s">
        <v>740</v>
      </c>
      <c r="C963" t="s">
        <v>358</v>
      </c>
      <c r="D963" t="s">
        <v>438</v>
      </c>
      <c r="E963" t="s">
        <v>725</v>
      </c>
      <c r="F963">
        <v>55</v>
      </c>
      <c r="G963">
        <v>678.49272151899004</v>
      </c>
      <c r="H963">
        <v>37317.099683544002</v>
      </c>
      <c r="I963" t="s">
        <v>1587</v>
      </c>
      <c r="J963">
        <v>0.10013904128944</v>
      </c>
    </row>
    <row r="964" spans="1:10" x14ac:dyDescent="0.25">
      <c r="A964" t="s">
        <v>186</v>
      </c>
      <c r="B964" t="s">
        <v>189</v>
      </c>
      <c r="C964" t="s">
        <v>358</v>
      </c>
      <c r="D964" t="s">
        <v>271</v>
      </c>
      <c r="E964" t="s">
        <v>723</v>
      </c>
      <c r="F964">
        <v>185</v>
      </c>
      <c r="G964">
        <v>1129.4248108108</v>
      </c>
      <c r="H964">
        <v>208943.59</v>
      </c>
      <c r="I964" t="s">
        <v>1587</v>
      </c>
      <c r="J964">
        <v>0.56069230898459999</v>
      </c>
    </row>
    <row r="965" spans="1:10" x14ac:dyDescent="0.25">
      <c r="A965" t="s">
        <v>186</v>
      </c>
      <c r="B965" t="s">
        <v>189</v>
      </c>
      <c r="C965" t="s">
        <v>358</v>
      </c>
      <c r="D965" t="s">
        <v>272</v>
      </c>
      <c r="E965" t="s">
        <v>726</v>
      </c>
      <c r="F965">
        <v>250</v>
      </c>
      <c r="G965">
        <v>84.800560000000004</v>
      </c>
      <c r="H965">
        <v>21200.14</v>
      </c>
      <c r="I965" t="s">
        <v>1587</v>
      </c>
      <c r="J965">
        <v>5.6889782775325998E-2</v>
      </c>
    </row>
    <row r="966" spans="1:10" x14ac:dyDescent="0.25">
      <c r="A966" t="s">
        <v>488</v>
      </c>
      <c r="B966" t="s">
        <v>767</v>
      </c>
      <c r="C966" t="s">
        <v>358</v>
      </c>
      <c r="D966" t="s">
        <v>768</v>
      </c>
      <c r="E966" t="s">
        <v>726</v>
      </c>
      <c r="F966">
        <v>92</v>
      </c>
      <c r="G966">
        <v>1211.4409782609</v>
      </c>
      <c r="H966">
        <v>111452.57</v>
      </c>
      <c r="I966" t="s">
        <v>1587</v>
      </c>
      <c r="J966">
        <v>0.29907880311412</v>
      </c>
    </row>
    <row r="967" spans="1:10" x14ac:dyDescent="0.25">
      <c r="A967" t="s">
        <v>488</v>
      </c>
      <c r="B967" t="s">
        <v>1027</v>
      </c>
      <c r="C967" t="s">
        <v>358</v>
      </c>
      <c r="D967" t="s">
        <v>1084</v>
      </c>
      <c r="E967" t="s">
        <v>725</v>
      </c>
      <c r="F967">
        <v>180</v>
      </c>
      <c r="G967">
        <v>1058.5013888889</v>
      </c>
      <c r="H967">
        <v>190530.25</v>
      </c>
      <c r="I967" t="s">
        <v>1587</v>
      </c>
      <c r="J967">
        <v>0.51128079977909002</v>
      </c>
    </row>
    <row r="968" spans="1:10" x14ac:dyDescent="0.25">
      <c r="A968" t="s">
        <v>488</v>
      </c>
      <c r="B968" t="s">
        <v>1123</v>
      </c>
      <c r="C968" t="s">
        <v>358</v>
      </c>
      <c r="D968" t="s">
        <v>1161</v>
      </c>
      <c r="E968" t="s">
        <v>725</v>
      </c>
      <c r="F968">
        <v>192</v>
      </c>
      <c r="G968">
        <v>1028.2422395833</v>
      </c>
      <c r="H968">
        <v>197422.51</v>
      </c>
      <c r="I968" t="s">
        <v>1587</v>
      </c>
      <c r="J968">
        <v>0.52977592170899002</v>
      </c>
    </row>
    <row r="969" spans="1:10" x14ac:dyDescent="0.25">
      <c r="A969" t="s">
        <v>488</v>
      </c>
      <c r="B969" t="s">
        <v>1123</v>
      </c>
      <c r="C969" t="s">
        <v>358</v>
      </c>
      <c r="D969" t="s">
        <v>1127</v>
      </c>
      <c r="E969" t="s">
        <v>725</v>
      </c>
      <c r="F969">
        <v>143</v>
      </c>
      <c r="G969">
        <v>1049.5388111888001</v>
      </c>
      <c r="H969">
        <v>150084.04999999999</v>
      </c>
      <c r="I969" t="s">
        <v>1587</v>
      </c>
      <c r="J969">
        <v>0.40274493482313001</v>
      </c>
    </row>
    <row r="970" spans="1:10" x14ac:dyDescent="0.25">
      <c r="A970" t="s">
        <v>488</v>
      </c>
      <c r="B970" t="s">
        <v>1062</v>
      </c>
      <c r="C970" t="s">
        <v>358</v>
      </c>
      <c r="D970" t="s">
        <v>1128</v>
      </c>
      <c r="E970" t="s">
        <v>725</v>
      </c>
      <c r="F970">
        <v>176</v>
      </c>
      <c r="G970">
        <v>1073.2106818182001</v>
      </c>
      <c r="H970">
        <v>188885.08</v>
      </c>
      <c r="I970" t="s">
        <v>1587</v>
      </c>
      <c r="J970">
        <v>0.50686604761572995</v>
      </c>
    </row>
    <row r="971" spans="1:10" x14ac:dyDescent="0.25">
      <c r="A971" t="s">
        <v>144</v>
      </c>
      <c r="B971" t="s">
        <v>103</v>
      </c>
      <c r="C971" t="s">
        <v>358</v>
      </c>
      <c r="D971" t="s">
        <v>144</v>
      </c>
      <c r="E971" t="s">
        <v>725</v>
      </c>
      <c r="F971" t="s">
        <v>103</v>
      </c>
      <c r="G971" t="s">
        <v>1587</v>
      </c>
      <c r="H971">
        <v>1999.99</v>
      </c>
      <c r="I971" t="s">
        <v>1587</v>
      </c>
      <c r="J971">
        <v>5.3668983625999997E-3</v>
      </c>
    </row>
    <row r="972" spans="1:10" x14ac:dyDescent="0.25">
      <c r="A972" t="s">
        <v>132</v>
      </c>
      <c r="B972" t="s">
        <v>1024</v>
      </c>
      <c r="C972" t="s">
        <v>358</v>
      </c>
      <c r="D972" t="s">
        <v>1023</v>
      </c>
      <c r="E972" t="s">
        <v>725</v>
      </c>
      <c r="F972">
        <v>23</v>
      </c>
      <c r="G972">
        <v>5.32</v>
      </c>
      <c r="H972">
        <v>122.36</v>
      </c>
      <c r="I972" t="s">
        <v>1587</v>
      </c>
      <c r="J972">
        <v>3.2834848357000002E-4</v>
      </c>
    </row>
    <row r="973" spans="1:10" x14ac:dyDescent="0.25">
      <c r="A973" t="s">
        <v>132</v>
      </c>
      <c r="B973" t="s">
        <v>158</v>
      </c>
      <c r="C973" t="s">
        <v>358</v>
      </c>
      <c r="D973" t="s">
        <v>229</v>
      </c>
      <c r="E973" t="s">
        <v>733</v>
      </c>
      <c r="F973">
        <v>5340</v>
      </c>
      <c r="G973">
        <v>17.850000000000001</v>
      </c>
      <c r="H973">
        <v>95319</v>
      </c>
      <c r="I973" t="s">
        <v>1587</v>
      </c>
      <c r="J973">
        <v>0.25578497143703999</v>
      </c>
    </row>
    <row r="974" spans="1:10" x14ac:dyDescent="0.25">
      <c r="A974" t="s">
        <v>132</v>
      </c>
      <c r="B974" t="s">
        <v>158</v>
      </c>
      <c r="C974" t="s">
        <v>358</v>
      </c>
      <c r="D974" t="s">
        <v>229</v>
      </c>
      <c r="E974" t="s">
        <v>725</v>
      </c>
      <c r="F974">
        <v>660</v>
      </c>
      <c r="G974">
        <v>17.850000000000001</v>
      </c>
      <c r="H974">
        <v>11781</v>
      </c>
      <c r="I974" t="s">
        <v>1587</v>
      </c>
      <c r="J974">
        <v>3.1613872874241E-2</v>
      </c>
    </row>
    <row r="975" spans="1:10" x14ac:dyDescent="0.25">
      <c r="A975" t="s">
        <v>132</v>
      </c>
      <c r="B975" t="s">
        <v>473</v>
      </c>
      <c r="C975" t="s">
        <v>358</v>
      </c>
      <c r="D975" t="s">
        <v>1022</v>
      </c>
      <c r="E975" t="s">
        <v>725</v>
      </c>
      <c r="F975">
        <v>37</v>
      </c>
      <c r="G975">
        <v>5.31</v>
      </c>
      <c r="H975">
        <v>196.55</v>
      </c>
      <c r="I975" t="s">
        <v>1587</v>
      </c>
      <c r="J975">
        <v>5.2743457376000003E-4</v>
      </c>
    </row>
    <row r="976" spans="1:10" x14ac:dyDescent="0.25">
      <c r="A976" t="s">
        <v>105</v>
      </c>
      <c r="B976" t="s">
        <v>103</v>
      </c>
      <c r="C976" t="s">
        <v>299</v>
      </c>
      <c r="D976" t="s">
        <v>105</v>
      </c>
      <c r="E976" t="s">
        <v>725</v>
      </c>
      <c r="F976" t="s">
        <v>103</v>
      </c>
      <c r="G976" t="s">
        <v>1587</v>
      </c>
      <c r="H976">
        <v>336.12</v>
      </c>
      <c r="I976" t="s">
        <v>1587</v>
      </c>
      <c r="J976">
        <v>1.5464315324E-4</v>
      </c>
    </row>
    <row r="977" spans="1:10" x14ac:dyDescent="0.25">
      <c r="A977" t="s">
        <v>117</v>
      </c>
      <c r="B977" t="s">
        <v>851</v>
      </c>
      <c r="C977" t="s">
        <v>299</v>
      </c>
      <c r="D977" t="s">
        <v>244</v>
      </c>
      <c r="E977" t="s">
        <v>725</v>
      </c>
      <c r="F977">
        <v>136424638</v>
      </c>
      <c r="G977">
        <v>1.4897220033014</v>
      </c>
      <c r="H977">
        <v>203234785.02103001</v>
      </c>
      <c r="I977" t="s">
        <v>1587</v>
      </c>
      <c r="J977">
        <v>93.504903023967003</v>
      </c>
    </row>
    <row r="978" spans="1:10" x14ac:dyDescent="0.25">
      <c r="A978" t="s">
        <v>118</v>
      </c>
      <c r="B978" t="s">
        <v>25</v>
      </c>
      <c r="C978" t="s">
        <v>299</v>
      </c>
      <c r="D978" t="s">
        <v>119</v>
      </c>
      <c r="E978" t="s">
        <v>725</v>
      </c>
      <c r="F978">
        <v>532792</v>
      </c>
      <c r="G978">
        <v>4.6704733628686999</v>
      </c>
      <c r="H978">
        <v>2488390.8439495</v>
      </c>
      <c r="I978" t="s">
        <v>1587</v>
      </c>
      <c r="J978">
        <v>1.1448667339361001</v>
      </c>
    </row>
    <row r="979" spans="1:10" x14ac:dyDescent="0.25">
      <c r="A979" t="s">
        <v>118</v>
      </c>
      <c r="B979" t="s">
        <v>1236</v>
      </c>
      <c r="C979" t="s">
        <v>299</v>
      </c>
      <c r="D979" t="s">
        <v>940</v>
      </c>
      <c r="E979" t="s">
        <v>725</v>
      </c>
      <c r="F979">
        <v>9288624</v>
      </c>
      <c r="G979">
        <v>1.2487329767298001</v>
      </c>
      <c r="H979">
        <v>11599011.097244</v>
      </c>
      <c r="I979" t="s">
        <v>1587</v>
      </c>
      <c r="J979">
        <v>5.3365097304058997</v>
      </c>
    </row>
    <row r="980" spans="1:10" x14ac:dyDescent="0.25">
      <c r="A980" t="s">
        <v>131</v>
      </c>
      <c r="B980" t="s">
        <v>140</v>
      </c>
      <c r="C980" t="s">
        <v>299</v>
      </c>
      <c r="D980">
        <v>760199</v>
      </c>
      <c r="E980" t="s">
        <v>725</v>
      </c>
      <c r="F980">
        <v>8</v>
      </c>
      <c r="G980">
        <v>3685.7112499999998</v>
      </c>
      <c r="H980">
        <v>29485.69</v>
      </c>
      <c r="I980" t="s">
        <v>1587</v>
      </c>
      <c r="J980">
        <v>1.3565869561939999E-2</v>
      </c>
    </row>
    <row r="981" spans="1:10" x14ac:dyDescent="0.25">
      <c r="A981" t="s">
        <v>144</v>
      </c>
      <c r="B981" t="s">
        <v>103</v>
      </c>
      <c r="C981" t="s">
        <v>299</v>
      </c>
      <c r="D981" t="s">
        <v>144</v>
      </c>
      <c r="E981" t="s">
        <v>725</v>
      </c>
      <c r="F981" t="s">
        <v>103</v>
      </c>
      <c r="G981" t="s">
        <v>1587</v>
      </c>
      <c r="H981" t="s">
        <v>1587</v>
      </c>
      <c r="I981" t="s">
        <v>1587</v>
      </c>
      <c r="J981" t="s">
        <v>1587</v>
      </c>
    </row>
    <row r="982" spans="1:10" x14ac:dyDescent="0.25">
      <c r="A982" t="s">
        <v>99</v>
      </c>
      <c r="B982" t="s">
        <v>140</v>
      </c>
      <c r="C982" t="s">
        <v>109</v>
      </c>
      <c r="D982" t="s">
        <v>248</v>
      </c>
      <c r="E982" t="s">
        <v>724</v>
      </c>
      <c r="F982">
        <v>60</v>
      </c>
      <c r="G982">
        <v>16114.2235</v>
      </c>
      <c r="H982">
        <v>966853.41</v>
      </c>
      <c r="I982" t="s">
        <v>1587</v>
      </c>
      <c r="J982">
        <v>2.9858486660949</v>
      </c>
    </row>
    <row r="983" spans="1:10" x14ac:dyDescent="0.25">
      <c r="A983" t="s">
        <v>99</v>
      </c>
      <c r="B983" t="s">
        <v>140</v>
      </c>
      <c r="C983" t="s">
        <v>109</v>
      </c>
      <c r="D983" t="s">
        <v>188</v>
      </c>
      <c r="E983" t="s">
        <v>724</v>
      </c>
      <c r="F983">
        <v>60</v>
      </c>
      <c r="G983">
        <v>16113.965666667</v>
      </c>
      <c r="H983">
        <v>966837.94</v>
      </c>
      <c r="I983" t="s">
        <v>1587</v>
      </c>
      <c r="J983">
        <v>2.9858008914494998</v>
      </c>
    </row>
    <row r="984" spans="1:10" x14ac:dyDescent="0.25">
      <c r="A984" t="s">
        <v>105</v>
      </c>
      <c r="B984" t="s">
        <v>103</v>
      </c>
      <c r="C984" t="s">
        <v>109</v>
      </c>
      <c r="D984" t="s">
        <v>105</v>
      </c>
      <c r="E984" t="s">
        <v>725</v>
      </c>
      <c r="F984" t="s">
        <v>103</v>
      </c>
      <c r="G984" t="s">
        <v>1587</v>
      </c>
      <c r="H984">
        <v>-73475.48</v>
      </c>
      <c r="I984" t="s">
        <v>1587</v>
      </c>
      <c r="J984">
        <v>-0.22690788663472999</v>
      </c>
    </row>
    <row r="985" spans="1:10" x14ac:dyDescent="0.25">
      <c r="A985" t="s">
        <v>134</v>
      </c>
      <c r="B985" t="s">
        <v>191</v>
      </c>
      <c r="C985" t="s">
        <v>109</v>
      </c>
      <c r="D985" t="s">
        <v>517</v>
      </c>
      <c r="E985" t="s">
        <v>78</v>
      </c>
      <c r="F985">
        <v>4</v>
      </c>
      <c r="G985">
        <v>534728.39</v>
      </c>
      <c r="H985">
        <v>2138913.56</v>
      </c>
      <c r="I985" t="s">
        <v>1587</v>
      </c>
      <c r="J985">
        <v>6.6054193262021004</v>
      </c>
    </row>
    <row r="986" spans="1:10" x14ac:dyDescent="0.25">
      <c r="A986" t="s">
        <v>134</v>
      </c>
      <c r="B986" t="s">
        <v>490</v>
      </c>
      <c r="C986" t="s">
        <v>109</v>
      </c>
      <c r="D986" t="s">
        <v>491</v>
      </c>
      <c r="E986" t="s">
        <v>726</v>
      </c>
      <c r="F986">
        <v>2</v>
      </c>
      <c r="G986">
        <v>708004.46</v>
      </c>
      <c r="H986">
        <v>1416008.92</v>
      </c>
      <c r="I986" t="s">
        <v>1587</v>
      </c>
      <c r="J986">
        <v>4.3729362706188999</v>
      </c>
    </row>
    <row r="987" spans="1:10" x14ac:dyDescent="0.25">
      <c r="A987" t="s">
        <v>134</v>
      </c>
      <c r="B987" t="s">
        <v>190</v>
      </c>
      <c r="C987" t="s">
        <v>109</v>
      </c>
      <c r="D987" t="s">
        <v>1188</v>
      </c>
      <c r="E987" t="s">
        <v>78</v>
      </c>
      <c r="F987">
        <v>3</v>
      </c>
      <c r="G987">
        <v>640815.28666667</v>
      </c>
      <c r="H987">
        <v>1922445.86</v>
      </c>
      <c r="I987" t="s">
        <v>1587</v>
      </c>
      <c r="J987">
        <v>5.9369210961574002</v>
      </c>
    </row>
    <row r="988" spans="1:10" x14ac:dyDescent="0.25">
      <c r="A988" t="s">
        <v>134</v>
      </c>
      <c r="B988" t="s">
        <v>190</v>
      </c>
      <c r="C988" t="s">
        <v>109</v>
      </c>
      <c r="D988" t="s">
        <v>1189</v>
      </c>
      <c r="E988" t="s">
        <v>78</v>
      </c>
      <c r="F988">
        <v>2</v>
      </c>
      <c r="G988">
        <v>913251.93</v>
      </c>
      <c r="H988">
        <v>1826503.86</v>
      </c>
      <c r="I988" t="s">
        <v>1587</v>
      </c>
      <c r="J988">
        <v>5.6406318244233997</v>
      </c>
    </row>
    <row r="989" spans="1:10" x14ac:dyDescent="0.25">
      <c r="A989" t="s">
        <v>134</v>
      </c>
      <c r="B989" t="s">
        <v>190</v>
      </c>
      <c r="C989" t="s">
        <v>109</v>
      </c>
      <c r="D989" t="s">
        <v>1190</v>
      </c>
      <c r="E989" t="s">
        <v>78</v>
      </c>
      <c r="F989">
        <v>1</v>
      </c>
      <c r="G989">
        <v>918287.48</v>
      </c>
      <c r="H989">
        <v>918287.48</v>
      </c>
      <c r="I989" t="s">
        <v>1587</v>
      </c>
      <c r="J989">
        <v>2.8358667600393002</v>
      </c>
    </row>
    <row r="990" spans="1:10" x14ac:dyDescent="0.25">
      <c r="A990" t="s">
        <v>134</v>
      </c>
      <c r="B990" t="s">
        <v>190</v>
      </c>
      <c r="C990" t="s">
        <v>109</v>
      </c>
      <c r="D990" t="s">
        <v>1191</v>
      </c>
      <c r="E990" t="s">
        <v>78</v>
      </c>
      <c r="F990">
        <v>1</v>
      </c>
      <c r="G990">
        <v>731104.18</v>
      </c>
      <c r="H990">
        <v>731104.18</v>
      </c>
      <c r="I990" t="s">
        <v>1587</v>
      </c>
      <c r="J990">
        <v>2.2578049764849002</v>
      </c>
    </row>
    <row r="991" spans="1:10" x14ac:dyDescent="0.25">
      <c r="A991" t="s">
        <v>112</v>
      </c>
      <c r="B991" t="s">
        <v>201</v>
      </c>
      <c r="C991" t="s">
        <v>109</v>
      </c>
      <c r="D991" t="s">
        <v>1192</v>
      </c>
      <c r="E991" t="s">
        <v>725</v>
      </c>
      <c r="F991">
        <v>5</v>
      </c>
      <c r="G991">
        <v>61329.72</v>
      </c>
      <c r="H991">
        <v>306648.59999999998</v>
      </c>
      <c r="I991" t="s">
        <v>1587</v>
      </c>
      <c r="J991">
        <v>0.94699600146198004</v>
      </c>
    </row>
    <row r="992" spans="1:10" x14ac:dyDescent="0.25">
      <c r="A992" t="s">
        <v>112</v>
      </c>
      <c r="B992" t="s">
        <v>324</v>
      </c>
      <c r="C992" t="s">
        <v>109</v>
      </c>
      <c r="D992" t="s">
        <v>325</v>
      </c>
      <c r="E992" t="s">
        <v>726</v>
      </c>
      <c r="F992">
        <v>8</v>
      </c>
      <c r="G992">
        <v>71979.173636363994</v>
      </c>
      <c r="H992">
        <v>575833.38909090997</v>
      </c>
      <c r="I992" t="s">
        <v>1587</v>
      </c>
      <c r="J992">
        <v>1.7782957984396</v>
      </c>
    </row>
    <row r="993" spans="1:10" x14ac:dyDescent="0.25">
      <c r="A993" t="s">
        <v>112</v>
      </c>
      <c r="B993" t="s">
        <v>324</v>
      </c>
      <c r="C993" t="s">
        <v>109</v>
      </c>
      <c r="D993" t="s">
        <v>325</v>
      </c>
      <c r="E993" t="s">
        <v>78</v>
      </c>
      <c r="F993">
        <v>3</v>
      </c>
      <c r="G993">
        <v>71979.173636363994</v>
      </c>
      <c r="H993">
        <v>215937.52090909</v>
      </c>
      <c r="I993" t="s">
        <v>1587</v>
      </c>
      <c r="J993">
        <v>0.66686092441486</v>
      </c>
    </row>
    <row r="994" spans="1:10" x14ac:dyDescent="0.25">
      <c r="A994" t="s">
        <v>112</v>
      </c>
      <c r="B994" t="s">
        <v>324</v>
      </c>
      <c r="C994" t="s">
        <v>109</v>
      </c>
      <c r="D994" t="s">
        <v>1193</v>
      </c>
      <c r="E994" t="s">
        <v>725</v>
      </c>
      <c r="F994">
        <v>1</v>
      </c>
      <c r="G994">
        <v>74720.350000000006</v>
      </c>
      <c r="H994">
        <v>74720.350000000006</v>
      </c>
      <c r="I994" t="s">
        <v>1587</v>
      </c>
      <c r="J994">
        <v>0.23075230957466999</v>
      </c>
    </row>
    <row r="995" spans="1:10" x14ac:dyDescent="0.25">
      <c r="A995" t="s">
        <v>112</v>
      </c>
      <c r="B995" t="s">
        <v>193</v>
      </c>
      <c r="C995" t="s">
        <v>109</v>
      </c>
      <c r="D995" t="s">
        <v>1194</v>
      </c>
      <c r="E995" t="s">
        <v>725</v>
      </c>
      <c r="F995">
        <v>48</v>
      </c>
      <c r="G995">
        <v>72753.372916666995</v>
      </c>
      <c r="H995">
        <v>3492161.9</v>
      </c>
      <c r="I995" t="s">
        <v>1587</v>
      </c>
      <c r="J995">
        <v>10.784537596969001</v>
      </c>
    </row>
    <row r="996" spans="1:10" x14ac:dyDescent="0.25">
      <c r="A996" t="s">
        <v>113</v>
      </c>
      <c r="B996" t="s">
        <v>114</v>
      </c>
      <c r="C996" t="s">
        <v>109</v>
      </c>
      <c r="D996" t="s">
        <v>479</v>
      </c>
      <c r="E996" t="s">
        <v>431</v>
      </c>
      <c r="F996">
        <v>5</v>
      </c>
      <c r="G996">
        <v>89079.679999999993</v>
      </c>
      <c r="H996">
        <v>121.28</v>
      </c>
      <c r="I996">
        <v>445398.4</v>
      </c>
      <c r="J996">
        <v>1.3754848509257001</v>
      </c>
    </row>
    <row r="997" spans="1:10" x14ac:dyDescent="0.25">
      <c r="A997" t="s">
        <v>113</v>
      </c>
      <c r="B997" t="s">
        <v>114</v>
      </c>
      <c r="C997" t="s">
        <v>109</v>
      </c>
      <c r="D997" t="s">
        <v>179</v>
      </c>
      <c r="E997" t="s">
        <v>350</v>
      </c>
      <c r="F997">
        <v>1</v>
      </c>
      <c r="G997">
        <v>139301.90008560001</v>
      </c>
      <c r="H997">
        <v>52.34</v>
      </c>
      <c r="I997">
        <v>139301.90008560001</v>
      </c>
      <c r="J997">
        <v>0.43019385178057001</v>
      </c>
    </row>
    <row r="998" spans="1:10" x14ac:dyDescent="0.25">
      <c r="A998" t="s">
        <v>113</v>
      </c>
      <c r="B998" t="s">
        <v>114</v>
      </c>
      <c r="C998" t="s">
        <v>109</v>
      </c>
      <c r="D998" t="s">
        <v>202</v>
      </c>
      <c r="E998" t="s">
        <v>431</v>
      </c>
      <c r="F998">
        <v>6</v>
      </c>
      <c r="G998">
        <v>59837.78</v>
      </c>
      <c r="H998">
        <v>-404.4</v>
      </c>
      <c r="I998">
        <v>359026.68</v>
      </c>
      <c r="J998">
        <v>1.1087506363249999</v>
      </c>
    </row>
    <row r="999" spans="1:10" x14ac:dyDescent="0.25">
      <c r="A999" t="s">
        <v>124</v>
      </c>
      <c r="B999" t="s">
        <v>853</v>
      </c>
      <c r="C999" t="s">
        <v>109</v>
      </c>
      <c r="D999" t="s">
        <v>125</v>
      </c>
      <c r="E999" t="s">
        <v>724</v>
      </c>
      <c r="F999">
        <v>579033</v>
      </c>
      <c r="G999">
        <v>3.8382098075434001</v>
      </c>
      <c r="H999">
        <v>145210.99164878999</v>
      </c>
      <c r="I999" t="s">
        <v>1587</v>
      </c>
      <c r="J999">
        <v>0.44844238147421001</v>
      </c>
    </row>
    <row r="1000" spans="1:10" x14ac:dyDescent="0.25">
      <c r="A1000" t="s">
        <v>124</v>
      </c>
      <c r="B1000" t="s">
        <v>861</v>
      </c>
      <c r="C1000" t="s">
        <v>109</v>
      </c>
      <c r="D1000" t="s">
        <v>226</v>
      </c>
      <c r="E1000" t="s">
        <v>724</v>
      </c>
      <c r="F1000">
        <v>1981480</v>
      </c>
      <c r="G1000">
        <v>14.742871697809999</v>
      </c>
      <c r="H1000">
        <v>4099741.9903421002</v>
      </c>
      <c r="I1000" t="s">
        <v>1587</v>
      </c>
      <c r="J1000">
        <v>12.660873951095001</v>
      </c>
    </row>
    <row r="1001" spans="1:10" x14ac:dyDescent="0.25">
      <c r="A1001" t="s">
        <v>124</v>
      </c>
      <c r="B1001" t="s">
        <v>900</v>
      </c>
      <c r="C1001" t="s">
        <v>109</v>
      </c>
      <c r="D1001" t="s">
        <v>901</v>
      </c>
      <c r="E1001" t="s">
        <v>725</v>
      </c>
      <c r="F1001">
        <v>64761</v>
      </c>
      <c r="G1001">
        <v>11.095960154734</v>
      </c>
      <c r="H1001">
        <v>718585.47558073001</v>
      </c>
      <c r="I1001" t="s">
        <v>1587</v>
      </c>
      <c r="J1001">
        <v>2.2191445585716001</v>
      </c>
    </row>
    <row r="1002" spans="1:10" x14ac:dyDescent="0.25">
      <c r="A1002" t="s">
        <v>124</v>
      </c>
      <c r="B1002" t="s">
        <v>900</v>
      </c>
      <c r="C1002" t="s">
        <v>109</v>
      </c>
      <c r="D1002" t="s">
        <v>904</v>
      </c>
      <c r="E1002" t="s">
        <v>725</v>
      </c>
      <c r="F1002">
        <v>64761</v>
      </c>
      <c r="G1002">
        <v>11.095953948845001</v>
      </c>
      <c r="H1002">
        <v>718585.07368118002</v>
      </c>
      <c r="I1002" t="s">
        <v>1587</v>
      </c>
      <c r="J1002">
        <v>2.2191433174204001</v>
      </c>
    </row>
    <row r="1003" spans="1:10" x14ac:dyDescent="0.25">
      <c r="A1003" t="s">
        <v>124</v>
      </c>
      <c r="B1003" t="s">
        <v>900</v>
      </c>
      <c r="C1003" t="s">
        <v>109</v>
      </c>
      <c r="D1003" t="s">
        <v>902</v>
      </c>
      <c r="E1003" t="s">
        <v>725</v>
      </c>
      <c r="F1003">
        <v>64761</v>
      </c>
      <c r="G1003">
        <v>11.095919606732</v>
      </c>
      <c r="H1003">
        <v>718582.84965156997</v>
      </c>
      <c r="I1003" t="s">
        <v>1587</v>
      </c>
      <c r="J1003">
        <v>2.2191364491446999</v>
      </c>
    </row>
    <row r="1004" spans="1:10" x14ac:dyDescent="0.25">
      <c r="A1004" t="s">
        <v>124</v>
      </c>
      <c r="B1004" t="s">
        <v>900</v>
      </c>
      <c r="C1004" t="s">
        <v>109</v>
      </c>
      <c r="D1004" t="s">
        <v>903</v>
      </c>
      <c r="E1004" t="s">
        <v>725</v>
      </c>
      <c r="F1004">
        <v>64761</v>
      </c>
      <c r="G1004">
        <v>11.095900942514</v>
      </c>
      <c r="H1004">
        <v>718581.64093816001</v>
      </c>
      <c r="I1004" t="s">
        <v>1587</v>
      </c>
      <c r="J1004">
        <v>2.219132716381</v>
      </c>
    </row>
    <row r="1005" spans="1:10" x14ac:dyDescent="0.25">
      <c r="A1005" t="s">
        <v>124</v>
      </c>
      <c r="B1005" t="s">
        <v>900</v>
      </c>
      <c r="C1005" t="s">
        <v>109</v>
      </c>
      <c r="D1005" t="s">
        <v>908</v>
      </c>
      <c r="E1005" t="s">
        <v>725</v>
      </c>
      <c r="F1005">
        <v>64761</v>
      </c>
      <c r="G1005">
        <v>11.095884809398999</v>
      </c>
      <c r="H1005">
        <v>718580.59614148003</v>
      </c>
      <c r="I1005" t="s">
        <v>1587</v>
      </c>
      <c r="J1005">
        <v>2.2191294898269001</v>
      </c>
    </row>
    <row r="1006" spans="1:10" x14ac:dyDescent="0.25">
      <c r="A1006" t="s">
        <v>124</v>
      </c>
      <c r="B1006" t="s">
        <v>900</v>
      </c>
      <c r="C1006" t="s">
        <v>109</v>
      </c>
      <c r="D1006" t="s">
        <v>909</v>
      </c>
      <c r="E1006" t="s">
        <v>725</v>
      </c>
      <c r="F1006">
        <v>64761</v>
      </c>
      <c r="G1006">
        <v>11.095799236567</v>
      </c>
      <c r="H1006">
        <v>718575.05435935</v>
      </c>
      <c r="I1006" t="s">
        <v>1587</v>
      </c>
      <c r="J1006">
        <v>2.2191123756267999</v>
      </c>
    </row>
    <row r="1007" spans="1:10" x14ac:dyDescent="0.25">
      <c r="A1007" t="s">
        <v>124</v>
      </c>
      <c r="B1007" t="s">
        <v>900</v>
      </c>
      <c r="C1007" t="s">
        <v>109</v>
      </c>
      <c r="D1007" t="s">
        <v>906</v>
      </c>
      <c r="E1007" t="s">
        <v>725</v>
      </c>
      <c r="F1007">
        <v>64761</v>
      </c>
      <c r="G1007">
        <v>11.09567075234</v>
      </c>
      <c r="H1007">
        <v>718566.73359229998</v>
      </c>
      <c r="I1007" t="s">
        <v>1587</v>
      </c>
      <c r="J1007">
        <v>2.2190866793309998</v>
      </c>
    </row>
    <row r="1008" spans="1:10" x14ac:dyDescent="0.25">
      <c r="A1008" t="s">
        <v>124</v>
      </c>
      <c r="B1008" t="s">
        <v>900</v>
      </c>
      <c r="C1008" t="s">
        <v>109</v>
      </c>
      <c r="D1008" t="s">
        <v>907</v>
      </c>
      <c r="E1008" t="s">
        <v>725</v>
      </c>
      <c r="F1008">
        <v>64761</v>
      </c>
      <c r="G1008">
        <v>11.095660710002001</v>
      </c>
      <c r="H1008">
        <v>718566.08324046002</v>
      </c>
      <c r="I1008" t="s">
        <v>1587</v>
      </c>
      <c r="J1008">
        <v>2.2190846709063998</v>
      </c>
    </row>
    <row r="1009" spans="1:10" x14ac:dyDescent="0.25">
      <c r="A1009" t="s">
        <v>124</v>
      </c>
      <c r="B1009" t="s">
        <v>900</v>
      </c>
      <c r="C1009" t="s">
        <v>109</v>
      </c>
      <c r="D1009" t="s">
        <v>905</v>
      </c>
      <c r="E1009" t="s">
        <v>725</v>
      </c>
      <c r="F1009">
        <v>64762</v>
      </c>
      <c r="G1009">
        <v>11.095180287032001</v>
      </c>
      <c r="H1009">
        <v>718546.06574879005</v>
      </c>
      <c r="I1009" t="s">
        <v>1587</v>
      </c>
      <c r="J1009">
        <v>2.2190228526408999</v>
      </c>
    </row>
    <row r="1010" spans="1:10" x14ac:dyDescent="0.25">
      <c r="A1010" t="s">
        <v>127</v>
      </c>
      <c r="B1010" t="s">
        <v>396</v>
      </c>
      <c r="C1010" t="s">
        <v>109</v>
      </c>
      <c r="D1010" t="s">
        <v>1404</v>
      </c>
      <c r="E1010" t="s">
        <v>725</v>
      </c>
      <c r="F1010">
        <v>41</v>
      </c>
      <c r="G1010">
        <v>443.21780487805</v>
      </c>
      <c r="H1010">
        <v>18171.93</v>
      </c>
      <c r="I1010" t="s">
        <v>1587</v>
      </c>
      <c r="J1010">
        <v>5.6118779113440001E-2</v>
      </c>
    </row>
    <row r="1011" spans="1:10" x14ac:dyDescent="0.25">
      <c r="A1011" t="s">
        <v>127</v>
      </c>
      <c r="B1011" t="s">
        <v>396</v>
      </c>
      <c r="C1011" t="s">
        <v>109</v>
      </c>
      <c r="D1011" t="s">
        <v>1405</v>
      </c>
      <c r="E1011" t="s">
        <v>725</v>
      </c>
      <c r="F1011">
        <v>61</v>
      </c>
      <c r="G1011">
        <v>88.897704918033</v>
      </c>
      <c r="H1011">
        <v>5422.76</v>
      </c>
      <c r="I1011" t="s">
        <v>1587</v>
      </c>
      <c r="J1011">
        <v>1.6746634541579999E-2</v>
      </c>
    </row>
    <row r="1012" spans="1:10" x14ac:dyDescent="0.25">
      <c r="A1012" t="s">
        <v>127</v>
      </c>
      <c r="B1012" t="s">
        <v>1359</v>
      </c>
      <c r="C1012" t="s">
        <v>109</v>
      </c>
      <c r="D1012" t="s">
        <v>12</v>
      </c>
      <c r="E1012" t="s">
        <v>725</v>
      </c>
      <c r="F1012">
        <v>12597</v>
      </c>
      <c r="G1012">
        <v>56.463641343177002</v>
      </c>
      <c r="H1012">
        <v>711272.49</v>
      </c>
      <c r="I1012" t="s">
        <v>1587</v>
      </c>
      <c r="J1012">
        <v>2.1965605059990998</v>
      </c>
    </row>
    <row r="1013" spans="1:10" x14ac:dyDescent="0.25">
      <c r="A1013" t="s">
        <v>127</v>
      </c>
      <c r="B1013" t="s">
        <v>1359</v>
      </c>
      <c r="C1013" t="s">
        <v>109</v>
      </c>
      <c r="D1013" t="s">
        <v>1181</v>
      </c>
      <c r="E1013" t="s">
        <v>725</v>
      </c>
      <c r="F1013">
        <v>43985</v>
      </c>
      <c r="G1013">
        <v>7.96</v>
      </c>
      <c r="H1013">
        <v>350120.6</v>
      </c>
      <c r="I1013" t="s">
        <v>1587</v>
      </c>
      <c r="J1013">
        <v>1.0812467698515</v>
      </c>
    </row>
    <row r="1014" spans="1:10" x14ac:dyDescent="0.25">
      <c r="A1014" t="s">
        <v>127</v>
      </c>
      <c r="B1014" t="s">
        <v>1359</v>
      </c>
      <c r="C1014" t="s">
        <v>109</v>
      </c>
      <c r="D1014" t="s">
        <v>1248</v>
      </c>
      <c r="E1014" t="s">
        <v>725</v>
      </c>
      <c r="F1014">
        <v>5295</v>
      </c>
      <c r="G1014">
        <v>26.660100094429001</v>
      </c>
      <c r="H1014">
        <v>141165.23000000001</v>
      </c>
      <c r="I1014" t="s">
        <v>1587</v>
      </c>
      <c r="J1014">
        <v>0.43594821028193997</v>
      </c>
    </row>
    <row r="1015" spans="1:10" x14ac:dyDescent="0.25">
      <c r="A1015" t="s">
        <v>488</v>
      </c>
      <c r="B1015" t="s">
        <v>767</v>
      </c>
      <c r="C1015" t="s">
        <v>109</v>
      </c>
      <c r="D1015" t="s">
        <v>768</v>
      </c>
      <c r="E1015" t="s">
        <v>726</v>
      </c>
      <c r="F1015">
        <v>202</v>
      </c>
      <c r="G1015">
        <v>1212.0464356436</v>
      </c>
      <c r="H1015">
        <v>244833.38</v>
      </c>
      <c r="I1015" t="s">
        <v>1587</v>
      </c>
      <c r="J1015">
        <v>0.75609747406126004</v>
      </c>
    </row>
    <row r="1016" spans="1:10" x14ac:dyDescent="0.25">
      <c r="A1016" t="s">
        <v>488</v>
      </c>
      <c r="B1016" t="s">
        <v>341</v>
      </c>
      <c r="C1016" t="s">
        <v>109</v>
      </c>
      <c r="D1016" t="s">
        <v>1198</v>
      </c>
      <c r="E1016" t="s">
        <v>725</v>
      </c>
      <c r="F1016">
        <v>4500</v>
      </c>
      <c r="G1016">
        <v>1048.3406955556</v>
      </c>
      <c r="H1016">
        <v>4717533.13</v>
      </c>
      <c r="I1016" t="s">
        <v>1587</v>
      </c>
      <c r="J1016">
        <v>14.568744194084999</v>
      </c>
    </row>
    <row r="1017" spans="1:10" x14ac:dyDescent="0.25">
      <c r="A1017" t="s">
        <v>144</v>
      </c>
      <c r="B1017" t="s">
        <v>103</v>
      </c>
      <c r="C1017" t="s">
        <v>109</v>
      </c>
      <c r="D1017" t="s">
        <v>144</v>
      </c>
      <c r="E1017" t="s">
        <v>725</v>
      </c>
      <c r="F1017" t="s">
        <v>103</v>
      </c>
      <c r="G1017" t="s">
        <v>1587</v>
      </c>
      <c r="H1017">
        <v>2000.05</v>
      </c>
      <c r="I1017" t="s">
        <v>1587</v>
      </c>
      <c r="J1017">
        <v>6.1765791617000004E-3</v>
      </c>
    </row>
    <row r="1018" spans="1:10" x14ac:dyDescent="0.25">
      <c r="A1018" t="s">
        <v>124</v>
      </c>
      <c r="B1018" t="s">
        <v>852</v>
      </c>
      <c r="C1018" t="s">
        <v>1076</v>
      </c>
      <c r="D1018" t="s">
        <v>340</v>
      </c>
      <c r="E1018" t="s">
        <v>725</v>
      </c>
      <c r="F1018">
        <v>25666</v>
      </c>
      <c r="G1018">
        <v>14.899602032432</v>
      </c>
      <c r="H1018">
        <v>382413.18576441001</v>
      </c>
      <c r="I1018" t="s">
        <v>1587</v>
      </c>
      <c r="J1018" t="s">
        <v>1587</v>
      </c>
    </row>
    <row r="1019" spans="1:10" x14ac:dyDescent="0.25">
      <c r="A1019" t="s">
        <v>124</v>
      </c>
      <c r="B1019" t="s">
        <v>853</v>
      </c>
      <c r="C1019" t="s">
        <v>1076</v>
      </c>
      <c r="D1019" t="s">
        <v>125</v>
      </c>
      <c r="E1019" t="s">
        <v>724</v>
      </c>
      <c r="F1019">
        <v>262497</v>
      </c>
      <c r="G1019">
        <v>3.8381677365238001</v>
      </c>
      <c r="H1019">
        <v>329959.60397348</v>
      </c>
      <c r="I1019" t="s">
        <v>1587</v>
      </c>
      <c r="J1019" t="s">
        <v>1587</v>
      </c>
    </row>
    <row r="1020" spans="1:10" x14ac:dyDescent="0.25">
      <c r="A1020" t="s">
        <v>99</v>
      </c>
      <c r="B1020" t="s">
        <v>140</v>
      </c>
      <c r="C1020" t="s">
        <v>1073</v>
      </c>
      <c r="D1020" t="s">
        <v>154</v>
      </c>
      <c r="E1020" t="s">
        <v>725</v>
      </c>
      <c r="F1020">
        <v>284</v>
      </c>
      <c r="G1020">
        <v>4331.4000352112998</v>
      </c>
      <c r="H1020">
        <v>1230117.6100000001</v>
      </c>
      <c r="I1020" t="s">
        <v>1587</v>
      </c>
      <c r="J1020">
        <v>3.9348457159037999</v>
      </c>
    </row>
    <row r="1021" spans="1:10" x14ac:dyDescent="0.25">
      <c r="A1021" t="s">
        <v>105</v>
      </c>
      <c r="B1021" t="s">
        <v>103</v>
      </c>
      <c r="C1021" t="s">
        <v>1073</v>
      </c>
      <c r="D1021" t="s">
        <v>105</v>
      </c>
      <c r="E1021" t="s">
        <v>725</v>
      </c>
      <c r="F1021" t="s">
        <v>103</v>
      </c>
      <c r="G1021" t="s">
        <v>1587</v>
      </c>
      <c r="H1021">
        <v>-10653.87</v>
      </c>
      <c r="I1021" t="s">
        <v>1587</v>
      </c>
      <c r="J1021">
        <v>-3.4079127383029997E-2</v>
      </c>
    </row>
    <row r="1022" spans="1:10" x14ac:dyDescent="0.25">
      <c r="A1022" t="s">
        <v>134</v>
      </c>
      <c r="B1022" t="s">
        <v>191</v>
      </c>
      <c r="C1022" t="s">
        <v>1073</v>
      </c>
      <c r="D1022" t="s">
        <v>517</v>
      </c>
      <c r="E1022" t="s">
        <v>725</v>
      </c>
      <c r="F1022">
        <v>1</v>
      </c>
      <c r="G1022">
        <v>534022.09</v>
      </c>
      <c r="H1022">
        <v>534022.09</v>
      </c>
      <c r="I1022" t="s">
        <v>1587</v>
      </c>
      <c r="J1022">
        <v>1.708206203986</v>
      </c>
    </row>
    <row r="1023" spans="1:10" x14ac:dyDescent="0.25">
      <c r="A1023" t="s">
        <v>134</v>
      </c>
      <c r="B1023" t="s">
        <v>190</v>
      </c>
      <c r="C1023" t="s">
        <v>1073</v>
      </c>
      <c r="D1023" t="s">
        <v>111</v>
      </c>
      <c r="E1023" t="s">
        <v>725</v>
      </c>
      <c r="F1023">
        <v>1</v>
      </c>
      <c r="G1023">
        <v>549943.69999999995</v>
      </c>
      <c r="H1023">
        <v>549943.69999999995</v>
      </c>
      <c r="I1023" t="s">
        <v>1587</v>
      </c>
      <c r="J1023">
        <v>1.7591355447170001</v>
      </c>
    </row>
    <row r="1024" spans="1:10" x14ac:dyDescent="0.25">
      <c r="A1024" t="s">
        <v>135</v>
      </c>
      <c r="B1024" t="s">
        <v>399</v>
      </c>
      <c r="C1024" t="s">
        <v>1073</v>
      </c>
      <c r="D1024" t="s">
        <v>887</v>
      </c>
      <c r="E1024" t="s">
        <v>725</v>
      </c>
      <c r="F1024">
        <v>1</v>
      </c>
      <c r="G1024">
        <v>309657.90000000002</v>
      </c>
      <c r="H1024">
        <v>309657.90000000002</v>
      </c>
      <c r="I1024" t="s">
        <v>1587</v>
      </c>
      <c r="J1024">
        <v>0.99051997248519996</v>
      </c>
    </row>
    <row r="1025" spans="1:10" x14ac:dyDescent="0.25">
      <c r="A1025" t="s">
        <v>135</v>
      </c>
      <c r="B1025" t="s">
        <v>193</v>
      </c>
      <c r="C1025" t="s">
        <v>1073</v>
      </c>
      <c r="D1025" t="s">
        <v>1264</v>
      </c>
      <c r="E1025" t="s">
        <v>725</v>
      </c>
      <c r="F1025">
        <v>2</v>
      </c>
      <c r="G1025">
        <v>338337.505</v>
      </c>
      <c r="H1025">
        <v>676675.01</v>
      </c>
      <c r="I1025" t="s">
        <v>1587</v>
      </c>
      <c r="J1025">
        <v>2.1645180448702002</v>
      </c>
    </row>
    <row r="1026" spans="1:10" x14ac:dyDescent="0.25">
      <c r="A1026" t="s">
        <v>135</v>
      </c>
      <c r="B1026" t="s">
        <v>193</v>
      </c>
      <c r="C1026" t="s">
        <v>1073</v>
      </c>
      <c r="D1026" t="s">
        <v>1265</v>
      </c>
      <c r="E1026" t="s">
        <v>725</v>
      </c>
      <c r="F1026">
        <v>1</v>
      </c>
      <c r="G1026">
        <v>338337.51</v>
      </c>
      <c r="H1026">
        <v>338337.51</v>
      </c>
      <c r="I1026" t="s">
        <v>1587</v>
      </c>
      <c r="J1026">
        <v>1.0822590384288999</v>
      </c>
    </row>
    <row r="1027" spans="1:10" x14ac:dyDescent="0.25">
      <c r="A1027" t="s">
        <v>135</v>
      </c>
      <c r="B1027" t="s">
        <v>190</v>
      </c>
      <c r="C1027" t="s">
        <v>1073</v>
      </c>
      <c r="D1027" t="s">
        <v>200</v>
      </c>
      <c r="E1027" t="s">
        <v>725</v>
      </c>
      <c r="F1027">
        <v>1</v>
      </c>
      <c r="G1027">
        <v>546388.59</v>
      </c>
      <c r="H1027">
        <v>546388.59</v>
      </c>
      <c r="I1027" t="s">
        <v>1587</v>
      </c>
      <c r="J1027">
        <v>1.7477636163425001</v>
      </c>
    </row>
    <row r="1028" spans="1:10" x14ac:dyDescent="0.25">
      <c r="A1028" t="s">
        <v>135</v>
      </c>
      <c r="B1028" t="s">
        <v>190</v>
      </c>
      <c r="C1028" t="s">
        <v>1073</v>
      </c>
      <c r="D1028" t="s">
        <v>1266</v>
      </c>
      <c r="E1028" t="s">
        <v>725</v>
      </c>
      <c r="F1028">
        <v>1</v>
      </c>
      <c r="G1028">
        <v>350616.47</v>
      </c>
      <c r="H1028">
        <v>350616.47</v>
      </c>
      <c r="I1028" t="s">
        <v>1587</v>
      </c>
      <c r="J1028">
        <v>1.1215364317114001</v>
      </c>
    </row>
    <row r="1029" spans="1:10" x14ac:dyDescent="0.25">
      <c r="A1029" t="s">
        <v>112</v>
      </c>
      <c r="B1029" t="s">
        <v>201</v>
      </c>
      <c r="C1029" t="s">
        <v>1073</v>
      </c>
      <c r="D1029" t="s">
        <v>1267</v>
      </c>
      <c r="E1029" t="s">
        <v>725</v>
      </c>
      <c r="F1029">
        <v>3</v>
      </c>
      <c r="G1029">
        <v>60666.093333333003</v>
      </c>
      <c r="H1029">
        <v>181998.28</v>
      </c>
      <c r="I1029" t="s">
        <v>1587</v>
      </c>
      <c r="J1029">
        <v>0.58216803542861995</v>
      </c>
    </row>
    <row r="1030" spans="1:10" x14ac:dyDescent="0.25">
      <c r="A1030" t="s">
        <v>112</v>
      </c>
      <c r="B1030" t="s">
        <v>201</v>
      </c>
      <c r="C1030" t="s">
        <v>1073</v>
      </c>
      <c r="D1030" t="s">
        <v>1268</v>
      </c>
      <c r="E1030" t="s">
        <v>725</v>
      </c>
      <c r="F1030">
        <v>2</v>
      </c>
      <c r="G1030">
        <v>61292.85</v>
      </c>
      <c r="H1030">
        <v>122585.7</v>
      </c>
      <c r="I1030" t="s">
        <v>1587</v>
      </c>
      <c r="J1030">
        <v>0.39212170653834</v>
      </c>
    </row>
    <row r="1031" spans="1:10" x14ac:dyDescent="0.25">
      <c r="A1031" t="s">
        <v>112</v>
      </c>
      <c r="B1031" t="s">
        <v>201</v>
      </c>
      <c r="C1031" t="s">
        <v>1073</v>
      </c>
      <c r="D1031" t="s">
        <v>930</v>
      </c>
      <c r="E1031" t="s">
        <v>725</v>
      </c>
      <c r="F1031">
        <v>2</v>
      </c>
      <c r="G1031">
        <v>55650.05</v>
      </c>
      <c r="H1031">
        <v>111300.1</v>
      </c>
      <c r="I1031" t="s">
        <v>1587</v>
      </c>
      <c r="J1031">
        <v>0.35602182921733999</v>
      </c>
    </row>
    <row r="1032" spans="1:10" x14ac:dyDescent="0.25">
      <c r="A1032" t="s">
        <v>112</v>
      </c>
      <c r="B1032" t="s">
        <v>465</v>
      </c>
      <c r="C1032" t="s">
        <v>1073</v>
      </c>
      <c r="D1032" t="s">
        <v>1053</v>
      </c>
      <c r="E1032" t="s">
        <v>725</v>
      </c>
      <c r="F1032">
        <v>4</v>
      </c>
      <c r="G1032">
        <v>56445.537499999999</v>
      </c>
      <c r="H1032">
        <v>225782.15</v>
      </c>
      <c r="I1032" t="s">
        <v>1587</v>
      </c>
      <c r="J1032">
        <v>0.72222193913234001</v>
      </c>
    </row>
    <row r="1033" spans="1:10" x14ac:dyDescent="0.25">
      <c r="A1033" t="s">
        <v>112</v>
      </c>
      <c r="B1033" t="s">
        <v>1088</v>
      </c>
      <c r="C1033" t="s">
        <v>1073</v>
      </c>
      <c r="D1033" t="s">
        <v>1269</v>
      </c>
      <c r="E1033" t="s">
        <v>725</v>
      </c>
      <c r="F1033">
        <v>3</v>
      </c>
      <c r="G1033">
        <v>52570.03</v>
      </c>
      <c r="H1033">
        <v>157710.09</v>
      </c>
      <c r="I1033" t="s">
        <v>1587</v>
      </c>
      <c r="J1033">
        <v>0.50447604923833</v>
      </c>
    </row>
    <row r="1034" spans="1:10" x14ac:dyDescent="0.25">
      <c r="A1034" t="s">
        <v>112</v>
      </c>
      <c r="B1034" t="s">
        <v>805</v>
      </c>
      <c r="C1034" t="s">
        <v>1073</v>
      </c>
      <c r="D1034" t="s">
        <v>997</v>
      </c>
      <c r="E1034" t="s">
        <v>725</v>
      </c>
      <c r="F1034">
        <v>5</v>
      </c>
      <c r="G1034">
        <v>54586.671999999999</v>
      </c>
      <c r="H1034">
        <v>272933.36</v>
      </c>
      <c r="I1034" t="s">
        <v>1587</v>
      </c>
      <c r="J1034">
        <v>0.87304714085282997</v>
      </c>
    </row>
    <row r="1035" spans="1:10" x14ac:dyDescent="0.25">
      <c r="A1035" t="s">
        <v>112</v>
      </c>
      <c r="B1035" t="s">
        <v>1062</v>
      </c>
      <c r="C1035" t="s">
        <v>1073</v>
      </c>
      <c r="D1035" t="s">
        <v>1093</v>
      </c>
      <c r="E1035" t="s">
        <v>725</v>
      </c>
      <c r="F1035">
        <v>3</v>
      </c>
      <c r="G1035">
        <v>53895.216666667002</v>
      </c>
      <c r="H1035">
        <v>161685.65</v>
      </c>
      <c r="I1035" t="s">
        <v>1587</v>
      </c>
      <c r="J1035">
        <v>0.51719289444659</v>
      </c>
    </row>
    <row r="1036" spans="1:10" x14ac:dyDescent="0.25">
      <c r="A1036" t="s">
        <v>112</v>
      </c>
      <c r="B1036" t="s">
        <v>360</v>
      </c>
      <c r="C1036" t="s">
        <v>1073</v>
      </c>
      <c r="D1036" t="s">
        <v>1050</v>
      </c>
      <c r="E1036" t="s">
        <v>725</v>
      </c>
      <c r="F1036">
        <v>7</v>
      </c>
      <c r="G1036">
        <v>55966.71</v>
      </c>
      <c r="H1036">
        <v>391766.97</v>
      </c>
      <c r="I1036" t="s">
        <v>1587</v>
      </c>
      <c r="J1036">
        <v>1.2531668281191</v>
      </c>
    </row>
    <row r="1037" spans="1:10" x14ac:dyDescent="0.25">
      <c r="A1037" t="s">
        <v>112</v>
      </c>
      <c r="B1037" t="s">
        <v>360</v>
      </c>
      <c r="C1037" t="s">
        <v>1073</v>
      </c>
      <c r="D1037" t="s">
        <v>1270</v>
      </c>
      <c r="E1037" t="s">
        <v>725</v>
      </c>
      <c r="F1037">
        <v>4</v>
      </c>
      <c r="G1037">
        <v>55371.08</v>
      </c>
      <c r="H1037">
        <v>221484.32</v>
      </c>
      <c r="I1037" t="s">
        <v>1587</v>
      </c>
      <c r="J1037">
        <v>0.70847423092484996</v>
      </c>
    </row>
    <row r="1038" spans="1:10" x14ac:dyDescent="0.25">
      <c r="A1038" t="s">
        <v>112</v>
      </c>
      <c r="B1038" t="s">
        <v>368</v>
      </c>
      <c r="C1038" t="s">
        <v>1073</v>
      </c>
      <c r="D1038" t="s">
        <v>1138</v>
      </c>
      <c r="E1038" t="s">
        <v>725</v>
      </c>
      <c r="F1038">
        <v>4</v>
      </c>
      <c r="G1038">
        <v>104519.7825</v>
      </c>
      <c r="H1038">
        <v>418079.13</v>
      </c>
      <c r="I1038" t="s">
        <v>1587</v>
      </c>
      <c r="J1038">
        <v>1.3373329998821999</v>
      </c>
    </row>
    <row r="1039" spans="1:10" x14ac:dyDescent="0.25">
      <c r="A1039" t="s">
        <v>112</v>
      </c>
      <c r="B1039" t="s">
        <v>368</v>
      </c>
      <c r="C1039" t="s">
        <v>1073</v>
      </c>
      <c r="D1039" t="s">
        <v>486</v>
      </c>
      <c r="E1039" t="s">
        <v>725</v>
      </c>
      <c r="F1039">
        <v>2</v>
      </c>
      <c r="G1039">
        <v>136495.19</v>
      </c>
      <c r="H1039">
        <v>272990.38</v>
      </c>
      <c r="I1039" t="s">
        <v>1587</v>
      </c>
      <c r="J1039">
        <v>0.87322953390281</v>
      </c>
    </row>
    <row r="1040" spans="1:10" x14ac:dyDescent="0.25">
      <c r="A1040" t="s">
        <v>112</v>
      </c>
      <c r="B1040" t="s">
        <v>808</v>
      </c>
      <c r="C1040" t="s">
        <v>1073</v>
      </c>
      <c r="D1040" t="s">
        <v>809</v>
      </c>
      <c r="E1040" t="s">
        <v>725</v>
      </c>
      <c r="F1040">
        <v>2</v>
      </c>
      <c r="G1040">
        <v>60475.12</v>
      </c>
      <c r="H1040">
        <v>120950.24</v>
      </c>
      <c r="I1040" t="s">
        <v>1587</v>
      </c>
      <c r="J1040">
        <v>0.38689026954222</v>
      </c>
    </row>
    <row r="1041" spans="1:10" x14ac:dyDescent="0.25">
      <c r="A1041" t="s">
        <v>113</v>
      </c>
      <c r="B1041" t="s">
        <v>114</v>
      </c>
      <c r="C1041" t="s">
        <v>1073</v>
      </c>
      <c r="D1041" t="s">
        <v>177</v>
      </c>
      <c r="E1041" t="s">
        <v>430</v>
      </c>
      <c r="F1041">
        <v>-7</v>
      </c>
      <c r="G1041">
        <v>177502.20586086999</v>
      </c>
      <c r="H1041">
        <v>1344.07</v>
      </c>
      <c r="I1041">
        <v>-1242515.4410261</v>
      </c>
      <c r="J1041">
        <v>-3.9745033485586001</v>
      </c>
    </row>
    <row r="1042" spans="1:10" x14ac:dyDescent="0.25">
      <c r="A1042" t="s">
        <v>113</v>
      </c>
      <c r="B1042" t="s">
        <v>114</v>
      </c>
      <c r="C1042" t="s">
        <v>1073</v>
      </c>
      <c r="D1042" t="s">
        <v>116</v>
      </c>
      <c r="E1042" t="s">
        <v>430</v>
      </c>
      <c r="F1042">
        <v>-6</v>
      </c>
      <c r="G1042">
        <v>160200.83481885001</v>
      </c>
      <c r="H1042">
        <v>722.28</v>
      </c>
      <c r="I1042">
        <v>-961205.0089131</v>
      </c>
      <c r="J1042">
        <v>-3.0746600005401001</v>
      </c>
    </row>
    <row r="1043" spans="1:10" x14ac:dyDescent="0.25">
      <c r="A1043" t="s">
        <v>113</v>
      </c>
      <c r="B1043" t="s">
        <v>114</v>
      </c>
      <c r="C1043" t="s">
        <v>1073</v>
      </c>
      <c r="D1043" t="s">
        <v>479</v>
      </c>
      <c r="E1043" t="s">
        <v>431</v>
      </c>
      <c r="F1043">
        <v>3</v>
      </c>
      <c r="G1043">
        <v>89079.679999999993</v>
      </c>
      <c r="H1043">
        <v>90.96</v>
      </c>
      <c r="I1043">
        <v>267239.03999999998</v>
      </c>
      <c r="J1043">
        <v>0.85483240229869994</v>
      </c>
    </row>
    <row r="1044" spans="1:10" x14ac:dyDescent="0.25">
      <c r="A1044" t="s">
        <v>113</v>
      </c>
      <c r="B1044" t="s">
        <v>114</v>
      </c>
      <c r="C1044" t="s">
        <v>1073</v>
      </c>
      <c r="D1044" t="s">
        <v>179</v>
      </c>
      <c r="E1044" t="s">
        <v>430</v>
      </c>
      <c r="F1044">
        <v>-4</v>
      </c>
      <c r="G1044">
        <v>139301.90008560001</v>
      </c>
      <c r="H1044">
        <v>-209.36</v>
      </c>
      <c r="I1044">
        <v>-557207.60034240002</v>
      </c>
      <c r="J1044">
        <v>-1.7823709873369999</v>
      </c>
    </row>
    <row r="1045" spans="1:10" x14ac:dyDescent="0.25">
      <c r="A1045" t="s">
        <v>117</v>
      </c>
      <c r="B1045" t="s">
        <v>1271</v>
      </c>
      <c r="C1045" t="s">
        <v>1073</v>
      </c>
      <c r="D1045" t="s">
        <v>1271</v>
      </c>
      <c r="E1045" t="s">
        <v>725</v>
      </c>
      <c r="F1045">
        <v>45499</v>
      </c>
      <c r="G1045">
        <v>2.2746607976407001</v>
      </c>
      <c r="H1045">
        <v>103494.79163185001</v>
      </c>
      <c r="I1045" t="s">
        <v>1587</v>
      </c>
      <c r="J1045">
        <v>0.33105455458925998</v>
      </c>
    </row>
    <row r="1046" spans="1:10" x14ac:dyDescent="0.25">
      <c r="A1046" t="s">
        <v>117</v>
      </c>
      <c r="B1046" t="s">
        <v>1272</v>
      </c>
      <c r="C1046" t="s">
        <v>1073</v>
      </c>
      <c r="D1046" t="s">
        <v>1272</v>
      </c>
      <c r="E1046" t="s">
        <v>725</v>
      </c>
      <c r="F1046">
        <v>113528</v>
      </c>
      <c r="G1046">
        <v>2.9288860822967999</v>
      </c>
      <c r="H1046">
        <v>332510.57915099</v>
      </c>
      <c r="I1046" t="s">
        <v>1587</v>
      </c>
      <c r="J1046">
        <v>1.0636201101656999</v>
      </c>
    </row>
    <row r="1047" spans="1:10" x14ac:dyDescent="0.25">
      <c r="A1047" t="s">
        <v>118</v>
      </c>
      <c r="B1047" t="s">
        <v>26</v>
      </c>
      <c r="C1047" t="s">
        <v>1073</v>
      </c>
      <c r="D1047" t="s">
        <v>120</v>
      </c>
      <c r="E1047" t="s">
        <v>725</v>
      </c>
      <c r="F1047">
        <v>3028305</v>
      </c>
      <c r="G1047">
        <v>1.7538230478771</v>
      </c>
      <c r="H1047">
        <v>5311111.1050014002</v>
      </c>
      <c r="I1047" t="s">
        <v>1587</v>
      </c>
      <c r="J1047">
        <v>16.988946917201002</v>
      </c>
    </row>
    <row r="1048" spans="1:10" x14ac:dyDescent="0.25">
      <c r="A1048" t="s">
        <v>118</v>
      </c>
      <c r="B1048" t="s">
        <v>145</v>
      </c>
      <c r="C1048" t="s">
        <v>1073</v>
      </c>
      <c r="D1048" t="s">
        <v>121</v>
      </c>
      <c r="E1048" t="s">
        <v>725</v>
      </c>
      <c r="F1048">
        <v>694734</v>
      </c>
      <c r="G1048">
        <v>1.4964012423416</v>
      </c>
      <c r="H1048">
        <v>1039600.8206969</v>
      </c>
      <c r="I1048" t="s">
        <v>1587</v>
      </c>
      <c r="J1048">
        <v>3.3254290502916999</v>
      </c>
    </row>
    <row r="1049" spans="1:10" x14ac:dyDescent="0.25">
      <c r="A1049" t="s">
        <v>126</v>
      </c>
      <c r="B1049" t="s">
        <v>1139</v>
      </c>
      <c r="C1049" t="s">
        <v>1073</v>
      </c>
      <c r="D1049" t="s">
        <v>512</v>
      </c>
      <c r="E1049" t="s">
        <v>725</v>
      </c>
      <c r="F1049">
        <v>6</v>
      </c>
      <c r="G1049">
        <v>69360.141879167</v>
      </c>
      <c r="H1049">
        <v>416160.85127500002</v>
      </c>
      <c r="I1049" t="s">
        <v>1587</v>
      </c>
      <c r="J1049">
        <v>1.3311968948776001</v>
      </c>
    </row>
    <row r="1050" spans="1:10" x14ac:dyDescent="0.25">
      <c r="A1050" t="s">
        <v>126</v>
      </c>
      <c r="B1050" t="s">
        <v>252</v>
      </c>
      <c r="C1050" t="s">
        <v>1073</v>
      </c>
      <c r="D1050" t="s">
        <v>253</v>
      </c>
      <c r="E1050" t="s">
        <v>725</v>
      </c>
      <c r="F1050">
        <v>97</v>
      </c>
      <c r="G1050">
        <v>600.42129452849997</v>
      </c>
      <c r="H1050">
        <v>58240.865569264002</v>
      </c>
      <c r="I1050" t="s">
        <v>1587</v>
      </c>
      <c r="J1050">
        <v>0.18629830067691</v>
      </c>
    </row>
    <row r="1051" spans="1:10" x14ac:dyDescent="0.25">
      <c r="A1051" t="s">
        <v>126</v>
      </c>
      <c r="B1051" t="s">
        <v>877</v>
      </c>
      <c r="C1051" t="s">
        <v>1073</v>
      </c>
      <c r="D1051" t="s">
        <v>1140</v>
      </c>
      <c r="E1051" t="s">
        <v>725</v>
      </c>
      <c r="F1051">
        <v>238</v>
      </c>
      <c r="G1051">
        <v>888.23435101768996</v>
      </c>
      <c r="H1051">
        <v>211399.77554221</v>
      </c>
      <c r="I1051" t="s">
        <v>1587</v>
      </c>
      <c r="J1051">
        <v>0.67621623686476995</v>
      </c>
    </row>
    <row r="1052" spans="1:10" x14ac:dyDescent="0.25">
      <c r="A1052" t="s">
        <v>126</v>
      </c>
      <c r="B1052" t="s">
        <v>1048</v>
      </c>
      <c r="C1052" t="s">
        <v>1073</v>
      </c>
      <c r="D1052" t="s">
        <v>1077</v>
      </c>
      <c r="E1052" t="s">
        <v>725</v>
      </c>
      <c r="F1052">
        <v>189</v>
      </c>
      <c r="G1052">
        <v>1080.8093358724</v>
      </c>
      <c r="H1052">
        <v>204272.96447986999</v>
      </c>
      <c r="I1052" t="s">
        <v>1587</v>
      </c>
      <c r="J1052">
        <v>0.65341930936067005</v>
      </c>
    </row>
    <row r="1053" spans="1:10" x14ac:dyDescent="0.25">
      <c r="A1053" t="s">
        <v>126</v>
      </c>
      <c r="B1053" t="s">
        <v>1141</v>
      </c>
      <c r="C1053" t="s">
        <v>1073</v>
      </c>
      <c r="D1053" t="s">
        <v>1142</v>
      </c>
      <c r="E1053" t="s">
        <v>725</v>
      </c>
      <c r="F1053">
        <v>112</v>
      </c>
      <c r="G1053">
        <v>1238.7405098300001</v>
      </c>
      <c r="H1053">
        <v>138738.93710096</v>
      </c>
      <c r="I1053" t="s">
        <v>1587</v>
      </c>
      <c r="J1053">
        <v>0.44379196577858998</v>
      </c>
    </row>
    <row r="1054" spans="1:10" x14ac:dyDescent="0.25">
      <c r="A1054" t="s">
        <v>126</v>
      </c>
      <c r="B1054" t="s">
        <v>467</v>
      </c>
      <c r="C1054" t="s">
        <v>1073</v>
      </c>
      <c r="D1054" t="s">
        <v>468</v>
      </c>
      <c r="E1054" t="s">
        <v>725</v>
      </c>
      <c r="F1054">
        <v>146</v>
      </c>
      <c r="G1054">
        <v>1013.5996648288</v>
      </c>
      <c r="H1054">
        <v>147985.55106500001</v>
      </c>
      <c r="I1054" t="s">
        <v>1587</v>
      </c>
      <c r="J1054">
        <v>0.47336962489607998</v>
      </c>
    </row>
    <row r="1055" spans="1:10" x14ac:dyDescent="0.25">
      <c r="A1055" t="s">
        <v>126</v>
      </c>
      <c r="B1055" t="s">
        <v>416</v>
      </c>
      <c r="C1055" t="s">
        <v>1073</v>
      </c>
      <c r="D1055" t="s">
        <v>417</v>
      </c>
      <c r="E1055" t="s">
        <v>725</v>
      </c>
      <c r="F1055">
        <v>72</v>
      </c>
      <c r="G1055">
        <v>1006.0181071079001</v>
      </c>
      <c r="H1055">
        <v>72433.303711768996</v>
      </c>
      <c r="I1055" t="s">
        <v>1587</v>
      </c>
      <c r="J1055">
        <v>0.23169644307345</v>
      </c>
    </row>
    <row r="1056" spans="1:10" x14ac:dyDescent="0.25">
      <c r="A1056" t="s">
        <v>126</v>
      </c>
      <c r="B1056" t="s">
        <v>1143</v>
      </c>
      <c r="C1056" t="s">
        <v>1073</v>
      </c>
      <c r="D1056" t="s">
        <v>1144</v>
      </c>
      <c r="E1056" t="s">
        <v>725</v>
      </c>
      <c r="F1056">
        <v>76</v>
      </c>
      <c r="G1056">
        <v>1061.2619159220001</v>
      </c>
      <c r="H1056">
        <v>80655.905610075002</v>
      </c>
      <c r="I1056" t="s">
        <v>1587</v>
      </c>
      <c r="J1056">
        <v>0.25799853775943998</v>
      </c>
    </row>
    <row r="1057" spans="1:10" x14ac:dyDescent="0.25">
      <c r="A1057" t="s">
        <v>126</v>
      </c>
      <c r="B1057" t="s">
        <v>1145</v>
      </c>
      <c r="C1057" t="s">
        <v>1073</v>
      </c>
      <c r="D1057" t="s">
        <v>1094</v>
      </c>
      <c r="E1057" t="s">
        <v>725</v>
      </c>
      <c r="F1057">
        <v>88</v>
      </c>
      <c r="G1057">
        <v>1004.1491122568</v>
      </c>
      <c r="H1057">
        <v>88365.121878596998</v>
      </c>
      <c r="I1057" t="s">
        <v>1587</v>
      </c>
      <c r="J1057">
        <v>0.28265843723619</v>
      </c>
    </row>
    <row r="1058" spans="1:10" x14ac:dyDescent="0.25">
      <c r="A1058" t="s">
        <v>126</v>
      </c>
      <c r="B1058" t="s">
        <v>941</v>
      </c>
      <c r="C1058" t="s">
        <v>1073</v>
      </c>
      <c r="D1058" t="s">
        <v>942</v>
      </c>
      <c r="E1058" t="s">
        <v>725</v>
      </c>
      <c r="F1058">
        <v>63</v>
      </c>
      <c r="G1058">
        <v>1002.2497446846</v>
      </c>
      <c r="H1058">
        <v>63141.733915131997</v>
      </c>
      <c r="I1058" t="s">
        <v>1587</v>
      </c>
      <c r="J1058">
        <v>0.2019749812302</v>
      </c>
    </row>
    <row r="1059" spans="1:10" x14ac:dyDescent="0.25">
      <c r="A1059" t="s">
        <v>126</v>
      </c>
      <c r="B1059" t="s">
        <v>1096</v>
      </c>
      <c r="C1059" t="s">
        <v>1073</v>
      </c>
      <c r="D1059" t="s">
        <v>1097</v>
      </c>
      <c r="E1059" t="s">
        <v>725</v>
      </c>
      <c r="F1059">
        <v>2</v>
      </c>
      <c r="G1059">
        <v>41851.281598718997</v>
      </c>
      <c r="H1059">
        <v>83702.563197438998</v>
      </c>
      <c r="I1059" t="s">
        <v>1587</v>
      </c>
      <c r="J1059">
        <v>0.26774405108110999</v>
      </c>
    </row>
    <row r="1060" spans="1:10" x14ac:dyDescent="0.25">
      <c r="A1060" t="s">
        <v>127</v>
      </c>
      <c r="B1060" t="s">
        <v>1152</v>
      </c>
      <c r="C1060" t="s">
        <v>1073</v>
      </c>
      <c r="D1060" t="s">
        <v>911</v>
      </c>
      <c r="E1060" t="s">
        <v>725</v>
      </c>
      <c r="F1060">
        <v>61</v>
      </c>
      <c r="G1060">
        <v>1046.6060655737999</v>
      </c>
      <c r="H1060">
        <v>63842.97</v>
      </c>
      <c r="I1060" t="s">
        <v>1587</v>
      </c>
      <c r="J1060">
        <v>0.20421806415329</v>
      </c>
    </row>
    <row r="1061" spans="1:10" x14ac:dyDescent="0.25">
      <c r="A1061" t="s">
        <v>127</v>
      </c>
      <c r="B1061" t="s">
        <v>258</v>
      </c>
      <c r="C1061" t="s">
        <v>1073</v>
      </c>
      <c r="D1061" t="s">
        <v>259</v>
      </c>
      <c r="E1061" t="s">
        <v>725</v>
      </c>
      <c r="F1061">
        <v>35</v>
      </c>
      <c r="G1061">
        <v>1059.4645714286</v>
      </c>
      <c r="H1061">
        <v>37081.26</v>
      </c>
      <c r="I1061" t="s">
        <v>1587</v>
      </c>
      <c r="J1061">
        <v>0.11861389176544999</v>
      </c>
    </row>
    <row r="1062" spans="1:10" x14ac:dyDescent="0.25">
      <c r="A1062" t="s">
        <v>127</v>
      </c>
      <c r="B1062" t="s">
        <v>397</v>
      </c>
      <c r="C1062" t="s">
        <v>1073</v>
      </c>
      <c r="D1062" t="s">
        <v>398</v>
      </c>
      <c r="E1062" t="s">
        <v>725</v>
      </c>
      <c r="F1062">
        <v>427</v>
      </c>
      <c r="G1062">
        <v>1015.9053629977</v>
      </c>
      <c r="H1062">
        <v>433791.59</v>
      </c>
      <c r="I1062" t="s">
        <v>1587</v>
      </c>
      <c r="J1062">
        <v>1.3875933208586</v>
      </c>
    </row>
    <row r="1063" spans="1:10" x14ac:dyDescent="0.25">
      <c r="A1063" t="s">
        <v>127</v>
      </c>
      <c r="B1063" t="s">
        <v>1098</v>
      </c>
      <c r="C1063" t="s">
        <v>1073</v>
      </c>
      <c r="D1063" t="s">
        <v>1099</v>
      </c>
      <c r="E1063" t="s">
        <v>726</v>
      </c>
      <c r="F1063">
        <v>112</v>
      </c>
      <c r="G1063">
        <v>1004.85</v>
      </c>
      <c r="H1063">
        <v>112543.2</v>
      </c>
      <c r="I1063" t="s">
        <v>1587</v>
      </c>
      <c r="J1063">
        <v>0.35999820242725</v>
      </c>
    </row>
    <row r="1064" spans="1:10" x14ac:dyDescent="0.25">
      <c r="A1064" t="s">
        <v>127</v>
      </c>
      <c r="B1064" t="s">
        <v>204</v>
      </c>
      <c r="C1064" t="s">
        <v>1073</v>
      </c>
      <c r="D1064" t="s">
        <v>206</v>
      </c>
      <c r="E1064" t="s">
        <v>725</v>
      </c>
      <c r="F1064">
        <v>185</v>
      </c>
      <c r="G1064">
        <v>980.16367567568</v>
      </c>
      <c r="H1064">
        <v>181330.28</v>
      </c>
      <c r="I1064" t="s">
        <v>1587</v>
      </c>
      <c r="J1064">
        <v>0.58003126662143001</v>
      </c>
    </row>
    <row r="1065" spans="1:10" x14ac:dyDescent="0.25">
      <c r="A1065" t="s">
        <v>127</v>
      </c>
      <c r="B1065" t="s">
        <v>354</v>
      </c>
      <c r="C1065" t="s">
        <v>1073</v>
      </c>
      <c r="D1065" t="s">
        <v>957</v>
      </c>
      <c r="E1065" t="s">
        <v>725</v>
      </c>
      <c r="F1065">
        <v>109</v>
      </c>
      <c r="G1065">
        <v>1059.2830275229001</v>
      </c>
      <c r="H1065">
        <v>115461.85</v>
      </c>
      <c r="I1065" t="s">
        <v>1587</v>
      </c>
      <c r="J1065">
        <v>0.36933425074926002</v>
      </c>
    </row>
    <row r="1066" spans="1:10" x14ac:dyDescent="0.25">
      <c r="A1066" t="s">
        <v>127</v>
      </c>
      <c r="B1066" t="s">
        <v>396</v>
      </c>
      <c r="C1066" t="s">
        <v>1073</v>
      </c>
      <c r="D1066" t="s">
        <v>1404</v>
      </c>
      <c r="E1066" t="s">
        <v>725</v>
      </c>
      <c r="F1066">
        <v>30</v>
      </c>
      <c r="G1066">
        <v>443.21800000000002</v>
      </c>
      <c r="H1066">
        <v>13296.54</v>
      </c>
      <c r="I1066" t="s">
        <v>1587</v>
      </c>
      <c r="J1066">
        <v>4.2532383107129999E-2</v>
      </c>
    </row>
    <row r="1067" spans="1:10" x14ac:dyDescent="0.25">
      <c r="A1067" t="s">
        <v>127</v>
      </c>
      <c r="B1067" t="s">
        <v>396</v>
      </c>
      <c r="C1067" t="s">
        <v>1073</v>
      </c>
      <c r="D1067" t="s">
        <v>1405</v>
      </c>
      <c r="E1067" t="s">
        <v>725</v>
      </c>
      <c r="F1067">
        <v>45</v>
      </c>
      <c r="G1067">
        <v>79.020222222222003</v>
      </c>
      <c r="H1067">
        <v>3555.91</v>
      </c>
      <c r="I1067" t="s">
        <v>1587</v>
      </c>
      <c r="J1067">
        <v>1.137448737901E-2</v>
      </c>
    </row>
    <row r="1068" spans="1:10" x14ac:dyDescent="0.25">
      <c r="A1068" t="s">
        <v>127</v>
      </c>
      <c r="B1068" t="s">
        <v>759</v>
      </c>
      <c r="C1068" t="s">
        <v>1073</v>
      </c>
      <c r="D1068" t="s">
        <v>760</v>
      </c>
      <c r="E1068" t="s">
        <v>725</v>
      </c>
      <c r="F1068">
        <v>110</v>
      </c>
      <c r="G1068">
        <v>849.87809090909002</v>
      </c>
      <c r="H1068">
        <v>93486.59</v>
      </c>
      <c r="I1068" t="s">
        <v>1587</v>
      </c>
      <c r="J1068">
        <v>0.29904076257875001</v>
      </c>
    </row>
    <row r="1069" spans="1:10" x14ac:dyDescent="0.25">
      <c r="A1069" t="s">
        <v>127</v>
      </c>
      <c r="B1069" t="s">
        <v>37</v>
      </c>
      <c r="C1069" t="s">
        <v>1073</v>
      </c>
      <c r="D1069" t="s">
        <v>260</v>
      </c>
      <c r="E1069" t="s">
        <v>725</v>
      </c>
      <c r="F1069">
        <v>55</v>
      </c>
      <c r="G1069">
        <v>1058.4903636363999</v>
      </c>
      <c r="H1069">
        <v>58216.97</v>
      </c>
      <c r="I1069" t="s">
        <v>1587</v>
      </c>
      <c r="J1069">
        <v>0.18622186458854001</v>
      </c>
    </row>
    <row r="1070" spans="1:10" x14ac:dyDescent="0.25">
      <c r="A1070" t="s">
        <v>127</v>
      </c>
      <c r="B1070" t="s">
        <v>295</v>
      </c>
      <c r="C1070" t="s">
        <v>1073</v>
      </c>
      <c r="D1070" t="s">
        <v>508</v>
      </c>
      <c r="E1070" t="s">
        <v>725</v>
      </c>
      <c r="F1070">
        <v>185</v>
      </c>
      <c r="G1070">
        <v>941.28389189188999</v>
      </c>
      <c r="H1070">
        <v>174137.52</v>
      </c>
      <c r="I1070" t="s">
        <v>1587</v>
      </c>
      <c r="J1070">
        <v>0.55702338457710998</v>
      </c>
    </row>
    <row r="1071" spans="1:10" x14ac:dyDescent="0.25">
      <c r="A1071" t="s">
        <v>127</v>
      </c>
      <c r="B1071" t="s">
        <v>208</v>
      </c>
      <c r="C1071" t="s">
        <v>1073</v>
      </c>
      <c r="D1071" t="s">
        <v>1003</v>
      </c>
      <c r="E1071" t="s">
        <v>725</v>
      </c>
      <c r="F1071">
        <v>151</v>
      </c>
      <c r="G1071">
        <v>1010.8836423841</v>
      </c>
      <c r="H1071">
        <v>152643.43</v>
      </c>
      <c r="I1071" t="s">
        <v>1587</v>
      </c>
      <c r="J1071">
        <v>0.48826904168648</v>
      </c>
    </row>
    <row r="1072" spans="1:10" x14ac:dyDescent="0.25">
      <c r="A1072" t="s">
        <v>127</v>
      </c>
      <c r="B1072" t="s">
        <v>208</v>
      </c>
      <c r="C1072" t="s">
        <v>1073</v>
      </c>
      <c r="D1072" t="s">
        <v>185</v>
      </c>
      <c r="E1072" t="s">
        <v>725</v>
      </c>
      <c r="F1072">
        <v>63</v>
      </c>
      <c r="G1072">
        <v>1044.0547619048</v>
      </c>
      <c r="H1072">
        <v>65775.45</v>
      </c>
      <c r="I1072" t="s">
        <v>1587</v>
      </c>
      <c r="J1072">
        <v>0.21039959556724</v>
      </c>
    </row>
    <row r="1073" spans="1:10" x14ac:dyDescent="0.25">
      <c r="A1073" t="s">
        <v>127</v>
      </c>
      <c r="B1073" t="s">
        <v>230</v>
      </c>
      <c r="C1073" t="s">
        <v>1073</v>
      </c>
      <c r="D1073" t="s">
        <v>327</v>
      </c>
      <c r="E1073" t="s">
        <v>725</v>
      </c>
      <c r="F1073">
        <v>114</v>
      </c>
      <c r="G1073">
        <v>1051.9846491228</v>
      </c>
      <c r="H1073">
        <v>119926.25</v>
      </c>
      <c r="I1073" t="s">
        <v>1587</v>
      </c>
      <c r="J1073">
        <v>0.38361477569361002</v>
      </c>
    </row>
    <row r="1074" spans="1:10" x14ac:dyDescent="0.25">
      <c r="A1074" t="s">
        <v>127</v>
      </c>
      <c r="B1074" t="s">
        <v>8</v>
      </c>
      <c r="C1074" t="s">
        <v>1073</v>
      </c>
      <c r="D1074" t="s">
        <v>137</v>
      </c>
      <c r="E1074" t="s">
        <v>725</v>
      </c>
      <c r="F1074">
        <v>117</v>
      </c>
      <c r="G1074">
        <v>694.57</v>
      </c>
      <c r="H1074">
        <v>81264.69</v>
      </c>
      <c r="I1074" t="s">
        <v>1587</v>
      </c>
      <c r="J1074">
        <v>0.25994589029641002</v>
      </c>
    </row>
    <row r="1075" spans="1:10" x14ac:dyDescent="0.25">
      <c r="A1075" t="s">
        <v>127</v>
      </c>
      <c r="B1075" t="s">
        <v>231</v>
      </c>
      <c r="C1075" t="s">
        <v>1073</v>
      </c>
      <c r="D1075" t="s">
        <v>221</v>
      </c>
      <c r="E1075" t="s">
        <v>725</v>
      </c>
      <c r="F1075">
        <v>104</v>
      </c>
      <c r="G1075">
        <v>1026.3017307692</v>
      </c>
      <c r="H1075">
        <v>106735.38</v>
      </c>
      <c r="I1075" t="s">
        <v>1587</v>
      </c>
      <c r="J1075">
        <v>0.34142040510123001</v>
      </c>
    </row>
    <row r="1076" spans="1:10" x14ac:dyDescent="0.25">
      <c r="A1076" t="s">
        <v>127</v>
      </c>
      <c r="B1076" t="s">
        <v>428</v>
      </c>
      <c r="C1076" t="s">
        <v>1073</v>
      </c>
      <c r="D1076" t="s">
        <v>349</v>
      </c>
      <c r="E1076" t="s">
        <v>726</v>
      </c>
      <c r="F1076">
        <v>-5</v>
      </c>
      <c r="G1076">
        <v>747.70555555555995</v>
      </c>
      <c r="H1076">
        <v>3738.5277777778001</v>
      </c>
      <c r="I1076" t="s">
        <v>1587</v>
      </c>
      <c r="J1076">
        <v>1.1958637036483E-2</v>
      </c>
    </row>
    <row r="1077" spans="1:10" x14ac:dyDescent="0.25">
      <c r="A1077" t="s">
        <v>127</v>
      </c>
      <c r="B1077" t="s">
        <v>428</v>
      </c>
      <c r="C1077" t="s">
        <v>1073</v>
      </c>
      <c r="D1077" t="s">
        <v>349</v>
      </c>
      <c r="E1077" t="s">
        <v>725</v>
      </c>
      <c r="F1077">
        <v>175</v>
      </c>
      <c r="G1077">
        <v>747.70555555555995</v>
      </c>
      <c r="H1077">
        <v>130848.47222222001</v>
      </c>
      <c r="I1077" t="s">
        <v>1587</v>
      </c>
      <c r="J1077">
        <v>0.41855229627690999</v>
      </c>
    </row>
    <row r="1078" spans="1:10" x14ac:dyDescent="0.25">
      <c r="A1078" t="s">
        <v>127</v>
      </c>
      <c r="B1078" t="s">
        <v>497</v>
      </c>
      <c r="C1078" t="s">
        <v>1073</v>
      </c>
      <c r="D1078" t="s">
        <v>498</v>
      </c>
      <c r="E1078" t="s">
        <v>726</v>
      </c>
      <c r="F1078">
        <v>-12</v>
      </c>
      <c r="G1078">
        <v>908.64047058823996</v>
      </c>
      <c r="H1078">
        <v>10903.685647058999</v>
      </c>
      <c r="I1078" t="s">
        <v>1587</v>
      </c>
      <c r="J1078">
        <v>3.4878226607853002E-2</v>
      </c>
    </row>
    <row r="1079" spans="1:10" x14ac:dyDescent="0.25">
      <c r="A1079" t="s">
        <v>127</v>
      </c>
      <c r="B1079" t="s">
        <v>497</v>
      </c>
      <c r="C1079" t="s">
        <v>1073</v>
      </c>
      <c r="D1079" t="s">
        <v>498</v>
      </c>
      <c r="E1079" t="s">
        <v>725</v>
      </c>
      <c r="F1079">
        <v>158</v>
      </c>
      <c r="G1079">
        <v>908.64047058823996</v>
      </c>
      <c r="H1079">
        <v>143565.19435293999</v>
      </c>
      <c r="I1079" t="s">
        <v>1587</v>
      </c>
      <c r="J1079">
        <v>0.45922998367007001</v>
      </c>
    </row>
    <row r="1080" spans="1:10" x14ac:dyDescent="0.25">
      <c r="A1080" t="s">
        <v>127</v>
      </c>
      <c r="B1080" t="s">
        <v>45</v>
      </c>
      <c r="C1080" t="s">
        <v>1073</v>
      </c>
      <c r="D1080" t="s">
        <v>437</v>
      </c>
      <c r="E1080" t="s">
        <v>725</v>
      </c>
      <c r="F1080">
        <v>110</v>
      </c>
      <c r="G1080">
        <v>912.22445454545004</v>
      </c>
      <c r="H1080">
        <v>100344.69</v>
      </c>
      <c r="I1080" t="s">
        <v>1587</v>
      </c>
      <c r="J1080">
        <v>0.32097814904071997</v>
      </c>
    </row>
    <row r="1081" spans="1:10" x14ac:dyDescent="0.25">
      <c r="A1081" t="s">
        <v>127</v>
      </c>
      <c r="B1081" t="s">
        <v>372</v>
      </c>
      <c r="C1081" t="s">
        <v>1073</v>
      </c>
      <c r="D1081" t="s">
        <v>373</v>
      </c>
      <c r="E1081" t="s">
        <v>725</v>
      </c>
      <c r="F1081">
        <v>179</v>
      </c>
      <c r="G1081">
        <v>1029.5750837989001</v>
      </c>
      <c r="H1081">
        <v>184293.94</v>
      </c>
      <c r="I1081" t="s">
        <v>1587</v>
      </c>
      <c r="J1081">
        <v>0.58951129093748</v>
      </c>
    </row>
    <row r="1082" spans="1:10" x14ac:dyDescent="0.25">
      <c r="A1082" t="s">
        <v>127</v>
      </c>
      <c r="B1082" t="s">
        <v>732</v>
      </c>
      <c r="C1082" t="s">
        <v>1073</v>
      </c>
      <c r="D1082" t="s">
        <v>1109</v>
      </c>
      <c r="E1082" t="s">
        <v>726</v>
      </c>
      <c r="F1082">
        <v>141</v>
      </c>
      <c r="G1082">
        <v>1027.9206382979</v>
      </c>
      <c r="H1082">
        <v>144936.81</v>
      </c>
      <c r="I1082" t="s">
        <v>1587</v>
      </c>
      <c r="J1082">
        <v>0.46361744703847002</v>
      </c>
    </row>
    <row r="1083" spans="1:10" x14ac:dyDescent="0.25">
      <c r="A1083" t="s">
        <v>127</v>
      </c>
      <c r="B1083" t="s">
        <v>1410</v>
      </c>
      <c r="C1083" t="s">
        <v>1073</v>
      </c>
      <c r="D1083" t="s">
        <v>228</v>
      </c>
      <c r="E1083" t="s">
        <v>725</v>
      </c>
      <c r="F1083">
        <v>117</v>
      </c>
      <c r="G1083">
        <v>1032.0341025641001</v>
      </c>
      <c r="H1083">
        <v>120747.99</v>
      </c>
      <c r="I1083" t="s">
        <v>1587</v>
      </c>
      <c r="J1083">
        <v>0.38624332120201998</v>
      </c>
    </row>
    <row r="1084" spans="1:10" x14ac:dyDescent="0.25">
      <c r="A1084" t="s">
        <v>127</v>
      </c>
      <c r="B1084" t="s">
        <v>513</v>
      </c>
      <c r="C1084" t="s">
        <v>1073</v>
      </c>
      <c r="D1084" t="s">
        <v>514</v>
      </c>
      <c r="E1084" t="s">
        <v>725</v>
      </c>
      <c r="F1084">
        <v>144</v>
      </c>
      <c r="G1084">
        <v>1044.9804166667</v>
      </c>
      <c r="H1084">
        <v>150477.18</v>
      </c>
      <c r="I1084" t="s">
        <v>1587</v>
      </c>
      <c r="J1084">
        <v>0.48133973715268003</v>
      </c>
    </row>
    <row r="1085" spans="1:10" x14ac:dyDescent="0.25">
      <c r="A1085" t="s">
        <v>127</v>
      </c>
      <c r="B1085" t="s">
        <v>35</v>
      </c>
      <c r="C1085" t="s">
        <v>1073</v>
      </c>
      <c r="D1085" t="s">
        <v>3</v>
      </c>
      <c r="E1085" t="s">
        <v>725</v>
      </c>
      <c r="F1085">
        <v>19</v>
      </c>
      <c r="G1085">
        <v>10895.871578947001</v>
      </c>
      <c r="H1085">
        <v>207021.56</v>
      </c>
      <c r="I1085" t="s">
        <v>1587</v>
      </c>
      <c r="J1085">
        <v>0.66221139494598003</v>
      </c>
    </row>
    <row r="1086" spans="1:10" x14ac:dyDescent="0.25">
      <c r="A1086" t="s">
        <v>127</v>
      </c>
      <c r="B1086" t="s">
        <v>855</v>
      </c>
      <c r="C1086" t="s">
        <v>1073</v>
      </c>
      <c r="D1086" t="s">
        <v>265</v>
      </c>
      <c r="E1086" t="s">
        <v>725</v>
      </c>
      <c r="F1086">
        <v>370</v>
      </c>
      <c r="G1086">
        <v>1033.5850810811</v>
      </c>
      <c r="H1086">
        <v>382426.48</v>
      </c>
      <c r="I1086" t="s">
        <v>1587</v>
      </c>
      <c r="J1086">
        <v>1.2232888824965</v>
      </c>
    </row>
    <row r="1087" spans="1:10" x14ac:dyDescent="0.25">
      <c r="A1087" t="s">
        <v>127</v>
      </c>
      <c r="B1087" t="s">
        <v>309</v>
      </c>
      <c r="C1087" t="s">
        <v>1073</v>
      </c>
      <c r="D1087" t="s">
        <v>310</v>
      </c>
      <c r="E1087" t="s">
        <v>725</v>
      </c>
      <c r="F1087">
        <v>183</v>
      </c>
      <c r="G1087">
        <v>1056.7693442622999</v>
      </c>
      <c r="H1087">
        <v>193388.79</v>
      </c>
      <c r="I1087" t="s">
        <v>1587</v>
      </c>
      <c r="J1087">
        <v>0.61860349421005001</v>
      </c>
    </row>
    <row r="1088" spans="1:10" x14ac:dyDescent="0.25">
      <c r="A1088" t="s">
        <v>127</v>
      </c>
      <c r="B1088" t="s">
        <v>289</v>
      </c>
      <c r="C1088" t="s">
        <v>1073</v>
      </c>
      <c r="D1088" t="s">
        <v>266</v>
      </c>
      <c r="E1088" t="s">
        <v>725</v>
      </c>
      <c r="F1088">
        <v>26</v>
      </c>
      <c r="G1088">
        <v>1052.4457692307999</v>
      </c>
      <c r="H1088">
        <v>27363.59</v>
      </c>
      <c r="I1088" t="s">
        <v>1587</v>
      </c>
      <c r="J1088">
        <v>8.7529439468190001E-2</v>
      </c>
    </row>
    <row r="1089" spans="1:10" x14ac:dyDescent="0.25">
      <c r="A1089" t="s">
        <v>127</v>
      </c>
      <c r="B1089" t="s">
        <v>427</v>
      </c>
      <c r="C1089" t="s">
        <v>1073</v>
      </c>
      <c r="D1089" t="s">
        <v>469</v>
      </c>
      <c r="E1089" t="s">
        <v>725</v>
      </c>
      <c r="F1089">
        <v>99</v>
      </c>
      <c r="G1089">
        <v>1024.7626262626</v>
      </c>
      <c r="H1089">
        <v>101451.5</v>
      </c>
      <c r="I1089" t="s">
        <v>1587</v>
      </c>
      <c r="J1089">
        <v>0.32451856383636002</v>
      </c>
    </row>
    <row r="1090" spans="1:10" x14ac:dyDescent="0.25">
      <c r="A1090" t="s">
        <v>127</v>
      </c>
      <c r="B1090" t="s">
        <v>267</v>
      </c>
      <c r="C1090" t="s">
        <v>1073</v>
      </c>
      <c r="D1090" t="s">
        <v>268</v>
      </c>
      <c r="E1090" t="s">
        <v>725</v>
      </c>
      <c r="F1090">
        <v>302</v>
      </c>
      <c r="G1090">
        <v>1049.1142052979999</v>
      </c>
      <c r="H1090">
        <v>316832.49</v>
      </c>
      <c r="I1090" t="s">
        <v>1587</v>
      </c>
      <c r="J1090">
        <v>1.0134697331385001</v>
      </c>
    </row>
    <row r="1091" spans="1:10" x14ac:dyDescent="0.25">
      <c r="A1091" t="s">
        <v>127</v>
      </c>
      <c r="B1091" t="s">
        <v>1166</v>
      </c>
      <c r="C1091" t="s">
        <v>1073</v>
      </c>
      <c r="D1091" t="s">
        <v>1167</v>
      </c>
      <c r="E1091" t="s">
        <v>726</v>
      </c>
      <c r="F1091">
        <v>150</v>
      </c>
      <c r="G1091">
        <v>1028.8008</v>
      </c>
      <c r="H1091">
        <v>154320.12</v>
      </c>
      <c r="I1091" t="s">
        <v>1587</v>
      </c>
      <c r="J1091">
        <v>0.49363236338007999</v>
      </c>
    </row>
    <row r="1092" spans="1:10" x14ac:dyDescent="0.25">
      <c r="A1092" t="s">
        <v>127</v>
      </c>
      <c r="B1092" t="s">
        <v>758</v>
      </c>
      <c r="C1092" t="s">
        <v>1073</v>
      </c>
      <c r="D1092" t="s">
        <v>837</v>
      </c>
      <c r="E1092" t="s">
        <v>726</v>
      </c>
      <c r="F1092">
        <v>5750</v>
      </c>
      <c r="G1092">
        <v>1.0703820195439999</v>
      </c>
      <c r="H1092">
        <v>6154.6966123779002</v>
      </c>
      <c r="I1092" t="s">
        <v>1587</v>
      </c>
      <c r="J1092">
        <v>1.9687370866841001E-2</v>
      </c>
    </row>
    <row r="1093" spans="1:10" x14ac:dyDescent="0.25">
      <c r="A1093" t="s">
        <v>127</v>
      </c>
      <c r="B1093" t="s">
        <v>758</v>
      </c>
      <c r="C1093" t="s">
        <v>1073</v>
      </c>
      <c r="D1093" t="s">
        <v>837</v>
      </c>
      <c r="E1093" t="s">
        <v>725</v>
      </c>
      <c r="F1093">
        <v>71000</v>
      </c>
      <c r="G1093">
        <v>1.0703820195439999</v>
      </c>
      <c r="H1093">
        <v>75997.123387622007</v>
      </c>
      <c r="I1093" t="s">
        <v>1587</v>
      </c>
      <c r="J1093">
        <v>0.24309623157317001</v>
      </c>
    </row>
    <row r="1094" spans="1:10" x14ac:dyDescent="0.25">
      <c r="A1094" t="s">
        <v>127</v>
      </c>
      <c r="B1094" t="s">
        <v>758</v>
      </c>
      <c r="C1094" t="s">
        <v>1073</v>
      </c>
      <c r="D1094" t="s">
        <v>1113</v>
      </c>
      <c r="E1094" t="s">
        <v>726</v>
      </c>
      <c r="F1094">
        <v>27</v>
      </c>
      <c r="G1094">
        <v>1049.7796296296001</v>
      </c>
      <c r="H1094">
        <v>28344.05</v>
      </c>
      <c r="I1094" t="s">
        <v>1587</v>
      </c>
      <c r="J1094">
        <v>9.0665691481208996E-2</v>
      </c>
    </row>
    <row r="1095" spans="1:10" x14ac:dyDescent="0.25">
      <c r="A1095" t="s">
        <v>127</v>
      </c>
      <c r="B1095" t="s">
        <v>13</v>
      </c>
      <c r="C1095" t="s">
        <v>1073</v>
      </c>
      <c r="D1095" t="s">
        <v>242</v>
      </c>
      <c r="E1095" t="s">
        <v>725</v>
      </c>
      <c r="F1095">
        <v>282</v>
      </c>
      <c r="G1095">
        <v>1080.0696099290999</v>
      </c>
      <c r="H1095">
        <v>304579.63</v>
      </c>
      <c r="I1095" t="s">
        <v>1587</v>
      </c>
      <c r="J1095">
        <v>0.97427582737967</v>
      </c>
    </row>
    <row r="1096" spans="1:10" x14ac:dyDescent="0.25">
      <c r="A1096" t="s">
        <v>127</v>
      </c>
      <c r="B1096" t="s">
        <v>33</v>
      </c>
      <c r="C1096" t="s">
        <v>1073</v>
      </c>
      <c r="D1096" t="s">
        <v>822</v>
      </c>
      <c r="E1096" t="s">
        <v>725</v>
      </c>
      <c r="F1096">
        <v>24</v>
      </c>
      <c r="G1096">
        <v>1087.7737500000001</v>
      </c>
      <c r="H1096">
        <v>26106.57</v>
      </c>
      <c r="I1096" t="s">
        <v>1587</v>
      </c>
      <c r="J1096">
        <v>8.350853957894E-2</v>
      </c>
    </row>
    <row r="1097" spans="1:10" x14ac:dyDescent="0.25">
      <c r="A1097" t="s">
        <v>127</v>
      </c>
      <c r="B1097" t="s">
        <v>975</v>
      </c>
      <c r="C1097" t="s">
        <v>1073</v>
      </c>
      <c r="D1097" t="s">
        <v>976</v>
      </c>
      <c r="E1097" t="s">
        <v>725</v>
      </c>
      <c r="F1097">
        <v>38</v>
      </c>
      <c r="G1097">
        <v>515.12473684211</v>
      </c>
      <c r="H1097">
        <v>19574.740000000002</v>
      </c>
      <c r="I1097" t="s">
        <v>1587</v>
      </c>
      <c r="J1097">
        <v>6.2614811139019996E-2</v>
      </c>
    </row>
    <row r="1098" spans="1:10" x14ac:dyDescent="0.25">
      <c r="A1098" t="s">
        <v>127</v>
      </c>
      <c r="B1098" t="s">
        <v>156</v>
      </c>
      <c r="C1098" t="s">
        <v>1073</v>
      </c>
      <c r="D1098" t="s">
        <v>1040</v>
      </c>
      <c r="E1098" t="s">
        <v>725</v>
      </c>
      <c r="F1098">
        <v>92</v>
      </c>
      <c r="G1098">
        <v>1017.2694565217</v>
      </c>
      <c r="H1098">
        <v>93588.79</v>
      </c>
      <c r="I1098" t="s">
        <v>1587</v>
      </c>
      <c r="J1098">
        <v>0.29936767541122999</v>
      </c>
    </row>
    <row r="1099" spans="1:10" x14ac:dyDescent="0.25">
      <c r="A1099" t="s">
        <v>127</v>
      </c>
      <c r="B1099" t="s">
        <v>156</v>
      </c>
      <c r="C1099" t="s">
        <v>1073</v>
      </c>
      <c r="D1099" t="s">
        <v>1039</v>
      </c>
      <c r="E1099" t="s">
        <v>725</v>
      </c>
      <c r="F1099">
        <v>57</v>
      </c>
      <c r="G1099">
        <v>1016.4987719298</v>
      </c>
      <c r="H1099">
        <v>57940.43</v>
      </c>
      <c r="I1099" t="s">
        <v>1587</v>
      </c>
      <c r="J1099">
        <v>0.18533728068742999</v>
      </c>
    </row>
    <row r="1100" spans="1:10" x14ac:dyDescent="0.25">
      <c r="A1100" t="s">
        <v>127</v>
      </c>
      <c r="B1100" t="s">
        <v>290</v>
      </c>
      <c r="C1100" t="s">
        <v>1073</v>
      </c>
      <c r="D1100" t="s">
        <v>240</v>
      </c>
      <c r="E1100" t="s">
        <v>725</v>
      </c>
      <c r="F1100">
        <v>180</v>
      </c>
      <c r="G1100">
        <v>839.92283333333</v>
      </c>
      <c r="H1100">
        <v>151186.10999999999</v>
      </c>
      <c r="I1100" t="s">
        <v>1587</v>
      </c>
      <c r="J1100">
        <v>0.48360743103064002</v>
      </c>
    </row>
    <row r="1101" spans="1:10" x14ac:dyDescent="0.25">
      <c r="A1101" t="s">
        <v>127</v>
      </c>
      <c r="B1101" t="s">
        <v>863</v>
      </c>
      <c r="C1101" t="s">
        <v>1073</v>
      </c>
      <c r="D1101" t="s">
        <v>864</v>
      </c>
      <c r="E1101" t="s">
        <v>725</v>
      </c>
      <c r="F1101">
        <v>163</v>
      </c>
      <c r="G1101">
        <v>1055.3947239264</v>
      </c>
      <c r="H1101">
        <v>172029.34</v>
      </c>
      <c r="I1101" t="s">
        <v>1587</v>
      </c>
      <c r="J1101">
        <v>0.55027983178677997</v>
      </c>
    </row>
    <row r="1102" spans="1:10" x14ac:dyDescent="0.25">
      <c r="A1102" t="s">
        <v>127</v>
      </c>
      <c r="B1102" t="s">
        <v>825</v>
      </c>
      <c r="C1102" t="s">
        <v>1073</v>
      </c>
      <c r="D1102" t="s">
        <v>826</v>
      </c>
      <c r="E1102" t="s">
        <v>725</v>
      </c>
      <c r="F1102">
        <v>71</v>
      </c>
      <c r="G1102">
        <v>1064.3538028169</v>
      </c>
      <c r="H1102">
        <v>75569.119999999995</v>
      </c>
      <c r="I1102" t="s">
        <v>1587</v>
      </c>
      <c r="J1102">
        <v>0.24172715329766001</v>
      </c>
    </row>
    <row r="1103" spans="1:10" x14ac:dyDescent="0.25">
      <c r="A1103" t="s">
        <v>127</v>
      </c>
      <c r="B1103" t="s">
        <v>476</v>
      </c>
      <c r="C1103" t="s">
        <v>1073</v>
      </c>
      <c r="D1103" t="s">
        <v>470</v>
      </c>
      <c r="E1103" t="s">
        <v>725</v>
      </c>
      <c r="F1103">
        <v>159</v>
      </c>
      <c r="G1103">
        <v>990.11735849057004</v>
      </c>
      <c r="H1103">
        <v>157428.66</v>
      </c>
      <c r="I1103" t="s">
        <v>1587</v>
      </c>
      <c r="J1103">
        <v>0.50357582342185003</v>
      </c>
    </row>
    <row r="1104" spans="1:10" x14ac:dyDescent="0.25">
      <c r="A1104" t="s">
        <v>127</v>
      </c>
      <c r="B1104" t="s">
        <v>405</v>
      </c>
      <c r="C1104" t="s">
        <v>1073</v>
      </c>
      <c r="D1104" t="s">
        <v>406</v>
      </c>
      <c r="E1104" t="s">
        <v>725</v>
      </c>
      <c r="F1104">
        <v>49</v>
      </c>
      <c r="G1104">
        <v>765.81938775510002</v>
      </c>
      <c r="H1104">
        <v>37525.15</v>
      </c>
      <c r="I1104" t="s">
        <v>1587</v>
      </c>
      <c r="J1104">
        <v>0.12003378743284999</v>
      </c>
    </row>
    <row r="1105" spans="1:10" x14ac:dyDescent="0.25">
      <c r="A1105" t="s">
        <v>127</v>
      </c>
      <c r="B1105" t="s">
        <v>418</v>
      </c>
      <c r="C1105" t="s">
        <v>1073</v>
      </c>
      <c r="D1105" t="s">
        <v>419</v>
      </c>
      <c r="E1105" t="s">
        <v>725</v>
      </c>
      <c r="F1105">
        <v>66</v>
      </c>
      <c r="G1105">
        <v>630.55878787878999</v>
      </c>
      <c r="H1105">
        <v>41616.879999999997</v>
      </c>
      <c r="I1105" t="s">
        <v>1587</v>
      </c>
      <c r="J1105">
        <v>0.13312223209070001</v>
      </c>
    </row>
    <row r="1106" spans="1:10" x14ac:dyDescent="0.25">
      <c r="A1106" t="s">
        <v>127</v>
      </c>
      <c r="B1106" t="s">
        <v>944</v>
      </c>
      <c r="C1106" t="s">
        <v>1073</v>
      </c>
      <c r="D1106" t="s">
        <v>945</v>
      </c>
      <c r="E1106" t="s">
        <v>725</v>
      </c>
      <c r="F1106">
        <v>185</v>
      </c>
      <c r="G1106">
        <v>1044.3264324324</v>
      </c>
      <c r="H1106">
        <v>193200.39</v>
      </c>
      <c r="I1106" t="s">
        <v>1587</v>
      </c>
      <c r="J1106">
        <v>0.61800084863628002</v>
      </c>
    </row>
    <row r="1107" spans="1:10" x14ac:dyDescent="0.25">
      <c r="A1107" t="s">
        <v>127</v>
      </c>
      <c r="B1107" t="s">
        <v>1034</v>
      </c>
      <c r="C1107" t="s">
        <v>1073</v>
      </c>
      <c r="D1107" t="s">
        <v>1033</v>
      </c>
      <c r="E1107" t="s">
        <v>725</v>
      </c>
      <c r="F1107">
        <v>28</v>
      </c>
      <c r="G1107">
        <v>1036.9914285714001</v>
      </c>
      <c r="H1107">
        <v>29035.759999999998</v>
      </c>
      <c r="I1107" t="s">
        <v>1587</v>
      </c>
      <c r="J1107">
        <v>9.2878302786030001E-2</v>
      </c>
    </row>
    <row r="1108" spans="1:10" x14ac:dyDescent="0.25">
      <c r="A1108" t="s">
        <v>127</v>
      </c>
      <c r="B1108" t="s">
        <v>234</v>
      </c>
      <c r="C1108" t="s">
        <v>1073</v>
      </c>
      <c r="D1108" t="s">
        <v>471</v>
      </c>
      <c r="E1108" t="s">
        <v>725</v>
      </c>
      <c r="F1108">
        <v>92</v>
      </c>
      <c r="G1108">
        <v>989.50967391304005</v>
      </c>
      <c r="H1108">
        <v>91034.89</v>
      </c>
      <c r="I1108" t="s">
        <v>1587</v>
      </c>
      <c r="J1108">
        <v>0.29119837323057002</v>
      </c>
    </row>
    <row r="1109" spans="1:10" x14ac:dyDescent="0.25">
      <c r="A1109" t="s">
        <v>127</v>
      </c>
      <c r="B1109" t="s">
        <v>891</v>
      </c>
      <c r="C1109" t="s">
        <v>1073</v>
      </c>
      <c r="D1109" t="s">
        <v>472</v>
      </c>
      <c r="E1109" t="s">
        <v>725</v>
      </c>
      <c r="F1109">
        <v>146</v>
      </c>
      <c r="G1109">
        <v>841.90109589041003</v>
      </c>
      <c r="H1109">
        <v>122917.56</v>
      </c>
      <c r="I1109" t="s">
        <v>1587</v>
      </c>
      <c r="J1109">
        <v>0.39318324560473999</v>
      </c>
    </row>
    <row r="1110" spans="1:10" x14ac:dyDescent="0.25">
      <c r="A1110" t="s">
        <v>127</v>
      </c>
      <c r="B1110" t="s">
        <v>213</v>
      </c>
      <c r="C1110" t="s">
        <v>1073</v>
      </c>
      <c r="D1110" t="s">
        <v>332</v>
      </c>
      <c r="E1110" t="s">
        <v>725</v>
      </c>
      <c r="F1110">
        <v>197</v>
      </c>
      <c r="G1110">
        <v>1054.5818781726</v>
      </c>
      <c r="H1110">
        <v>207752.63</v>
      </c>
      <c r="I1110" t="s">
        <v>1587</v>
      </c>
      <c r="J1110">
        <v>0.66454990927513002</v>
      </c>
    </row>
    <row r="1111" spans="1:10" x14ac:dyDescent="0.25">
      <c r="A1111" t="s">
        <v>127</v>
      </c>
      <c r="B1111" t="s">
        <v>203</v>
      </c>
      <c r="C1111" t="s">
        <v>1073</v>
      </c>
      <c r="D1111" t="s">
        <v>750</v>
      </c>
      <c r="E1111" t="s">
        <v>725</v>
      </c>
      <c r="F1111">
        <v>162</v>
      </c>
      <c r="G1111">
        <v>1371.8396296296</v>
      </c>
      <c r="H1111">
        <v>222238.02</v>
      </c>
      <c r="I1111" t="s">
        <v>1587</v>
      </c>
      <c r="J1111">
        <v>0.71088513309546997</v>
      </c>
    </row>
    <row r="1112" spans="1:10" x14ac:dyDescent="0.25">
      <c r="A1112" t="s">
        <v>127</v>
      </c>
      <c r="B1112" t="s">
        <v>429</v>
      </c>
      <c r="C1112" t="s">
        <v>1073</v>
      </c>
      <c r="D1112" t="s">
        <v>347</v>
      </c>
      <c r="E1112" t="s">
        <v>725</v>
      </c>
      <c r="F1112">
        <v>77</v>
      </c>
      <c r="G1112">
        <v>996.45909090909004</v>
      </c>
      <c r="H1112">
        <v>76727.350000000006</v>
      </c>
      <c r="I1112" t="s">
        <v>1587</v>
      </c>
      <c r="J1112">
        <v>0.24543204811135999</v>
      </c>
    </row>
    <row r="1113" spans="1:10" x14ac:dyDescent="0.25">
      <c r="A1113" t="s">
        <v>127</v>
      </c>
      <c r="B1113" t="s">
        <v>429</v>
      </c>
      <c r="C1113" t="s">
        <v>1073</v>
      </c>
      <c r="D1113" t="s">
        <v>1172</v>
      </c>
      <c r="E1113" t="s">
        <v>726</v>
      </c>
      <c r="F1113">
        <v>73</v>
      </c>
      <c r="G1113">
        <v>1005.0171232877</v>
      </c>
      <c r="H1113">
        <v>73366.25</v>
      </c>
      <c r="I1113" t="s">
        <v>1587</v>
      </c>
      <c r="J1113">
        <v>0.23468071033015001</v>
      </c>
    </row>
    <row r="1114" spans="1:10" x14ac:dyDescent="0.25">
      <c r="A1114" t="s">
        <v>127</v>
      </c>
      <c r="B1114" t="s">
        <v>10</v>
      </c>
      <c r="C1114" t="s">
        <v>1073</v>
      </c>
      <c r="D1114" t="s">
        <v>1330</v>
      </c>
      <c r="E1114" t="s">
        <v>726</v>
      </c>
      <c r="F1114">
        <v>163</v>
      </c>
      <c r="G1114">
        <v>672.93024539877001</v>
      </c>
      <c r="H1114">
        <v>109687.63</v>
      </c>
      <c r="I1114" t="s">
        <v>1587</v>
      </c>
      <c r="J1114">
        <v>0.35086393161474999</v>
      </c>
    </row>
    <row r="1115" spans="1:10" x14ac:dyDescent="0.25">
      <c r="A1115" t="s">
        <v>127</v>
      </c>
      <c r="B1115" t="s">
        <v>46</v>
      </c>
      <c r="C1115" t="s">
        <v>1073</v>
      </c>
      <c r="D1115" t="s">
        <v>4</v>
      </c>
      <c r="E1115" t="s">
        <v>725</v>
      </c>
      <c r="F1115">
        <v>371</v>
      </c>
      <c r="G1115">
        <v>1059.5904582210001</v>
      </c>
      <c r="H1115">
        <v>393108.06</v>
      </c>
      <c r="I1115" t="s">
        <v>1587</v>
      </c>
      <c r="J1115">
        <v>1.2574566474</v>
      </c>
    </row>
    <row r="1116" spans="1:10" x14ac:dyDescent="0.25">
      <c r="A1116" t="s">
        <v>127</v>
      </c>
      <c r="B1116" t="s">
        <v>215</v>
      </c>
      <c r="C1116" t="s">
        <v>1073</v>
      </c>
      <c r="D1116" t="s">
        <v>216</v>
      </c>
      <c r="E1116" t="s">
        <v>725</v>
      </c>
      <c r="F1116">
        <v>6</v>
      </c>
      <c r="G1116">
        <v>507.30333333332999</v>
      </c>
      <c r="H1116">
        <v>3043.82</v>
      </c>
      <c r="I1116" t="s">
        <v>1587</v>
      </c>
      <c r="J1116">
        <v>9.73643657291E-3</v>
      </c>
    </row>
    <row r="1117" spans="1:10" x14ac:dyDescent="0.25">
      <c r="A1117" t="s">
        <v>127</v>
      </c>
      <c r="B1117" t="s">
        <v>506</v>
      </c>
      <c r="C1117" t="s">
        <v>1073</v>
      </c>
      <c r="D1117" t="s">
        <v>879</v>
      </c>
      <c r="E1117" t="s">
        <v>725</v>
      </c>
      <c r="F1117">
        <v>152</v>
      </c>
      <c r="G1117">
        <v>1021.6953947368</v>
      </c>
      <c r="H1117">
        <v>155297.70000000001</v>
      </c>
      <c r="I1117" t="s">
        <v>1587</v>
      </c>
      <c r="J1117">
        <v>0.49675940297669002</v>
      </c>
    </row>
    <row r="1118" spans="1:10" x14ac:dyDescent="0.25">
      <c r="A1118" t="s">
        <v>236</v>
      </c>
      <c r="B1118" t="s">
        <v>237</v>
      </c>
      <c r="C1118" t="s">
        <v>1073</v>
      </c>
      <c r="D1118" t="s">
        <v>311</v>
      </c>
      <c r="E1118" t="s">
        <v>725</v>
      </c>
      <c r="F1118">
        <v>214</v>
      </c>
      <c r="G1118">
        <v>943.92275700934999</v>
      </c>
      <c r="H1118">
        <v>201999.47</v>
      </c>
      <c r="I1118" t="s">
        <v>1587</v>
      </c>
      <c r="J1118">
        <v>0.64614695593564997</v>
      </c>
    </row>
    <row r="1119" spans="1:10" x14ac:dyDescent="0.25">
      <c r="A1119" t="s">
        <v>236</v>
      </c>
      <c r="B1119" t="s">
        <v>270</v>
      </c>
      <c r="C1119" t="s">
        <v>1073</v>
      </c>
      <c r="D1119" t="s">
        <v>439</v>
      </c>
      <c r="E1119" t="s">
        <v>725</v>
      </c>
      <c r="F1119">
        <v>193</v>
      </c>
      <c r="G1119">
        <v>460.47772020725</v>
      </c>
      <c r="H1119">
        <v>88872.2</v>
      </c>
      <c r="I1119" t="s">
        <v>1587</v>
      </c>
      <c r="J1119">
        <v>0.28428045626706</v>
      </c>
    </row>
    <row r="1120" spans="1:10" x14ac:dyDescent="0.25">
      <c r="A1120" t="s">
        <v>236</v>
      </c>
      <c r="B1120" t="s">
        <v>270</v>
      </c>
      <c r="C1120" t="s">
        <v>1073</v>
      </c>
      <c r="D1120" t="s">
        <v>1016</v>
      </c>
      <c r="E1120" t="s">
        <v>725</v>
      </c>
      <c r="F1120">
        <v>62</v>
      </c>
      <c r="G1120">
        <v>446.82774193547999</v>
      </c>
      <c r="H1120">
        <v>27703.32</v>
      </c>
      <c r="I1120" t="s">
        <v>1587</v>
      </c>
      <c r="J1120">
        <v>8.8616152741939999E-2</v>
      </c>
    </row>
    <row r="1121" spans="1:10" x14ac:dyDescent="0.25">
      <c r="A1121" t="s">
        <v>236</v>
      </c>
      <c r="B1121" t="s">
        <v>740</v>
      </c>
      <c r="C1121" t="s">
        <v>1073</v>
      </c>
      <c r="D1121" t="s">
        <v>438</v>
      </c>
      <c r="E1121" t="s">
        <v>725</v>
      </c>
      <c r="F1121">
        <v>143</v>
      </c>
      <c r="G1121">
        <v>667.78552447551999</v>
      </c>
      <c r="H1121">
        <v>95493.33</v>
      </c>
      <c r="I1121" t="s">
        <v>1587</v>
      </c>
      <c r="J1121">
        <v>0.30545983359093998</v>
      </c>
    </row>
    <row r="1122" spans="1:10" x14ac:dyDescent="0.25">
      <c r="A1122" t="s">
        <v>186</v>
      </c>
      <c r="B1122" t="s">
        <v>189</v>
      </c>
      <c r="C1122" t="s">
        <v>1073</v>
      </c>
      <c r="D1122" t="s">
        <v>271</v>
      </c>
      <c r="E1122" t="s">
        <v>725</v>
      </c>
      <c r="F1122">
        <v>245</v>
      </c>
      <c r="G1122">
        <v>1105.3571836735</v>
      </c>
      <c r="H1122">
        <v>270812.51</v>
      </c>
      <c r="I1122" t="s">
        <v>1587</v>
      </c>
      <c r="J1122">
        <v>0.86626305982778995</v>
      </c>
    </row>
    <row r="1123" spans="1:10" x14ac:dyDescent="0.25">
      <c r="A1123" t="s">
        <v>131</v>
      </c>
      <c r="B1123" t="s">
        <v>140</v>
      </c>
      <c r="C1123" t="s">
        <v>1073</v>
      </c>
      <c r="D1123">
        <v>760199</v>
      </c>
      <c r="E1123" t="s">
        <v>725</v>
      </c>
      <c r="F1123">
        <v>1731</v>
      </c>
      <c r="G1123">
        <v>4204.7711958405998</v>
      </c>
      <c r="H1123">
        <v>7278458.9400000004</v>
      </c>
      <c r="I1123" t="s">
        <v>1587</v>
      </c>
      <c r="J1123">
        <v>23.282012017079001</v>
      </c>
    </row>
    <row r="1124" spans="1:10" x14ac:dyDescent="0.25">
      <c r="A1124" t="s">
        <v>488</v>
      </c>
      <c r="B1124" t="s">
        <v>767</v>
      </c>
      <c r="C1124" t="s">
        <v>1073</v>
      </c>
      <c r="D1124" t="s">
        <v>768</v>
      </c>
      <c r="E1124" t="s">
        <v>725</v>
      </c>
      <c r="F1124">
        <v>84</v>
      </c>
      <c r="G1124">
        <v>1211.9670238095</v>
      </c>
      <c r="H1124">
        <v>101805.23</v>
      </c>
      <c r="I1124" t="s">
        <v>1587</v>
      </c>
      <c r="J1124">
        <v>0.32565005968990002</v>
      </c>
    </row>
    <row r="1125" spans="1:10" x14ac:dyDescent="0.25">
      <c r="A1125" t="s">
        <v>488</v>
      </c>
      <c r="B1125" t="s">
        <v>1027</v>
      </c>
      <c r="C1125" t="s">
        <v>1073</v>
      </c>
      <c r="D1125" t="s">
        <v>1273</v>
      </c>
      <c r="E1125" t="s">
        <v>725</v>
      </c>
      <c r="F1125">
        <v>160</v>
      </c>
      <c r="G1125">
        <v>1059.0314375</v>
      </c>
      <c r="H1125">
        <v>169445.03</v>
      </c>
      <c r="I1125" t="s">
        <v>1587</v>
      </c>
      <c r="J1125">
        <v>0.54201325544529999</v>
      </c>
    </row>
    <row r="1126" spans="1:10" x14ac:dyDescent="0.25">
      <c r="A1126" t="s">
        <v>488</v>
      </c>
      <c r="B1126" t="s">
        <v>1123</v>
      </c>
      <c r="C1126" t="s">
        <v>1073</v>
      </c>
      <c r="D1126" t="s">
        <v>1274</v>
      </c>
      <c r="E1126" t="s">
        <v>725</v>
      </c>
      <c r="F1126">
        <v>128</v>
      </c>
      <c r="G1126">
        <v>1051.061015625</v>
      </c>
      <c r="H1126">
        <v>134535.81</v>
      </c>
      <c r="I1126" t="s">
        <v>1587</v>
      </c>
      <c r="J1126">
        <v>0.43034718900913999</v>
      </c>
    </row>
    <row r="1127" spans="1:10" x14ac:dyDescent="0.25">
      <c r="A1127" t="s">
        <v>488</v>
      </c>
      <c r="B1127" t="s">
        <v>1062</v>
      </c>
      <c r="C1127" t="s">
        <v>1073</v>
      </c>
      <c r="D1127" t="s">
        <v>1128</v>
      </c>
      <c r="E1127" t="s">
        <v>725</v>
      </c>
      <c r="F1127">
        <v>157</v>
      </c>
      <c r="G1127">
        <v>1074.3038853503001</v>
      </c>
      <c r="H1127">
        <v>168665.71</v>
      </c>
      <c r="I1127" t="s">
        <v>1587</v>
      </c>
      <c r="J1127">
        <v>0.53952040115364996</v>
      </c>
    </row>
    <row r="1128" spans="1:10" x14ac:dyDescent="0.25">
      <c r="A1128" t="s">
        <v>488</v>
      </c>
      <c r="B1128" t="s">
        <v>1062</v>
      </c>
      <c r="C1128" t="s">
        <v>1073</v>
      </c>
      <c r="D1128" t="s">
        <v>1146</v>
      </c>
      <c r="E1128" t="s">
        <v>725</v>
      </c>
      <c r="F1128">
        <v>72</v>
      </c>
      <c r="G1128">
        <v>1047.6115277777999</v>
      </c>
      <c r="H1128">
        <v>75428.03</v>
      </c>
      <c r="I1128" t="s">
        <v>1587</v>
      </c>
      <c r="J1128">
        <v>0.24127584085602999</v>
      </c>
    </row>
    <row r="1129" spans="1:10" x14ac:dyDescent="0.25">
      <c r="A1129" t="s">
        <v>144</v>
      </c>
      <c r="B1129" t="s">
        <v>103</v>
      </c>
      <c r="C1129" t="s">
        <v>1073</v>
      </c>
      <c r="D1129" t="s">
        <v>144</v>
      </c>
      <c r="E1129" t="s">
        <v>725</v>
      </c>
      <c r="F1129" t="s">
        <v>103</v>
      </c>
      <c r="G1129" t="s">
        <v>1587</v>
      </c>
      <c r="H1129" t="s">
        <v>1587</v>
      </c>
      <c r="I1129" t="s">
        <v>1587</v>
      </c>
      <c r="J1129" t="s">
        <v>1587</v>
      </c>
    </row>
    <row r="1130" spans="1:10" x14ac:dyDescent="0.25">
      <c r="A1130" t="s">
        <v>99</v>
      </c>
      <c r="B1130" t="s">
        <v>140</v>
      </c>
      <c r="C1130" t="s">
        <v>988</v>
      </c>
      <c r="D1130" t="s">
        <v>1227</v>
      </c>
      <c r="E1130" t="s">
        <v>724</v>
      </c>
      <c r="F1130">
        <v>275</v>
      </c>
      <c r="G1130">
        <v>16030.021963636</v>
      </c>
      <c r="H1130">
        <v>4408256.04</v>
      </c>
      <c r="I1130" t="s">
        <v>1587</v>
      </c>
      <c r="J1130">
        <v>3.6511500835172002</v>
      </c>
    </row>
    <row r="1131" spans="1:10" x14ac:dyDescent="0.25">
      <c r="A1131" t="s">
        <v>99</v>
      </c>
      <c r="B1131" t="s">
        <v>140</v>
      </c>
      <c r="C1131" t="s">
        <v>988</v>
      </c>
      <c r="D1131" t="s">
        <v>1060</v>
      </c>
      <c r="E1131" t="s">
        <v>725</v>
      </c>
      <c r="F1131">
        <v>6</v>
      </c>
      <c r="G1131">
        <v>16046.216666667</v>
      </c>
      <c r="H1131">
        <v>96277.3</v>
      </c>
      <c r="I1131" t="s">
        <v>1587</v>
      </c>
      <c r="J1131">
        <v>7.9741936209270003E-2</v>
      </c>
    </row>
    <row r="1132" spans="1:10" x14ac:dyDescent="0.25">
      <c r="A1132" t="s">
        <v>105</v>
      </c>
      <c r="B1132" t="s">
        <v>103</v>
      </c>
      <c r="C1132" t="s">
        <v>988</v>
      </c>
      <c r="D1132" t="s">
        <v>105</v>
      </c>
      <c r="E1132" t="s">
        <v>725</v>
      </c>
      <c r="F1132" t="s">
        <v>103</v>
      </c>
      <c r="G1132" t="s">
        <v>1587</v>
      </c>
      <c r="H1132">
        <v>309923.02</v>
      </c>
      <c r="I1132" t="s">
        <v>1587</v>
      </c>
      <c r="J1132">
        <v>0.25669458626928998</v>
      </c>
    </row>
    <row r="1133" spans="1:10" x14ac:dyDescent="0.25">
      <c r="A1133" t="s">
        <v>134</v>
      </c>
      <c r="B1133" t="s">
        <v>191</v>
      </c>
      <c r="C1133" t="s">
        <v>988</v>
      </c>
      <c r="D1133" t="s">
        <v>989</v>
      </c>
      <c r="E1133" t="s">
        <v>78</v>
      </c>
      <c r="F1133">
        <v>2</v>
      </c>
      <c r="G1133">
        <v>539442.65500000003</v>
      </c>
      <c r="H1133">
        <v>1078885.31</v>
      </c>
      <c r="I1133" t="s">
        <v>1587</v>
      </c>
      <c r="J1133">
        <v>0.89358969941138</v>
      </c>
    </row>
    <row r="1134" spans="1:10" x14ac:dyDescent="0.25">
      <c r="A1134" t="s">
        <v>134</v>
      </c>
      <c r="B1134" t="s">
        <v>191</v>
      </c>
      <c r="C1134" t="s">
        <v>988</v>
      </c>
      <c r="D1134" t="s">
        <v>320</v>
      </c>
      <c r="E1134" t="s">
        <v>723</v>
      </c>
      <c r="F1134">
        <v>1</v>
      </c>
      <c r="G1134">
        <v>429194.18</v>
      </c>
      <c r="H1134">
        <v>429194.18</v>
      </c>
      <c r="I1134" t="s">
        <v>1587</v>
      </c>
      <c r="J1134">
        <v>0.35548124971255002</v>
      </c>
    </row>
    <row r="1135" spans="1:10" x14ac:dyDescent="0.25">
      <c r="A1135" t="s">
        <v>134</v>
      </c>
      <c r="B1135" t="s">
        <v>490</v>
      </c>
      <c r="C1135" t="s">
        <v>988</v>
      </c>
      <c r="D1135" t="s">
        <v>491</v>
      </c>
      <c r="E1135" t="s">
        <v>726</v>
      </c>
      <c r="F1135">
        <v>1</v>
      </c>
      <c r="G1135">
        <v>705558.98</v>
      </c>
      <c r="H1135">
        <v>705558.98</v>
      </c>
      <c r="I1135" t="s">
        <v>1587</v>
      </c>
      <c r="J1135">
        <v>0.58438114877586</v>
      </c>
    </row>
    <row r="1136" spans="1:10" x14ac:dyDescent="0.25">
      <c r="A1136" t="s">
        <v>134</v>
      </c>
      <c r="B1136" t="s">
        <v>368</v>
      </c>
      <c r="C1136" t="s">
        <v>988</v>
      </c>
      <c r="D1136" t="s">
        <v>1187</v>
      </c>
      <c r="E1136" t="s">
        <v>78</v>
      </c>
      <c r="F1136">
        <v>1</v>
      </c>
      <c r="G1136">
        <v>880510.79</v>
      </c>
      <c r="H1136">
        <v>880510.79</v>
      </c>
      <c r="I1136" t="s">
        <v>1587</v>
      </c>
      <c r="J1136">
        <v>0.72928546238577996</v>
      </c>
    </row>
    <row r="1137" spans="1:10" x14ac:dyDescent="0.25">
      <c r="A1137" t="s">
        <v>134</v>
      </c>
      <c r="B1137" t="s">
        <v>190</v>
      </c>
      <c r="C1137" t="s">
        <v>988</v>
      </c>
      <c r="D1137" t="s">
        <v>194</v>
      </c>
      <c r="E1137" t="s">
        <v>78</v>
      </c>
      <c r="F1137">
        <v>1</v>
      </c>
      <c r="G1137">
        <v>929518.22</v>
      </c>
      <c r="H1137">
        <v>929518.22</v>
      </c>
      <c r="I1137" t="s">
        <v>1587</v>
      </c>
      <c r="J1137">
        <v>0.76987599989400002</v>
      </c>
    </row>
    <row r="1138" spans="1:10" x14ac:dyDescent="0.25">
      <c r="A1138" t="s">
        <v>135</v>
      </c>
      <c r="B1138" t="s">
        <v>399</v>
      </c>
      <c r="C1138" t="s">
        <v>988</v>
      </c>
      <c r="D1138" t="s">
        <v>887</v>
      </c>
      <c r="E1138" t="s">
        <v>725</v>
      </c>
      <c r="F1138">
        <v>2</v>
      </c>
      <c r="G1138">
        <v>309967.95</v>
      </c>
      <c r="H1138">
        <v>619935.9</v>
      </c>
      <c r="I1138" t="s">
        <v>1587</v>
      </c>
      <c r="J1138">
        <v>0.51346359932857</v>
      </c>
    </row>
    <row r="1139" spans="1:10" x14ac:dyDescent="0.25">
      <c r="A1139" t="s">
        <v>135</v>
      </c>
      <c r="B1139" t="s">
        <v>196</v>
      </c>
      <c r="C1139" t="s">
        <v>988</v>
      </c>
      <c r="D1139" t="s">
        <v>220</v>
      </c>
      <c r="E1139" t="s">
        <v>78</v>
      </c>
      <c r="F1139">
        <v>3</v>
      </c>
      <c r="G1139">
        <v>303909.34333333001</v>
      </c>
      <c r="H1139">
        <v>911728.03</v>
      </c>
      <c r="I1139" t="s">
        <v>1587</v>
      </c>
      <c r="J1139">
        <v>0.75514122652447002</v>
      </c>
    </row>
    <row r="1140" spans="1:10" x14ac:dyDescent="0.25">
      <c r="A1140" t="s">
        <v>135</v>
      </c>
      <c r="B1140" t="s">
        <v>196</v>
      </c>
      <c r="C1140" t="s">
        <v>988</v>
      </c>
      <c r="D1140" t="s">
        <v>6</v>
      </c>
      <c r="E1140" t="s">
        <v>78</v>
      </c>
      <c r="F1140">
        <v>1</v>
      </c>
      <c r="G1140">
        <v>306454.99</v>
      </c>
      <c r="H1140">
        <v>306454.99</v>
      </c>
      <c r="I1140" t="s">
        <v>1587</v>
      </c>
      <c r="J1140">
        <v>0.25382218096678</v>
      </c>
    </row>
    <row r="1141" spans="1:10" x14ac:dyDescent="0.25">
      <c r="A1141" t="s">
        <v>135</v>
      </c>
      <c r="B1141" t="s">
        <v>193</v>
      </c>
      <c r="C1141" t="s">
        <v>988</v>
      </c>
      <c r="D1141" t="s">
        <v>990</v>
      </c>
      <c r="E1141" t="s">
        <v>78</v>
      </c>
      <c r="F1141">
        <v>3</v>
      </c>
      <c r="G1141">
        <v>338679.08666666999</v>
      </c>
      <c r="H1141">
        <v>1016037.26</v>
      </c>
      <c r="I1141" t="s">
        <v>1587</v>
      </c>
      <c r="J1141">
        <v>0.84153563065397996</v>
      </c>
    </row>
    <row r="1142" spans="1:10" x14ac:dyDescent="0.25">
      <c r="A1142" t="s">
        <v>135</v>
      </c>
      <c r="B1142" t="s">
        <v>193</v>
      </c>
      <c r="C1142" t="s">
        <v>988</v>
      </c>
      <c r="D1142" t="s">
        <v>400</v>
      </c>
      <c r="E1142" t="s">
        <v>78</v>
      </c>
      <c r="F1142">
        <v>1</v>
      </c>
      <c r="G1142">
        <v>338679.09</v>
      </c>
      <c r="H1142">
        <v>338679.09</v>
      </c>
      <c r="I1142" t="s">
        <v>1587</v>
      </c>
      <c r="J1142">
        <v>0.28051187964550001</v>
      </c>
    </row>
    <row r="1143" spans="1:10" x14ac:dyDescent="0.25">
      <c r="A1143" t="s">
        <v>135</v>
      </c>
      <c r="B1143" t="s">
        <v>193</v>
      </c>
      <c r="C1143" t="s">
        <v>988</v>
      </c>
      <c r="D1143" t="s">
        <v>991</v>
      </c>
      <c r="E1143" t="s">
        <v>725</v>
      </c>
      <c r="F1143">
        <v>1</v>
      </c>
      <c r="G1143">
        <v>338679.09</v>
      </c>
      <c r="H1143">
        <v>338679.09</v>
      </c>
      <c r="I1143" t="s">
        <v>1587</v>
      </c>
      <c r="J1143">
        <v>0.28051187964550001</v>
      </c>
    </row>
    <row r="1144" spans="1:10" x14ac:dyDescent="0.25">
      <c r="A1144" t="s">
        <v>135</v>
      </c>
      <c r="B1144" t="s">
        <v>190</v>
      </c>
      <c r="C1144" t="s">
        <v>988</v>
      </c>
      <c r="D1144" t="s">
        <v>198</v>
      </c>
      <c r="E1144" t="s">
        <v>78</v>
      </c>
      <c r="F1144">
        <v>2</v>
      </c>
      <c r="G1144">
        <v>547036.11</v>
      </c>
      <c r="H1144">
        <v>1094072.22</v>
      </c>
      <c r="I1144" t="s">
        <v>1587</v>
      </c>
      <c r="J1144">
        <v>0.90616829902350005</v>
      </c>
    </row>
    <row r="1145" spans="1:10" x14ac:dyDescent="0.25">
      <c r="A1145" t="s">
        <v>135</v>
      </c>
      <c r="B1145" t="s">
        <v>190</v>
      </c>
      <c r="C1145" t="s">
        <v>988</v>
      </c>
      <c r="D1145" t="s">
        <v>992</v>
      </c>
      <c r="E1145" t="s">
        <v>725</v>
      </c>
      <c r="F1145">
        <v>2</v>
      </c>
      <c r="G1145">
        <v>351137.77</v>
      </c>
      <c r="H1145">
        <v>702275.54</v>
      </c>
      <c r="I1145" t="s">
        <v>1587</v>
      </c>
      <c r="J1145">
        <v>0.58166163064410004</v>
      </c>
    </row>
    <row r="1146" spans="1:10" x14ac:dyDescent="0.25">
      <c r="A1146" t="s">
        <v>113</v>
      </c>
      <c r="B1146" t="s">
        <v>114</v>
      </c>
      <c r="C1146" t="s">
        <v>988</v>
      </c>
      <c r="D1146" t="s">
        <v>180</v>
      </c>
      <c r="E1146" t="s">
        <v>430</v>
      </c>
      <c r="F1146">
        <v>-254</v>
      </c>
      <c r="G1146">
        <v>119224.9273349</v>
      </c>
      <c r="H1146">
        <v>111980.38</v>
      </c>
      <c r="I1146">
        <v>-30283131.543065</v>
      </c>
      <c r="J1146">
        <v>-25.082086262535999</v>
      </c>
    </row>
    <row r="1147" spans="1:10" x14ac:dyDescent="0.25">
      <c r="A1147" t="s">
        <v>113</v>
      </c>
      <c r="B1147" t="s">
        <v>114</v>
      </c>
      <c r="C1147" t="s">
        <v>988</v>
      </c>
      <c r="D1147" t="s">
        <v>184</v>
      </c>
      <c r="E1147" t="s">
        <v>430</v>
      </c>
      <c r="F1147">
        <v>-107</v>
      </c>
      <c r="G1147">
        <v>57989.152418275</v>
      </c>
      <c r="H1147">
        <v>104151.66</v>
      </c>
      <c r="I1147">
        <v>-6204839.3087553997</v>
      </c>
      <c r="J1147">
        <v>-5.1391750739536004</v>
      </c>
    </row>
    <row r="1148" spans="1:10" x14ac:dyDescent="0.25">
      <c r="A1148" t="s">
        <v>113</v>
      </c>
      <c r="B1148" t="s">
        <v>114</v>
      </c>
      <c r="C1148" t="s">
        <v>988</v>
      </c>
      <c r="D1148" t="s">
        <v>179</v>
      </c>
      <c r="E1148" t="s">
        <v>430</v>
      </c>
      <c r="F1148">
        <v>-110</v>
      </c>
      <c r="G1148">
        <v>138535.13043076999</v>
      </c>
      <c r="H1148">
        <v>59973.98</v>
      </c>
      <c r="I1148">
        <v>-15238864.347385</v>
      </c>
      <c r="J1148">
        <v>-12.621630941987</v>
      </c>
    </row>
    <row r="1149" spans="1:10" x14ac:dyDescent="0.25">
      <c r="A1149" t="s">
        <v>113</v>
      </c>
      <c r="B1149" t="s">
        <v>114</v>
      </c>
      <c r="C1149" t="s">
        <v>988</v>
      </c>
      <c r="D1149" t="s">
        <v>451</v>
      </c>
      <c r="E1149" t="s">
        <v>430</v>
      </c>
      <c r="F1149">
        <v>-72</v>
      </c>
      <c r="G1149">
        <v>102265.21126527</v>
      </c>
      <c r="H1149">
        <v>52117.919999999998</v>
      </c>
      <c r="I1149">
        <v>-7363095.2110997997</v>
      </c>
      <c r="J1149">
        <v>-6.0985036828650996</v>
      </c>
    </row>
    <row r="1150" spans="1:10" x14ac:dyDescent="0.25">
      <c r="A1150" t="s">
        <v>113</v>
      </c>
      <c r="B1150" t="s">
        <v>114</v>
      </c>
      <c r="C1150" t="s">
        <v>988</v>
      </c>
      <c r="D1150" t="s">
        <v>183</v>
      </c>
      <c r="E1150" t="s">
        <v>430</v>
      </c>
      <c r="F1150">
        <v>-45</v>
      </c>
      <c r="G1150">
        <v>83773.986155624996</v>
      </c>
      <c r="H1150">
        <v>49854.6</v>
      </c>
      <c r="I1150">
        <v>-3769829.3770030998</v>
      </c>
      <c r="J1150">
        <v>-3.1223714593245</v>
      </c>
    </row>
    <row r="1151" spans="1:10" x14ac:dyDescent="0.25">
      <c r="A1151" t="s">
        <v>113</v>
      </c>
      <c r="B1151" t="s">
        <v>114</v>
      </c>
      <c r="C1151" t="s">
        <v>988</v>
      </c>
      <c r="D1151" t="s">
        <v>319</v>
      </c>
      <c r="E1151" t="s">
        <v>430</v>
      </c>
      <c r="F1151">
        <v>-59</v>
      </c>
      <c r="G1151">
        <v>152304.67502938001</v>
      </c>
      <c r="H1151">
        <v>17364.516923077001</v>
      </c>
      <c r="I1151">
        <v>-7327026.4433362</v>
      </c>
      <c r="J1151">
        <v>-6.0686296276293001</v>
      </c>
    </row>
    <row r="1152" spans="1:10" x14ac:dyDescent="0.25">
      <c r="A1152" t="s">
        <v>113</v>
      </c>
      <c r="B1152" t="s">
        <v>114</v>
      </c>
      <c r="C1152" t="s">
        <v>988</v>
      </c>
      <c r="D1152" t="s">
        <v>319</v>
      </c>
      <c r="E1152" t="s">
        <v>350</v>
      </c>
      <c r="F1152">
        <v>6</v>
      </c>
      <c r="G1152">
        <v>152304.67502938001</v>
      </c>
      <c r="H1152">
        <v>1765.8830769230999</v>
      </c>
      <c r="I1152">
        <v>-745121.33322062995</v>
      </c>
      <c r="J1152">
        <v>-0.61714877569112003</v>
      </c>
    </row>
    <row r="1153" spans="1:10" x14ac:dyDescent="0.25">
      <c r="A1153" t="s">
        <v>113</v>
      </c>
      <c r="B1153" t="s">
        <v>114</v>
      </c>
      <c r="C1153" t="s">
        <v>988</v>
      </c>
      <c r="D1153" t="s">
        <v>1366</v>
      </c>
      <c r="E1153" t="s">
        <v>430</v>
      </c>
      <c r="F1153">
        <v>-33</v>
      </c>
      <c r="G1153">
        <v>131231.27586115</v>
      </c>
      <c r="H1153">
        <v>17112.810000000001</v>
      </c>
      <c r="I1153">
        <v>-4330632.1034179004</v>
      </c>
      <c r="J1153">
        <v>-3.5868578464141998</v>
      </c>
    </row>
    <row r="1154" spans="1:10" x14ac:dyDescent="0.25">
      <c r="A1154" t="s">
        <v>113</v>
      </c>
      <c r="B1154" t="s">
        <v>114</v>
      </c>
      <c r="C1154" t="s">
        <v>988</v>
      </c>
      <c r="D1154" t="s">
        <v>202</v>
      </c>
      <c r="E1154" t="s">
        <v>434</v>
      </c>
      <c r="F1154">
        <v>-62</v>
      </c>
      <c r="G1154">
        <v>59255.839999999997</v>
      </c>
      <c r="H1154">
        <v>4075.26</v>
      </c>
      <c r="I1154">
        <v>-3673862.08</v>
      </c>
      <c r="J1154">
        <v>-3.0428862839424999</v>
      </c>
    </row>
    <row r="1155" spans="1:10" x14ac:dyDescent="0.25">
      <c r="A1155" t="s">
        <v>113</v>
      </c>
      <c r="B1155" t="s">
        <v>114</v>
      </c>
      <c r="C1155" t="s">
        <v>988</v>
      </c>
      <c r="D1155" t="s">
        <v>116</v>
      </c>
      <c r="E1155" t="s">
        <v>430</v>
      </c>
      <c r="F1155">
        <v>-18</v>
      </c>
      <c r="G1155">
        <v>159982.35448884999</v>
      </c>
      <c r="H1155">
        <v>1830.0509999999999</v>
      </c>
      <c r="I1155">
        <v>-2303745.9046394001</v>
      </c>
      <c r="J1155">
        <v>-1.9080838263030999</v>
      </c>
    </row>
    <row r="1156" spans="1:10" x14ac:dyDescent="0.25">
      <c r="A1156" t="s">
        <v>113</v>
      </c>
      <c r="B1156" t="s">
        <v>114</v>
      </c>
      <c r="C1156" t="s">
        <v>988</v>
      </c>
      <c r="D1156" t="s">
        <v>116</v>
      </c>
      <c r="E1156" t="s">
        <v>350</v>
      </c>
      <c r="F1156">
        <v>2</v>
      </c>
      <c r="G1156">
        <v>159982.35448884999</v>
      </c>
      <c r="H1156">
        <v>203.339</v>
      </c>
      <c r="I1156">
        <v>-255971.76718215999</v>
      </c>
      <c r="J1156">
        <v>-0.21200931403366999</v>
      </c>
    </row>
    <row r="1157" spans="1:10" x14ac:dyDescent="0.25">
      <c r="A1157" t="s">
        <v>113</v>
      </c>
      <c r="B1157" t="s">
        <v>114</v>
      </c>
      <c r="C1157" t="s">
        <v>988</v>
      </c>
      <c r="D1157" t="s">
        <v>479</v>
      </c>
      <c r="E1157" t="s">
        <v>431</v>
      </c>
      <c r="F1157">
        <v>1</v>
      </c>
      <c r="G1157">
        <v>89037.45</v>
      </c>
      <c r="H1157">
        <v>-31.6</v>
      </c>
      <c r="I1157">
        <v>89037.45</v>
      </c>
      <c r="J1157">
        <v>7.3745510708507003E-2</v>
      </c>
    </row>
    <row r="1158" spans="1:10" x14ac:dyDescent="0.25">
      <c r="A1158" t="s">
        <v>113</v>
      </c>
      <c r="B1158" t="s">
        <v>114</v>
      </c>
      <c r="C1158" t="s">
        <v>988</v>
      </c>
      <c r="D1158" t="s">
        <v>143</v>
      </c>
      <c r="E1158" t="s">
        <v>431</v>
      </c>
      <c r="F1158">
        <v>2</v>
      </c>
      <c r="G1158">
        <v>77714.77</v>
      </c>
      <c r="H1158">
        <v>-83.1</v>
      </c>
      <c r="I1158">
        <v>155429.54</v>
      </c>
      <c r="J1158">
        <v>0.12873494025814999</v>
      </c>
    </row>
    <row r="1159" spans="1:10" x14ac:dyDescent="0.25">
      <c r="A1159" t="s">
        <v>117</v>
      </c>
      <c r="B1159" t="s">
        <v>995</v>
      </c>
      <c r="C1159" t="s">
        <v>988</v>
      </c>
      <c r="D1159" t="s">
        <v>996</v>
      </c>
      <c r="E1159" t="s">
        <v>725</v>
      </c>
      <c r="F1159">
        <v>267</v>
      </c>
      <c r="G1159">
        <v>2399.8447234931</v>
      </c>
      <c r="H1159">
        <v>640758.54117266997</v>
      </c>
      <c r="I1159" t="s">
        <v>1587</v>
      </c>
      <c r="J1159">
        <v>0.53071000864935003</v>
      </c>
    </row>
    <row r="1160" spans="1:10" x14ac:dyDescent="0.25">
      <c r="A1160" t="s">
        <v>118</v>
      </c>
      <c r="B1160" t="s">
        <v>145</v>
      </c>
      <c r="C1160" t="s">
        <v>988</v>
      </c>
      <c r="D1160" t="s">
        <v>121</v>
      </c>
      <c r="E1160" t="s">
        <v>725</v>
      </c>
      <c r="F1160">
        <v>1631679</v>
      </c>
      <c r="G1160">
        <v>1.4992763327451999</v>
      </c>
      <c r="H1160">
        <v>2446337.7073372998</v>
      </c>
      <c r="I1160" t="s">
        <v>1587</v>
      </c>
      <c r="J1160">
        <v>2.0261858756408002</v>
      </c>
    </row>
    <row r="1161" spans="1:10" x14ac:dyDescent="0.25">
      <c r="A1161" t="s">
        <v>126</v>
      </c>
      <c r="B1161" t="s">
        <v>1139</v>
      </c>
      <c r="C1161" t="s">
        <v>988</v>
      </c>
      <c r="D1161" t="s">
        <v>512</v>
      </c>
      <c r="E1161" t="s">
        <v>725</v>
      </c>
      <c r="F1161">
        <v>7</v>
      </c>
      <c r="G1161">
        <v>66715.287032945998</v>
      </c>
      <c r="H1161">
        <v>467007.00923061999</v>
      </c>
      <c r="I1161" t="s">
        <v>1587</v>
      </c>
      <c r="J1161">
        <v>0.38679982861328999</v>
      </c>
    </row>
    <row r="1162" spans="1:10" x14ac:dyDescent="0.25">
      <c r="A1162" t="s">
        <v>126</v>
      </c>
      <c r="B1162" t="s">
        <v>252</v>
      </c>
      <c r="C1162" t="s">
        <v>988</v>
      </c>
      <c r="D1162" t="s">
        <v>253</v>
      </c>
      <c r="E1162" t="s">
        <v>725</v>
      </c>
      <c r="F1162">
        <v>322</v>
      </c>
      <c r="G1162">
        <v>601.12129543000003</v>
      </c>
      <c r="H1162">
        <v>193561.05712846</v>
      </c>
      <c r="I1162" t="s">
        <v>1587</v>
      </c>
      <c r="J1162">
        <v>0.16031747327913001</v>
      </c>
    </row>
    <row r="1163" spans="1:10" x14ac:dyDescent="0.25">
      <c r="A1163" t="s">
        <v>126</v>
      </c>
      <c r="B1163" t="s">
        <v>877</v>
      </c>
      <c r="C1163" t="s">
        <v>988</v>
      </c>
      <c r="D1163" t="s">
        <v>1140</v>
      </c>
      <c r="E1163" t="s">
        <v>725</v>
      </c>
      <c r="F1163">
        <v>492</v>
      </c>
      <c r="G1163">
        <v>751.16050490215002</v>
      </c>
      <c r="H1163">
        <v>369570.96841186</v>
      </c>
      <c r="I1163" t="s">
        <v>1587</v>
      </c>
      <c r="J1163">
        <v>0.30609816216176</v>
      </c>
    </row>
    <row r="1164" spans="1:10" x14ac:dyDescent="0.25">
      <c r="A1164" t="s">
        <v>126</v>
      </c>
      <c r="B1164" t="s">
        <v>1141</v>
      </c>
      <c r="C1164" t="s">
        <v>988</v>
      </c>
      <c r="D1164" t="s">
        <v>1142</v>
      </c>
      <c r="E1164" t="s">
        <v>725</v>
      </c>
      <c r="F1164">
        <v>260</v>
      </c>
      <c r="G1164">
        <v>1240.43591313</v>
      </c>
      <c r="H1164">
        <v>322513.33741380001</v>
      </c>
      <c r="I1164" t="s">
        <v>1587</v>
      </c>
      <c r="J1164">
        <v>0.26712255099270998</v>
      </c>
    </row>
    <row r="1165" spans="1:10" x14ac:dyDescent="0.25">
      <c r="A1165" t="s">
        <v>126</v>
      </c>
      <c r="B1165" t="s">
        <v>467</v>
      </c>
      <c r="C1165" t="s">
        <v>988</v>
      </c>
      <c r="D1165" t="s">
        <v>468</v>
      </c>
      <c r="E1165" t="s">
        <v>725</v>
      </c>
      <c r="F1165">
        <v>364</v>
      </c>
      <c r="G1165">
        <v>1014.8591540358</v>
      </c>
      <c r="H1165">
        <v>369408.73206901998</v>
      </c>
      <c r="I1165" t="s">
        <v>1587</v>
      </c>
      <c r="J1165">
        <v>0.3059637894685</v>
      </c>
    </row>
    <row r="1166" spans="1:10" x14ac:dyDescent="0.25">
      <c r="A1166" t="s">
        <v>126</v>
      </c>
      <c r="B1166" t="s">
        <v>416</v>
      </c>
      <c r="C1166" t="s">
        <v>988</v>
      </c>
      <c r="D1166" t="s">
        <v>417</v>
      </c>
      <c r="E1166" t="s">
        <v>725</v>
      </c>
      <c r="F1166">
        <v>337</v>
      </c>
      <c r="G1166">
        <v>1007.29889057</v>
      </c>
      <c r="H1166">
        <v>339459.72612209001</v>
      </c>
      <c r="I1166" t="s">
        <v>1587</v>
      </c>
      <c r="J1166">
        <v>0.28115844364190001</v>
      </c>
    </row>
    <row r="1167" spans="1:10" x14ac:dyDescent="0.25">
      <c r="A1167" t="s">
        <v>126</v>
      </c>
      <c r="B1167" t="s">
        <v>136</v>
      </c>
      <c r="C1167" t="s">
        <v>988</v>
      </c>
      <c r="D1167" t="s">
        <v>136</v>
      </c>
      <c r="E1167" t="s">
        <v>725</v>
      </c>
      <c r="F1167">
        <v>1004</v>
      </c>
      <c r="G1167">
        <v>341.95965840000002</v>
      </c>
      <c r="H1167">
        <v>343327.4970336</v>
      </c>
      <c r="I1167" t="s">
        <v>1587</v>
      </c>
      <c r="J1167">
        <v>0.28436193544420002</v>
      </c>
    </row>
    <row r="1168" spans="1:10" x14ac:dyDescent="0.25">
      <c r="A1168" t="s">
        <v>126</v>
      </c>
      <c r="B1168" t="s">
        <v>1143</v>
      </c>
      <c r="C1168" t="s">
        <v>988</v>
      </c>
      <c r="D1168" t="s">
        <v>1144</v>
      </c>
      <c r="E1168" t="s">
        <v>725</v>
      </c>
      <c r="F1168">
        <v>376</v>
      </c>
      <c r="G1168">
        <v>1068.4475345921001</v>
      </c>
      <c r="H1168">
        <v>401736.27300664003</v>
      </c>
      <c r="I1168" t="s">
        <v>1587</v>
      </c>
      <c r="J1168">
        <v>0.33273916338581999</v>
      </c>
    </row>
    <row r="1169" spans="1:10" x14ac:dyDescent="0.25">
      <c r="A1169" t="s">
        <v>126</v>
      </c>
      <c r="B1169" t="s">
        <v>1237</v>
      </c>
      <c r="C1169" t="s">
        <v>988</v>
      </c>
      <c r="D1169" t="s">
        <v>1238</v>
      </c>
      <c r="E1169" t="s">
        <v>725</v>
      </c>
      <c r="F1169">
        <v>1171</v>
      </c>
      <c r="G1169">
        <v>1026.76171105</v>
      </c>
      <c r="H1169">
        <v>1202337.9636396</v>
      </c>
      <c r="I1169" t="s">
        <v>1587</v>
      </c>
      <c r="J1169">
        <v>0.99583969636174996</v>
      </c>
    </row>
    <row r="1170" spans="1:10" x14ac:dyDescent="0.25">
      <c r="A1170" t="s">
        <v>126</v>
      </c>
      <c r="B1170" t="s">
        <v>1145</v>
      </c>
      <c r="C1170" t="s">
        <v>988</v>
      </c>
      <c r="D1170" t="s">
        <v>1094</v>
      </c>
      <c r="E1170" t="s">
        <v>725</v>
      </c>
      <c r="F1170">
        <v>206</v>
      </c>
      <c r="G1170">
        <v>1005.27316539</v>
      </c>
      <c r="H1170">
        <v>207086.27207034</v>
      </c>
      <c r="I1170" t="s">
        <v>1587</v>
      </c>
      <c r="J1170">
        <v>0.17151976942902</v>
      </c>
    </row>
    <row r="1171" spans="1:10" x14ac:dyDescent="0.25">
      <c r="A1171" t="s">
        <v>126</v>
      </c>
      <c r="B1171" t="s">
        <v>235</v>
      </c>
      <c r="C1171" t="s">
        <v>988</v>
      </c>
      <c r="D1171" t="s">
        <v>737</v>
      </c>
      <c r="E1171" t="s">
        <v>725</v>
      </c>
      <c r="F1171">
        <v>731461</v>
      </c>
      <c r="G1171">
        <v>0.62787018000000006</v>
      </c>
      <c r="H1171">
        <v>459262.54973298003</v>
      </c>
      <c r="I1171" t="s">
        <v>1587</v>
      </c>
      <c r="J1171">
        <v>0.38038545892037001</v>
      </c>
    </row>
    <row r="1172" spans="1:10" x14ac:dyDescent="0.25">
      <c r="A1172" t="s">
        <v>126</v>
      </c>
      <c r="B1172" t="s">
        <v>941</v>
      </c>
      <c r="C1172" t="s">
        <v>988</v>
      </c>
      <c r="D1172" t="s">
        <v>942</v>
      </c>
      <c r="E1172" t="s">
        <v>725</v>
      </c>
      <c r="F1172">
        <v>291</v>
      </c>
      <c r="G1172">
        <v>1003.30145687</v>
      </c>
      <c r="H1172">
        <v>291960.72394916997</v>
      </c>
      <c r="I1172" t="s">
        <v>1587</v>
      </c>
      <c r="J1172">
        <v>0.24181726559394001</v>
      </c>
    </row>
    <row r="1173" spans="1:10" x14ac:dyDescent="0.25">
      <c r="A1173" t="s">
        <v>126</v>
      </c>
      <c r="B1173" t="s">
        <v>1096</v>
      </c>
      <c r="C1173" t="s">
        <v>988</v>
      </c>
      <c r="D1173" t="s">
        <v>1097</v>
      </c>
      <c r="E1173" t="s">
        <v>725</v>
      </c>
      <c r="F1173">
        <v>10</v>
      </c>
      <c r="G1173">
        <v>39359.2311242</v>
      </c>
      <c r="H1173">
        <v>393592.31124200003</v>
      </c>
      <c r="I1173" t="s">
        <v>1587</v>
      </c>
      <c r="J1173">
        <v>0.32599390485107999</v>
      </c>
    </row>
    <row r="1174" spans="1:10" x14ac:dyDescent="0.25">
      <c r="A1174" t="s">
        <v>127</v>
      </c>
      <c r="B1174" t="s">
        <v>38</v>
      </c>
      <c r="C1174" t="s">
        <v>988</v>
      </c>
      <c r="D1174" t="s">
        <v>1063</v>
      </c>
      <c r="E1174" t="s">
        <v>726</v>
      </c>
      <c r="F1174">
        <v>108</v>
      </c>
      <c r="G1174">
        <v>1034.1043771044001</v>
      </c>
      <c r="H1174">
        <v>111683.27272727</v>
      </c>
      <c r="I1174" t="s">
        <v>1587</v>
      </c>
      <c r="J1174">
        <v>9.2501975122493002E-2</v>
      </c>
    </row>
    <row r="1175" spans="1:10" x14ac:dyDescent="0.25">
      <c r="A1175" t="s">
        <v>127</v>
      </c>
      <c r="B1175" t="s">
        <v>38</v>
      </c>
      <c r="C1175" t="s">
        <v>988</v>
      </c>
      <c r="D1175" t="s">
        <v>1063</v>
      </c>
      <c r="E1175" t="s">
        <v>725</v>
      </c>
      <c r="F1175">
        <v>189</v>
      </c>
      <c r="G1175">
        <v>1034.1043771044001</v>
      </c>
      <c r="H1175">
        <v>195445.72727273</v>
      </c>
      <c r="I1175" t="s">
        <v>1587</v>
      </c>
      <c r="J1175">
        <v>0.16187845646436</v>
      </c>
    </row>
    <row r="1176" spans="1:10" x14ac:dyDescent="0.25">
      <c r="A1176" t="s">
        <v>127</v>
      </c>
      <c r="B1176" t="s">
        <v>38</v>
      </c>
      <c r="C1176" t="s">
        <v>988</v>
      </c>
      <c r="D1176" t="s">
        <v>238</v>
      </c>
      <c r="E1176" t="s">
        <v>726</v>
      </c>
      <c r="F1176">
        <v>607</v>
      </c>
      <c r="G1176">
        <v>713.10253588517003</v>
      </c>
      <c r="H1176">
        <v>298076.86</v>
      </c>
      <c r="I1176" t="s">
        <v>1587</v>
      </c>
      <c r="J1176">
        <v>0.24688297195268</v>
      </c>
    </row>
    <row r="1177" spans="1:10" x14ac:dyDescent="0.25">
      <c r="A1177" t="s">
        <v>127</v>
      </c>
      <c r="B1177" t="s">
        <v>258</v>
      </c>
      <c r="C1177" t="s">
        <v>988</v>
      </c>
      <c r="D1177" t="s">
        <v>259</v>
      </c>
      <c r="E1177" t="s">
        <v>726</v>
      </c>
      <c r="F1177">
        <v>170</v>
      </c>
      <c r="G1177">
        <v>1059.8493529412001</v>
      </c>
      <c r="H1177">
        <v>180174.39</v>
      </c>
      <c r="I1177" t="s">
        <v>1587</v>
      </c>
      <c r="J1177">
        <v>0.14922992973342999</v>
      </c>
    </row>
    <row r="1178" spans="1:10" x14ac:dyDescent="0.25">
      <c r="A1178" t="s">
        <v>127</v>
      </c>
      <c r="B1178" t="s">
        <v>1098</v>
      </c>
      <c r="C1178" t="s">
        <v>988</v>
      </c>
      <c r="D1178" t="s">
        <v>1099</v>
      </c>
      <c r="E1178" t="s">
        <v>726</v>
      </c>
      <c r="F1178">
        <v>148</v>
      </c>
      <c r="G1178">
        <v>1005.9309459459</v>
      </c>
      <c r="H1178">
        <v>148877.78</v>
      </c>
      <c r="I1178" t="s">
        <v>1587</v>
      </c>
      <c r="J1178">
        <v>0.12330842717585</v>
      </c>
    </row>
    <row r="1179" spans="1:10" x14ac:dyDescent="0.25">
      <c r="A1179" t="s">
        <v>127</v>
      </c>
      <c r="B1179" t="s">
        <v>927</v>
      </c>
      <c r="C1179" t="s">
        <v>988</v>
      </c>
      <c r="D1179" t="s">
        <v>919</v>
      </c>
      <c r="E1179" t="s">
        <v>723</v>
      </c>
      <c r="F1179">
        <v>2797</v>
      </c>
      <c r="G1179">
        <v>1034.6950983196</v>
      </c>
      <c r="H1179">
        <v>2894042.19</v>
      </c>
      <c r="I1179" t="s">
        <v>1587</v>
      </c>
      <c r="J1179">
        <v>2.396998333999</v>
      </c>
    </row>
    <row r="1180" spans="1:10" x14ac:dyDescent="0.25">
      <c r="A1180" t="s">
        <v>127</v>
      </c>
      <c r="B1180" t="s">
        <v>204</v>
      </c>
      <c r="C1180" t="s">
        <v>988</v>
      </c>
      <c r="D1180" t="s">
        <v>205</v>
      </c>
      <c r="E1180" t="s">
        <v>723</v>
      </c>
      <c r="F1180">
        <v>692</v>
      </c>
      <c r="G1180">
        <v>1019.7052023121</v>
      </c>
      <c r="H1180">
        <v>705636</v>
      </c>
      <c r="I1180" t="s">
        <v>1587</v>
      </c>
      <c r="J1180">
        <v>0.58444494080083997</v>
      </c>
    </row>
    <row r="1181" spans="1:10" x14ac:dyDescent="0.25">
      <c r="A1181" t="s">
        <v>127</v>
      </c>
      <c r="B1181" t="s">
        <v>204</v>
      </c>
      <c r="C1181" t="s">
        <v>988</v>
      </c>
      <c r="D1181" t="s">
        <v>206</v>
      </c>
      <c r="E1181" t="s">
        <v>723</v>
      </c>
      <c r="F1181">
        <v>596</v>
      </c>
      <c r="G1181">
        <v>989.74835570469997</v>
      </c>
      <c r="H1181">
        <v>589890.02</v>
      </c>
      <c r="I1181" t="s">
        <v>1587</v>
      </c>
      <c r="J1181">
        <v>0.48857801730340999</v>
      </c>
    </row>
    <row r="1182" spans="1:10" x14ac:dyDescent="0.25">
      <c r="A1182" t="s">
        <v>127</v>
      </c>
      <c r="B1182" t="s">
        <v>48</v>
      </c>
      <c r="C1182" t="s">
        <v>988</v>
      </c>
      <c r="D1182" t="s">
        <v>1367</v>
      </c>
      <c r="E1182" t="s">
        <v>723</v>
      </c>
      <c r="F1182">
        <v>2584</v>
      </c>
      <c r="G1182">
        <v>961.20549148606995</v>
      </c>
      <c r="H1182">
        <v>2483754.9900000002</v>
      </c>
      <c r="I1182" t="s">
        <v>1587</v>
      </c>
      <c r="J1182">
        <v>2.0571768420182002</v>
      </c>
    </row>
    <row r="1183" spans="1:10" x14ac:dyDescent="0.25">
      <c r="A1183" t="s">
        <v>127</v>
      </c>
      <c r="B1183" t="s">
        <v>396</v>
      </c>
      <c r="C1183" t="s">
        <v>988</v>
      </c>
      <c r="D1183" t="s">
        <v>1404</v>
      </c>
      <c r="E1183" t="s">
        <v>725</v>
      </c>
      <c r="F1183">
        <v>105</v>
      </c>
      <c r="G1183">
        <v>447.35161904761998</v>
      </c>
      <c r="H1183">
        <v>46971.92</v>
      </c>
      <c r="I1183" t="s">
        <v>1587</v>
      </c>
      <c r="J1183">
        <v>3.8904620801239999E-2</v>
      </c>
    </row>
    <row r="1184" spans="1:10" x14ac:dyDescent="0.25">
      <c r="A1184" t="s">
        <v>127</v>
      </c>
      <c r="B1184" t="s">
        <v>396</v>
      </c>
      <c r="C1184" t="s">
        <v>988</v>
      </c>
      <c r="D1184" t="s">
        <v>1405</v>
      </c>
      <c r="E1184" t="s">
        <v>725</v>
      </c>
      <c r="F1184">
        <v>155</v>
      </c>
      <c r="G1184">
        <v>79.774516129031994</v>
      </c>
      <c r="H1184">
        <v>12365.05</v>
      </c>
      <c r="I1184" t="s">
        <v>1587</v>
      </c>
      <c r="J1184">
        <v>1.024138637378E-2</v>
      </c>
    </row>
    <row r="1185" spans="1:10" x14ac:dyDescent="0.25">
      <c r="A1185" t="s">
        <v>127</v>
      </c>
      <c r="B1185" t="s">
        <v>392</v>
      </c>
      <c r="C1185" t="s">
        <v>988</v>
      </c>
      <c r="D1185" t="s">
        <v>393</v>
      </c>
      <c r="E1185" t="s">
        <v>723</v>
      </c>
      <c r="F1185">
        <v>1546</v>
      </c>
      <c r="G1185">
        <v>1208.5836934023</v>
      </c>
      <c r="H1185">
        <v>1868470.39</v>
      </c>
      <c r="I1185" t="s">
        <v>1587</v>
      </c>
      <c r="J1185">
        <v>1.5475656945956</v>
      </c>
    </row>
    <row r="1186" spans="1:10" x14ac:dyDescent="0.25">
      <c r="A1186" t="s">
        <v>127</v>
      </c>
      <c r="B1186" t="s">
        <v>759</v>
      </c>
      <c r="C1186" t="s">
        <v>988</v>
      </c>
      <c r="D1186" t="s">
        <v>760</v>
      </c>
      <c r="E1186" t="s">
        <v>726</v>
      </c>
      <c r="F1186">
        <v>250</v>
      </c>
      <c r="G1186">
        <v>850.5104</v>
      </c>
      <c r="H1186">
        <v>212627.6</v>
      </c>
      <c r="I1186" t="s">
        <v>1587</v>
      </c>
      <c r="J1186">
        <v>0.17610938939428</v>
      </c>
    </row>
    <row r="1187" spans="1:10" x14ac:dyDescent="0.25">
      <c r="A1187" t="s">
        <v>127</v>
      </c>
      <c r="B1187" t="s">
        <v>37</v>
      </c>
      <c r="C1187" t="s">
        <v>988</v>
      </c>
      <c r="D1187" t="s">
        <v>260</v>
      </c>
      <c r="E1187" t="s">
        <v>725</v>
      </c>
      <c r="F1187">
        <v>257</v>
      </c>
      <c r="G1187">
        <v>1059.0068482490001</v>
      </c>
      <c r="H1187">
        <v>272164.76</v>
      </c>
      <c r="I1187" t="s">
        <v>1587</v>
      </c>
      <c r="J1187">
        <v>0.22542120448259001</v>
      </c>
    </row>
    <row r="1188" spans="1:10" x14ac:dyDescent="0.25">
      <c r="A1188" t="s">
        <v>127</v>
      </c>
      <c r="B1188" t="s">
        <v>1356</v>
      </c>
      <c r="C1188" t="s">
        <v>988</v>
      </c>
      <c r="D1188" t="s">
        <v>1349</v>
      </c>
      <c r="E1188" t="s">
        <v>723</v>
      </c>
      <c r="F1188">
        <v>166766</v>
      </c>
      <c r="G1188">
        <v>9.9325340297182994</v>
      </c>
      <c r="H1188">
        <v>1656408.97</v>
      </c>
      <c r="I1188" t="s">
        <v>1587</v>
      </c>
      <c r="J1188">
        <v>1.3719252453299</v>
      </c>
    </row>
    <row r="1189" spans="1:10" x14ac:dyDescent="0.25">
      <c r="A1189" t="s">
        <v>127</v>
      </c>
      <c r="B1189" t="s">
        <v>295</v>
      </c>
      <c r="C1189" t="s">
        <v>988</v>
      </c>
      <c r="D1189" t="s">
        <v>300</v>
      </c>
      <c r="E1189" t="s">
        <v>726</v>
      </c>
      <c r="F1189">
        <v>468</v>
      </c>
      <c r="G1189">
        <v>942.75865384614997</v>
      </c>
      <c r="H1189">
        <v>441211.05</v>
      </c>
      <c r="I1189" t="s">
        <v>1587</v>
      </c>
      <c r="J1189">
        <v>0.36543425505207999</v>
      </c>
    </row>
    <row r="1190" spans="1:10" x14ac:dyDescent="0.25">
      <c r="A1190" t="s">
        <v>127</v>
      </c>
      <c r="B1190" t="s">
        <v>230</v>
      </c>
      <c r="C1190" t="s">
        <v>988</v>
      </c>
      <c r="D1190" t="s">
        <v>211</v>
      </c>
      <c r="E1190" t="s">
        <v>726</v>
      </c>
      <c r="F1190">
        <v>263</v>
      </c>
      <c r="G1190">
        <v>347.08049429658001</v>
      </c>
      <c r="H1190">
        <v>91282.17</v>
      </c>
      <c r="I1190" t="s">
        <v>1587</v>
      </c>
      <c r="J1190">
        <v>7.5604706168367994E-2</v>
      </c>
    </row>
    <row r="1191" spans="1:10" x14ac:dyDescent="0.25">
      <c r="A1191" t="s">
        <v>127</v>
      </c>
      <c r="B1191" t="s">
        <v>428</v>
      </c>
      <c r="C1191" t="s">
        <v>988</v>
      </c>
      <c r="D1191" t="s">
        <v>349</v>
      </c>
      <c r="E1191" t="s">
        <v>726</v>
      </c>
      <c r="F1191">
        <v>847</v>
      </c>
      <c r="G1191">
        <v>749.21473435655003</v>
      </c>
      <c r="H1191">
        <v>634584.88</v>
      </c>
      <c r="I1191" t="s">
        <v>1587</v>
      </c>
      <c r="J1191">
        <v>0.52559665695161994</v>
      </c>
    </row>
    <row r="1192" spans="1:10" x14ac:dyDescent="0.25">
      <c r="A1192" t="s">
        <v>127</v>
      </c>
      <c r="B1192" t="s">
        <v>505</v>
      </c>
      <c r="C1192" t="s">
        <v>988</v>
      </c>
      <c r="D1192" t="s">
        <v>411</v>
      </c>
      <c r="E1192" t="s">
        <v>723</v>
      </c>
      <c r="F1192">
        <v>5069</v>
      </c>
      <c r="G1192">
        <v>1100.6283823239</v>
      </c>
      <c r="H1192">
        <v>5579085.2699999996</v>
      </c>
      <c r="I1192" t="s">
        <v>1587</v>
      </c>
      <c r="J1192">
        <v>4.6208925853386003</v>
      </c>
    </row>
    <row r="1193" spans="1:10" x14ac:dyDescent="0.25">
      <c r="A1193" t="s">
        <v>127</v>
      </c>
      <c r="B1193" t="s">
        <v>732</v>
      </c>
      <c r="C1193" t="s">
        <v>988</v>
      </c>
      <c r="D1193" t="s">
        <v>1109</v>
      </c>
      <c r="E1193" t="s">
        <v>726</v>
      </c>
      <c r="F1193">
        <v>665</v>
      </c>
      <c r="G1193">
        <v>1028.8648571429001</v>
      </c>
      <c r="H1193">
        <v>684195.13</v>
      </c>
      <c r="I1193" t="s">
        <v>1587</v>
      </c>
      <c r="J1193">
        <v>0.56668648176833003</v>
      </c>
    </row>
    <row r="1194" spans="1:10" x14ac:dyDescent="0.25">
      <c r="A1194" t="s">
        <v>127</v>
      </c>
      <c r="B1194" t="s">
        <v>1410</v>
      </c>
      <c r="C1194" t="s">
        <v>988</v>
      </c>
      <c r="D1194" t="s">
        <v>1064</v>
      </c>
      <c r="E1194" t="s">
        <v>725</v>
      </c>
      <c r="F1194">
        <v>310</v>
      </c>
      <c r="G1194">
        <v>1005.0146451613</v>
      </c>
      <c r="H1194">
        <v>311554.53999999998</v>
      </c>
      <c r="I1194" t="s">
        <v>1587</v>
      </c>
      <c r="J1194">
        <v>0.25804589715735998</v>
      </c>
    </row>
    <row r="1195" spans="1:10" x14ac:dyDescent="0.25">
      <c r="A1195" t="s">
        <v>127</v>
      </c>
      <c r="B1195" t="s">
        <v>1410</v>
      </c>
      <c r="C1195" t="s">
        <v>988</v>
      </c>
      <c r="D1195" t="s">
        <v>228</v>
      </c>
      <c r="E1195" t="s">
        <v>723</v>
      </c>
      <c r="F1195">
        <v>229</v>
      </c>
      <c r="G1195">
        <v>1044.0074672489</v>
      </c>
      <c r="H1195">
        <v>239077.71</v>
      </c>
      <c r="I1195" t="s">
        <v>1587</v>
      </c>
      <c r="J1195">
        <v>0.19801676511367</v>
      </c>
    </row>
    <row r="1196" spans="1:10" x14ac:dyDescent="0.25">
      <c r="A1196" t="s">
        <v>127</v>
      </c>
      <c r="B1196" t="s">
        <v>513</v>
      </c>
      <c r="C1196" t="s">
        <v>988</v>
      </c>
      <c r="D1196" t="s">
        <v>514</v>
      </c>
      <c r="E1196" t="s">
        <v>726</v>
      </c>
      <c r="F1196">
        <v>340</v>
      </c>
      <c r="G1196">
        <v>1046.9284705882001</v>
      </c>
      <c r="H1196">
        <v>355955.68</v>
      </c>
      <c r="I1196" t="s">
        <v>1587</v>
      </c>
      <c r="J1196">
        <v>0.29482126241479001</v>
      </c>
    </row>
    <row r="1197" spans="1:10" x14ac:dyDescent="0.25">
      <c r="A1197" t="s">
        <v>127</v>
      </c>
      <c r="B1197" t="s">
        <v>167</v>
      </c>
      <c r="C1197" t="s">
        <v>988</v>
      </c>
      <c r="D1197" t="s">
        <v>263</v>
      </c>
      <c r="E1197" t="s">
        <v>723</v>
      </c>
      <c r="F1197">
        <v>162</v>
      </c>
      <c r="G1197">
        <v>975.34413580246996</v>
      </c>
      <c r="H1197">
        <v>158005.75</v>
      </c>
      <c r="I1197" t="s">
        <v>1587</v>
      </c>
      <c r="J1197">
        <v>0.13086869321427</v>
      </c>
    </row>
    <row r="1198" spans="1:10" x14ac:dyDescent="0.25">
      <c r="A1198" t="s">
        <v>127</v>
      </c>
      <c r="B1198" t="s">
        <v>35</v>
      </c>
      <c r="C1198" t="s">
        <v>988</v>
      </c>
      <c r="D1198" t="s">
        <v>1380</v>
      </c>
      <c r="E1198" t="s">
        <v>725</v>
      </c>
      <c r="F1198">
        <v>4350</v>
      </c>
      <c r="G1198">
        <v>903.47687816092002</v>
      </c>
      <c r="H1198">
        <v>3930124.42</v>
      </c>
      <c r="I1198" t="s">
        <v>1587</v>
      </c>
      <c r="J1198">
        <v>3.2551362657048002</v>
      </c>
    </row>
    <row r="1199" spans="1:10" x14ac:dyDescent="0.25">
      <c r="A1199" t="s">
        <v>127</v>
      </c>
      <c r="B1199" t="s">
        <v>35</v>
      </c>
      <c r="C1199" t="s">
        <v>988</v>
      </c>
      <c r="D1199" t="s">
        <v>3</v>
      </c>
      <c r="E1199" t="s">
        <v>78</v>
      </c>
      <c r="F1199">
        <v>79</v>
      </c>
      <c r="G1199">
        <v>10913.24278481</v>
      </c>
      <c r="H1199">
        <v>862146.18</v>
      </c>
      <c r="I1199" t="s">
        <v>1587</v>
      </c>
      <c r="J1199">
        <v>0.71407492408518003</v>
      </c>
    </row>
    <row r="1200" spans="1:10" x14ac:dyDescent="0.25">
      <c r="A1200" t="s">
        <v>127</v>
      </c>
      <c r="B1200" t="s">
        <v>855</v>
      </c>
      <c r="C1200" t="s">
        <v>988</v>
      </c>
      <c r="D1200" t="s">
        <v>265</v>
      </c>
      <c r="E1200" t="s">
        <v>726</v>
      </c>
      <c r="F1200">
        <v>1017</v>
      </c>
      <c r="G1200">
        <v>1036.0830580137999</v>
      </c>
      <c r="H1200">
        <v>1053696.47</v>
      </c>
      <c r="I1200" t="s">
        <v>1587</v>
      </c>
      <c r="J1200">
        <v>0.87272697400814003</v>
      </c>
    </row>
    <row r="1201" spans="1:10" x14ac:dyDescent="0.25">
      <c r="A1201" t="s">
        <v>127</v>
      </c>
      <c r="B1201" t="s">
        <v>289</v>
      </c>
      <c r="C1201" t="s">
        <v>988</v>
      </c>
      <c r="D1201" t="s">
        <v>266</v>
      </c>
      <c r="E1201" t="s">
        <v>726</v>
      </c>
      <c r="F1201">
        <v>90</v>
      </c>
      <c r="G1201">
        <v>1053.3484444444</v>
      </c>
      <c r="H1201">
        <v>94801.36</v>
      </c>
      <c r="I1201" t="s">
        <v>1587</v>
      </c>
      <c r="J1201">
        <v>7.8519484880362006E-2</v>
      </c>
    </row>
    <row r="1202" spans="1:10" x14ac:dyDescent="0.25">
      <c r="A1202" t="s">
        <v>127</v>
      </c>
      <c r="B1202" t="s">
        <v>427</v>
      </c>
      <c r="C1202" t="s">
        <v>988</v>
      </c>
      <c r="D1202" t="s">
        <v>469</v>
      </c>
      <c r="E1202" t="s">
        <v>726</v>
      </c>
      <c r="F1202">
        <v>424</v>
      </c>
      <c r="G1202">
        <v>1025.2128066037999</v>
      </c>
      <c r="H1202">
        <v>434690.23</v>
      </c>
      <c r="I1202" t="s">
        <v>1587</v>
      </c>
      <c r="J1202">
        <v>0.36003336810913</v>
      </c>
    </row>
    <row r="1203" spans="1:10" x14ac:dyDescent="0.25">
      <c r="A1203" t="s">
        <v>127</v>
      </c>
      <c r="B1203" t="s">
        <v>1378</v>
      </c>
      <c r="C1203" t="s">
        <v>988</v>
      </c>
      <c r="D1203" t="s">
        <v>1350</v>
      </c>
      <c r="E1203" t="s">
        <v>723</v>
      </c>
      <c r="F1203">
        <v>2225</v>
      </c>
      <c r="G1203">
        <v>966.06415280899</v>
      </c>
      <c r="H1203">
        <v>2149492.7400000002</v>
      </c>
      <c r="I1203" t="s">
        <v>1587</v>
      </c>
      <c r="J1203">
        <v>1.7803232221445</v>
      </c>
    </row>
    <row r="1204" spans="1:10" x14ac:dyDescent="0.25">
      <c r="A1204" t="s">
        <v>127</v>
      </c>
      <c r="B1204" t="s">
        <v>1526</v>
      </c>
      <c r="C1204" t="s">
        <v>988</v>
      </c>
      <c r="D1204" t="s">
        <v>1463</v>
      </c>
      <c r="E1204" t="s">
        <v>723</v>
      </c>
      <c r="F1204">
        <v>2013</v>
      </c>
      <c r="G1204">
        <v>1017.3250919026</v>
      </c>
      <c r="H1204">
        <v>2047875.41</v>
      </c>
      <c r="I1204" t="s">
        <v>1587</v>
      </c>
      <c r="J1204">
        <v>1.6961583915289999</v>
      </c>
    </row>
    <row r="1205" spans="1:10" x14ac:dyDescent="0.25">
      <c r="A1205" t="s">
        <v>127</v>
      </c>
      <c r="B1205" t="s">
        <v>1166</v>
      </c>
      <c r="C1205" t="s">
        <v>988</v>
      </c>
      <c r="D1205" t="s">
        <v>1167</v>
      </c>
      <c r="E1205" t="s">
        <v>726</v>
      </c>
      <c r="F1205">
        <v>150</v>
      </c>
      <c r="G1205">
        <v>1031.9967999999999</v>
      </c>
      <c r="H1205">
        <v>154799.51999999999</v>
      </c>
      <c r="I1205" t="s">
        <v>1587</v>
      </c>
      <c r="J1205">
        <v>0.12821312447551</v>
      </c>
    </row>
    <row r="1206" spans="1:10" x14ac:dyDescent="0.25">
      <c r="A1206" t="s">
        <v>127</v>
      </c>
      <c r="B1206" t="s">
        <v>758</v>
      </c>
      <c r="C1206" t="s">
        <v>988</v>
      </c>
      <c r="D1206" t="s">
        <v>1113</v>
      </c>
      <c r="E1206" t="s">
        <v>726</v>
      </c>
      <c r="F1206">
        <v>264</v>
      </c>
      <c r="G1206">
        <v>1050.9107196970001</v>
      </c>
      <c r="H1206">
        <v>277440.43</v>
      </c>
      <c r="I1206" t="s">
        <v>1587</v>
      </c>
      <c r="J1206">
        <v>0.22979079254334001</v>
      </c>
    </row>
    <row r="1207" spans="1:10" x14ac:dyDescent="0.25">
      <c r="A1207" t="s">
        <v>127</v>
      </c>
      <c r="B1207" t="s">
        <v>13</v>
      </c>
      <c r="C1207" t="s">
        <v>988</v>
      </c>
      <c r="D1207" t="s">
        <v>242</v>
      </c>
      <c r="E1207" t="s">
        <v>726</v>
      </c>
      <c r="F1207">
        <v>1141</v>
      </c>
      <c r="G1207">
        <v>1081.2251183173</v>
      </c>
      <c r="H1207">
        <v>1233677.8600000001</v>
      </c>
      <c r="I1207" t="s">
        <v>1587</v>
      </c>
      <c r="J1207">
        <v>1.0217970509654</v>
      </c>
    </row>
    <row r="1208" spans="1:10" x14ac:dyDescent="0.25">
      <c r="A1208" t="s">
        <v>127</v>
      </c>
      <c r="B1208" t="s">
        <v>13</v>
      </c>
      <c r="C1208" t="s">
        <v>988</v>
      </c>
      <c r="D1208" t="s">
        <v>243</v>
      </c>
      <c r="E1208" t="s">
        <v>723</v>
      </c>
      <c r="F1208">
        <v>582</v>
      </c>
      <c r="G1208">
        <v>1132.2740893471</v>
      </c>
      <c r="H1208">
        <v>658983.52</v>
      </c>
      <c r="I1208" t="s">
        <v>1587</v>
      </c>
      <c r="J1208">
        <v>0.54580489705051005</v>
      </c>
    </row>
    <row r="1209" spans="1:10" x14ac:dyDescent="0.25">
      <c r="A1209" t="s">
        <v>127</v>
      </c>
      <c r="B1209" t="s">
        <v>1043</v>
      </c>
      <c r="C1209" t="s">
        <v>988</v>
      </c>
      <c r="D1209" t="s">
        <v>1020</v>
      </c>
      <c r="E1209" t="s">
        <v>723</v>
      </c>
      <c r="F1209">
        <v>4267</v>
      </c>
      <c r="G1209">
        <v>1010.4959596906</v>
      </c>
      <c r="H1209">
        <v>4311786.26</v>
      </c>
      <c r="I1209" t="s">
        <v>1587</v>
      </c>
      <c r="J1209">
        <v>3.5712487252231999</v>
      </c>
    </row>
    <row r="1210" spans="1:10" x14ac:dyDescent="0.25">
      <c r="A1210" t="s">
        <v>127</v>
      </c>
      <c r="B1210" t="s">
        <v>33</v>
      </c>
      <c r="C1210" t="s">
        <v>988</v>
      </c>
      <c r="D1210" t="s">
        <v>849</v>
      </c>
      <c r="E1210" t="s">
        <v>723</v>
      </c>
      <c r="F1210">
        <v>9027</v>
      </c>
      <c r="G1210">
        <v>1005.4841097591</v>
      </c>
      <c r="H1210">
        <v>4049084.51</v>
      </c>
      <c r="I1210" t="s">
        <v>1587</v>
      </c>
      <c r="J1210">
        <v>3.3536652845724002</v>
      </c>
    </row>
    <row r="1211" spans="1:10" x14ac:dyDescent="0.25">
      <c r="A1211" t="s">
        <v>127</v>
      </c>
      <c r="B1211" t="s">
        <v>33</v>
      </c>
      <c r="C1211" t="s">
        <v>988</v>
      </c>
      <c r="D1211" t="s">
        <v>822</v>
      </c>
      <c r="E1211" t="s">
        <v>726</v>
      </c>
      <c r="F1211">
        <v>112</v>
      </c>
      <c r="G1211">
        <v>1088.9205357143001</v>
      </c>
      <c r="H1211">
        <v>121959.1</v>
      </c>
      <c r="I1211" t="s">
        <v>1587</v>
      </c>
      <c r="J1211">
        <v>0.10101295707649</v>
      </c>
    </row>
    <row r="1212" spans="1:10" x14ac:dyDescent="0.25">
      <c r="A1212" t="s">
        <v>127</v>
      </c>
      <c r="B1212" t="s">
        <v>975</v>
      </c>
      <c r="C1212" t="s">
        <v>988</v>
      </c>
      <c r="D1212" t="s">
        <v>976</v>
      </c>
      <c r="E1212" t="s">
        <v>726</v>
      </c>
      <c r="F1212">
        <v>179</v>
      </c>
      <c r="G1212">
        <v>516.50882681563996</v>
      </c>
      <c r="H1212">
        <v>92455.08</v>
      </c>
      <c r="I1212" t="s">
        <v>1587</v>
      </c>
      <c r="J1212">
        <v>7.6576172073615001E-2</v>
      </c>
    </row>
    <row r="1213" spans="1:10" x14ac:dyDescent="0.25">
      <c r="A1213" t="s">
        <v>127</v>
      </c>
      <c r="B1213" t="s">
        <v>345</v>
      </c>
      <c r="C1213" t="s">
        <v>988</v>
      </c>
      <c r="D1213" t="s">
        <v>346</v>
      </c>
      <c r="E1213" t="s">
        <v>723</v>
      </c>
      <c r="F1213">
        <v>2145</v>
      </c>
      <c r="G1213">
        <v>1050.5089324009</v>
      </c>
      <c r="H1213">
        <v>2253341.66</v>
      </c>
      <c r="I1213" t="s">
        <v>1587</v>
      </c>
      <c r="J1213">
        <v>1.8663363732614999</v>
      </c>
    </row>
    <row r="1214" spans="1:10" x14ac:dyDescent="0.25">
      <c r="A1214" t="s">
        <v>127</v>
      </c>
      <c r="B1214" t="s">
        <v>1374</v>
      </c>
      <c r="C1214" t="s">
        <v>988</v>
      </c>
      <c r="D1214" t="s">
        <v>1348</v>
      </c>
      <c r="E1214" t="s">
        <v>723</v>
      </c>
      <c r="F1214">
        <v>8000</v>
      </c>
      <c r="G1214">
        <v>951.52188750000005</v>
      </c>
      <c r="H1214">
        <v>3806087.55</v>
      </c>
      <c r="I1214" t="s">
        <v>1587</v>
      </c>
      <c r="J1214">
        <v>3.1524023899610998</v>
      </c>
    </row>
    <row r="1215" spans="1:10" x14ac:dyDescent="0.25">
      <c r="A1215" t="s">
        <v>127</v>
      </c>
      <c r="B1215" t="s">
        <v>476</v>
      </c>
      <c r="C1215" t="s">
        <v>988</v>
      </c>
      <c r="D1215" t="s">
        <v>477</v>
      </c>
      <c r="E1215" t="s">
        <v>726</v>
      </c>
      <c r="F1215">
        <v>10</v>
      </c>
      <c r="G1215">
        <v>977.05700000000002</v>
      </c>
      <c r="H1215">
        <v>9770.57</v>
      </c>
      <c r="I1215" t="s">
        <v>1587</v>
      </c>
      <c r="J1215">
        <v>8.0925012403568995E-3</v>
      </c>
    </row>
    <row r="1216" spans="1:10" x14ac:dyDescent="0.25">
      <c r="A1216" t="s">
        <v>127</v>
      </c>
      <c r="B1216" t="s">
        <v>405</v>
      </c>
      <c r="C1216" t="s">
        <v>988</v>
      </c>
      <c r="D1216" t="s">
        <v>406</v>
      </c>
      <c r="E1216" t="s">
        <v>726</v>
      </c>
      <c r="F1216">
        <v>230</v>
      </c>
      <c r="G1216">
        <v>766.95391304348004</v>
      </c>
      <c r="H1216">
        <v>176399.4</v>
      </c>
      <c r="I1216" t="s">
        <v>1587</v>
      </c>
      <c r="J1216">
        <v>0.14610328397403999</v>
      </c>
    </row>
    <row r="1217" spans="1:10" x14ac:dyDescent="0.25">
      <c r="A1217" t="s">
        <v>127</v>
      </c>
      <c r="B1217" t="s">
        <v>418</v>
      </c>
      <c r="C1217" t="s">
        <v>988</v>
      </c>
      <c r="D1217" t="s">
        <v>419</v>
      </c>
      <c r="E1217" t="s">
        <v>726</v>
      </c>
      <c r="F1217">
        <v>310</v>
      </c>
      <c r="G1217">
        <v>631.24954838710005</v>
      </c>
      <c r="H1217">
        <v>195687.36</v>
      </c>
      <c r="I1217" t="s">
        <v>1587</v>
      </c>
      <c r="J1217">
        <v>0.16207858942949999</v>
      </c>
    </row>
    <row r="1218" spans="1:10" x14ac:dyDescent="0.25">
      <c r="A1218" t="s">
        <v>127</v>
      </c>
      <c r="B1218" t="s">
        <v>944</v>
      </c>
      <c r="C1218" t="s">
        <v>988</v>
      </c>
      <c r="D1218" t="s">
        <v>1174</v>
      </c>
      <c r="E1218" t="s">
        <v>723</v>
      </c>
      <c r="F1218">
        <v>4110</v>
      </c>
      <c r="G1218">
        <v>999.62641849147997</v>
      </c>
      <c r="H1218">
        <v>4108464.58</v>
      </c>
      <c r="I1218" t="s">
        <v>1587</v>
      </c>
      <c r="J1218">
        <v>3.40284698944</v>
      </c>
    </row>
    <row r="1219" spans="1:10" x14ac:dyDescent="0.25">
      <c r="A1219" t="s">
        <v>127</v>
      </c>
      <c r="B1219" t="s">
        <v>858</v>
      </c>
      <c r="C1219" t="s">
        <v>988</v>
      </c>
      <c r="D1219" t="s">
        <v>848</v>
      </c>
      <c r="E1219" t="s">
        <v>723</v>
      </c>
      <c r="F1219">
        <v>3865</v>
      </c>
      <c r="G1219">
        <v>1041.8437309184999</v>
      </c>
      <c r="H1219">
        <v>4026726.02</v>
      </c>
      <c r="I1219" t="s">
        <v>1587</v>
      </c>
      <c r="J1219">
        <v>3.3351468042732</v>
      </c>
    </row>
    <row r="1220" spans="1:10" x14ac:dyDescent="0.25">
      <c r="A1220" t="s">
        <v>127</v>
      </c>
      <c r="B1220" t="s">
        <v>1034</v>
      </c>
      <c r="C1220" t="s">
        <v>988</v>
      </c>
      <c r="D1220" t="s">
        <v>1173</v>
      </c>
      <c r="E1220" t="s">
        <v>723</v>
      </c>
      <c r="F1220">
        <v>3875</v>
      </c>
      <c r="G1220">
        <v>1218.9435561289999</v>
      </c>
      <c r="H1220">
        <v>4723406.28</v>
      </c>
      <c r="I1220" t="s">
        <v>1587</v>
      </c>
      <c r="J1220">
        <v>3.9121741290026999</v>
      </c>
    </row>
    <row r="1221" spans="1:10" x14ac:dyDescent="0.25">
      <c r="A1221" t="s">
        <v>127</v>
      </c>
      <c r="B1221" t="s">
        <v>234</v>
      </c>
      <c r="C1221" t="s">
        <v>988</v>
      </c>
      <c r="D1221" t="s">
        <v>471</v>
      </c>
      <c r="E1221" t="s">
        <v>726</v>
      </c>
      <c r="F1221">
        <v>431</v>
      </c>
      <c r="G1221">
        <v>989.13396751740004</v>
      </c>
      <c r="H1221">
        <v>426316.74</v>
      </c>
      <c r="I1221" t="s">
        <v>1587</v>
      </c>
      <c r="J1221">
        <v>0.35309800218768</v>
      </c>
    </row>
    <row r="1222" spans="1:10" x14ac:dyDescent="0.25">
      <c r="A1222" t="s">
        <v>127</v>
      </c>
      <c r="B1222" t="s">
        <v>234</v>
      </c>
      <c r="C1222" t="s">
        <v>988</v>
      </c>
      <c r="D1222" t="s">
        <v>509</v>
      </c>
      <c r="E1222" t="s">
        <v>726</v>
      </c>
      <c r="F1222">
        <v>150</v>
      </c>
      <c r="G1222">
        <v>839.59720000000004</v>
      </c>
      <c r="H1222">
        <v>125939.58</v>
      </c>
      <c r="I1222" t="s">
        <v>1587</v>
      </c>
      <c r="J1222">
        <v>0.10430980048860999</v>
      </c>
    </row>
    <row r="1223" spans="1:10" x14ac:dyDescent="0.25">
      <c r="A1223" t="s">
        <v>127</v>
      </c>
      <c r="B1223" t="s">
        <v>891</v>
      </c>
      <c r="C1223" t="s">
        <v>988</v>
      </c>
      <c r="D1223" t="s">
        <v>472</v>
      </c>
      <c r="E1223" t="s">
        <v>726</v>
      </c>
      <c r="F1223">
        <v>687</v>
      </c>
      <c r="G1223">
        <v>835.33503639009996</v>
      </c>
      <c r="H1223">
        <v>573875.17000000004</v>
      </c>
      <c r="I1223" t="s">
        <v>1587</v>
      </c>
      <c r="J1223">
        <v>0.47531367412905001</v>
      </c>
    </row>
    <row r="1224" spans="1:10" x14ac:dyDescent="0.25">
      <c r="A1224" t="s">
        <v>127</v>
      </c>
      <c r="B1224" t="s">
        <v>1435</v>
      </c>
      <c r="C1224" t="s">
        <v>988</v>
      </c>
      <c r="D1224" t="s">
        <v>1226</v>
      </c>
      <c r="E1224" t="s">
        <v>723</v>
      </c>
      <c r="F1224">
        <v>3000</v>
      </c>
      <c r="G1224">
        <v>995.03543666666997</v>
      </c>
      <c r="H1224">
        <v>2985106.31</v>
      </c>
      <c r="I1224" t="s">
        <v>1587</v>
      </c>
      <c r="J1224">
        <v>2.4724224396604</v>
      </c>
    </row>
    <row r="1225" spans="1:10" x14ac:dyDescent="0.25">
      <c r="A1225" t="s">
        <v>127</v>
      </c>
      <c r="B1225" t="s">
        <v>213</v>
      </c>
      <c r="C1225" t="s">
        <v>988</v>
      </c>
      <c r="D1225" t="s">
        <v>1184</v>
      </c>
      <c r="E1225" t="s">
        <v>723</v>
      </c>
      <c r="F1225">
        <v>2500</v>
      </c>
      <c r="G1225">
        <v>1090.536912</v>
      </c>
      <c r="H1225">
        <v>2726342.28</v>
      </c>
      <c r="I1225" t="s">
        <v>1587</v>
      </c>
      <c r="J1225">
        <v>2.2581004263351998</v>
      </c>
    </row>
    <row r="1226" spans="1:10" x14ac:dyDescent="0.25">
      <c r="A1226" t="s">
        <v>127</v>
      </c>
      <c r="B1226" t="s">
        <v>213</v>
      </c>
      <c r="C1226" t="s">
        <v>988</v>
      </c>
      <c r="D1226" t="s">
        <v>332</v>
      </c>
      <c r="E1226" t="s">
        <v>726</v>
      </c>
      <c r="F1226">
        <v>472</v>
      </c>
      <c r="G1226">
        <v>1056.0188983051</v>
      </c>
      <c r="H1226">
        <v>498440.92</v>
      </c>
      <c r="I1226" t="s">
        <v>1587</v>
      </c>
      <c r="J1226">
        <v>0.41283505090743</v>
      </c>
    </row>
    <row r="1227" spans="1:10" x14ac:dyDescent="0.25">
      <c r="A1227" t="s">
        <v>127</v>
      </c>
      <c r="B1227" t="s">
        <v>492</v>
      </c>
      <c r="C1227" t="s">
        <v>988</v>
      </c>
      <c r="D1227" t="s">
        <v>493</v>
      </c>
      <c r="E1227" t="s">
        <v>723</v>
      </c>
      <c r="F1227">
        <v>1650</v>
      </c>
      <c r="G1227">
        <v>1165.8209878788</v>
      </c>
      <c r="H1227">
        <v>1923604.63</v>
      </c>
      <c r="I1227" t="s">
        <v>1587</v>
      </c>
      <c r="J1227">
        <v>1.5932307791900999</v>
      </c>
    </row>
    <row r="1228" spans="1:10" x14ac:dyDescent="0.25">
      <c r="A1228" t="s">
        <v>127</v>
      </c>
      <c r="B1228" t="s">
        <v>429</v>
      </c>
      <c r="C1228" t="s">
        <v>988</v>
      </c>
      <c r="D1228" t="s">
        <v>347</v>
      </c>
      <c r="E1228" t="s">
        <v>726</v>
      </c>
      <c r="F1228">
        <v>360</v>
      </c>
      <c r="G1228">
        <v>995.00827777777999</v>
      </c>
      <c r="H1228">
        <v>358202.98</v>
      </c>
      <c r="I1228" t="s">
        <v>1587</v>
      </c>
      <c r="J1228">
        <v>0.29668259476669001</v>
      </c>
    </row>
    <row r="1229" spans="1:10" x14ac:dyDescent="0.25">
      <c r="A1229" t="s">
        <v>127</v>
      </c>
      <c r="B1229" t="s">
        <v>947</v>
      </c>
      <c r="C1229" t="s">
        <v>988</v>
      </c>
      <c r="D1229" t="s">
        <v>929</v>
      </c>
      <c r="E1229" t="s">
        <v>723</v>
      </c>
      <c r="F1229">
        <v>770</v>
      </c>
      <c r="G1229">
        <v>990.17035064934998</v>
      </c>
      <c r="H1229">
        <v>762431.17</v>
      </c>
      <c r="I1229" t="s">
        <v>1587</v>
      </c>
      <c r="J1229">
        <v>0.63148569519606002</v>
      </c>
    </row>
    <row r="1230" spans="1:10" x14ac:dyDescent="0.25">
      <c r="A1230" t="s">
        <v>127</v>
      </c>
      <c r="B1230" t="s">
        <v>1436</v>
      </c>
      <c r="C1230" t="s">
        <v>988</v>
      </c>
      <c r="D1230" t="s">
        <v>1368</v>
      </c>
      <c r="E1230" t="s">
        <v>723</v>
      </c>
      <c r="F1230">
        <v>3005</v>
      </c>
      <c r="G1230">
        <v>1119.5817071547001</v>
      </c>
      <c r="H1230">
        <v>3364343.03</v>
      </c>
      <c r="I1230" t="s">
        <v>1587</v>
      </c>
      <c r="J1230">
        <v>2.7865262869271001</v>
      </c>
    </row>
    <row r="1231" spans="1:10" x14ac:dyDescent="0.25">
      <c r="A1231" t="s">
        <v>127</v>
      </c>
      <c r="B1231" t="s">
        <v>10</v>
      </c>
      <c r="C1231" t="s">
        <v>988</v>
      </c>
      <c r="D1231" t="s">
        <v>279</v>
      </c>
      <c r="E1231" t="s">
        <v>723</v>
      </c>
      <c r="F1231">
        <v>3709</v>
      </c>
      <c r="G1231">
        <v>1063.1797034240999</v>
      </c>
      <c r="H1231">
        <v>3943333.52</v>
      </c>
      <c r="I1231" t="s">
        <v>1587</v>
      </c>
      <c r="J1231">
        <v>3.2660767387921998</v>
      </c>
    </row>
    <row r="1232" spans="1:10" x14ac:dyDescent="0.25">
      <c r="A1232" t="s">
        <v>127</v>
      </c>
      <c r="B1232" t="s">
        <v>10</v>
      </c>
      <c r="C1232" t="s">
        <v>988</v>
      </c>
      <c r="D1232" t="s">
        <v>9</v>
      </c>
      <c r="E1232" t="s">
        <v>726</v>
      </c>
      <c r="F1232">
        <v>46</v>
      </c>
      <c r="G1232">
        <v>5022.2382608695998</v>
      </c>
      <c r="H1232">
        <v>231022.96</v>
      </c>
      <c r="I1232" t="s">
        <v>1587</v>
      </c>
      <c r="J1232">
        <v>0.19134539646622001</v>
      </c>
    </row>
    <row r="1233" spans="1:10" x14ac:dyDescent="0.25">
      <c r="A1233" t="s">
        <v>127</v>
      </c>
      <c r="B1233" t="s">
        <v>46</v>
      </c>
      <c r="C1233" t="s">
        <v>988</v>
      </c>
      <c r="D1233" t="s">
        <v>1364</v>
      </c>
      <c r="E1233" t="s">
        <v>723</v>
      </c>
      <c r="F1233">
        <v>2070</v>
      </c>
      <c r="G1233">
        <v>999.07711594202999</v>
      </c>
      <c r="H1233">
        <v>2068089.63</v>
      </c>
      <c r="I1233" t="s">
        <v>1587</v>
      </c>
      <c r="J1233">
        <v>1.7129008743547001</v>
      </c>
    </row>
    <row r="1234" spans="1:10" x14ac:dyDescent="0.25">
      <c r="A1234" t="s">
        <v>127</v>
      </c>
      <c r="B1234" t="s">
        <v>46</v>
      </c>
      <c r="C1234" t="s">
        <v>988</v>
      </c>
      <c r="D1234" t="s">
        <v>4</v>
      </c>
      <c r="E1234" t="s">
        <v>726</v>
      </c>
      <c r="F1234">
        <v>1707</v>
      </c>
      <c r="G1234">
        <v>1060.3699999999999</v>
      </c>
      <c r="H1234">
        <v>1810051.59</v>
      </c>
      <c r="I1234" t="s">
        <v>1587</v>
      </c>
      <c r="J1234">
        <v>1.4991801642263001</v>
      </c>
    </row>
    <row r="1235" spans="1:10" x14ac:dyDescent="0.25">
      <c r="A1235" t="s">
        <v>127</v>
      </c>
      <c r="B1235" t="s">
        <v>215</v>
      </c>
      <c r="C1235" t="s">
        <v>988</v>
      </c>
      <c r="D1235" t="s">
        <v>216</v>
      </c>
      <c r="E1235" t="s">
        <v>726</v>
      </c>
      <c r="F1235">
        <v>18</v>
      </c>
      <c r="G1235">
        <v>546.74166666666997</v>
      </c>
      <c r="H1235">
        <v>9841.35</v>
      </c>
      <c r="I1235" t="s">
        <v>1587</v>
      </c>
      <c r="J1235">
        <v>8.1511249683269994E-3</v>
      </c>
    </row>
    <row r="1236" spans="1:10" x14ac:dyDescent="0.25">
      <c r="A1236" t="s">
        <v>127</v>
      </c>
      <c r="B1236" t="s">
        <v>233</v>
      </c>
      <c r="C1236" t="s">
        <v>988</v>
      </c>
      <c r="D1236" t="s">
        <v>333</v>
      </c>
      <c r="E1236" t="s">
        <v>434</v>
      </c>
      <c r="F1236">
        <v>4500</v>
      </c>
      <c r="G1236">
        <v>1024.3052555556001</v>
      </c>
      <c r="H1236">
        <v>4609373.6500000004</v>
      </c>
      <c r="I1236" t="s">
        <v>1587</v>
      </c>
      <c r="J1236">
        <v>3.8177262923139001</v>
      </c>
    </row>
    <row r="1237" spans="1:10" x14ac:dyDescent="0.25">
      <c r="A1237" t="s">
        <v>127</v>
      </c>
      <c r="B1237" t="s">
        <v>506</v>
      </c>
      <c r="C1237" t="s">
        <v>988</v>
      </c>
      <c r="D1237" t="s">
        <v>879</v>
      </c>
      <c r="E1237" t="s">
        <v>726</v>
      </c>
      <c r="F1237">
        <v>703</v>
      </c>
      <c r="G1237">
        <v>1023.3757041251999</v>
      </c>
      <c r="H1237">
        <v>719433.12</v>
      </c>
      <c r="I1237" t="s">
        <v>1587</v>
      </c>
      <c r="J1237">
        <v>0.59587244305642995</v>
      </c>
    </row>
    <row r="1238" spans="1:10" x14ac:dyDescent="0.25">
      <c r="A1238" t="s">
        <v>236</v>
      </c>
      <c r="B1238" t="s">
        <v>237</v>
      </c>
      <c r="C1238" t="s">
        <v>988</v>
      </c>
      <c r="D1238" t="s">
        <v>311</v>
      </c>
      <c r="E1238" t="s">
        <v>725</v>
      </c>
      <c r="F1238">
        <v>531</v>
      </c>
      <c r="G1238">
        <v>941.95741996234005</v>
      </c>
      <c r="H1238">
        <v>500179.39</v>
      </c>
      <c r="I1238" t="s">
        <v>1587</v>
      </c>
      <c r="J1238">
        <v>0.41427494342458998</v>
      </c>
    </row>
    <row r="1239" spans="1:10" x14ac:dyDescent="0.25">
      <c r="A1239" t="s">
        <v>236</v>
      </c>
      <c r="B1239" t="s">
        <v>270</v>
      </c>
      <c r="C1239" t="s">
        <v>988</v>
      </c>
      <c r="D1239" t="s">
        <v>439</v>
      </c>
      <c r="E1239" t="s">
        <v>725</v>
      </c>
      <c r="F1239">
        <v>911</v>
      </c>
      <c r="G1239">
        <v>459.85767288694001</v>
      </c>
      <c r="H1239">
        <v>418930.34</v>
      </c>
      <c r="I1239" t="s">
        <v>1587</v>
      </c>
      <c r="J1239">
        <v>0.34698019624988002</v>
      </c>
    </row>
    <row r="1240" spans="1:10" x14ac:dyDescent="0.25">
      <c r="A1240" t="s">
        <v>236</v>
      </c>
      <c r="B1240" t="s">
        <v>270</v>
      </c>
      <c r="C1240" t="s">
        <v>988</v>
      </c>
      <c r="D1240" t="s">
        <v>1016</v>
      </c>
      <c r="E1240" t="s">
        <v>726</v>
      </c>
      <c r="F1240">
        <v>287</v>
      </c>
      <c r="G1240">
        <v>447.46560975609998</v>
      </c>
      <c r="H1240">
        <v>128422.63</v>
      </c>
      <c r="I1240" t="s">
        <v>1587</v>
      </c>
      <c r="J1240">
        <v>0.10636639342074</v>
      </c>
    </row>
    <row r="1241" spans="1:10" x14ac:dyDescent="0.25">
      <c r="A1241" t="s">
        <v>186</v>
      </c>
      <c r="B1241" t="s">
        <v>189</v>
      </c>
      <c r="C1241" t="s">
        <v>988</v>
      </c>
      <c r="D1241" t="s">
        <v>271</v>
      </c>
      <c r="E1241" t="s">
        <v>725</v>
      </c>
      <c r="F1241">
        <v>1000</v>
      </c>
      <c r="G1241">
        <v>1100.37996</v>
      </c>
      <c r="H1241">
        <v>1100379.96</v>
      </c>
      <c r="I1241" t="s">
        <v>1587</v>
      </c>
      <c r="J1241">
        <v>0.91139270187552002</v>
      </c>
    </row>
    <row r="1242" spans="1:10" x14ac:dyDescent="0.25">
      <c r="A1242" t="s">
        <v>131</v>
      </c>
      <c r="B1242" t="s">
        <v>140</v>
      </c>
      <c r="C1242" t="s">
        <v>988</v>
      </c>
      <c r="D1242">
        <v>760199</v>
      </c>
      <c r="E1242" t="s">
        <v>725</v>
      </c>
      <c r="F1242">
        <v>1848</v>
      </c>
      <c r="G1242">
        <v>4044.2496158008998</v>
      </c>
      <c r="H1242">
        <v>7473773.29</v>
      </c>
      <c r="I1242" t="s">
        <v>1587</v>
      </c>
      <c r="J1242">
        <v>6.1901731034598004</v>
      </c>
    </row>
    <row r="1243" spans="1:10" x14ac:dyDescent="0.25">
      <c r="A1243" t="s">
        <v>144</v>
      </c>
      <c r="B1243" t="s">
        <v>103</v>
      </c>
      <c r="C1243" t="s">
        <v>988</v>
      </c>
      <c r="D1243" t="s">
        <v>144</v>
      </c>
      <c r="E1243" t="s">
        <v>725</v>
      </c>
      <c r="F1243" t="s">
        <v>103</v>
      </c>
      <c r="G1243" t="s">
        <v>1587</v>
      </c>
      <c r="H1243" t="s">
        <v>1587</v>
      </c>
      <c r="I1243" t="s">
        <v>1587</v>
      </c>
      <c r="J1243" t="s">
        <v>1587</v>
      </c>
    </row>
    <row r="1244" spans="1:10" x14ac:dyDescent="0.25">
      <c r="A1244" t="s">
        <v>99</v>
      </c>
      <c r="B1244" t="s">
        <v>140</v>
      </c>
      <c r="C1244" t="s">
        <v>1072</v>
      </c>
      <c r="D1244" t="s">
        <v>283</v>
      </c>
      <c r="E1244" t="s">
        <v>724</v>
      </c>
      <c r="F1244">
        <v>62</v>
      </c>
      <c r="G1244">
        <v>16117.739756098001</v>
      </c>
      <c r="H1244">
        <v>999299.86487805005</v>
      </c>
      <c r="I1244" t="s">
        <v>1587</v>
      </c>
      <c r="J1244">
        <v>2.1524638785694998</v>
      </c>
    </row>
    <row r="1245" spans="1:10" x14ac:dyDescent="0.25">
      <c r="A1245" t="s">
        <v>99</v>
      </c>
      <c r="B1245" t="s">
        <v>140</v>
      </c>
      <c r="C1245" t="s">
        <v>1072</v>
      </c>
      <c r="D1245" t="s">
        <v>283</v>
      </c>
      <c r="E1245" t="s">
        <v>725</v>
      </c>
      <c r="F1245">
        <v>20</v>
      </c>
      <c r="G1245">
        <v>16117.739756098001</v>
      </c>
      <c r="H1245">
        <v>322354.79512194998</v>
      </c>
      <c r="I1245" t="s">
        <v>1587</v>
      </c>
      <c r="J1245">
        <v>0.69434318663534</v>
      </c>
    </row>
    <row r="1246" spans="1:10" x14ac:dyDescent="0.25">
      <c r="A1246" t="s">
        <v>105</v>
      </c>
      <c r="B1246" t="s">
        <v>103</v>
      </c>
      <c r="C1246" t="s">
        <v>1072</v>
      </c>
      <c r="D1246" t="s">
        <v>105</v>
      </c>
      <c r="E1246" t="s">
        <v>725</v>
      </c>
      <c r="F1246" t="s">
        <v>103</v>
      </c>
      <c r="G1246" t="s">
        <v>1587</v>
      </c>
      <c r="H1246">
        <v>-11732.14</v>
      </c>
      <c r="I1246" t="s">
        <v>1587</v>
      </c>
      <c r="J1246">
        <v>-2.5270700473279999E-2</v>
      </c>
    </row>
    <row r="1247" spans="1:10" x14ac:dyDescent="0.25">
      <c r="A1247" t="s">
        <v>135</v>
      </c>
      <c r="B1247" t="s">
        <v>399</v>
      </c>
      <c r="C1247" t="s">
        <v>1072</v>
      </c>
      <c r="D1247" t="s">
        <v>887</v>
      </c>
      <c r="E1247" t="s">
        <v>725</v>
      </c>
      <c r="F1247">
        <v>1</v>
      </c>
      <c r="G1247">
        <v>309967.95</v>
      </c>
      <c r="H1247">
        <v>309967.95</v>
      </c>
      <c r="I1247" t="s">
        <v>1587</v>
      </c>
      <c r="J1247">
        <v>0.66766226969386</v>
      </c>
    </row>
    <row r="1248" spans="1:10" x14ac:dyDescent="0.25">
      <c r="A1248" t="s">
        <v>135</v>
      </c>
      <c r="B1248" t="s">
        <v>196</v>
      </c>
      <c r="C1248" t="s">
        <v>1072</v>
      </c>
      <c r="D1248" t="s">
        <v>6</v>
      </c>
      <c r="E1248" t="s">
        <v>725</v>
      </c>
      <c r="F1248">
        <v>1</v>
      </c>
      <c r="G1248">
        <v>306454.99</v>
      </c>
      <c r="H1248">
        <v>306454.99</v>
      </c>
      <c r="I1248" t="s">
        <v>1587</v>
      </c>
      <c r="J1248">
        <v>0.66009545239245004</v>
      </c>
    </row>
    <row r="1249" spans="1:10" x14ac:dyDescent="0.25">
      <c r="A1249" t="s">
        <v>135</v>
      </c>
      <c r="B1249" t="s">
        <v>190</v>
      </c>
      <c r="C1249" t="s">
        <v>1072</v>
      </c>
      <c r="D1249" t="s">
        <v>1465</v>
      </c>
      <c r="E1249" t="s">
        <v>725</v>
      </c>
      <c r="F1249">
        <v>3</v>
      </c>
      <c r="G1249">
        <v>547036.11333333002</v>
      </c>
      <c r="H1249">
        <v>1641108.34</v>
      </c>
      <c r="I1249" t="s">
        <v>1587</v>
      </c>
      <c r="J1249">
        <v>3.5349013312438999</v>
      </c>
    </row>
    <row r="1250" spans="1:10" x14ac:dyDescent="0.25">
      <c r="A1250" t="s">
        <v>135</v>
      </c>
      <c r="B1250" t="s">
        <v>190</v>
      </c>
      <c r="C1250" t="s">
        <v>1072</v>
      </c>
      <c r="D1250" t="s">
        <v>1466</v>
      </c>
      <c r="E1250" t="s">
        <v>725</v>
      </c>
      <c r="F1250">
        <v>1</v>
      </c>
      <c r="G1250">
        <v>351137.77</v>
      </c>
      <c r="H1250">
        <v>351137.77</v>
      </c>
      <c r="I1250" t="s">
        <v>1587</v>
      </c>
      <c r="J1250">
        <v>0.75634090715973001</v>
      </c>
    </row>
    <row r="1251" spans="1:10" x14ac:dyDescent="0.25">
      <c r="A1251" t="s">
        <v>112</v>
      </c>
      <c r="B1251" t="s">
        <v>368</v>
      </c>
      <c r="C1251" t="s">
        <v>1072</v>
      </c>
      <c r="D1251" t="s">
        <v>1138</v>
      </c>
      <c r="E1251" t="s">
        <v>725</v>
      </c>
      <c r="F1251">
        <v>4</v>
      </c>
      <c r="G1251">
        <v>104633.3725</v>
      </c>
      <c r="H1251">
        <v>418533.49</v>
      </c>
      <c r="I1251" t="s">
        <v>1587</v>
      </c>
      <c r="J1251">
        <v>0.90150939758866999</v>
      </c>
    </row>
    <row r="1252" spans="1:10" x14ac:dyDescent="0.25">
      <c r="A1252" t="s">
        <v>113</v>
      </c>
      <c r="B1252" t="s">
        <v>114</v>
      </c>
      <c r="C1252" t="s">
        <v>1072</v>
      </c>
      <c r="D1252" t="s">
        <v>179</v>
      </c>
      <c r="E1252" t="s">
        <v>430</v>
      </c>
      <c r="F1252">
        <v>-22</v>
      </c>
      <c r="G1252">
        <v>138535.13043076999</v>
      </c>
      <c r="H1252">
        <v>13195.58</v>
      </c>
      <c r="I1252">
        <v>-3047772.8694770001</v>
      </c>
      <c r="J1252">
        <v>-6.5648172707740997</v>
      </c>
    </row>
    <row r="1253" spans="1:10" x14ac:dyDescent="0.25">
      <c r="A1253" t="s">
        <v>113</v>
      </c>
      <c r="B1253" t="s">
        <v>114</v>
      </c>
      <c r="C1253" t="s">
        <v>1072</v>
      </c>
      <c r="D1253" t="s">
        <v>180</v>
      </c>
      <c r="E1253" t="s">
        <v>430</v>
      </c>
      <c r="F1253">
        <v>-76</v>
      </c>
      <c r="G1253">
        <v>119224.9273349</v>
      </c>
      <c r="H1253">
        <v>13121.16</v>
      </c>
      <c r="I1253">
        <v>-9061094.4774523992</v>
      </c>
      <c r="J1253">
        <v>-19.517343340581998</v>
      </c>
    </row>
    <row r="1254" spans="1:10" x14ac:dyDescent="0.25">
      <c r="A1254" t="s">
        <v>113</v>
      </c>
      <c r="B1254" t="s">
        <v>114</v>
      </c>
      <c r="C1254" t="s">
        <v>1072</v>
      </c>
      <c r="D1254" t="s">
        <v>451</v>
      </c>
      <c r="E1254" t="s">
        <v>430</v>
      </c>
      <c r="F1254">
        <v>-17</v>
      </c>
      <c r="G1254">
        <v>102265.21126527</v>
      </c>
      <c r="H1254">
        <v>12305.62</v>
      </c>
      <c r="I1254">
        <v>-1738508.5915097001</v>
      </c>
      <c r="J1254">
        <v>-3.7446987409169998</v>
      </c>
    </row>
    <row r="1255" spans="1:10" x14ac:dyDescent="0.25">
      <c r="A1255" t="s">
        <v>113</v>
      </c>
      <c r="B1255" t="s">
        <v>114</v>
      </c>
      <c r="C1255" t="s">
        <v>1072</v>
      </c>
      <c r="D1255" t="s">
        <v>183</v>
      </c>
      <c r="E1255" t="s">
        <v>430</v>
      </c>
      <c r="F1255">
        <v>-10</v>
      </c>
      <c r="G1255">
        <v>83773.986155624996</v>
      </c>
      <c r="H1255">
        <v>9064.4727272726996</v>
      </c>
      <c r="I1255">
        <v>-685423.52309148002</v>
      </c>
      <c r="J1255">
        <v>-1.4763830425979001</v>
      </c>
    </row>
    <row r="1256" spans="1:10" x14ac:dyDescent="0.25">
      <c r="A1256" t="s">
        <v>113</v>
      </c>
      <c r="B1256" t="s">
        <v>114</v>
      </c>
      <c r="C1256" t="s">
        <v>1072</v>
      </c>
      <c r="D1256" t="s">
        <v>183</v>
      </c>
      <c r="E1256" t="s">
        <v>350</v>
      </c>
      <c r="F1256">
        <v>1</v>
      </c>
      <c r="G1256">
        <v>83773.986155624996</v>
      </c>
      <c r="H1256">
        <v>906.44727272727005</v>
      </c>
      <c r="I1256">
        <v>-68542.352309148002</v>
      </c>
      <c r="J1256">
        <v>-0.14763830425978999</v>
      </c>
    </row>
    <row r="1257" spans="1:10" x14ac:dyDescent="0.25">
      <c r="A1257" t="s">
        <v>113</v>
      </c>
      <c r="B1257" t="s">
        <v>114</v>
      </c>
      <c r="C1257" t="s">
        <v>1072</v>
      </c>
      <c r="D1257" t="s">
        <v>184</v>
      </c>
      <c r="E1257" t="s">
        <v>430</v>
      </c>
      <c r="F1257">
        <v>-6</v>
      </c>
      <c r="G1257">
        <v>57989.152418275</v>
      </c>
      <c r="H1257">
        <v>5840.28</v>
      </c>
      <c r="I1257">
        <v>-347934.91450965003</v>
      </c>
      <c r="J1257">
        <v>-0.74944204627366995</v>
      </c>
    </row>
    <row r="1258" spans="1:10" x14ac:dyDescent="0.25">
      <c r="A1258" t="s">
        <v>113</v>
      </c>
      <c r="B1258" t="s">
        <v>114</v>
      </c>
      <c r="C1258" t="s">
        <v>1072</v>
      </c>
      <c r="D1258" t="s">
        <v>116</v>
      </c>
      <c r="E1258" t="s">
        <v>430</v>
      </c>
      <c r="F1258">
        <v>-4</v>
      </c>
      <c r="G1258">
        <v>159982.35448884999</v>
      </c>
      <c r="H1258">
        <v>1253.72</v>
      </c>
      <c r="I1258">
        <v>-91418.488279343001</v>
      </c>
      <c r="J1258">
        <v>-0.19691285946359</v>
      </c>
    </row>
    <row r="1259" spans="1:10" x14ac:dyDescent="0.25">
      <c r="A1259" t="s">
        <v>113</v>
      </c>
      <c r="B1259" t="s">
        <v>114</v>
      </c>
      <c r="C1259" t="s">
        <v>1072</v>
      </c>
      <c r="D1259" t="s">
        <v>116</v>
      </c>
      <c r="E1259" t="s">
        <v>350</v>
      </c>
      <c r="F1259">
        <v>3</v>
      </c>
      <c r="G1259">
        <v>159982.35448884999</v>
      </c>
      <c r="H1259">
        <v>940.29</v>
      </c>
      <c r="I1259">
        <v>-68563.866209507003</v>
      </c>
      <c r="J1259">
        <v>-0.14768464459769001</v>
      </c>
    </row>
    <row r="1260" spans="1:10" x14ac:dyDescent="0.25">
      <c r="A1260" t="s">
        <v>113</v>
      </c>
      <c r="B1260" t="s">
        <v>114</v>
      </c>
      <c r="C1260" t="s">
        <v>1072</v>
      </c>
      <c r="D1260" t="s">
        <v>319</v>
      </c>
      <c r="E1260" t="s">
        <v>430</v>
      </c>
      <c r="F1260">
        <v>-16</v>
      </c>
      <c r="G1260">
        <v>152304.67502938001</v>
      </c>
      <c r="H1260">
        <v>473.6</v>
      </c>
      <c r="I1260">
        <v>-1895347.0670322001</v>
      </c>
      <c r="J1260">
        <v>-4.0825244178707996</v>
      </c>
    </row>
    <row r="1261" spans="1:10" x14ac:dyDescent="0.25">
      <c r="A1261" t="s">
        <v>113</v>
      </c>
      <c r="B1261" t="s">
        <v>114</v>
      </c>
      <c r="C1261" t="s">
        <v>1072</v>
      </c>
      <c r="D1261" t="s">
        <v>319</v>
      </c>
      <c r="E1261" t="s">
        <v>350</v>
      </c>
      <c r="F1261">
        <v>2</v>
      </c>
      <c r="G1261">
        <v>152304.67502938001</v>
      </c>
      <c r="H1261">
        <v>59.2</v>
      </c>
      <c r="I1261">
        <v>-236918.38337903001</v>
      </c>
      <c r="J1261">
        <v>-0.51031555223384995</v>
      </c>
    </row>
    <row r="1262" spans="1:10" x14ac:dyDescent="0.25">
      <c r="A1262" t="s">
        <v>113</v>
      </c>
      <c r="B1262" t="s">
        <v>114</v>
      </c>
      <c r="C1262" t="s">
        <v>1072</v>
      </c>
      <c r="D1262" t="s">
        <v>177</v>
      </c>
      <c r="E1262" t="s">
        <v>430</v>
      </c>
      <c r="F1262">
        <v>-6</v>
      </c>
      <c r="G1262">
        <v>177681.11946895</v>
      </c>
      <c r="H1262">
        <v>256.2</v>
      </c>
      <c r="I1262">
        <v>-1066086.7168137</v>
      </c>
      <c r="J1262">
        <v>-2.2963208842666001</v>
      </c>
    </row>
    <row r="1263" spans="1:10" x14ac:dyDescent="0.25">
      <c r="A1263" t="s">
        <v>113</v>
      </c>
      <c r="B1263" t="s">
        <v>114</v>
      </c>
      <c r="C1263" t="s">
        <v>1072</v>
      </c>
      <c r="D1263" t="s">
        <v>479</v>
      </c>
      <c r="E1263" t="s">
        <v>431</v>
      </c>
      <c r="F1263">
        <v>13</v>
      </c>
      <c r="G1263">
        <v>89037.45</v>
      </c>
      <c r="H1263">
        <v>-410.8</v>
      </c>
      <c r="I1263">
        <v>1157486.8500000001</v>
      </c>
      <c r="J1263">
        <v>2.4931942073747</v>
      </c>
    </row>
    <row r="1264" spans="1:10" x14ac:dyDescent="0.25">
      <c r="A1264" t="s">
        <v>117</v>
      </c>
      <c r="B1264" t="s">
        <v>1271</v>
      </c>
      <c r="C1264" t="s">
        <v>1072</v>
      </c>
      <c r="D1264" t="s">
        <v>1271</v>
      </c>
      <c r="E1264" t="s">
        <v>725</v>
      </c>
      <c r="F1264">
        <v>120132</v>
      </c>
      <c r="G1264">
        <v>2.2808689758984002</v>
      </c>
      <c r="H1264">
        <v>274005.35181262001</v>
      </c>
      <c r="I1264" t="s">
        <v>1587</v>
      </c>
      <c r="J1264">
        <v>0.59019984194972996</v>
      </c>
    </row>
    <row r="1265" spans="1:10" x14ac:dyDescent="0.25">
      <c r="A1265" t="s">
        <v>118</v>
      </c>
      <c r="B1265" t="s">
        <v>26</v>
      </c>
      <c r="C1265" t="s">
        <v>1072</v>
      </c>
      <c r="D1265" t="s">
        <v>120</v>
      </c>
      <c r="E1265" t="s">
        <v>725</v>
      </c>
      <c r="F1265">
        <v>4222971</v>
      </c>
      <c r="G1265">
        <v>1.7596603883002999</v>
      </c>
      <c r="H1265">
        <v>7430994.7896408997</v>
      </c>
      <c r="I1265" t="s">
        <v>1587</v>
      </c>
      <c r="J1265">
        <v>16.006154337360002</v>
      </c>
    </row>
    <row r="1266" spans="1:10" x14ac:dyDescent="0.25">
      <c r="A1266" t="s">
        <v>118</v>
      </c>
      <c r="B1266" t="s">
        <v>25</v>
      </c>
      <c r="C1266" t="s">
        <v>1072</v>
      </c>
      <c r="D1266" t="s">
        <v>119</v>
      </c>
      <c r="E1266" t="s">
        <v>725</v>
      </c>
      <c r="F1266">
        <v>456051</v>
      </c>
      <c r="G1266">
        <v>4.6787256769418999</v>
      </c>
      <c r="H1266">
        <v>2133737.523695</v>
      </c>
      <c r="I1266" t="s">
        <v>1587</v>
      </c>
      <c r="J1266">
        <v>4.5960107746662002</v>
      </c>
    </row>
    <row r="1267" spans="1:10" x14ac:dyDescent="0.25">
      <c r="A1267" t="s">
        <v>118</v>
      </c>
      <c r="B1267" t="s">
        <v>145</v>
      </c>
      <c r="C1267" t="s">
        <v>1072</v>
      </c>
      <c r="D1267" t="s">
        <v>121</v>
      </c>
      <c r="E1267" t="s">
        <v>725</v>
      </c>
      <c r="F1267">
        <v>1110602</v>
      </c>
      <c r="G1267">
        <v>1.4992764565248</v>
      </c>
      <c r="H1267">
        <v>1665099.4311693001</v>
      </c>
      <c r="I1267" t="s">
        <v>1587</v>
      </c>
      <c r="J1267">
        <v>3.5865774686720999</v>
      </c>
    </row>
    <row r="1268" spans="1:10" x14ac:dyDescent="0.25">
      <c r="A1268" t="s">
        <v>126</v>
      </c>
      <c r="B1268" t="s">
        <v>1139</v>
      </c>
      <c r="C1268" t="s">
        <v>1072</v>
      </c>
      <c r="D1268" t="s">
        <v>512</v>
      </c>
      <c r="E1268" t="s">
        <v>725</v>
      </c>
      <c r="F1268">
        <v>9</v>
      </c>
      <c r="G1268">
        <v>67023.217962740004</v>
      </c>
      <c r="H1268">
        <v>603208.96166466002</v>
      </c>
      <c r="I1268" t="s">
        <v>1587</v>
      </c>
      <c r="J1268">
        <v>1.2992951834043001</v>
      </c>
    </row>
    <row r="1269" spans="1:10" x14ac:dyDescent="0.25">
      <c r="A1269" t="s">
        <v>126</v>
      </c>
      <c r="B1269" t="s">
        <v>252</v>
      </c>
      <c r="C1269" t="s">
        <v>1072</v>
      </c>
      <c r="D1269" t="s">
        <v>253</v>
      </c>
      <c r="E1269" t="s">
        <v>725</v>
      </c>
      <c r="F1269">
        <v>218</v>
      </c>
      <c r="G1269">
        <v>601.15133097943999</v>
      </c>
      <c r="H1269">
        <v>131050.99015352</v>
      </c>
      <c r="I1269" t="s">
        <v>1587</v>
      </c>
      <c r="J1269">
        <v>0.28228015680822999</v>
      </c>
    </row>
    <row r="1270" spans="1:10" x14ac:dyDescent="0.25">
      <c r="A1270" t="s">
        <v>126</v>
      </c>
      <c r="B1270" t="s">
        <v>877</v>
      </c>
      <c r="C1270" t="s">
        <v>1072</v>
      </c>
      <c r="D1270" t="s">
        <v>1140</v>
      </c>
      <c r="E1270" t="s">
        <v>725</v>
      </c>
      <c r="F1270">
        <v>343</v>
      </c>
      <c r="G1270">
        <v>893.61620750847999</v>
      </c>
      <c r="H1270">
        <v>306510.35917541001</v>
      </c>
      <c r="I1270" t="s">
        <v>1587</v>
      </c>
      <c r="J1270">
        <v>0.66021471604318005</v>
      </c>
    </row>
    <row r="1271" spans="1:10" x14ac:dyDescent="0.25">
      <c r="A1271" t="s">
        <v>126</v>
      </c>
      <c r="B1271" t="s">
        <v>1048</v>
      </c>
      <c r="C1271" t="s">
        <v>1072</v>
      </c>
      <c r="D1271" t="s">
        <v>1077</v>
      </c>
      <c r="E1271" t="s">
        <v>725</v>
      </c>
      <c r="F1271">
        <v>265</v>
      </c>
      <c r="G1271">
        <v>1082.0185468463001</v>
      </c>
      <c r="H1271">
        <v>286734.91491428</v>
      </c>
      <c r="I1271" t="s">
        <v>1587</v>
      </c>
      <c r="J1271">
        <v>0.61761896380625003</v>
      </c>
    </row>
    <row r="1272" spans="1:10" x14ac:dyDescent="0.25">
      <c r="A1272" t="s">
        <v>126</v>
      </c>
      <c r="B1272" t="s">
        <v>1141</v>
      </c>
      <c r="C1272" t="s">
        <v>1072</v>
      </c>
      <c r="D1272" t="s">
        <v>1142</v>
      </c>
      <c r="E1272" t="s">
        <v>725</v>
      </c>
      <c r="F1272">
        <v>156</v>
      </c>
      <c r="G1272">
        <v>1240.4979031196001</v>
      </c>
      <c r="H1272">
        <v>193517.67288666</v>
      </c>
      <c r="I1272" t="s">
        <v>1587</v>
      </c>
      <c r="J1272">
        <v>0.41683163922393002</v>
      </c>
    </row>
    <row r="1273" spans="1:10" x14ac:dyDescent="0.25">
      <c r="A1273" t="s">
        <v>126</v>
      </c>
      <c r="B1273" t="s">
        <v>467</v>
      </c>
      <c r="C1273" t="s">
        <v>1072</v>
      </c>
      <c r="D1273" t="s">
        <v>468</v>
      </c>
      <c r="E1273" t="s">
        <v>725</v>
      </c>
      <c r="F1273">
        <v>157</v>
      </c>
      <c r="G1273">
        <v>1014.90989243</v>
      </c>
      <c r="H1273">
        <v>159340.85311150999</v>
      </c>
      <c r="I1273" t="s">
        <v>1587</v>
      </c>
      <c r="J1273">
        <v>0.34321572808861001</v>
      </c>
    </row>
    <row r="1274" spans="1:10" x14ac:dyDescent="0.25">
      <c r="A1274" t="s">
        <v>126</v>
      </c>
      <c r="B1274" t="s">
        <v>416</v>
      </c>
      <c r="C1274" t="s">
        <v>1072</v>
      </c>
      <c r="D1274" t="s">
        <v>417</v>
      </c>
      <c r="E1274" t="s">
        <v>725</v>
      </c>
      <c r="F1274">
        <v>115</v>
      </c>
      <c r="G1274">
        <v>1007.3491854416</v>
      </c>
      <c r="H1274">
        <v>115845.15632578</v>
      </c>
      <c r="I1274" t="s">
        <v>1587</v>
      </c>
      <c r="J1274">
        <v>0.24952721726717</v>
      </c>
    </row>
    <row r="1275" spans="1:10" x14ac:dyDescent="0.25">
      <c r="A1275" t="s">
        <v>126</v>
      </c>
      <c r="B1275" t="s">
        <v>136</v>
      </c>
      <c r="C1275" t="s">
        <v>1072</v>
      </c>
      <c r="D1275" t="s">
        <v>136</v>
      </c>
      <c r="E1275" t="s">
        <v>725</v>
      </c>
      <c r="F1275">
        <v>343</v>
      </c>
      <c r="G1275">
        <v>341.95970126958002</v>
      </c>
      <c r="H1275">
        <v>117292.17753546999</v>
      </c>
      <c r="I1275" t="s">
        <v>1587</v>
      </c>
      <c r="J1275">
        <v>0.25264406036386999</v>
      </c>
    </row>
    <row r="1276" spans="1:10" x14ac:dyDescent="0.25">
      <c r="A1276" t="s">
        <v>126</v>
      </c>
      <c r="B1276" t="s">
        <v>1143</v>
      </c>
      <c r="C1276" t="s">
        <v>1072</v>
      </c>
      <c r="D1276" t="s">
        <v>1144</v>
      </c>
      <c r="E1276" t="s">
        <v>725</v>
      </c>
      <c r="F1276">
        <v>109</v>
      </c>
      <c r="G1276">
        <v>1062.7943730341999</v>
      </c>
      <c r="H1276">
        <v>115844.58666073</v>
      </c>
      <c r="I1276" t="s">
        <v>1587</v>
      </c>
      <c r="J1276">
        <v>0.24952599022463001</v>
      </c>
    </row>
    <row r="1277" spans="1:10" x14ac:dyDescent="0.25">
      <c r="A1277" t="s">
        <v>126</v>
      </c>
      <c r="B1277" t="s">
        <v>1145</v>
      </c>
      <c r="C1277" t="s">
        <v>1072</v>
      </c>
      <c r="D1277" t="s">
        <v>1094</v>
      </c>
      <c r="E1277" t="s">
        <v>725</v>
      </c>
      <c r="F1277">
        <v>123</v>
      </c>
      <c r="G1277">
        <v>1005.3234127024</v>
      </c>
      <c r="H1277">
        <v>123654.77976239</v>
      </c>
      <c r="I1277" t="s">
        <v>1587</v>
      </c>
      <c r="J1277">
        <v>0.26634892708956998</v>
      </c>
    </row>
    <row r="1278" spans="1:10" x14ac:dyDescent="0.25">
      <c r="A1278" t="s">
        <v>126</v>
      </c>
      <c r="B1278" t="s">
        <v>941</v>
      </c>
      <c r="C1278" t="s">
        <v>1072</v>
      </c>
      <c r="D1278" t="s">
        <v>942</v>
      </c>
      <c r="E1278" t="s">
        <v>725</v>
      </c>
      <c r="F1278">
        <v>87</v>
      </c>
      <c r="G1278">
        <v>1003.3515642818001</v>
      </c>
      <c r="H1278">
        <v>87291.586092519996</v>
      </c>
      <c r="I1278" t="s">
        <v>1587</v>
      </c>
      <c r="J1278">
        <v>0.18802362791284999</v>
      </c>
    </row>
    <row r="1279" spans="1:10" x14ac:dyDescent="0.25">
      <c r="A1279" t="s">
        <v>126</v>
      </c>
      <c r="B1279" t="s">
        <v>1096</v>
      </c>
      <c r="C1279" t="s">
        <v>1072</v>
      </c>
      <c r="D1279" t="s">
        <v>1097</v>
      </c>
      <c r="E1279" t="s">
        <v>725</v>
      </c>
      <c r="F1279">
        <v>3</v>
      </c>
      <c r="G1279">
        <v>37838.615865884</v>
      </c>
      <c r="H1279">
        <v>113515.84759765</v>
      </c>
      <c r="I1279" t="s">
        <v>1587</v>
      </c>
      <c r="J1279">
        <v>0.24450995160392999</v>
      </c>
    </row>
    <row r="1280" spans="1:10" x14ac:dyDescent="0.25">
      <c r="A1280" t="s">
        <v>127</v>
      </c>
      <c r="B1280" t="s">
        <v>1152</v>
      </c>
      <c r="C1280" t="s">
        <v>1072</v>
      </c>
      <c r="D1280" t="s">
        <v>911</v>
      </c>
      <c r="E1280" t="s">
        <v>725</v>
      </c>
      <c r="F1280">
        <v>85</v>
      </c>
      <c r="G1280">
        <v>1047.6880000000001</v>
      </c>
      <c r="H1280">
        <v>89053.48</v>
      </c>
      <c r="I1280" t="s">
        <v>1587</v>
      </c>
      <c r="J1280">
        <v>0.19181869796841</v>
      </c>
    </row>
    <row r="1281" spans="1:10" x14ac:dyDescent="0.25">
      <c r="A1281" t="s">
        <v>127</v>
      </c>
      <c r="B1281" t="s">
        <v>38</v>
      </c>
      <c r="C1281" t="s">
        <v>1072</v>
      </c>
      <c r="D1281" t="s">
        <v>238</v>
      </c>
      <c r="E1281" t="s">
        <v>725</v>
      </c>
      <c r="F1281">
        <v>376</v>
      </c>
      <c r="G1281">
        <v>713.10252659573996</v>
      </c>
      <c r="H1281">
        <v>268126.55</v>
      </c>
      <c r="I1281" t="s">
        <v>1587</v>
      </c>
      <c r="J1281">
        <v>0.57753706774583002</v>
      </c>
    </row>
    <row r="1282" spans="1:10" x14ac:dyDescent="0.25">
      <c r="A1282" t="s">
        <v>127</v>
      </c>
      <c r="B1282" t="s">
        <v>38</v>
      </c>
      <c r="C1282" t="s">
        <v>1072</v>
      </c>
      <c r="D1282" t="s">
        <v>1063</v>
      </c>
      <c r="E1282" t="s">
        <v>725</v>
      </c>
      <c r="F1282">
        <v>89</v>
      </c>
      <c r="G1282">
        <v>1034.1043820225</v>
      </c>
      <c r="H1282">
        <v>92035.29</v>
      </c>
      <c r="I1282" t="s">
        <v>1587</v>
      </c>
      <c r="J1282">
        <v>0.19824143306858999</v>
      </c>
    </row>
    <row r="1283" spans="1:10" x14ac:dyDescent="0.25">
      <c r="A1283" t="s">
        <v>127</v>
      </c>
      <c r="B1283" t="s">
        <v>258</v>
      </c>
      <c r="C1283" t="s">
        <v>1072</v>
      </c>
      <c r="D1283" t="s">
        <v>259</v>
      </c>
      <c r="E1283" t="s">
        <v>725</v>
      </c>
      <c r="F1283">
        <v>52</v>
      </c>
      <c r="G1283">
        <v>1059.8494230768999</v>
      </c>
      <c r="H1283">
        <v>55112.17</v>
      </c>
      <c r="I1283" t="s">
        <v>1587</v>
      </c>
      <c r="J1283">
        <v>0.11871006828272</v>
      </c>
    </row>
    <row r="1284" spans="1:10" x14ac:dyDescent="0.25">
      <c r="A1284" t="s">
        <v>127</v>
      </c>
      <c r="B1284" t="s">
        <v>1098</v>
      </c>
      <c r="C1284" t="s">
        <v>1072</v>
      </c>
      <c r="D1284" t="s">
        <v>1099</v>
      </c>
      <c r="E1284" t="s">
        <v>726</v>
      </c>
      <c r="F1284">
        <v>139</v>
      </c>
      <c r="G1284">
        <v>1005.9309352518</v>
      </c>
      <c r="H1284">
        <v>139824.4</v>
      </c>
      <c r="I1284" t="s">
        <v>1587</v>
      </c>
      <c r="J1284">
        <v>0.30117783552326</v>
      </c>
    </row>
    <row r="1285" spans="1:10" x14ac:dyDescent="0.25">
      <c r="A1285" t="s">
        <v>127</v>
      </c>
      <c r="B1285" t="s">
        <v>927</v>
      </c>
      <c r="C1285" t="s">
        <v>1072</v>
      </c>
      <c r="D1285" t="s">
        <v>919</v>
      </c>
      <c r="E1285" t="s">
        <v>723</v>
      </c>
      <c r="F1285">
        <v>476</v>
      </c>
      <c r="G1285">
        <v>1034.6951044775999</v>
      </c>
      <c r="H1285">
        <v>492514.86973133998</v>
      </c>
      <c r="I1285" t="s">
        <v>1587</v>
      </c>
      <c r="J1285">
        <v>1.0608632143511001</v>
      </c>
    </row>
    <row r="1286" spans="1:10" x14ac:dyDescent="0.25">
      <c r="A1286" t="s">
        <v>127</v>
      </c>
      <c r="B1286" t="s">
        <v>927</v>
      </c>
      <c r="C1286" t="s">
        <v>1072</v>
      </c>
      <c r="D1286" t="s">
        <v>919</v>
      </c>
      <c r="E1286" t="s">
        <v>725</v>
      </c>
      <c r="F1286">
        <v>194</v>
      </c>
      <c r="G1286">
        <v>1034.6951044775999</v>
      </c>
      <c r="H1286">
        <v>200730.85026866</v>
      </c>
      <c r="I1286" t="s">
        <v>1587</v>
      </c>
      <c r="J1286">
        <v>0.43236862097501</v>
      </c>
    </row>
    <row r="1287" spans="1:10" x14ac:dyDescent="0.25">
      <c r="A1287" t="s">
        <v>127</v>
      </c>
      <c r="B1287" t="s">
        <v>204</v>
      </c>
      <c r="C1287" t="s">
        <v>1072</v>
      </c>
      <c r="D1287" t="s">
        <v>205</v>
      </c>
      <c r="E1287" t="s">
        <v>725</v>
      </c>
      <c r="F1287">
        <v>235</v>
      </c>
      <c r="G1287">
        <v>1019.7051914894</v>
      </c>
      <c r="H1287">
        <v>239630.72</v>
      </c>
      <c r="I1287" t="s">
        <v>1587</v>
      </c>
      <c r="J1287">
        <v>0.51615784923432995</v>
      </c>
    </row>
    <row r="1288" spans="1:10" x14ac:dyDescent="0.25">
      <c r="A1288" t="s">
        <v>127</v>
      </c>
      <c r="B1288" t="s">
        <v>204</v>
      </c>
      <c r="C1288" t="s">
        <v>1072</v>
      </c>
      <c r="D1288" t="s">
        <v>206</v>
      </c>
      <c r="E1288" t="s">
        <v>725</v>
      </c>
      <c r="F1288">
        <v>203</v>
      </c>
      <c r="G1288">
        <v>989.74837438424004</v>
      </c>
      <c r="H1288">
        <v>200918.92</v>
      </c>
      <c r="I1288" t="s">
        <v>1587</v>
      </c>
      <c r="J1288">
        <v>0.43277371790095998</v>
      </c>
    </row>
    <row r="1289" spans="1:10" x14ac:dyDescent="0.25">
      <c r="A1289" t="s">
        <v>127</v>
      </c>
      <c r="B1289" t="s">
        <v>354</v>
      </c>
      <c r="C1289" t="s">
        <v>1072</v>
      </c>
      <c r="D1289" t="s">
        <v>957</v>
      </c>
      <c r="E1289" t="s">
        <v>725</v>
      </c>
      <c r="F1289">
        <v>152</v>
      </c>
      <c r="G1289">
        <v>1060.3853289474</v>
      </c>
      <c r="H1289">
        <v>161178.57</v>
      </c>
      <c r="I1289" t="s">
        <v>1587</v>
      </c>
      <c r="J1289">
        <v>0.34717411871844001</v>
      </c>
    </row>
    <row r="1290" spans="1:10" x14ac:dyDescent="0.25">
      <c r="A1290" t="s">
        <v>127</v>
      </c>
      <c r="B1290" t="s">
        <v>48</v>
      </c>
      <c r="C1290" t="s">
        <v>1072</v>
      </c>
      <c r="D1290" t="s">
        <v>1367</v>
      </c>
      <c r="E1290" t="s">
        <v>723</v>
      </c>
      <c r="F1290">
        <v>620</v>
      </c>
      <c r="G1290">
        <v>961.20548387097006</v>
      </c>
      <c r="H1290">
        <v>595947.4</v>
      </c>
      <c r="I1290" t="s">
        <v>1587</v>
      </c>
      <c r="J1290">
        <v>1.2836539832656</v>
      </c>
    </row>
    <row r="1291" spans="1:10" x14ac:dyDescent="0.25">
      <c r="A1291" t="s">
        <v>127</v>
      </c>
      <c r="B1291" t="s">
        <v>396</v>
      </c>
      <c r="C1291" t="s">
        <v>1072</v>
      </c>
      <c r="D1291" t="s">
        <v>1404</v>
      </c>
      <c r="E1291" t="s">
        <v>725</v>
      </c>
      <c r="F1291">
        <v>44</v>
      </c>
      <c r="G1291">
        <v>447.35159090909002</v>
      </c>
      <c r="H1291">
        <v>19683.47</v>
      </c>
      <c r="I1291" t="s">
        <v>1587</v>
      </c>
      <c r="J1291">
        <v>4.2397642258340001E-2</v>
      </c>
    </row>
    <row r="1292" spans="1:10" x14ac:dyDescent="0.25">
      <c r="A1292" t="s">
        <v>127</v>
      </c>
      <c r="B1292" t="s">
        <v>396</v>
      </c>
      <c r="C1292" t="s">
        <v>1072</v>
      </c>
      <c r="D1292" t="s">
        <v>1405</v>
      </c>
      <c r="E1292" t="s">
        <v>725</v>
      </c>
      <c r="F1292">
        <v>66</v>
      </c>
      <c r="G1292">
        <v>79.774545454545006</v>
      </c>
      <c r="H1292">
        <v>5265.12</v>
      </c>
      <c r="I1292" t="s">
        <v>1587</v>
      </c>
      <c r="J1292">
        <v>1.1340920793299999E-2</v>
      </c>
    </row>
    <row r="1293" spans="1:10" x14ac:dyDescent="0.25">
      <c r="A1293" t="s">
        <v>127</v>
      </c>
      <c r="B1293" t="s">
        <v>759</v>
      </c>
      <c r="C1293" t="s">
        <v>1072</v>
      </c>
      <c r="D1293" t="s">
        <v>760</v>
      </c>
      <c r="E1293" t="s">
        <v>725</v>
      </c>
      <c r="F1293">
        <v>150</v>
      </c>
      <c r="G1293">
        <v>850.5104</v>
      </c>
      <c r="H1293">
        <v>127576.56</v>
      </c>
      <c r="I1293" t="s">
        <v>1587</v>
      </c>
      <c r="J1293">
        <v>0.27479633171537998</v>
      </c>
    </row>
    <row r="1294" spans="1:10" x14ac:dyDescent="0.25">
      <c r="A1294" t="s">
        <v>127</v>
      </c>
      <c r="B1294" t="s">
        <v>37</v>
      </c>
      <c r="C1294" t="s">
        <v>1072</v>
      </c>
      <c r="D1294" t="s">
        <v>260</v>
      </c>
      <c r="E1294" t="s">
        <v>725</v>
      </c>
      <c r="F1294">
        <v>87</v>
      </c>
      <c r="G1294">
        <v>1059.0068965517</v>
      </c>
      <c r="H1294">
        <v>92133.6</v>
      </c>
      <c r="I1294" t="s">
        <v>1587</v>
      </c>
      <c r="J1294">
        <v>0.19845319005098999</v>
      </c>
    </row>
    <row r="1295" spans="1:10" x14ac:dyDescent="0.25">
      <c r="A1295" t="s">
        <v>127</v>
      </c>
      <c r="B1295" t="s">
        <v>1356</v>
      </c>
      <c r="C1295" t="s">
        <v>1072</v>
      </c>
      <c r="D1295" t="s">
        <v>1349</v>
      </c>
      <c r="E1295" t="s">
        <v>723</v>
      </c>
      <c r="F1295">
        <v>40234</v>
      </c>
      <c r="G1295">
        <v>9.9325339265297998</v>
      </c>
      <c r="H1295">
        <v>399625.57</v>
      </c>
      <c r="I1295" t="s">
        <v>1587</v>
      </c>
      <c r="J1295">
        <v>0.86078226827614002</v>
      </c>
    </row>
    <row r="1296" spans="1:10" x14ac:dyDescent="0.25">
      <c r="A1296" t="s">
        <v>127</v>
      </c>
      <c r="B1296" t="s">
        <v>295</v>
      </c>
      <c r="C1296" t="s">
        <v>1072</v>
      </c>
      <c r="D1296" t="s">
        <v>508</v>
      </c>
      <c r="E1296" t="s">
        <v>725</v>
      </c>
      <c r="F1296">
        <v>203</v>
      </c>
      <c r="G1296">
        <v>942.77123152708998</v>
      </c>
      <c r="H1296">
        <v>191382.56</v>
      </c>
      <c r="I1296" t="s">
        <v>1587</v>
      </c>
      <c r="J1296">
        <v>0.41223266595601998</v>
      </c>
    </row>
    <row r="1297" spans="1:10" x14ac:dyDescent="0.25">
      <c r="A1297" t="s">
        <v>127</v>
      </c>
      <c r="B1297" t="s">
        <v>208</v>
      </c>
      <c r="C1297" t="s">
        <v>1072</v>
      </c>
      <c r="D1297" t="s">
        <v>1003</v>
      </c>
      <c r="E1297" t="s">
        <v>725</v>
      </c>
      <c r="F1297">
        <v>199</v>
      </c>
      <c r="G1297">
        <v>1012.3532160804</v>
      </c>
      <c r="H1297">
        <v>201458.29</v>
      </c>
      <c r="I1297" t="s">
        <v>1587</v>
      </c>
      <c r="J1297">
        <v>0.43393550575162998</v>
      </c>
    </row>
    <row r="1298" spans="1:10" x14ac:dyDescent="0.25">
      <c r="A1298" t="s">
        <v>127</v>
      </c>
      <c r="B1298" t="s">
        <v>208</v>
      </c>
      <c r="C1298" t="s">
        <v>1072</v>
      </c>
      <c r="D1298" t="s">
        <v>185</v>
      </c>
      <c r="E1298" t="s">
        <v>725</v>
      </c>
      <c r="F1298">
        <v>101</v>
      </c>
      <c r="G1298">
        <v>1044.8651485149001</v>
      </c>
      <c r="H1298">
        <v>105531.38</v>
      </c>
      <c r="I1298" t="s">
        <v>1587</v>
      </c>
      <c r="J1298">
        <v>0.22731163236304</v>
      </c>
    </row>
    <row r="1299" spans="1:10" x14ac:dyDescent="0.25">
      <c r="A1299" t="s">
        <v>127</v>
      </c>
      <c r="B1299" t="s">
        <v>230</v>
      </c>
      <c r="C1299" t="s">
        <v>1072</v>
      </c>
      <c r="D1299" t="s">
        <v>327</v>
      </c>
      <c r="E1299" t="s">
        <v>725</v>
      </c>
      <c r="F1299">
        <v>95</v>
      </c>
      <c r="G1299">
        <v>1053.1046315788999</v>
      </c>
      <c r="H1299">
        <v>100044.94</v>
      </c>
      <c r="I1299" t="s">
        <v>1587</v>
      </c>
      <c r="J1299">
        <v>0.21549399449776999</v>
      </c>
    </row>
    <row r="1300" spans="1:10" x14ac:dyDescent="0.25">
      <c r="A1300" t="s">
        <v>127</v>
      </c>
      <c r="B1300" t="s">
        <v>230</v>
      </c>
      <c r="C1300" t="s">
        <v>1072</v>
      </c>
      <c r="D1300" t="s">
        <v>211</v>
      </c>
      <c r="E1300" t="s">
        <v>725</v>
      </c>
      <c r="F1300">
        <v>90</v>
      </c>
      <c r="G1300">
        <v>347.08044444443999</v>
      </c>
      <c r="H1300">
        <v>31237.24</v>
      </c>
      <c r="I1300" t="s">
        <v>1587</v>
      </c>
      <c r="J1300">
        <v>6.7284138754899997E-2</v>
      </c>
    </row>
    <row r="1301" spans="1:10" x14ac:dyDescent="0.25">
      <c r="A1301" t="s">
        <v>127</v>
      </c>
      <c r="B1301" t="s">
        <v>8</v>
      </c>
      <c r="C1301" t="s">
        <v>1072</v>
      </c>
      <c r="D1301" t="s">
        <v>137</v>
      </c>
      <c r="E1301" t="s">
        <v>725</v>
      </c>
      <c r="F1301">
        <v>237</v>
      </c>
      <c r="G1301">
        <v>695.57573839661995</v>
      </c>
      <c r="H1301">
        <v>164851.45000000001</v>
      </c>
      <c r="I1301" t="s">
        <v>1587</v>
      </c>
      <c r="J1301">
        <v>0.35508539921409998</v>
      </c>
    </row>
    <row r="1302" spans="1:10" x14ac:dyDescent="0.25">
      <c r="A1302" t="s">
        <v>127</v>
      </c>
      <c r="B1302" t="s">
        <v>231</v>
      </c>
      <c r="C1302" t="s">
        <v>1072</v>
      </c>
      <c r="D1302" t="s">
        <v>221</v>
      </c>
      <c r="E1302" t="s">
        <v>725</v>
      </c>
      <c r="F1302">
        <v>130</v>
      </c>
      <c r="G1302">
        <v>1027.3302307691999</v>
      </c>
      <c r="H1302">
        <v>133552.93</v>
      </c>
      <c r="I1302" t="s">
        <v>1587</v>
      </c>
      <c r="J1302">
        <v>0.28766926505809998</v>
      </c>
    </row>
    <row r="1303" spans="1:10" x14ac:dyDescent="0.25">
      <c r="A1303" t="s">
        <v>127</v>
      </c>
      <c r="B1303" t="s">
        <v>428</v>
      </c>
      <c r="C1303" t="s">
        <v>1072</v>
      </c>
      <c r="D1303" t="s">
        <v>349</v>
      </c>
      <c r="E1303" t="s">
        <v>726</v>
      </c>
      <c r="F1303">
        <v>-7</v>
      </c>
      <c r="G1303">
        <v>749.21474048442997</v>
      </c>
      <c r="H1303">
        <v>5244.5031833909998</v>
      </c>
      <c r="I1303" t="s">
        <v>1587</v>
      </c>
      <c r="J1303">
        <v>1.1296512748623E-2</v>
      </c>
    </row>
    <row r="1304" spans="1:10" x14ac:dyDescent="0.25">
      <c r="A1304" t="s">
        <v>127</v>
      </c>
      <c r="B1304" t="s">
        <v>428</v>
      </c>
      <c r="C1304" t="s">
        <v>1072</v>
      </c>
      <c r="D1304" t="s">
        <v>349</v>
      </c>
      <c r="E1304" t="s">
        <v>725</v>
      </c>
      <c r="F1304">
        <v>282</v>
      </c>
      <c r="G1304">
        <v>749.21474048442997</v>
      </c>
      <c r="H1304">
        <v>211278.55681661001</v>
      </c>
      <c r="I1304" t="s">
        <v>1587</v>
      </c>
      <c r="J1304">
        <v>0.45508808501595999</v>
      </c>
    </row>
    <row r="1305" spans="1:10" x14ac:dyDescent="0.25">
      <c r="A1305" t="s">
        <v>127</v>
      </c>
      <c r="B1305" t="s">
        <v>505</v>
      </c>
      <c r="C1305" t="s">
        <v>1072</v>
      </c>
      <c r="D1305" t="s">
        <v>411</v>
      </c>
      <c r="E1305" t="s">
        <v>723</v>
      </c>
      <c r="F1305">
        <v>1168</v>
      </c>
      <c r="G1305">
        <v>1100.6283841715001</v>
      </c>
      <c r="H1305">
        <v>1285533.9527123</v>
      </c>
      <c r="I1305" t="s">
        <v>1587</v>
      </c>
      <c r="J1305">
        <v>2.7690040748936</v>
      </c>
    </row>
    <row r="1306" spans="1:10" x14ac:dyDescent="0.25">
      <c r="A1306" t="s">
        <v>127</v>
      </c>
      <c r="B1306" t="s">
        <v>505</v>
      </c>
      <c r="C1306" t="s">
        <v>1072</v>
      </c>
      <c r="D1306" t="s">
        <v>411</v>
      </c>
      <c r="E1306" t="s">
        <v>725</v>
      </c>
      <c r="F1306">
        <v>45</v>
      </c>
      <c r="G1306">
        <v>1100.6283841715001</v>
      </c>
      <c r="H1306">
        <v>49528.277287716002</v>
      </c>
      <c r="I1306" t="s">
        <v>1587</v>
      </c>
      <c r="J1306">
        <v>0.10668252000874</v>
      </c>
    </row>
    <row r="1307" spans="1:10" x14ac:dyDescent="0.25">
      <c r="A1307" t="s">
        <v>127</v>
      </c>
      <c r="B1307" t="s">
        <v>497</v>
      </c>
      <c r="C1307" t="s">
        <v>1072</v>
      </c>
      <c r="D1307" t="s">
        <v>498</v>
      </c>
      <c r="E1307" t="s">
        <v>725</v>
      </c>
      <c r="F1307">
        <v>254</v>
      </c>
      <c r="G1307">
        <v>893.83740157479997</v>
      </c>
      <c r="H1307">
        <v>227034.7</v>
      </c>
      <c r="I1307" t="s">
        <v>1587</v>
      </c>
      <c r="J1307">
        <v>0.48902637547290001</v>
      </c>
    </row>
    <row r="1308" spans="1:10" x14ac:dyDescent="0.25">
      <c r="A1308" t="s">
        <v>127</v>
      </c>
      <c r="B1308" t="s">
        <v>45</v>
      </c>
      <c r="C1308" t="s">
        <v>1072</v>
      </c>
      <c r="D1308" t="s">
        <v>437</v>
      </c>
      <c r="E1308" t="s">
        <v>725</v>
      </c>
      <c r="F1308">
        <v>176</v>
      </c>
      <c r="G1308">
        <v>913.19323863635998</v>
      </c>
      <c r="H1308">
        <v>160722.01</v>
      </c>
      <c r="I1308" t="s">
        <v>1587</v>
      </c>
      <c r="J1308">
        <v>0.34619070128495999</v>
      </c>
    </row>
    <row r="1309" spans="1:10" x14ac:dyDescent="0.25">
      <c r="A1309" t="s">
        <v>127</v>
      </c>
      <c r="B1309" t="s">
        <v>372</v>
      </c>
      <c r="C1309" t="s">
        <v>1072</v>
      </c>
      <c r="D1309" t="s">
        <v>373</v>
      </c>
      <c r="E1309" t="s">
        <v>725</v>
      </c>
      <c r="F1309">
        <v>288</v>
      </c>
      <c r="G1309">
        <v>1030.7301041666999</v>
      </c>
      <c r="H1309">
        <v>296850.27</v>
      </c>
      <c r="I1309" t="s">
        <v>1587</v>
      </c>
      <c r="J1309">
        <v>0.63940715492500999</v>
      </c>
    </row>
    <row r="1310" spans="1:10" x14ac:dyDescent="0.25">
      <c r="A1310" t="s">
        <v>127</v>
      </c>
      <c r="B1310" t="s">
        <v>732</v>
      </c>
      <c r="C1310" t="s">
        <v>1072</v>
      </c>
      <c r="D1310" t="s">
        <v>1109</v>
      </c>
      <c r="E1310" t="s">
        <v>726</v>
      </c>
      <c r="F1310">
        <v>192</v>
      </c>
      <c r="G1310">
        <v>1028.8648437500001</v>
      </c>
      <c r="H1310">
        <v>197542.05</v>
      </c>
      <c r="I1310" t="s">
        <v>1587</v>
      </c>
      <c r="J1310">
        <v>0.42550003464222003</v>
      </c>
    </row>
    <row r="1311" spans="1:10" x14ac:dyDescent="0.25">
      <c r="A1311" t="s">
        <v>127</v>
      </c>
      <c r="B1311" t="s">
        <v>1410</v>
      </c>
      <c r="C1311" t="s">
        <v>1072</v>
      </c>
      <c r="D1311" t="s">
        <v>228</v>
      </c>
      <c r="E1311" t="s">
        <v>725</v>
      </c>
      <c r="F1311">
        <v>155</v>
      </c>
      <c r="G1311">
        <v>1044.007483871</v>
      </c>
      <c r="H1311">
        <v>161821.16</v>
      </c>
      <c r="I1311" t="s">
        <v>1587</v>
      </c>
      <c r="J1311">
        <v>0.34855823955378001</v>
      </c>
    </row>
    <row r="1312" spans="1:10" x14ac:dyDescent="0.25">
      <c r="A1312" t="s">
        <v>127</v>
      </c>
      <c r="B1312" t="s">
        <v>513</v>
      </c>
      <c r="C1312" t="s">
        <v>1072</v>
      </c>
      <c r="D1312" t="s">
        <v>514</v>
      </c>
      <c r="E1312" t="s">
        <v>725</v>
      </c>
      <c r="F1312">
        <v>102</v>
      </c>
      <c r="G1312">
        <v>1046.9284313725</v>
      </c>
      <c r="H1312">
        <v>106786.7</v>
      </c>
      <c r="I1312" t="s">
        <v>1587</v>
      </c>
      <c r="J1312">
        <v>0.23001555643129001</v>
      </c>
    </row>
    <row r="1313" spans="1:10" x14ac:dyDescent="0.25">
      <c r="A1313" t="s">
        <v>127</v>
      </c>
      <c r="B1313" t="s">
        <v>167</v>
      </c>
      <c r="C1313" t="s">
        <v>1072</v>
      </c>
      <c r="D1313" t="s">
        <v>263</v>
      </c>
      <c r="E1313" t="s">
        <v>725</v>
      </c>
      <c r="F1313">
        <v>110</v>
      </c>
      <c r="G1313">
        <v>975.34418181818</v>
      </c>
      <c r="H1313">
        <v>107287.86</v>
      </c>
      <c r="I1313" t="s">
        <v>1587</v>
      </c>
      <c r="J1313">
        <v>0.23109504101375</v>
      </c>
    </row>
    <row r="1314" spans="1:10" x14ac:dyDescent="0.25">
      <c r="A1314" t="s">
        <v>127</v>
      </c>
      <c r="B1314" t="s">
        <v>1358</v>
      </c>
      <c r="C1314" t="s">
        <v>1072</v>
      </c>
      <c r="D1314" t="s">
        <v>155</v>
      </c>
      <c r="E1314" t="s">
        <v>725</v>
      </c>
      <c r="F1314">
        <v>177</v>
      </c>
      <c r="G1314">
        <v>1071.0327683615999</v>
      </c>
      <c r="H1314">
        <v>189572.8</v>
      </c>
      <c r="I1314" t="s">
        <v>1587</v>
      </c>
      <c r="J1314">
        <v>0.40833449367982</v>
      </c>
    </row>
    <row r="1315" spans="1:10" x14ac:dyDescent="0.25">
      <c r="A1315" t="s">
        <v>127</v>
      </c>
      <c r="B1315" t="s">
        <v>1359</v>
      </c>
      <c r="C1315" t="s">
        <v>1072</v>
      </c>
      <c r="D1315" t="s">
        <v>210</v>
      </c>
      <c r="E1315" t="s">
        <v>725</v>
      </c>
      <c r="F1315">
        <v>50</v>
      </c>
      <c r="G1315">
        <v>53.553400000000003</v>
      </c>
      <c r="H1315">
        <v>2677.67</v>
      </c>
      <c r="I1315" t="s">
        <v>1587</v>
      </c>
      <c r="J1315">
        <v>5.7676260713100001E-3</v>
      </c>
    </row>
    <row r="1316" spans="1:10" x14ac:dyDescent="0.25">
      <c r="A1316" t="s">
        <v>127</v>
      </c>
      <c r="B1316" t="s">
        <v>35</v>
      </c>
      <c r="C1316" t="s">
        <v>1072</v>
      </c>
      <c r="D1316" t="s">
        <v>3</v>
      </c>
      <c r="E1316" t="s">
        <v>725</v>
      </c>
      <c r="F1316">
        <v>23</v>
      </c>
      <c r="G1316">
        <v>10913.242608696</v>
      </c>
      <c r="H1316">
        <v>251004.58</v>
      </c>
      <c r="I1316" t="s">
        <v>1587</v>
      </c>
      <c r="J1316">
        <v>0.54065682463736997</v>
      </c>
    </row>
    <row r="1317" spans="1:10" x14ac:dyDescent="0.25">
      <c r="A1317" t="s">
        <v>127</v>
      </c>
      <c r="B1317" t="s">
        <v>309</v>
      </c>
      <c r="C1317" t="s">
        <v>1072</v>
      </c>
      <c r="D1317" t="s">
        <v>310</v>
      </c>
      <c r="E1317" t="s">
        <v>725</v>
      </c>
      <c r="F1317">
        <v>100</v>
      </c>
      <c r="G1317">
        <v>1058.0672999999999</v>
      </c>
      <c r="H1317">
        <v>105806.73</v>
      </c>
      <c r="I1317" t="s">
        <v>1587</v>
      </c>
      <c r="J1317">
        <v>0.22790472853947</v>
      </c>
    </row>
    <row r="1318" spans="1:10" x14ac:dyDescent="0.25">
      <c r="A1318" t="s">
        <v>127</v>
      </c>
      <c r="B1318" t="s">
        <v>289</v>
      </c>
      <c r="C1318" t="s">
        <v>1072</v>
      </c>
      <c r="D1318" t="s">
        <v>266</v>
      </c>
      <c r="E1318" t="s">
        <v>725</v>
      </c>
      <c r="F1318">
        <v>30</v>
      </c>
      <c r="G1318">
        <v>1053.3483333332999</v>
      </c>
      <c r="H1318">
        <v>31600.45</v>
      </c>
      <c r="I1318" t="s">
        <v>1587</v>
      </c>
      <c r="J1318">
        <v>6.8066482906849995E-2</v>
      </c>
    </row>
    <row r="1319" spans="1:10" x14ac:dyDescent="0.25">
      <c r="A1319" t="s">
        <v>127</v>
      </c>
      <c r="B1319" t="s">
        <v>427</v>
      </c>
      <c r="C1319" t="s">
        <v>1072</v>
      </c>
      <c r="D1319" t="s">
        <v>469</v>
      </c>
      <c r="E1319" t="s">
        <v>725</v>
      </c>
      <c r="F1319">
        <v>136</v>
      </c>
      <c r="G1319">
        <v>1025.2127941176</v>
      </c>
      <c r="H1319">
        <v>139428.94</v>
      </c>
      <c r="I1319" t="s">
        <v>1587</v>
      </c>
      <c r="J1319">
        <v>0.30032602577591999</v>
      </c>
    </row>
    <row r="1320" spans="1:10" x14ac:dyDescent="0.25">
      <c r="A1320" t="s">
        <v>127</v>
      </c>
      <c r="B1320" t="s">
        <v>1526</v>
      </c>
      <c r="C1320" t="s">
        <v>1072</v>
      </c>
      <c r="D1320" t="s">
        <v>1463</v>
      </c>
      <c r="E1320" t="s">
        <v>723</v>
      </c>
      <c r="F1320">
        <v>1987</v>
      </c>
      <c r="G1320">
        <v>1017.3250931052</v>
      </c>
      <c r="H1320">
        <v>2021424.96</v>
      </c>
      <c r="I1320" t="s">
        <v>1587</v>
      </c>
      <c r="J1320">
        <v>4.3540926628363996</v>
      </c>
    </row>
    <row r="1321" spans="1:10" x14ac:dyDescent="0.25">
      <c r="A1321" t="s">
        <v>127</v>
      </c>
      <c r="B1321" t="s">
        <v>1166</v>
      </c>
      <c r="C1321" t="s">
        <v>1072</v>
      </c>
      <c r="D1321" t="s">
        <v>1167</v>
      </c>
      <c r="E1321" t="s">
        <v>726</v>
      </c>
      <c r="F1321">
        <v>110</v>
      </c>
      <c r="G1321">
        <v>1031.9968181818001</v>
      </c>
      <c r="H1321">
        <v>113519.65</v>
      </c>
      <c r="I1321" t="s">
        <v>1587</v>
      </c>
      <c r="J1321">
        <v>0.24451814187193999</v>
      </c>
    </row>
    <row r="1322" spans="1:10" x14ac:dyDescent="0.25">
      <c r="A1322" t="s">
        <v>127</v>
      </c>
      <c r="B1322" t="s">
        <v>758</v>
      </c>
      <c r="C1322" t="s">
        <v>1072</v>
      </c>
      <c r="D1322" t="s">
        <v>837</v>
      </c>
      <c r="E1322" t="s">
        <v>726</v>
      </c>
      <c r="F1322">
        <v>8150</v>
      </c>
      <c r="G1322">
        <v>1.0717219602404</v>
      </c>
      <c r="H1322">
        <v>8734.5339759593007</v>
      </c>
      <c r="I1322" t="s">
        <v>1587</v>
      </c>
      <c r="J1322">
        <v>1.8813941180393999E-2</v>
      </c>
    </row>
    <row r="1323" spans="1:10" x14ac:dyDescent="0.25">
      <c r="A1323" t="s">
        <v>127</v>
      </c>
      <c r="B1323" t="s">
        <v>758</v>
      </c>
      <c r="C1323" t="s">
        <v>1072</v>
      </c>
      <c r="D1323" t="s">
        <v>837</v>
      </c>
      <c r="E1323" t="s">
        <v>725</v>
      </c>
      <c r="F1323">
        <v>100000</v>
      </c>
      <c r="G1323">
        <v>1.0717219602404</v>
      </c>
      <c r="H1323">
        <v>107172.19602403999</v>
      </c>
      <c r="I1323" t="s">
        <v>1587</v>
      </c>
      <c r="J1323">
        <v>0.23084590405391001</v>
      </c>
    </row>
    <row r="1324" spans="1:10" x14ac:dyDescent="0.25">
      <c r="A1324" t="s">
        <v>127</v>
      </c>
      <c r="B1324" t="s">
        <v>758</v>
      </c>
      <c r="C1324" t="s">
        <v>1072</v>
      </c>
      <c r="D1324" t="s">
        <v>1113</v>
      </c>
      <c r="E1324" t="s">
        <v>726</v>
      </c>
      <c r="F1324">
        <v>38</v>
      </c>
      <c r="G1324">
        <v>1050.9107894737001</v>
      </c>
      <c r="H1324">
        <v>39934.61</v>
      </c>
      <c r="I1324" t="s">
        <v>1587</v>
      </c>
      <c r="J1324">
        <v>8.6018029773528001E-2</v>
      </c>
    </row>
    <row r="1325" spans="1:10" x14ac:dyDescent="0.25">
      <c r="A1325" t="s">
        <v>127</v>
      </c>
      <c r="B1325" t="s">
        <v>13</v>
      </c>
      <c r="C1325" t="s">
        <v>1072</v>
      </c>
      <c r="D1325" t="s">
        <v>242</v>
      </c>
      <c r="E1325" t="s">
        <v>725</v>
      </c>
      <c r="F1325">
        <v>193</v>
      </c>
      <c r="G1325">
        <v>1081.2251295337001</v>
      </c>
      <c r="H1325">
        <v>208676.45</v>
      </c>
      <c r="I1325" t="s">
        <v>1587</v>
      </c>
      <c r="J1325">
        <v>0.44948321992211998</v>
      </c>
    </row>
    <row r="1326" spans="1:10" x14ac:dyDescent="0.25">
      <c r="A1326" t="s">
        <v>127</v>
      </c>
      <c r="B1326" t="s">
        <v>33</v>
      </c>
      <c r="C1326" t="s">
        <v>1072</v>
      </c>
      <c r="D1326" t="s">
        <v>849</v>
      </c>
      <c r="E1326" t="s">
        <v>723</v>
      </c>
      <c r="F1326">
        <v>973</v>
      </c>
      <c r="G1326">
        <v>1005.4841109969</v>
      </c>
      <c r="H1326">
        <v>978336.04</v>
      </c>
      <c r="I1326" t="s">
        <v>1587</v>
      </c>
      <c r="J1326">
        <v>2.1073083878179002</v>
      </c>
    </row>
    <row r="1327" spans="1:10" x14ac:dyDescent="0.25">
      <c r="A1327" t="s">
        <v>127</v>
      </c>
      <c r="B1327" t="s">
        <v>33</v>
      </c>
      <c r="C1327" t="s">
        <v>1072</v>
      </c>
      <c r="D1327" t="s">
        <v>822</v>
      </c>
      <c r="E1327" t="s">
        <v>725</v>
      </c>
      <c r="F1327">
        <v>33</v>
      </c>
      <c r="G1327">
        <v>1088.9206060606</v>
      </c>
      <c r="H1327">
        <v>35934.379999999997</v>
      </c>
      <c r="I1327" t="s">
        <v>1587</v>
      </c>
      <c r="J1327">
        <v>7.7401646560049997E-2</v>
      </c>
    </row>
    <row r="1328" spans="1:10" x14ac:dyDescent="0.25">
      <c r="A1328" t="s">
        <v>127</v>
      </c>
      <c r="B1328" t="s">
        <v>975</v>
      </c>
      <c r="C1328" t="s">
        <v>1072</v>
      </c>
      <c r="D1328" t="s">
        <v>976</v>
      </c>
      <c r="E1328" t="s">
        <v>725</v>
      </c>
      <c r="F1328">
        <v>54</v>
      </c>
      <c r="G1328">
        <v>516.50888888889006</v>
      </c>
      <c r="H1328">
        <v>27891.48</v>
      </c>
      <c r="I1328" t="s">
        <v>1587</v>
      </c>
      <c r="J1328">
        <v>6.0077465563519998E-2</v>
      </c>
    </row>
    <row r="1329" spans="1:10" x14ac:dyDescent="0.25">
      <c r="A1329" t="s">
        <v>127</v>
      </c>
      <c r="B1329" t="s">
        <v>156</v>
      </c>
      <c r="C1329" t="s">
        <v>1072</v>
      </c>
      <c r="D1329" t="s">
        <v>212</v>
      </c>
      <c r="E1329" t="s">
        <v>725</v>
      </c>
      <c r="F1329">
        <v>243</v>
      </c>
      <c r="G1329">
        <v>1025.1708641974999</v>
      </c>
      <c r="H1329">
        <v>249116.52</v>
      </c>
      <c r="I1329" t="s">
        <v>1587</v>
      </c>
      <c r="J1329">
        <v>0.53658999635747995</v>
      </c>
    </row>
    <row r="1330" spans="1:10" x14ac:dyDescent="0.25">
      <c r="A1330" t="s">
        <v>127</v>
      </c>
      <c r="B1330" t="s">
        <v>156</v>
      </c>
      <c r="C1330" t="s">
        <v>1072</v>
      </c>
      <c r="D1330" t="s">
        <v>1040</v>
      </c>
      <c r="E1330" t="s">
        <v>725</v>
      </c>
      <c r="F1330">
        <v>129</v>
      </c>
      <c r="G1330">
        <v>1017.9456589146999</v>
      </c>
      <c r="H1330">
        <v>131314.99</v>
      </c>
      <c r="I1330" t="s">
        <v>1587</v>
      </c>
      <c r="J1330">
        <v>0.28284880507235</v>
      </c>
    </row>
    <row r="1331" spans="1:10" x14ac:dyDescent="0.25">
      <c r="A1331" t="s">
        <v>127</v>
      </c>
      <c r="B1331" t="s">
        <v>156</v>
      </c>
      <c r="C1331" t="s">
        <v>1072</v>
      </c>
      <c r="D1331" t="s">
        <v>1039</v>
      </c>
      <c r="E1331" t="s">
        <v>725</v>
      </c>
      <c r="F1331">
        <v>79</v>
      </c>
      <c r="G1331">
        <v>1017.8997468354</v>
      </c>
      <c r="H1331">
        <v>80414.080000000002</v>
      </c>
      <c r="I1331" t="s">
        <v>1587</v>
      </c>
      <c r="J1331">
        <v>0.17320967270372001</v>
      </c>
    </row>
    <row r="1332" spans="1:10" x14ac:dyDescent="0.25">
      <c r="A1332" t="s">
        <v>127</v>
      </c>
      <c r="B1332" t="s">
        <v>345</v>
      </c>
      <c r="C1332" t="s">
        <v>1072</v>
      </c>
      <c r="D1332" t="s">
        <v>346</v>
      </c>
      <c r="E1332" t="s">
        <v>723</v>
      </c>
      <c r="F1332">
        <v>2117</v>
      </c>
      <c r="G1332">
        <v>1050.5089324516</v>
      </c>
      <c r="H1332">
        <v>2223927.41</v>
      </c>
      <c r="I1332" t="s">
        <v>1587</v>
      </c>
      <c r="J1332">
        <v>4.7902772599393</v>
      </c>
    </row>
    <row r="1333" spans="1:10" x14ac:dyDescent="0.25">
      <c r="A1333" t="s">
        <v>127</v>
      </c>
      <c r="B1333" t="s">
        <v>290</v>
      </c>
      <c r="C1333" t="s">
        <v>1072</v>
      </c>
      <c r="D1333" t="s">
        <v>240</v>
      </c>
      <c r="E1333" t="s">
        <v>725</v>
      </c>
      <c r="F1333">
        <v>201</v>
      </c>
      <c r="G1333">
        <v>840.57547263682</v>
      </c>
      <c r="H1333">
        <v>168955.67</v>
      </c>
      <c r="I1333" t="s">
        <v>1587</v>
      </c>
      <c r="J1333">
        <v>0.36392577397066</v>
      </c>
    </row>
    <row r="1334" spans="1:10" x14ac:dyDescent="0.25">
      <c r="A1334" t="s">
        <v>127</v>
      </c>
      <c r="B1334" t="s">
        <v>863</v>
      </c>
      <c r="C1334" t="s">
        <v>1072</v>
      </c>
      <c r="D1334" t="s">
        <v>864</v>
      </c>
      <c r="E1334" t="s">
        <v>725</v>
      </c>
      <c r="F1334">
        <v>227</v>
      </c>
      <c r="G1334">
        <v>1056.7336123348</v>
      </c>
      <c r="H1334">
        <v>239878.53</v>
      </c>
      <c r="I1334" t="s">
        <v>1587</v>
      </c>
      <c r="J1334">
        <v>0.51669162502326005</v>
      </c>
    </row>
    <row r="1335" spans="1:10" x14ac:dyDescent="0.25">
      <c r="A1335" t="s">
        <v>127</v>
      </c>
      <c r="B1335" t="s">
        <v>825</v>
      </c>
      <c r="C1335" t="s">
        <v>1072</v>
      </c>
      <c r="D1335" t="s">
        <v>826</v>
      </c>
      <c r="E1335" t="s">
        <v>725</v>
      </c>
      <c r="F1335">
        <v>101</v>
      </c>
      <c r="G1335">
        <v>1065.2923762375999</v>
      </c>
      <c r="H1335">
        <v>107594.53</v>
      </c>
      <c r="I1335" t="s">
        <v>1587</v>
      </c>
      <c r="J1335">
        <v>0.23175559959165001</v>
      </c>
    </row>
    <row r="1336" spans="1:10" x14ac:dyDescent="0.25">
      <c r="A1336" t="s">
        <v>127</v>
      </c>
      <c r="B1336" t="s">
        <v>476</v>
      </c>
      <c r="C1336" t="s">
        <v>1072</v>
      </c>
      <c r="D1336" t="s">
        <v>470</v>
      </c>
      <c r="E1336" t="s">
        <v>725</v>
      </c>
      <c r="F1336">
        <v>220</v>
      </c>
      <c r="G1336">
        <v>991.86936363636005</v>
      </c>
      <c r="H1336">
        <v>218211.26</v>
      </c>
      <c r="I1336" t="s">
        <v>1587</v>
      </c>
      <c r="J1336">
        <v>0.47002093321054</v>
      </c>
    </row>
    <row r="1337" spans="1:10" x14ac:dyDescent="0.25">
      <c r="A1337" t="s">
        <v>127</v>
      </c>
      <c r="B1337" t="s">
        <v>405</v>
      </c>
      <c r="C1337" t="s">
        <v>1072</v>
      </c>
      <c r="D1337" t="s">
        <v>406</v>
      </c>
      <c r="E1337" t="s">
        <v>725</v>
      </c>
      <c r="F1337">
        <v>78</v>
      </c>
      <c r="G1337">
        <v>766.95384615385001</v>
      </c>
      <c r="H1337">
        <v>59822.400000000001</v>
      </c>
      <c r="I1337" t="s">
        <v>1587</v>
      </c>
      <c r="J1337">
        <v>0.12885577158069</v>
      </c>
    </row>
    <row r="1338" spans="1:10" x14ac:dyDescent="0.25">
      <c r="A1338" t="s">
        <v>127</v>
      </c>
      <c r="B1338" t="s">
        <v>418</v>
      </c>
      <c r="C1338" t="s">
        <v>1072</v>
      </c>
      <c r="D1338" t="s">
        <v>419</v>
      </c>
      <c r="E1338" t="s">
        <v>725</v>
      </c>
      <c r="F1338">
        <v>106</v>
      </c>
      <c r="G1338">
        <v>631.24952830189</v>
      </c>
      <c r="H1338">
        <v>66912.45</v>
      </c>
      <c r="I1338" t="s">
        <v>1587</v>
      </c>
      <c r="J1338">
        <v>0.14412754040466999</v>
      </c>
    </row>
    <row r="1339" spans="1:10" x14ac:dyDescent="0.25">
      <c r="A1339" t="s">
        <v>127</v>
      </c>
      <c r="B1339" t="s">
        <v>944</v>
      </c>
      <c r="C1339" t="s">
        <v>1072</v>
      </c>
      <c r="D1339" t="s">
        <v>1174</v>
      </c>
      <c r="E1339" t="s">
        <v>723</v>
      </c>
      <c r="F1339">
        <v>990</v>
      </c>
      <c r="G1339">
        <v>999.62641414141001</v>
      </c>
      <c r="H1339">
        <v>989630.15</v>
      </c>
      <c r="I1339" t="s">
        <v>1587</v>
      </c>
      <c r="J1339">
        <v>2.1316355839579</v>
      </c>
    </row>
    <row r="1340" spans="1:10" x14ac:dyDescent="0.25">
      <c r="A1340" t="s">
        <v>127</v>
      </c>
      <c r="B1340" t="s">
        <v>858</v>
      </c>
      <c r="C1340" t="s">
        <v>1072</v>
      </c>
      <c r="D1340" t="s">
        <v>848</v>
      </c>
      <c r="E1340" t="s">
        <v>723</v>
      </c>
      <c r="F1340">
        <v>935</v>
      </c>
      <c r="G1340">
        <v>1041.8437326203</v>
      </c>
      <c r="H1340">
        <v>974123.89</v>
      </c>
      <c r="I1340" t="s">
        <v>1587</v>
      </c>
      <c r="J1340">
        <v>2.0982355348686998</v>
      </c>
    </row>
    <row r="1341" spans="1:10" x14ac:dyDescent="0.25">
      <c r="A1341" t="s">
        <v>127</v>
      </c>
      <c r="B1341" t="s">
        <v>1034</v>
      </c>
      <c r="C1341" t="s">
        <v>1072</v>
      </c>
      <c r="D1341" t="s">
        <v>1173</v>
      </c>
      <c r="E1341" t="s">
        <v>723</v>
      </c>
      <c r="F1341">
        <v>925</v>
      </c>
      <c r="G1341">
        <v>1218.9435567568</v>
      </c>
      <c r="H1341">
        <v>1127522.79</v>
      </c>
      <c r="I1341" t="s">
        <v>1587</v>
      </c>
      <c r="J1341">
        <v>2.4286524626271002</v>
      </c>
    </row>
    <row r="1342" spans="1:10" x14ac:dyDescent="0.25">
      <c r="A1342" t="s">
        <v>127</v>
      </c>
      <c r="B1342" t="s">
        <v>1034</v>
      </c>
      <c r="C1342" t="s">
        <v>1072</v>
      </c>
      <c r="D1342" t="s">
        <v>1033</v>
      </c>
      <c r="E1342" t="s">
        <v>725</v>
      </c>
      <c r="F1342">
        <v>40</v>
      </c>
      <c r="G1342">
        <v>1038.35475</v>
      </c>
      <c r="H1342">
        <v>41534.19</v>
      </c>
      <c r="I1342" t="s">
        <v>1587</v>
      </c>
      <c r="J1342">
        <v>8.9463480225280001E-2</v>
      </c>
    </row>
    <row r="1343" spans="1:10" x14ac:dyDescent="0.25">
      <c r="A1343" t="s">
        <v>127</v>
      </c>
      <c r="B1343" t="s">
        <v>234</v>
      </c>
      <c r="C1343" t="s">
        <v>1072</v>
      </c>
      <c r="D1343" t="s">
        <v>471</v>
      </c>
      <c r="E1343" t="s">
        <v>725</v>
      </c>
      <c r="F1343">
        <v>147</v>
      </c>
      <c r="G1343">
        <v>989.13394557823005</v>
      </c>
      <c r="H1343">
        <v>145402.69</v>
      </c>
      <c r="I1343" t="s">
        <v>1587</v>
      </c>
      <c r="J1343">
        <v>0.31319331571213999</v>
      </c>
    </row>
    <row r="1344" spans="1:10" x14ac:dyDescent="0.25">
      <c r="A1344" t="s">
        <v>127</v>
      </c>
      <c r="B1344" t="s">
        <v>891</v>
      </c>
      <c r="C1344" t="s">
        <v>1072</v>
      </c>
      <c r="D1344" t="s">
        <v>472</v>
      </c>
      <c r="E1344" t="s">
        <v>725</v>
      </c>
      <c r="F1344">
        <v>205</v>
      </c>
      <c r="G1344">
        <v>835.33502439024005</v>
      </c>
      <c r="H1344">
        <v>171243.68</v>
      </c>
      <c r="I1344" t="s">
        <v>1587</v>
      </c>
      <c r="J1344">
        <v>0.36885408333193997</v>
      </c>
    </row>
    <row r="1345" spans="1:10" x14ac:dyDescent="0.25">
      <c r="A1345" t="s">
        <v>127</v>
      </c>
      <c r="B1345" t="s">
        <v>1435</v>
      </c>
      <c r="C1345" t="s">
        <v>1072</v>
      </c>
      <c r="D1345" t="s">
        <v>1226</v>
      </c>
      <c r="E1345" t="s">
        <v>723</v>
      </c>
      <c r="F1345">
        <v>1000</v>
      </c>
      <c r="G1345">
        <v>995.03543999999999</v>
      </c>
      <c r="H1345">
        <v>995035.44</v>
      </c>
      <c r="I1345" t="s">
        <v>1587</v>
      </c>
      <c r="J1345">
        <v>2.1432784269993999</v>
      </c>
    </row>
    <row r="1346" spans="1:10" x14ac:dyDescent="0.25">
      <c r="A1346" t="s">
        <v>127</v>
      </c>
      <c r="B1346" t="s">
        <v>429</v>
      </c>
      <c r="C1346" t="s">
        <v>1072</v>
      </c>
      <c r="D1346" t="s">
        <v>347</v>
      </c>
      <c r="E1346" t="s">
        <v>725</v>
      </c>
      <c r="F1346">
        <v>123</v>
      </c>
      <c r="G1346">
        <v>995.00829268293</v>
      </c>
      <c r="H1346">
        <v>122386.02</v>
      </c>
      <c r="I1346" t="s">
        <v>1587</v>
      </c>
      <c r="J1346">
        <v>0.26361605415011002</v>
      </c>
    </row>
    <row r="1347" spans="1:10" x14ac:dyDescent="0.25">
      <c r="A1347" t="s">
        <v>127</v>
      </c>
      <c r="B1347" t="s">
        <v>429</v>
      </c>
      <c r="C1347" t="s">
        <v>1072</v>
      </c>
      <c r="D1347" t="s">
        <v>1172</v>
      </c>
      <c r="E1347" t="s">
        <v>726</v>
      </c>
      <c r="F1347">
        <v>110</v>
      </c>
      <c r="G1347">
        <v>998.77663636364002</v>
      </c>
      <c r="H1347">
        <v>109865.43</v>
      </c>
      <c r="I1347" t="s">
        <v>1587</v>
      </c>
      <c r="J1347">
        <v>0.23664705449286999</v>
      </c>
    </row>
    <row r="1348" spans="1:10" x14ac:dyDescent="0.25">
      <c r="A1348" t="s">
        <v>127</v>
      </c>
      <c r="B1348" t="s">
        <v>473</v>
      </c>
      <c r="C1348" t="s">
        <v>1072</v>
      </c>
      <c r="D1348" t="s">
        <v>1121</v>
      </c>
      <c r="E1348" t="s">
        <v>725</v>
      </c>
      <c r="F1348">
        <v>97</v>
      </c>
      <c r="G1348">
        <v>43.405463917525999</v>
      </c>
      <c r="H1348">
        <v>4210.33</v>
      </c>
      <c r="I1348" t="s">
        <v>1587</v>
      </c>
      <c r="J1348">
        <v>9.0689327201700001E-3</v>
      </c>
    </row>
    <row r="1349" spans="1:10" x14ac:dyDescent="0.25">
      <c r="A1349" t="s">
        <v>127</v>
      </c>
      <c r="B1349" t="s">
        <v>10</v>
      </c>
      <c r="C1349" t="s">
        <v>1072</v>
      </c>
      <c r="D1349" t="s">
        <v>279</v>
      </c>
      <c r="E1349" t="s">
        <v>723</v>
      </c>
      <c r="F1349">
        <v>897</v>
      </c>
      <c r="G1349">
        <v>1063.1796989966999</v>
      </c>
      <c r="H1349">
        <v>953672.19</v>
      </c>
      <c r="I1349" t="s">
        <v>1587</v>
      </c>
      <c r="J1349">
        <v>2.0541831467392999</v>
      </c>
    </row>
    <row r="1350" spans="1:10" x14ac:dyDescent="0.25">
      <c r="A1350" t="s">
        <v>127</v>
      </c>
      <c r="B1350" t="s">
        <v>215</v>
      </c>
      <c r="C1350" t="s">
        <v>1072</v>
      </c>
      <c r="D1350" t="s">
        <v>216</v>
      </c>
      <c r="E1350" t="s">
        <v>725</v>
      </c>
      <c r="F1350">
        <v>6</v>
      </c>
      <c r="G1350">
        <v>546.74166666666997</v>
      </c>
      <c r="H1350">
        <v>3280.45</v>
      </c>
      <c r="I1350" t="s">
        <v>1587</v>
      </c>
      <c r="J1350">
        <v>7.0659972833200003E-3</v>
      </c>
    </row>
    <row r="1351" spans="1:10" x14ac:dyDescent="0.25">
      <c r="A1351" t="s">
        <v>236</v>
      </c>
      <c r="B1351" t="s">
        <v>270</v>
      </c>
      <c r="C1351" t="s">
        <v>1072</v>
      </c>
      <c r="D1351" t="s">
        <v>439</v>
      </c>
      <c r="E1351" t="s">
        <v>725</v>
      </c>
      <c r="F1351">
        <v>272</v>
      </c>
      <c r="G1351">
        <v>459.85768382353001</v>
      </c>
      <c r="H1351">
        <v>125081.29</v>
      </c>
      <c r="I1351" t="s">
        <v>1587</v>
      </c>
      <c r="J1351">
        <v>0.26942159012773997</v>
      </c>
    </row>
    <row r="1352" spans="1:10" x14ac:dyDescent="0.25">
      <c r="A1352" t="s">
        <v>236</v>
      </c>
      <c r="B1352" t="s">
        <v>270</v>
      </c>
      <c r="C1352" t="s">
        <v>1072</v>
      </c>
      <c r="D1352" t="s">
        <v>1016</v>
      </c>
      <c r="E1352" t="s">
        <v>725</v>
      </c>
      <c r="F1352">
        <v>86</v>
      </c>
      <c r="G1352">
        <v>447.46558139535</v>
      </c>
      <c r="H1352">
        <v>38482.04</v>
      </c>
      <c r="I1352" t="s">
        <v>1587</v>
      </c>
      <c r="J1352">
        <v>8.288923473814E-2</v>
      </c>
    </row>
    <row r="1353" spans="1:10" x14ac:dyDescent="0.25">
      <c r="A1353" t="s">
        <v>236</v>
      </c>
      <c r="B1353" t="s">
        <v>740</v>
      </c>
      <c r="C1353" t="s">
        <v>1072</v>
      </c>
      <c r="D1353" t="s">
        <v>438</v>
      </c>
      <c r="E1353" t="s">
        <v>725</v>
      </c>
      <c r="F1353">
        <v>202</v>
      </c>
      <c r="G1353">
        <v>638.02376237624003</v>
      </c>
      <c r="H1353">
        <v>128880.8</v>
      </c>
      <c r="I1353" t="s">
        <v>1587</v>
      </c>
      <c r="J1353">
        <v>0.27760562809141998</v>
      </c>
    </row>
    <row r="1354" spans="1:10" x14ac:dyDescent="0.25">
      <c r="A1354" t="s">
        <v>131</v>
      </c>
      <c r="B1354" t="s">
        <v>140</v>
      </c>
      <c r="C1354" t="s">
        <v>1072</v>
      </c>
      <c r="D1354">
        <v>760199</v>
      </c>
      <c r="E1354" t="s">
        <v>725</v>
      </c>
      <c r="F1354">
        <v>1741</v>
      </c>
      <c r="G1354">
        <v>4044.5193394601001</v>
      </c>
      <c r="H1354">
        <v>7041508.1699999999</v>
      </c>
      <c r="I1354" t="s">
        <v>1587</v>
      </c>
      <c r="J1354">
        <v>15.167211083759</v>
      </c>
    </row>
    <row r="1355" spans="1:10" x14ac:dyDescent="0.25">
      <c r="A1355" t="s">
        <v>488</v>
      </c>
      <c r="B1355" t="s">
        <v>767</v>
      </c>
      <c r="C1355" t="s">
        <v>1072</v>
      </c>
      <c r="D1355" t="s">
        <v>768</v>
      </c>
      <c r="E1355" t="s">
        <v>725</v>
      </c>
      <c r="F1355">
        <v>118</v>
      </c>
      <c r="G1355">
        <v>1213.1802542373</v>
      </c>
      <c r="H1355">
        <v>143155.26999999999</v>
      </c>
      <c r="I1355" t="s">
        <v>1587</v>
      </c>
      <c r="J1355">
        <v>0.30835243607230001</v>
      </c>
    </row>
    <row r="1356" spans="1:10" x14ac:dyDescent="0.25">
      <c r="A1356" t="s">
        <v>488</v>
      </c>
      <c r="B1356" t="s">
        <v>1062</v>
      </c>
      <c r="C1356" t="s">
        <v>1072</v>
      </c>
      <c r="D1356" t="s">
        <v>1128</v>
      </c>
      <c r="E1356" t="s">
        <v>725</v>
      </c>
      <c r="F1356">
        <v>221</v>
      </c>
      <c r="G1356">
        <v>1075.4548868777999</v>
      </c>
      <c r="H1356">
        <v>237675.53</v>
      </c>
      <c r="I1356" t="s">
        <v>1587</v>
      </c>
      <c r="J1356">
        <v>0.51194642481744002</v>
      </c>
    </row>
    <row r="1357" spans="1:10" x14ac:dyDescent="0.25">
      <c r="A1357" t="s">
        <v>488</v>
      </c>
      <c r="B1357" t="s">
        <v>1062</v>
      </c>
      <c r="C1357" t="s">
        <v>1072</v>
      </c>
      <c r="D1357" t="s">
        <v>1146</v>
      </c>
      <c r="E1357" t="s">
        <v>725</v>
      </c>
      <c r="F1357">
        <v>92</v>
      </c>
      <c r="G1357">
        <v>1048.7395652174</v>
      </c>
      <c r="H1357">
        <v>96484.04</v>
      </c>
      <c r="I1357" t="s">
        <v>1587</v>
      </c>
      <c r="J1357">
        <v>0.20782391578108</v>
      </c>
    </row>
    <row r="1358" spans="1:10" x14ac:dyDescent="0.25">
      <c r="A1358" t="s">
        <v>144</v>
      </c>
      <c r="B1358" t="s">
        <v>103</v>
      </c>
      <c r="C1358" t="s">
        <v>1072</v>
      </c>
      <c r="D1358" t="s">
        <v>144</v>
      </c>
      <c r="E1358" t="s">
        <v>725</v>
      </c>
      <c r="F1358" t="s">
        <v>103</v>
      </c>
      <c r="G1358" t="s">
        <v>1587</v>
      </c>
      <c r="H1358" t="s">
        <v>1587</v>
      </c>
      <c r="I1358" t="s">
        <v>1587</v>
      </c>
      <c r="J1358" t="s">
        <v>1587</v>
      </c>
    </row>
  </sheetData>
  <autoFilter ref="A1:J1" xr:uid="{01F2E24B-85B0-4013-AD49-D39E2A044CE9}">
    <sortState xmlns:xlrd2="http://schemas.microsoft.com/office/spreadsheetml/2017/richdata2" ref="A2:J1364">
      <sortCondition ref="C1"/>
    </sortState>
  </autoFilter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7" t="s">
        <v>376</v>
      </c>
      <c r="D4" s="348"/>
      <c r="E4" s="348"/>
      <c r="F4" s="348"/>
      <c r="G4" s="349"/>
      <c r="H4" s="347" t="s">
        <v>380</v>
      </c>
      <c r="I4" s="348"/>
      <c r="J4" s="348"/>
      <c r="K4" s="348"/>
      <c r="L4" s="348"/>
      <c r="M4" s="347" t="s">
        <v>49</v>
      </c>
      <c r="N4" s="348"/>
      <c r="O4" s="348"/>
      <c r="P4" s="348"/>
      <c r="Q4" s="349"/>
    </row>
    <row r="5" spans="2:18" x14ac:dyDescent="0.25">
      <c r="B5" s="105" t="s">
        <v>374</v>
      </c>
      <c r="C5" s="122" t="s">
        <v>821</v>
      </c>
      <c r="D5" s="123" t="s">
        <v>754</v>
      </c>
      <c r="E5" s="123" t="s">
        <v>241</v>
      </c>
      <c r="F5" s="123" t="s">
        <v>251</v>
      </c>
      <c r="G5" s="124" t="s">
        <v>794</v>
      </c>
      <c r="H5" s="122" t="s">
        <v>832</v>
      </c>
      <c r="I5" s="123" t="s">
        <v>756</v>
      </c>
      <c r="J5" s="123" t="s">
        <v>377</v>
      </c>
      <c r="K5" s="123" t="s">
        <v>378</v>
      </c>
      <c r="L5" s="124" t="s">
        <v>817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107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8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8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8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358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8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362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8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361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8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284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8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8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357</v>
      </c>
      <c r="C14" s="224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-2161717.4214607128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-8.8202975688843506E-3</v>
      </c>
      <c r="Q14" s="218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5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9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0" t="s">
        <v>381</v>
      </c>
      <c r="D19" s="351"/>
      <c r="E19" s="351"/>
      <c r="F19" s="351"/>
      <c r="G19" s="352"/>
      <c r="H19" s="2"/>
      <c r="J19" s="2"/>
      <c r="M19" s="159" t="s">
        <v>66</v>
      </c>
      <c r="N19" s="165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374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159</v>
      </c>
      <c r="I20" s="125" t="s">
        <v>382</v>
      </c>
      <c r="J20" s="125" t="s">
        <v>383</v>
      </c>
      <c r="L20" s="105" t="s">
        <v>374</v>
      </c>
      <c r="M20" s="122" t="s">
        <v>121</v>
      </c>
      <c r="N20" s="122" t="s">
        <v>49</v>
      </c>
      <c r="O20" s="122" t="s">
        <v>381</v>
      </c>
      <c r="P20" s="129" t="s">
        <v>382</v>
      </c>
      <c r="Q20" s="129" t="s">
        <v>383</v>
      </c>
      <c r="R20" s="105" t="s">
        <v>435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63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63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63" t="e">
        <f t="shared" ca="1" si="3"/>
        <v>#REF!</v>
      </c>
    </row>
    <row r="24" spans="2:20" x14ac:dyDescent="0.25">
      <c r="B24" s="106" t="s">
        <v>358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358</v>
      </c>
      <c r="M24" s="4">
        <f ca="1">SUMIFS(Extranet!$J:$J,Extranet!$C:$C,$L24,Extranet!$D:$D,M$20)</f>
        <v>857486.02</v>
      </c>
      <c r="N24" s="130">
        <f ca="1">SUMIFS(Extranet!$L:$L,Extranet!$C:$C,$L24,Extranet!$D:$D,M$20)</f>
        <v>2.3E-2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63" t="e">
        <f t="shared" ca="1" si="3"/>
        <v>#REF!</v>
      </c>
    </row>
    <row r="25" spans="2:20" x14ac:dyDescent="0.25">
      <c r="B25" s="106" t="s">
        <v>362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362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63" t="e">
        <f t="shared" ca="1" si="3"/>
        <v>#REF!</v>
      </c>
    </row>
    <row r="26" spans="2:20" x14ac:dyDescent="0.25">
      <c r="B26" s="106" t="s">
        <v>361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361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63" t="e">
        <f t="shared" ca="1" si="3"/>
        <v>#REF!</v>
      </c>
    </row>
    <row r="27" spans="2:20" x14ac:dyDescent="0.25">
      <c r="B27" s="106" t="s">
        <v>284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284</v>
      </c>
      <c r="M27" s="4">
        <f ca="1">SUMIFS(Extranet!$J:$J,Extranet!$C:$C,$L27,Extranet!$D:$D,M$20)</f>
        <v>5638189.2699999996</v>
      </c>
      <c r="N27" s="130">
        <f ca="1">SUMIFS(Extranet!$L:$L,Extranet!$C:$C,$L27,Extranet!$D:$D,M$20)</f>
        <v>2.8799999999999999E-2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63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63" t="e">
        <f t="shared" ca="1" si="3"/>
        <v>#REF!</v>
      </c>
    </row>
    <row r="29" spans="2:20" x14ac:dyDescent="0.25">
      <c r="B29" s="106" t="s">
        <v>357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-957.28191097248111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62">
        <f ca="1">SUMIFS(Extranet!$J:$J,Extranet!$C:$C,$L29,Extranet!$D:$D,M$20)</f>
        <v>12721985.75</v>
      </c>
      <c r="N29" s="131">
        <f ca="1">SUMIFS(Extranet!$L:$L,Extranet!$C:$C,$L29,Extranet!$D:$D,M$20)</f>
        <v>4.58E-2</v>
      </c>
      <c r="O29" s="161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62" t="e">
        <f ca="1"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-957.28191097248111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374</v>
      </c>
      <c r="M31" s="105" t="s">
        <v>442</v>
      </c>
      <c r="N31" s="105" t="s">
        <v>441</v>
      </c>
      <c r="O31" s="105" t="s">
        <v>443</v>
      </c>
      <c r="P31" s="105" t="s">
        <v>435</v>
      </c>
      <c r="Q31" s="125" t="s">
        <v>447</v>
      </c>
      <c r="R31" s="125" t="s">
        <v>446</v>
      </c>
      <c r="S31" s="125" t="s">
        <v>449</v>
      </c>
      <c r="T31" s="125" t="s">
        <v>448</v>
      </c>
    </row>
    <row r="32" spans="2:20" x14ac:dyDescent="0.25">
      <c r="C32"/>
      <c r="D32"/>
      <c r="E32"/>
      <c r="F32"/>
      <c r="G32"/>
      <c r="L32" s="106" t="s">
        <v>107</v>
      </c>
      <c r="M32" s="163" t="e">
        <f t="shared" ref="M32:M41" ca="1" si="4">IF(SUM($C21:$F21)=0,G21,0)</f>
        <v>#VALUE!</v>
      </c>
      <c r="N32" s="163" t="e">
        <f t="shared" ref="N32:N41" ca="1" si="5">IF(SUM($C21:$F21)=0,0,SUM($C21:$G21))</f>
        <v>#VALUE!</v>
      </c>
      <c r="O32" s="163">
        <f t="shared" ref="O32:O42" ca="1" si="6">IFERROR(VLOOKUP(L32,$L$20:$R$29,4,0),0)</f>
        <v>0</v>
      </c>
      <c r="P32" s="163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63" t="e">
        <f t="shared" ca="1" si="4"/>
        <v>#VALUE!</v>
      </c>
      <c r="N33" s="163" t="e">
        <f t="shared" ca="1" si="5"/>
        <v>#VALUE!</v>
      </c>
      <c r="O33" s="163">
        <f t="shared" ca="1" si="6"/>
        <v>0</v>
      </c>
      <c r="P33" s="163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63" t="e">
        <f t="shared" ca="1" si="4"/>
        <v>#VALUE!</v>
      </c>
      <c r="N34" s="163" t="e">
        <f t="shared" ca="1" si="5"/>
        <v>#VALUE!</v>
      </c>
      <c r="O34" s="163">
        <f t="shared" ca="1" si="6"/>
        <v>0</v>
      </c>
      <c r="P34" s="163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358</v>
      </c>
      <c r="M35" s="163" t="e">
        <f t="shared" ca="1" si="4"/>
        <v>#VALUE!</v>
      </c>
      <c r="N35" s="163" t="e">
        <f t="shared" ca="1" si="5"/>
        <v>#VALUE!</v>
      </c>
      <c r="O35" s="163">
        <f t="shared" ca="1" si="6"/>
        <v>0</v>
      </c>
      <c r="P35" s="163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362</v>
      </c>
      <c r="M36" s="163" t="e">
        <f t="shared" ca="1" si="4"/>
        <v>#VALUE!</v>
      </c>
      <c r="N36" s="163" t="e">
        <f t="shared" ca="1" si="5"/>
        <v>#VALUE!</v>
      </c>
      <c r="O36" s="163">
        <f t="shared" ca="1" si="6"/>
        <v>0</v>
      </c>
      <c r="P36" s="163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361</v>
      </c>
      <c r="M37" s="163" t="e">
        <f t="shared" ca="1" si="4"/>
        <v>#VALUE!</v>
      </c>
      <c r="N37" s="163" t="e">
        <f t="shared" ca="1" si="5"/>
        <v>#VALUE!</v>
      </c>
      <c r="O37" s="163">
        <f t="shared" ca="1" si="6"/>
        <v>0</v>
      </c>
      <c r="P37" s="163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284</v>
      </c>
      <c r="M38" s="163" t="e">
        <f t="shared" ca="1" si="4"/>
        <v>#VALUE!</v>
      </c>
      <c r="N38" s="163" t="e">
        <f t="shared" ca="1" si="5"/>
        <v>#VALUE!</v>
      </c>
      <c r="O38" s="163">
        <f t="shared" ca="1" si="6"/>
        <v>0</v>
      </c>
      <c r="P38" s="163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63" t="e">
        <f t="shared" ca="1" si="4"/>
        <v>#VALUE!</v>
      </c>
      <c r="N39" s="163" t="e">
        <f t="shared" ca="1" si="5"/>
        <v>#VALUE!</v>
      </c>
      <c r="O39" s="163">
        <f t="shared" ca="1" si="6"/>
        <v>0</v>
      </c>
      <c r="P39" s="163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357</v>
      </c>
      <c r="M40" s="163" t="e">
        <f t="shared" ca="1" si="4"/>
        <v>#VALUE!</v>
      </c>
      <c r="N40" s="163" t="e">
        <f t="shared" ca="1" si="5"/>
        <v>#VALUE!</v>
      </c>
      <c r="O40" s="163">
        <f t="shared" ca="1" si="6"/>
        <v>0</v>
      </c>
      <c r="P40" s="163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63" t="e">
        <f t="shared" ca="1" si="4"/>
        <v>#VALUE!</v>
      </c>
      <c r="N41" s="163" t="e">
        <f t="shared" ca="1" si="5"/>
        <v>#VALUE!</v>
      </c>
      <c r="O41" s="163">
        <f t="shared" ca="1" si="6"/>
        <v>0</v>
      </c>
      <c r="P41" s="163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62">
        <v>0</v>
      </c>
      <c r="N42" s="162">
        <v>0</v>
      </c>
      <c r="O42" s="162">
        <f t="shared" ca="1" si="6"/>
        <v>0</v>
      </c>
      <c r="P42" s="162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1225</v>
      </c>
    </row>
    <row r="2" spans="1:1" x14ac:dyDescent="0.25">
      <c r="A2" s="285">
        <v>44197</v>
      </c>
    </row>
    <row r="3" spans="1:1" x14ac:dyDescent="0.25">
      <c r="A3" s="285">
        <v>44242</v>
      </c>
    </row>
    <row r="4" spans="1:1" x14ac:dyDescent="0.25">
      <c r="A4" s="285">
        <v>44243</v>
      </c>
    </row>
    <row r="5" spans="1:1" x14ac:dyDescent="0.25">
      <c r="A5" s="285">
        <v>44288</v>
      </c>
    </row>
    <row r="6" spans="1:1" x14ac:dyDescent="0.25">
      <c r="A6" s="285">
        <v>44307</v>
      </c>
    </row>
    <row r="7" spans="1:1" x14ac:dyDescent="0.25">
      <c r="A7" s="285">
        <v>44317</v>
      </c>
    </row>
    <row r="8" spans="1:1" x14ac:dyDescent="0.25">
      <c r="A8" s="285">
        <v>44350</v>
      </c>
    </row>
    <row r="9" spans="1:1" x14ac:dyDescent="0.25">
      <c r="A9" s="285">
        <v>44446</v>
      </c>
    </row>
    <row r="10" spans="1:1" x14ac:dyDescent="0.25">
      <c r="A10" s="285">
        <v>44481</v>
      </c>
    </row>
    <row r="11" spans="1:1" x14ac:dyDescent="0.25">
      <c r="A11" s="285">
        <v>44502</v>
      </c>
    </row>
    <row r="12" spans="1:1" x14ac:dyDescent="0.25">
      <c r="A12" s="285">
        <v>44515</v>
      </c>
    </row>
    <row r="13" spans="1:1" x14ac:dyDescent="0.25">
      <c r="A13" s="285">
        <v>44555</v>
      </c>
    </row>
    <row r="14" spans="1:1" x14ac:dyDescent="0.25">
      <c r="A14" s="285">
        <v>44562</v>
      </c>
    </row>
    <row r="15" spans="1:1" x14ac:dyDescent="0.25">
      <c r="A15" s="285">
        <v>44620</v>
      </c>
    </row>
    <row r="16" spans="1:1" x14ac:dyDescent="0.25">
      <c r="A16" s="285">
        <v>44621</v>
      </c>
    </row>
    <row r="17" spans="1:1" x14ac:dyDescent="0.25">
      <c r="A17" s="285">
        <v>44666</v>
      </c>
    </row>
    <row r="18" spans="1:1" x14ac:dyDescent="0.25">
      <c r="A18" s="285">
        <v>44672</v>
      </c>
    </row>
    <row r="19" spans="1:1" x14ac:dyDescent="0.25">
      <c r="A19" s="285">
        <v>44682</v>
      </c>
    </row>
    <row r="20" spans="1:1" x14ac:dyDescent="0.25">
      <c r="A20" s="285">
        <v>44728</v>
      </c>
    </row>
    <row r="21" spans="1:1" x14ac:dyDescent="0.25">
      <c r="A21" s="285">
        <v>44811</v>
      </c>
    </row>
    <row r="22" spans="1:1" x14ac:dyDescent="0.25">
      <c r="A22" s="285">
        <v>44846</v>
      </c>
    </row>
    <row r="23" spans="1:1" x14ac:dyDescent="0.25">
      <c r="A23" s="285">
        <v>44867</v>
      </c>
    </row>
    <row r="24" spans="1:1" x14ac:dyDescent="0.25">
      <c r="A24" s="285">
        <v>44880</v>
      </c>
    </row>
    <row r="25" spans="1:1" x14ac:dyDescent="0.25">
      <c r="A25" s="285">
        <v>44920</v>
      </c>
    </row>
    <row r="26" spans="1:1" x14ac:dyDescent="0.25">
      <c r="A26" s="285">
        <v>44927</v>
      </c>
    </row>
    <row r="27" spans="1:1" x14ac:dyDescent="0.25">
      <c r="A27" s="285">
        <v>44977</v>
      </c>
    </row>
    <row r="28" spans="1:1" x14ac:dyDescent="0.25">
      <c r="A28" s="285">
        <v>44978</v>
      </c>
    </row>
    <row r="29" spans="1:1" x14ac:dyDescent="0.25">
      <c r="A29" s="285">
        <v>45023</v>
      </c>
    </row>
    <row r="30" spans="1:1" x14ac:dyDescent="0.25">
      <c r="A30" s="285">
        <v>45037</v>
      </c>
    </row>
    <row r="31" spans="1:1" x14ac:dyDescent="0.25">
      <c r="A31" s="285">
        <v>45047</v>
      </c>
    </row>
    <row r="32" spans="1:1" x14ac:dyDescent="0.25">
      <c r="A32" s="285">
        <v>45085</v>
      </c>
    </row>
    <row r="33" spans="1:1" x14ac:dyDescent="0.25">
      <c r="A33" s="285">
        <v>45176</v>
      </c>
    </row>
    <row r="34" spans="1:1" x14ac:dyDescent="0.25">
      <c r="A34" s="285">
        <v>45211</v>
      </c>
    </row>
    <row r="35" spans="1:1" x14ac:dyDescent="0.25">
      <c r="A35" s="285">
        <v>45232</v>
      </c>
    </row>
    <row r="36" spans="1:1" x14ac:dyDescent="0.25">
      <c r="A36" s="285">
        <v>45245</v>
      </c>
    </row>
    <row r="37" spans="1:1" x14ac:dyDescent="0.25">
      <c r="A37" s="285">
        <v>45285</v>
      </c>
    </row>
    <row r="38" spans="1:1" x14ac:dyDescent="0.25">
      <c r="A38" s="285">
        <v>45292</v>
      </c>
    </row>
    <row r="39" spans="1:1" x14ac:dyDescent="0.25">
      <c r="A39" s="285">
        <v>45334</v>
      </c>
    </row>
    <row r="40" spans="1:1" x14ac:dyDescent="0.25">
      <c r="A40" s="285">
        <v>45335</v>
      </c>
    </row>
    <row r="41" spans="1:1" x14ac:dyDescent="0.25">
      <c r="A41" s="285">
        <v>45380</v>
      </c>
    </row>
    <row r="42" spans="1:1" x14ac:dyDescent="0.25">
      <c r="A42" s="285">
        <v>45403</v>
      </c>
    </row>
    <row r="43" spans="1:1" x14ac:dyDescent="0.25">
      <c r="A43" s="285">
        <v>45413</v>
      </c>
    </row>
    <row r="44" spans="1:1" x14ac:dyDescent="0.25">
      <c r="A44" s="285">
        <v>45442</v>
      </c>
    </row>
    <row r="45" spans="1:1" x14ac:dyDescent="0.25">
      <c r="A45" s="285">
        <v>45542</v>
      </c>
    </row>
    <row r="46" spans="1:1" x14ac:dyDescent="0.25">
      <c r="A46" s="285">
        <v>45577</v>
      </c>
    </row>
    <row r="47" spans="1:1" x14ac:dyDescent="0.25">
      <c r="A47" s="285">
        <v>45598</v>
      </c>
    </row>
    <row r="48" spans="1:1" x14ac:dyDescent="0.25">
      <c r="A48" s="285">
        <v>45611</v>
      </c>
    </row>
    <row r="49" spans="1:1" x14ac:dyDescent="0.25">
      <c r="A49" s="285">
        <v>45651</v>
      </c>
    </row>
    <row r="50" spans="1:1" x14ac:dyDescent="0.25">
      <c r="A50" s="285">
        <v>45658</v>
      </c>
    </row>
    <row r="51" spans="1:1" x14ac:dyDescent="0.25">
      <c r="A51" s="285">
        <v>45719</v>
      </c>
    </row>
    <row r="52" spans="1:1" x14ac:dyDescent="0.25">
      <c r="A52" s="285">
        <v>45720</v>
      </c>
    </row>
    <row r="53" spans="1:1" x14ac:dyDescent="0.25">
      <c r="A53" s="285">
        <v>45765</v>
      </c>
    </row>
    <row r="54" spans="1:1" x14ac:dyDescent="0.25">
      <c r="A54" s="285">
        <v>45768</v>
      </c>
    </row>
    <row r="55" spans="1:1" x14ac:dyDescent="0.25">
      <c r="A55" s="285">
        <v>45778</v>
      </c>
    </row>
    <row r="56" spans="1:1" x14ac:dyDescent="0.25">
      <c r="A56" s="285">
        <v>45827</v>
      </c>
    </row>
    <row r="57" spans="1:1" x14ac:dyDescent="0.25">
      <c r="A57" s="285">
        <v>45907</v>
      </c>
    </row>
    <row r="58" spans="1:1" x14ac:dyDescent="0.25">
      <c r="A58" s="285">
        <v>45942</v>
      </c>
    </row>
    <row r="59" spans="1:1" x14ac:dyDescent="0.25">
      <c r="A59" s="285">
        <v>45963</v>
      </c>
    </row>
    <row r="60" spans="1:1" x14ac:dyDescent="0.25">
      <c r="A60" s="285">
        <v>45976</v>
      </c>
    </row>
    <row r="61" spans="1:1" x14ac:dyDescent="0.25">
      <c r="A61" s="285">
        <v>46016</v>
      </c>
    </row>
    <row r="62" spans="1:1" x14ac:dyDescent="0.25">
      <c r="A62" s="285">
        <v>46023</v>
      </c>
    </row>
    <row r="63" spans="1:1" x14ac:dyDescent="0.25">
      <c r="A63" s="285">
        <v>46069</v>
      </c>
    </row>
    <row r="64" spans="1:1" x14ac:dyDescent="0.25">
      <c r="A64" s="285">
        <v>46070</v>
      </c>
    </row>
    <row r="65" spans="1:1" x14ac:dyDescent="0.25">
      <c r="A65" s="285">
        <v>46115</v>
      </c>
    </row>
    <row r="66" spans="1:1" x14ac:dyDescent="0.25">
      <c r="A66" s="285">
        <v>46133</v>
      </c>
    </row>
    <row r="67" spans="1:1" x14ac:dyDescent="0.25">
      <c r="A67" s="285">
        <v>46143</v>
      </c>
    </row>
    <row r="68" spans="1:1" x14ac:dyDescent="0.25">
      <c r="A68" s="285">
        <v>46177</v>
      </c>
    </row>
    <row r="69" spans="1:1" x14ac:dyDescent="0.25">
      <c r="A69" s="285">
        <v>46272</v>
      </c>
    </row>
    <row r="70" spans="1:1" x14ac:dyDescent="0.25">
      <c r="A70" s="285">
        <v>46307</v>
      </c>
    </row>
    <row r="71" spans="1:1" x14ac:dyDescent="0.25">
      <c r="A71" s="285">
        <v>46328</v>
      </c>
    </row>
    <row r="72" spans="1:1" x14ac:dyDescent="0.25">
      <c r="A72" s="285">
        <v>46341</v>
      </c>
    </row>
    <row r="73" spans="1:1" x14ac:dyDescent="0.25">
      <c r="A73" s="285">
        <v>46381</v>
      </c>
    </row>
    <row r="74" spans="1:1" x14ac:dyDescent="0.25">
      <c r="A74" s="285">
        <v>46388</v>
      </c>
    </row>
    <row r="75" spans="1:1" x14ac:dyDescent="0.25">
      <c r="A75" s="285">
        <v>46426</v>
      </c>
    </row>
    <row r="76" spans="1:1" x14ac:dyDescent="0.25">
      <c r="A76" s="285">
        <v>46427</v>
      </c>
    </row>
    <row r="77" spans="1:1" x14ac:dyDescent="0.25">
      <c r="A77" s="285">
        <v>46472</v>
      </c>
    </row>
    <row r="78" spans="1:1" x14ac:dyDescent="0.25">
      <c r="A78" s="285">
        <v>46498</v>
      </c>
    </row>
    <row r="79" spans="1:1" x14ac:dyDescent="0.25">
      <c r="A79" s="285">
        <v>46508</v>
      </c>
    </row>
    <row r="80" spans="1:1" x14ac:dyDescent="0.25">
      <c r="A80" s="285">
        <v>46534</v>
      </c>
    </row>
    <row r="81" spans="1:1" x14ac:dyDescent="0.25">
      <c r="A81" s="285">
        <v>46637</v>
      </c>
    </row>
    <row r="82" spans="1:1" x14ac:dyDescent="0.25">
      <c r="A82" s="285">
        <v>46672</v>
      </c>
    </row>
    <row r="83" spans="1:1" x14ac:dyDescent="0.25">
      <c r="A83" s="285">
        <v>46693</v>
      </c>
    </row>
    <row r="84" spans="1:1" x14ac:dyDescent="0.25">
      <c r="A84" s="285">
        <v>46706</v>
      </c>
    </row>
    <row r="85" spans="1:1" x14ac:dyDescent="0.25">
      <c r="A85" s="285">
        <v>46746</v>
      </c>
    </row>
    <row r="86" spans="1:1" x14ac:dyDescent="0.25">
      <c r="A86" s="285">
        <v>46753</v>
      </c>
    </row>
    <row r="87" spans="1:1" x14ac:dyDescent="0.25">
      <c r="A87" s="285">
        <v>46811</v>
      </c>
    </row>
    <row r="88" spans="1:1" x14ac:dyDescent="0.25">
      <c r="A88" s="285">
        <v>46812</v>
      </c>
    </row>
    <row r="89" spans="1:1" x14ac:dyDescent="0.25">
      <c r="A89" s="285">
        <v>46857</v>
      </c>
    </row>
    <row r="90" spans="1:1" x14ac:dyDescent="0.25">
      <c r="A90" s="285">
        <v>46864</v>
      </c>
    </row>
    <row r="91" spans="1:1" x14ac:dyDescent="0.25">
      <c r="A91" s="285">
        <v>46874</v>
      </c>
    </row>
    <row r="92" spans="1:1" x14ac:dyDescent="0.25">
      <c r="A92" s="285">
        <v>46919</v>
      </c>
    </row>
    <row r="93" spans="1:1" x14ac:dyDescent="0.25">
      <c r="A93" s="285">
        <v>47003</v>
      </c>
    </row>
    <row r="94" spans="1:1" x14ac:dyDescent="0.25">
      <c r="A94" s="285">
        <v>47038</v>
      </c>
    </row>
    <row r="95" spans="1:1" x14ac:dyDescent="0.25">
      <c r="A95" s="285">
        <v>47059</v>
      </c>
    </row>
    <row r="96" spans="1:1" x14ac:dyDescent="0.25">
      <c r="A96" s="285">
        <v>47072</v>
      </c>
    </row>
    <row r="97" spans="1:1" x14ac:dyDescent="0.25">
      <c r="A97" s="285">
        <v>47112</v>
      </c>
    </row>
    <row r="98" spans="1:1" x14ac:dyDescent="0.25">
      <c r="A98" s="285">
        <v>47119</v>
      </c>
    </row>
    <row r="99" spans="1:1" x14ac:dyDescent="0.25">
      <c r="A99" s="285">
        <v>47161</v>
      </c>
    </row>
    <row r="100" spans="1:1" x14ac:dyDescent="0.25">
      <c r="A100" s="285">
        <v>47162</v>
      </c>
    </row>
    <row r="101" spans="1:1" x14ac:dyDescent="0.25">
      <c r="A101" s="285">
        <v>47207</v>
      </c>
    </row>
    <row r="102" spans="1:1" x14ac:dyDescent="0.25">
      <c r="A102" s="285">
        <v>47229</v>
      </c>
    </row>
    <row r="103" spans="1:1" x14ac:dyDescent="0.25">
      <c r="A103" s="285">
        <v>47239</v>
      </c>
    </row>
    <row r="104" spans="1:1" x14ac:dyDescent="0.25">
      <c r="A104" s="285">
        <v>47269</v>
      </c>
    </row>
    <row r="105" spans="1:1" x14ac:dyDescent="0.25">
      <c r="A105" s="285">
        <v>47368</v>
      </c>
    </row>
    <row r="106" spans="1:1" x14ac:dyDescent="0.25">
      <c r="A106" s="285">
        <v>47403</v>
      </c>
    </row>
    <row r="107" spans="1:1" x14ac:dyDescent="0.25">
      <c r="A107" s="285">
        <v>47424</v>
      </c>
    </row>
    <row r="108" spans="1:1" x14ac:dyDescent="0.25">
      <c r="A108" s="285">
        <v>47437</v>
      </c>
    </row>
    <row r="109" spans="1:1" x14ac:dyDescent="0.25">
      <c r="A109" s="285">
        <v>47477</v>
      </c>
    </row>
    <row r="110" spans="1:1" x14ac:dyDescent="0.25">
      <c r="A110" s="285">
        <v>10959</v>
      </c>
    </row>
    <row r="111" spans="1:1" x14ac:dyDescent="0.25">
      <c r="A111" s="285">
        <v>11021</v>
      </c>
    </row>
    <row r="112" spans="1:1" x14ac:dyDescent="0.25">
      <c r="A112" s="285">
        <v>11022</v>
      </c>
    </row>
    <row r="113" spans="1:1" x14ac:dyDescent="0.25">
      <c r="A113" s="285">
        <v>11067</v>
      </c>
    </row>
    <row r="114" spans="1:1" x14ac:dyDescent="0.25">
      <c r="A114" s="285">
        <v>11069</v>
      </c>
    </row>
    <row r="115" spans="1:1" x14ac:dyDescent="0.25">
      <c r="A115" s="285">
        <v>11079</v>
      </c>
    </row>
    <row r="116" spans="1:1" x14ac:dyDescent="0.25">
      <c r="A116" s="285">
        <v>11129</v>
      </c>
    </row>
    <row r="117" spans="1:1" x14ac:dyDescent="0.25">
      <c r="A117" s="285">
        <v>11208</v>
      </c>
    </row>
    <row r="118" spans="1:1" x14ac:dyDescent="0.25">
      <c r="A118" s="285">
        <v>11243</v>
      </c>
    </row>
    <row r="119" spans="1:1" x14ac:dyDescent="0.25">
      <c r="A119" s="285">
        <v>11264</v>
      </c>
    </row>
    <row r="120" spans="1:1" x14ac:dyDescent="0.25">
      <c r="A120" s="285">
        <v>11277</v>
      </c>
    </row>
    <row r="121" spans="1:1" x14ac:dyDescent="0.25">
      <c r="A121" s="285">
        <v>11317</v>
      </c>
    </row>
    <row r="122" spans="1:1" x14ac:dyDescent="0.25">
      <c r="A122" s="285">
        <v>11324</v>
      </c>
    </row>
    <row r="123" spans="1:1" x14ac:dyDescent="0.25">
      <c r="A123" s="285">
        <v>11378</v>
      </c>
    </row>
    <row r="124" spans="1:1" x14ac:dyDescent="0.25">
      <c r="A124" s="285">
        <v>11379</v>
      </c>
    </row>
    <row r="125" spans="1:1" x14ac:dyDescent="0.25">
      <c r="A125" s="285">
        <v>11424</v>
      </c>
    </row>
    <row r="126" spans="1:1" x14ac:dyDescent="0.25">
      <c r="A126" s="285">
        <v>11434</v>
      </c>
    </row>
    <row r="127" spans="1:1" x14ac:dyDescent="0.25">
      <c r="A127" s="285">
        <v>11444</v>
      </c>
    </row>
    <row r="128" spans="1:1" x14ac:dyDescent="0.25">
      <c r="A128" s="285">
        <v>11486</v>
      </c>
    </row>
    <row r="129" spans="1:1" x14ac:dyDescent="0.25">
      <c r="A129" s="285">
        <v>11573</v>
      </c>
    </row>
    <row r="130" spans="1:1" x14ac:dyDescent="0.25">
      <c r="A130" s="285">
        <v>11608</v>
      </c>
    </row>
    <row r="131" spans="1:1" x14ac:dyDescent="0.25">
      <c r="A131" s="285">
        <v>11629</v>
      </c>
    </row>
    <row r="132" spans="1:1" x14ac:dyDescent="0.25">
      <c r="A132" s="285">
        <v>11642</v>
      </c>
    </row>
    <row r="133" spans="1:1" x14ac:dyDescent="0.25">
      <c r="A133" s="285">
        <v>11682</v>
      </c>
    </row>
    <row r="134" spans="1:1" x14ac:dyDescent="0.25">
      <c r="A134" s="285">
        <v>11689</v>
      </c>
    </row>
    <row r="135" spans="1:1" x14ac:dyDescent="0.25">
      <c r="A135" s="285">
        <v>11728</v>
      </c>
    </row>
    <row r="136" spans="1:1" x14ac:dyDescent="0.25">
      <c r="A136" s="285">
        <v>11729</v>
      </c>
    </row>
    <row r="137" spans="1:1" x14ac:dyDescent="0.25">
      <c r="A137" s="285">
        <v>11774</v>
      </c>
    </row>
    <row r="138" spans="1:1" x14ac:dyDescent="0.25">
      <c r="A138" s="285">
        <v>11800</v>
      </c>
    </row>
    <row r="139" spans="1:1" x14ac:dyDescent="0.25">
      <c r="A139" s="285">
        <v>11836</v>
      </c>
    </row>
    <row r="140" spans="1:1" x14ac:dyDescent="0.25">
      <c r="A140" s="285">
        <v>11939</v>
      </c>
    </row>
    <row r="141" spans="1:1" x14ac:dyDescent="0.25">
      <c r="A141" s="285">
        <v>11974</v>
      </c>
    </row>
    <row r="142" spans="1:1" x14ac:dyDescent="0.25">
      <c r="A142" s="285">
        <v>11995</v>
      </c>
    </row>
    <row r="143" spans="1:1" x14ac:dyDescent="0.25">
      <c r="A143" s="285">
        <v>12008</v>
      </c>
    </row>
    <row r="144" spans="1:1" x14ac:dyDescent="0.25">
      <c r="A144" s="285">
        <v>12113</v>
      </c>
    </row>
    <row r="145" spans="1:1" x14ac:dyDescent="0.25">
      <c r="A145" s="285">
        <v>12114</v>
      </c>
    </row>
    <row r="146" spans="1:1" x14ac:dyDescent="0.25">
      <c r="A146" s="285">
        <v>12159</v>
      </c>
    </row>
    <row r="147" spans="1:1" x14ac:dyDescent="0.25">
      <c r="A147" s="285">
        <v>12165</v>
      </c>
    </row>
    <row r="148" spans="1:1" x14ac:dyDescent="0.25">
      <c r="A148" s="285">
        <v>12221</v>
      </c>
    </row>
    <row r="149" spans="1:1" x14ac:dyDescent="0.25">
      <c r="A149" s="285">
        <v>12304</v>
      </c>
    </row>
    <row r="150" spans="1:1" x14ac:dyDescent="0.25">
      <c r="A150" s="285">
        <v>12339</v>
      </c>
    </row>
    <row r="151" spans="1:1" x14ac:dyDescent="0.25">
      <c r="A151" s="285">
        <v>12360</v>
      </c>
    </row>
    <row r="152" spans="1:1" x14ac:dyDescent="0.25">
      <c r="A152" s="285">
        <v>12373</v>
      </c>
    </row>
    <row r="153" spans="1:1" x14ac:dyDescent="0.25">
      <c r="A153" s="285">
        <v>12470</v>
      </c>
    </row>
    <row r="154" spans="1:1" x14ac:dyDescent="0.25">
      <c r="A154" s="285">
        <v>12471</v>
      </c>
    </row>
    <row r="155" spans="1:1" x14ac:dyDescent="0.25">
      <c r="A155" s="285">
        <v>12516</v>
      </c>
    </row>
    <row r="156" spans="1:1" x14ac:dyDescent="0.25">
      <c r="A156" s="285">
        <v>12530</v>
      </c>
    </row>
    <row r="157" spans="1:1" x14ac:dyDescent="0.25">
      <c r="A157" s="285">
        <v>12540</v>
      </c>
    </row>
    <row r="158" spans="1:1" x14ac:dyDescent="0.25">
      <c r="A158" s="285">
        <v>12578</v>
      </c>
    </row>
    <row r="159" spans="1:1" x14ac:dyDescent="0.25">
      <c r="A159" s="285">
        <v>12669</v>
      </c>
    </row>
    <row r="160" spans="1:1" x14ac:dyDescent="0.25">
      <c r="A160" s="285">
        <v>12704</v>
      </c>
    </row>
    <row r="161" spans="1:1" x14ac:dyDescent="0.25">
      <c r="A161" s="285">
        <v>12725</v>
      </c>
    </row>
    <row r="162" spans="1:1" x14ac:dyDescent="0.25">
      <c r="A162" s="285">
        <v>12738</v>
      </c>
    </row>
    <row r="163" spans="1:1" x14ac:dyDescent="0.25">
      <c r="A163" s="285">
        <v>12778</v>
      </c>
    </row>
    <row r="164" spans="1:1" x14ac:dyDescent="0.25">
      <c r="A164" s="285">
        <v>12785</v>
      </c>
    </row>
    <row r="165" spans="1:1" x14ac:dyDescent="0.25">
      <c r="A165" s="285">
        <v>12820</v>
      </c>
    </row>
    <row r="166" spans="1:1" x14ac:dyDescent="0.25">
      <c r="A166" s="285">
        <v>12821</v>
      </c>
    </row>
    <row r="167" spans="1:1" x14ac:dyDescent="0.25">
      <c r="A167" s="285">
        <v>12866</v>
      </c>
    </row>
    <row r="168" spans="1:1" x14ac:dyDescent="0.25">
      <c r="A168" s="285">
        <v>12905</v>
      </c>
    </row>
    <row r="169" spans="1:1" x14ac:dyDescent="0.25">
      <c r="A169" s="285">
        <v>12928</v>
      </c>
    </row>
    <row r="170" spans="1:1" x14ac:dyDescent="0.25">
      <c r="A170" s="285">
        <v>13034</v>
      </c>
    </row>
    <row r="171" spans="1:1" x14ac:dyDescent="0.25">
      <c r="A171" s="285">
        <v>13069</v>
      </c>
    </row>
    <row r="172" spans="1:1" x14ac:dyDescent="0.25">
      <c r="A172" s="285">
        <v>13090</v>
      </c>
    </row>
    <row r="173" spans="1:1" x14ac:dyDescent="0.25">
      <c r="A173" s="285">
        <v>13103</v>
      </c>
    </row>
    <row r="174" spans="1:1" x14ac:dyDescent="0.25">
      <c r="A174" s="285">
        <v>13143</v>
      </c>
    </row>
    <row r="175" spans="1:1" x14ac:dyDescent="0.25">
      <c r="A175" s="285">
        <v>13150</v>
      </c>
    </row>
    <row r="176" spans="1:1" x14ac:dyDescent="0.25">
      <c r="A176" s="285">
        <v>13205</v>
      </c>
    </row>
    <row r="177" spans="1:1" x14ac:dyDescent="0.25">
      <c r="A177" s="285">
        <v>13206</v>
      </c>
    </row>
    <row r="178" spans="1:1" x14ac:dyDescent="0.25">
      <c r="A178" s="285">
        <v>13251</v>
      </c>
    </row>
    <row r="179" spans="1:1" x14ac:dyDescent="0.25">
      <c r="A179" s="285">
        <v>13261</v>
      </c>
    </row>
    <row r="180" spans="1:1" x14ac:dyDescent="0.25">
      <c r="A180" s="285">
        <v>13271</v>
      </c>
    </row>
    <row r="181" spans="1:1" x14ac:dyDescent="0.25">
      <c r="A181" s="285">
        <v>13313</v>
      </c>
    </row>
    <row r="182" spans="1:1" x14ac:dyDescent="0.25">
      <c r="A182" s="285">
        <v>13509</v>
      </c>
    </row>
    <row r="183" spans="1:1" x14ac:dyDescent="0.25">
      <c r="A183" s="285">
        <v>13516</v>
      </c>
    </row>
    <row r="184" spans="1:1" x14ac:dyDescent="0.25">
      <c r="A184" s="285">
        <v>13562</v>
      </c>
    </row>
    <row r="185" spans="1:1" x14ac:dyDescent="0.25">
      <c r="A185" s="285">
        <v>13563</v>
      </c>
    </row>
    <row r="186" spans="1:1" x14ac:dyDescent="0.25">
      <c r="A186" s="285">
        <v>13608</v>
      </c>
    </row>
    <row r="187" spans="1:1" x14ac:dyDescent="0.25">
      <c r="A187" s="285">
        <v>13626</v>
      </c>
    </row>
    <row r="188" spans="1:1" x14ac:dyDescent="0.25">
      <c r="A188" s="285">
        <v>13636</v>
      </c>
    </row>
    <row r="189" spans="1:1" x14ac:dyDescent="0.25">
      <c r="A189" s="285">
        <v>13670</v>
      </c>
    </row>
    <row r="190" spans="1:1" x14ac:dyDescent="0.25">
      <c r="A190" s="285">
        <v>13765</v>
      </c>
    </row>
    <row r="191" spans="1:1" x14ac:dyDescent="0.25">
      <c r="A191" s="285">
        <v>13800</v>
      </c>
    </row>
    <row r="192" spans="1:1" x14ac:dyDescent="0.25">
      <c r="A192" s="285">
        <v>13821</v>
      </c>
    </row>
    <row r="193" spans="1:1" x14ac:dyDescent="0.25">
      <c r="A193" s="285">
        <v>13874</v>
      </c>
    </row>
    <row r="194" spans="1:1" x14ac:dyDescent="0.25">
      <c r="A194" s="285">
        <v>13881</v>
      </c>
    </row>
    <row r="195" spans="1:1" x14ac:dyDescent="0.25">
      <c r="A195" s="285">
        <v>13947</v>
      </c>
    </row>
    <row r="196" spans="1:1" x14ac:dyDescent="0.25">
      <c r="A196" s="285">
        <v>13948</v>
      </c>
    </row>
    <row r="197" spans="1:1" x14ac:dyDescent="0.25">
      <c r="A197" s="285">
        <v>13991</v>
      </c>
    </row>
    <row r="198" spans="1:1" x14ac:dyDescent="0.25">
      <c r="A198" s="285">
        <v>13993</v>
      </c>
    </row>
    <row r="199" spans="1:1" x14ac:dyDescent="0.25">
      <c r="A199" s="285">
        <v>14055</v>
      </c>
    </row>
    <row r="200" spans="1:1" x14ac:dyDescent="0.25">
      <c r="A200" s="285">
        <v>14130</v>
      </c>
    </row>
    <row r="201" spans="1:1" x14ac:dyDescent="0.25">
      <c r="A201" s="285">
        <v>14165</v>
      </c>
    </row>
    <row r="202" spans="1:1" x14ac:dyDescent="0.25">
      <c r="A202" s="285">
        <v>14186</v>
      </c>
    </row>
    <row r="203" spans="1:1" x14ac:dyDescent="0.25">
      <c r="A203" s="285">
        <v>14199</v>
      </c>
    </row>
    <row r="204" spans="1:1" x14ac:dyDescent="0.25">
      <c r="A204" s="285">
        <v>14297</v>
      </c>
    </row>
    <row r="205" spans="1:1" x14ac:dyDescent="0.25">
      <c r="A205" s="285">
        <v>14298</v>
      </c>
    </row>
    <row r="206" spans="1:1" x14ac:dyDescent="0.25">
      <c r="A206" s="285">
        <v>14343</v>
      </c>
    </row>
    <row r="207" spans="1:1" x14ac:dyDescent="0.25">
      <c r="A207" s="285">
        <v>14356</v>
      </c>
    </row>
    <row r="208" spans="1:1" x14ac:dyDescent="0.25">
      <c r="A208" s="285">
        <v>14405</v>
      </c>
    </row>
    <row r="209" spans="1:1" x14ac:dyDescent="0.25">
      <c r="A209" s="285">
        <v>14495</v>
      </c>
    </row>
    <row r="210" spans="1:1" x14ac:dyDescent="0.25">
      <c r="A210" s="285">
        <v>14530</v>
      </c>
    </row>
    <row r="211" spans="1:1" x14ac:dyDescent="0.25">
      <c r="A211" s="285">
        <v>14551</v>
      </c>
    </row>
    <row r="212" spans="1:1" x14ac:dyDescent="0.25">
      <c r="A212" s="285">
        <v>14564</v>
      </c>
    </row>
    <row r="213" spans="1:1" x14ac:dyDescent="0.25">
      <c r="A213" s="285">
        <v>14654</v>
      </c>
    </row>
    <row r="214" spans="1:1" x14ac:dyDescent="0.25">
      <c r="A214" s="285">
        <v>14655</v>
      </c>
    </row>
    <row r="215" spans="1:1" x14ac:dyDescent="0.25">
      <c r="A215" s="285">
        <v>14700</v>
      </c>
    </row>
    <row r="216" spans="1:1" x14ac:dyDescent="0.25">
      <c r="A216" s="285">
        <v>14732</v>
      </c>
    </row>
    <row r="217" spans="1:1" x14ac:dyDescent="0.25">
      <c r="A217" s="285">
        <v>14762</v>
      </c>
    </row>
    <row r="218" spans="1:1" x14ac:dyDescent="0.25">
      <c r="A218" s="285">
        <v>14861</v>
      </c>
    </row>
    <row r="219" spans="1:1" x14ac:dyDescent="0.25">
      <c r="A219" s="285">
        <v>14896</v>
      </c>
    </row>
    <row r="220" spans="1:1" x14ac:dyDescent="0.25">
      <c r="A220" s="285">
        <v>14917</v>
      </c>
    </row>
    <row r="221" spans="1:1" x14ac:dyDescent="0.25">
      <c r="A221" s="285">
        <v>14930</v>
      </c>
    </row>
    <row r="222" spans="1:1" x14ac:dyDescent="0.25">
      <c r="A222" s="285">
        <v>14970</v>
      </c>
    </row>
    <row r="223" spans="1:1" x14ac:dyDescent="0.25">
      <c r="A223" s="285">
        <v>14977</v>
      </c>
    </row>
    <row r="224" spans="1:1" x14ac:dyDescent="0.25">
      <c r="A224" s="285">
        <v>15039</v>
      </c>
    </row>
    <row r="225" spans="1:1" x14ac:dyDescent="0.25">
      <c r="A225" s="285">
        <v>15040</v>
      </c>
    </row>
    <row r="226" spans="1:1" x14ac:dyDescent="0.25">
      <c r="A226" s="285">
        <v>15085</v>
      </c>
    </row>
    <row r="227" spans="1:1" x14ac:dyDescent="0.25">
      <c r="A227" s="285">
        <v>15097</v>
      </c>
    </row>
    <row r="228" spans="1:1" x14ac:dyDescent="0.25">
      <c r="A228" s="285">
        <v>15147</v>
      </c>
    </row>
    <row r="229" spans="1:1" x14ac:dyDescent="0.25">
      <c r="A229" s="285">
        <v>15295</v>
      </c>
    </row>
    <row r="230" spans="1:1" x14ac:dyDescent="0.25">
      <c r="A230" s="285">
        <v>15335</v>
      </c>
    </row>
    <row r="231" spans="1:1" x14ac:dyDescent="0.25">
      <c r="A231" s="285">
        <v>15342</v>
      </c>
    </row>
    <row r="232" spans="1:1" x14ac:dyDescent="0.25">
      <c r="A232" s="285">
        <v>15389</v>
      </c>
    </row>
    <row r="233" spans="1:1" x14ac:dyDescent="0.25">
      <c r="A233" s="285">
        <v>15390</v>
      </c>
    </row>
    <row r="234" spans="1:1" x14ac:dyDescent="0.25">
      <c r="A234" s="285">
        <v>15435</v>
      </c>
    </row>
    <row r="235" spans="1:1" x14ac:dyDescent="0.25">
      <c r="A235" s="285">
        <v>15452</v>
      </c>
    </row>
    <row r="236" spans="1:1" x14ac:dyDescent="0.25">
      <c r="A236" s="285">
        <v>15462</v>
      </c>
    </row>
    <row r="237" spans="1:1" x14ac:dyDescent="0.25">
      <c r="A237" s="285">
        <v>15497</v>
      </c>
    </row>
    <row r="238" spans="1:1" x14ac:dyDescent="0.25">
      <c r="A238" s="285">
        <v>15700</v>
      </c>
    </row>
    <row r="239" spans="1:1" x14ac:dyDescent="0.25">
      <c r="A239" s="285">
        <v>15707</v>
      </c>
    </row>
    <row r="240" spans="1:1" x14ac:dyDescent="0.25">
      <c r="A240" s="285">
        <v>15746</v>
      </c>
    </row>
    <row r="241" spans="1:1" x14ac:dyDescent="0.25">
      <c r="A241" s="285">
        <v>15747</v>
      </c>
    </row>
    <row r="242" spans="1:1" x14ac:dyDescent="0.25">
      <c r="A242" s="285">
        <v>15792</v>
      </c>
    </row>
    <row r="243" spans="1:1" x14ac:dyDescent="0.25">
      <c r="A243" s="285">
        <v>15817</v>
      </c>
    </row>
    <row r="244" spans="1:1" x14ac:dyDescent="0.25">
      <c r="A244" s="285">
        <v>15827</v>
      </c>
    </row>
    <row r="245" spans="1:1" x14ac:dyDescent="0.25">
      <c r="A245" s="285">
        <v>15854</v>
      </c>
    </row>
    <row r="246" spans="1:1" x14ac:dyDescent="0.25">
      <c r="A246" s="285">
        <v>15956</v>
      </c>
    </row>
    <row r="247" spans="1:1" x14ac:dyDescent="0.25">
      <c r="A247" s="285">
        <v>15991</v>
      </c>
    </row>
    <row r="248" spans="1:1" x14ac:dyDescent="0.25">
      <c r="A248" s="285">
        <v>16012</v>
      </c>
    </row>
    <row r="249" spans="1:1" x14ac:dyDescent="0.25">
      <c r="A249" s="285">
        <v>16065</v>
      </c>
    </row>
    <row r="250" spans="1:1" x14ac:dyDescent="0.25">
      <c r="A250" s="285">
        <v>16072</v>
      </c>
    </row>
    <row r="251" spans="1:1" x14ac:dyDescent="0.25">
      <c r="A251" s="285">
        <v>16131</v>
      </c>
    </row>
    <row r="252" spans="1:1" x14ac:dyDescent="0.25">
      <c r="A252" s="285">
        <v>16132</v>
      </c>
    </row>
    <row r="253" spans="1:1" x14ac:dyDescent="0.25">
      <c r="A253" s="285">
        <v>16177</v>
      </c>
    </row>
    <row r="254" spans="1:1" x14ac:dyDescent="0.25">
      <c r="A254" s="285">
        <v>16183</v>
      </c>
    </row>
    <row r="255" spans="1:1" x14ac:dyDescent="0.25">
      <c r="A255" s="285">
        <v>16239</v>
      </c>
    </row>
    <row r="256" spans="1:1" x14ac:dyDescent="0.25">
      <c r="A256" s="285">
        <v>16322</v>
      </c>
    </row>
    <row r="257" spans="1:1" x14ac:dyDescent="0.25">
      <c r="A257" s="285">
        <v>16357</v>
      </c>
    </row>
    <row r="258" spans="1:1" x14ac:dyDescent="0.25">
      <c r="A258" s="285">
        <v>16378</v>
      </c>
    </row>
    <row r="259" spans="1:1" x14ac:dyDescent="0.25">
      <c r="A259" s="285">
        <v>16391</v>
      </c>
    </row>
    <row r="260" spans="1:1" x14ac:dyDescent="0.25">
      <c r="A260" s="285">
        <v>16488</v>
      </c>
    </row>
    <row r="261" spans="1:1" x14ac:dyDescent="0.25">
      <c r="A261" s="285">
        <v>16489</v>
      </c>
    </row>
    <row r="262" spans="1:1" x14ac:dyDescent="0.25">
      <c r="A262" s="285">
        <v>16534</v>
      </c>
    </row>
    <row r="263" spans="1:1" x14ac:dyDescent="0.25">
      <c r="A263" s="285">
        <v>16548</v>
      </c>
    </row>
    <row r="264" spans="1:1" x14ac:dyDescent="0.25">
      <c r="A264" s="285">
        <v>16558</v>
      </c>
    </row>
    <row r="265" spans="1:1" x14ac:dyDescent="0.25">
      <c r="A265" s="285">
        <v>16596</v>
      </c>
    </row>
    <row r="266" spans="1:1" x14ac:dyDescent="0.25">
      <c r="A266" s="285">
        <v>16687</v>
      </c>
    </row>
    <row r="267" spans="1:1" x14ac:dyDescent="0.25">
      <c r="A267" s="285">
        <v>16722</v>
      </c>
    </row>
    <row r="268" spans="1:1" x14ac:dyDescent="0.25">
      <c r="A268" s="285">
        <v>16743</v>
      </c>
    </row>
    <row r="269" spans="1:1" x14ac:dyDescent="0.25">
      <c r="A269" s="285">
        <v>16756</v>
      </c>
    </row>
    <row r="270" spans="1:1" x14ac:dyDescent="0.25">
      <c r="A270" s="285">
        <v>16796</v>
      </c>
    </row>
    <row r="271" spans="1:1" x14ac:dyDescent="0.25">
      <c r="A271" s="285">
        <v>16803</v>
      </c>
    </row>
    <row r="272" spans="1:1" x14ac:dyDescent="0.25">
      <c r="A272" s="285">
        <v>16838</v>
      </c>
    </row>
    <row r="273" spans="1:1" x14ac:dyDescent="0.25">
      <c r="A273" s="285">
        <v>16839</v>
      </c>
    </row>
    <row r="274" spans="1:1" x14ac:dyDescent="0.25">
      <c r="A274" s="285">
        <v>16884</v>
      </c>
    </row>
    <row r="275" spans="1:1" x14ac:dyDescent="0.25">
      <c r="A275" s="285">
        <v>16923</v>
      </c>
    </row>
    <row r="276" spans="1:1" x14ac:dyDescent="0.25">
      <c r="A276" s="285">
        <v>16946</v>
      </c>
    </row>
    <row r="277" spans="1:1" x14ac:dyDescent="0.25">
      <c r="A277" s="285">
        <v>17052</v>
      </c>
    </row>
    <row r="278" spans="1:1" x14ac:dyDescent="0.25">
      <c r="A278" s="285">
        <v>17087</v>
      </c>
    </row>
    <row r="279" spans="1:1" x14ac:dyDescent="0.25">
      <c r="A279" s="285">
        <v>17108</v>
      </c>
    </row>
    <row r="280" spans="1:1" x14ac:dyDescent="0.25">
      <c r="A280" s="285">
        <v>17121</v>
      </c>
    </row>
    <row r="281" spans="1:1" x14ac:dyDescent="0.25">
      <c r="A281" s="285">
        <v>17161</v>
      </c>
    </row>
    <row r="282" spans="1:1" x14ac:dyDescent="0.25">
      <c r="A282" s="285">
        <v>17168</v>
      </c>
    </row>
    <row r="283" spans="1:1" x14ac:dyDescent="0.25">
      <c r="A283" s="285">
        <v>17223</v>
      </c>
    </row>
    <row r="284" spans="1:1" x14ac:dyDescent="0.25">
      <c r="A284" s="285">
        <v>17224</v>
      </c>
    </row>
    <row r="285" spans="1:1" x14ac:dyDescent="0.25">
      <c r="A285" s="285">
        <v>17269</v>
      </c>
    </row>
    <row r="286" spans="1:1" x14ac:dyDescent="0.25">
      <c r="A286" s="285">
        <v>17288</v>
      </c>
    </row>
    <row r="287" spans="1:1" x14ac:dyDescent="0.25">
      <c r="A287" s="285">
        <v>17331</v>
      </c>
    </row>
    <row r="288" spans="1:1" x14ac:dyDescent="0.25">
      <c r="A288" s="285">
        <v>17486</v>
      </c>
    </row>
    <row r="289" spans="1:1" x14ac:dyDescent="0.25">
      <c r="A289" s="285">
        <v>17526</v>
      </c>
    </row>
    <row r="290" spans="1:1" x14ac:dyDescent="0.25">
      <c r="A290" s="285">
        <v>17533</v>
      </c>
    </row>
    <row r="291" spans="1:1" x14ac:dyDescent="0.25">
      <c r="A291" s="285">
        <v>17580</v>
      </c>
    </row>
    <row r="292" spans="1:1" x14ac:dyDescent="0.25">
      <c r="A292" s="285">
        <v>17581</v>
      </c>
    </row>
    <row r="293" spans="1:1" x14ac:dyDescent="0.25">
      <c r="A293" s="285">
        <v>17626</v>
      </c>
    </row>
    <row r="294" spans="1:1" x14ac:dyDescent="0.25">
      <c r="A294" s="285">
        <v>17644</v>
      </c>
    </row>
    <row r="295" spans="1:1" x14ac:dyDescent="0.25">
      <c r="A295" s="285">
        <v>17654</v>
      </c>
    </row>
    <row r="296" spans="1:1" x14ac:dyDescent="0.25">
      <c r="A296" s="285">
        <v>17688</v>
      </c>
    </row>
    <row r="297" spans="1:1" x14ac:dyDescent="0.25">
      <c r="A297" s="285">
        <v>17783</v>
      </c>
    </row>
    <row r="298" spans="1:1" x14ac:dyDescent="0.25">
      <c r="A298" s="285">
        <v>17818</v>
      </c>
    </row>
    <row r="299" spans="1:1" x14ac:dyDescent="0.25">
      <c r="A299" s="285">
        <v>17839</v>
      </c>
    </row>
    <row r="300" spans="1:1" x14ac:dyDescent="0.25">
      <c r="A300" s="285">
        <v>17892</v>
      </c>
    </row>
    <row r="301" spans="1:1" x14ac:dyDescent="0.25">
      <c r="A301" s="285">
        <v>17899</v>
      </c>
    </row>
    <row r="302" spans="1:1" x14ac:dyDescent="0.25">
      <c r="A302" s="285">
        <v>17958</v>
      </c>
    </row>
    <row r="303" spans="1:1" x14ac:dyDescent="0.25">
      <c r="A303" s="285">
        <v>17959</v>
      </c>
    </row>
    <row r="304" spans="1:1" x14ac:dyDescent="0.25">
      <c r="A304" s="285">
        <v>18004</v>
      </c>
    </row>
    <row r="305" spans="1:1" x14ac:dyDescent="0.25">
      <c r="A305" s="285">
        <v>18009</v>
      </c>
    </row>
    <row r="306" spans="1:1" x14ac:dyDescent="0.25">
      <c r="A306" s="285">
        <v>18066</v>
      </c>
    </row>
    <row r="307" spans="1:1" x14ac:dyDescent="0.25">
      <c r="A307" s="285">
        <v>18148</v>
      </c>
    </row>
    <row r="308" spans="1:1" x14ac:dyDescent="0.25">
      <c r="A308" s="285">
        <v>18183</v>
      </c>
    </row>
    <row r="309" spans="1:1" x14ac:dyDescent="0.25">
      <c r="A309" s="285">
        <v>18204</v>
      </c>
    </row>
    <row r="310" spans="1:1" x14ac:dyDescent="0.25">
      <c r="A310" s="285">
        <v>18217</v>
      </c>
    </row>
    <row r="311" spans="1:1" x14ac:dyDescent="0.25">
      <c r="A311" s="285">
        <v>18315</v>
      </c>
    </row>
    <row r="312" spans="1:1" x14ac:dyDescent="0.25">
      <c r="A312" s="285">
        <v>18316</v>
      </c>
    </row>
    <row r="313" spans="1:1" x14ac:dyDescent="0.25">
      <c r="A313" s="285">
        <v>18361</v>
      </c>
    </row>
    <row r="314" spans="1:1" x14ac:dyDescent="0.25">
      <c r="A314" s="285">
        <v>18374</v>
      </c>
    </row>
    <row r="315" spans="1:1" x14ac:dyDescent="0.25">
      <c r="A315" s="285">
        <v>18423</v>
      </c>
    </row>
    <row r="316" spans="1:1" x14ac:dyDescent="0.25">
      <c r="A316" s="285">
        <v>18513</v>
      </c>
    </row>
    <row r="317" spans="1:1" x14ac:dyDescent="0.25">
      <c r="A317" s="285">
        <v>18548</v>
      </c>
    </row>
    <row r="318" spans="1:1" x14ac:dyDescent="0.25">
      <c r="A318" s="285">
        <v>18569</v>
      </c>
    </row>
    <row r="319" spans="1:1" x14ac:dyDescent="0.25">
      <c r="A319" s="285">
        <v>18582</v>
      </c>
    </row>
    <row r="320" spans="1:1" x14ac:dyDescent="0.25">
      <c r="A320" s="285">
        <v>18672</v>
      </c>
    </row>
    <row r="321" spans="1:1" x14ac:dyDescent="0.25">
      <c r="A321" s="285">
        <v>18673</v>
      </c>
    </row>
    <row r="322" spans="1:1" x14ac:dyDescent="0.25">
      <c r="A322" s="285">
        <v>18718</v>
      </c>
    </row>
    <row r="323" spans="1:1" x14ac:dyDescent="0.25">
      <c r="A323" s="285">
        <v>18739</v>
      </c>
    </row>
    <row r="324" spans="1:1" x14ac:dyDescent="0.25">
      <c r="A324" s="285">
        <v>18749</v>
      </c>
    </row>
    <row r="325" spans="1:1" x14ac:dyDescent="0.25">
      <c r="A325" s="285">
        <v>18780</v>
      </c>
    </row>
    <row r="326" spans="1:1" x14ac:dyDescent="0.25">
      <c r="A326" s="285">
        <v>18878</v>
      </c>
    </row>
    <row r="327" spans="1:1" x14ac:dyDescent="0.25">
      <c r="A327" s="285">
        <v>18913</v>
      </c>
    </row>
    <row r="328" spans="1:1" x14ac:dyDescent="0.25">
      <c r="A328" s="285">
        <v>18934</v>
      </c>
    </row>
    <row r="329" spans="1:1" x14ac:dyDescent="0.25">
      <c r="A329" s="285">
        <v>18947</v>
      </c>
    </row>
    <row r="330" spans="1:1" x14ac:dyDescent="0.25">
      <c r="A330" s="285">
        <v>18987</v>
      </c>
    </row>
    <row r="331" spans="1:1" x14ac:dyDescent="0.25">
      <c r="A331" s="285">
        <v>18994</v>
      </c>
    </row>
    <row r="332" spans="1:1" x14ac:dyDescent="0.25">
      <c r="A332" s="285">
        <v>19057</v>
      </c>
    </row>
    <row r="333" spans="1:1" x14ac:dyDescent="0.25">
      <c r="A333" s="285">
        <v>19058</v>
      </c>
    </row>
    <row r="334" spans="1:1" x14ac:dyDescent="0.25">
      <c r="A334" s="285">
        <v>19103</v>
      </c>
    </row>
    <row r="335" spans="1:1" x14ac:dyDescent="0.25">
      <c r="A335" s="285">
        <v>19115</v>
      </c>
    </row>
    <row r="336" spans="1:1" x14ac:dyDescent="0.25">
      <c r="A336" s="285">
        <v>19165</v>
      </c>
    </row>
    <row r="337" spans="1:1" x14ac:dyDescent="0.25">
      <c r="A337" s="285">
        <v>19313</v>
      </c>
    </row>
    <row r="338" spans="1:1" x14ac:dyDescent="0.25">
      <c r="A338" s="285">
        <v>19353</v>
      </c>
    </row>
    <row r="339" spans="1:1" x14ac:dyDescent="0.25">
      <c r="A339" s="285">
        <v>19360</v>
      </c>
    </row>
    <row r="340" spans="1:1" x14ac:dyDescent="0.25">
      <c r="A340" s="285">
        <v>19407</v>
      </c>
    </row>
    <row r="341" spans="1:1" x14ac:dyDescent="0.25">
      <c r="A341" s="285">
        <v>19408</v>
      </c>
    </row>
    <row r="342" spans="1:1" x14ac:dyDescent="0.25">
      <c r="A342" s="285">
        <v>19453</v>
      </c>
    </row>
    <row r="343" spans="1:1" x14ac:dyDescent="0.25">
      <c r="A343" s="285">
        <v>19470</v>
      </c>
    </row>
    <row r="344" spans="1:1" x14ac:dyDescent="0.25">
      <c r="A344" s="285">
        <v>19480</v>
      </c>
    </row>
    <row r="345" spans="1:1" x14ac:dyDescent="0.25">
      <c r="A345" s="285">
        <v>19515</v>
      </c>
    </row>
    <row r="346" spans="1:1" x14ac:dyDescent="0.25">
      <c r="A346" s="285">
        <v>19718</v>
      </c>
    </row>
    <row r="347" spans="1:1" x14ac:dyDescent="0.25">
      <c r="A347" s="285">
        <v>19725</v>
      </c>
    </row>
    <row r="348" spans="1:1" x14ac:dyDescent="0.25">
      <c r="A348" s="285">
        <v>19764</v>
      </c>
    </row>
    <row r="349" spans="1:1" x14ac:dyDescent="0.25">
      <c r="A349" s="285">
        <v>19765</v>
      </c>
    </row>
    <row r="350" spans="1:1" x14ac:dyDescent="0.25">
      <c r="A350" s="285">
        <v>19810</v>
      </c>
    </row>
    <row r="351" spans="1:1" x14ac:dyDescent="0.25">
      <c r="A351" s="285">
        <v>19835</v>
      </c>
    </row>
    <row r="352" spans="1:1" x14ac:dyDescent="0.25">
      <c r="A352" s="285">
        <v>19845</v>
      </c>
    </row>
    <row r="353" spans="1:1" x14ac:dyDescent="0.25">
      <c r="A353" s="285">
        <v>19872</v>
      </c>
    </row>
    <row r="354" spans="1:1" x14ac:dyDescent="0.25">
      <c r="A354" s="285">
        <v>19974</v>
      </c>
    </row>
    <row r="355" spans="1:1" x14ac:dyDescent="0.25">
      <c r="A355" s="285">
        <v>20009</v>
      </c>
    </row>
    <row r="356" spans="1:1" x14ac:dyDescent="0.25">
      <c r="A356" s="285">
        <v>20030</v>
      </c>
    </row>
    <row r="357" spans="1:1" x14ac:dyDescent="0.25">
      <c r="A357" s="285">
        <v>20083</v>
      </c>
    </row>
    <row r="358" spans="1:1" x14ac:dyDescent="0.25">
      <c r="A358" s="285">
        <v>20090</v>
      </c>
    </row>
    <row r="359" spans="1:1" x14ac:dyDescent="0.25">
      <c r="A359" s="285">
        <v>20149</v>
      </c>
    </row>
    <row r="360" spans="1:1" x14ac:dyDescent="0.25">
      <c r="A360" s="285">
        <v>20150</v>
      </c>
    </row>
    <row r="361" spans="1:1" x14ac:dyDescent="0.25">
      <c r="A361" s="285">
        <v>20195</v>
      </c>
    </row>
    <row r="362" spans="1:1" x14ac:dyDescent="0.25">
      <c r="A362" s="285">
        <v>20200</v>
      </c>
    </row>
    <row r="363" spans="1:1" x14ac:dyDescent="0.25">
      <c r="A363" s="285">
        <v>20257</v>
      </c>
    </row>
    <row r="364" spans="1:1" x14ac:dyDescent="0.25">
      <c r="A364" s="285">
        <v>20339</v>
      </c>
    </row>
    <row r="365" spans="1:1" x14ac:dyDescent="0.25">
      <c r="A365" s="285">
        <v>20374</v>
      </c>
    </row>
    <row r="366" spans="1:1" x14ac:dyDescent="0.25">
      <c r="A366" s="285">
        <v>20395</v>
      </c>
    </row>
    <row r="367" spans="1:1" x14ac:dyDescent="0.25">
      <c r="A367" s="285">
        <v>20408</v>
      </c>
    </row>
    <row r="368" spans="1:1" x14ac:dyDescent="0.25">
      <c r="A368" s="285">
        <v>20499</v>
      </c>
    </row>
    <row r="369" spans="1:1" x14ac:dyDescent="0.25">
      <c r="A369" s="285">
        <v>20500</v>
      </c>
    </row>
    <row r="370" spans="1:1" x14ac:dyDescent="0.25">
      <c r="A370" s="285">
        <v>20545</v>
      </c>
    </row>
    <row r="371" spans="1:1" x14ac:dyDescent="0.25">
      <c r="A371" s="285">
        <v>20566</v>
      </c>
    </row>
    <row r="372" spans="1:1" x14ac:dyDescent="0.25">
      <c r="A372" s="285">
        <v>20576</v>
      </c>
    </row>
    <row r="373" spans="1:1" x14ac:dyDescent="0.25">
      <c r="A373" s="285">
        <v>20607</v>
      </c>
    </row>
    <row r="374" spans="1:1" x14ac:dyDescent="0.25">
      <c r="A374" s="285">
        <v>20705</v>
      </c>
    </row>
    <row r="375" spans="1:1" x14ac:dyDescent="0.25">
      <c r="A375" s="285">
        <v>20740</v>
      </c>
    </row>
    <row r="376" spans="1:1" x14ac:dyDescent="0.25">
      <c r="A376" s="285">
        <v>20761</v>
      </c>
    </row>
    <row r="377" spans="1:1" x14ac:dyDescent="0.25">
      <c r="A377" s="285">
        <v>20774</v>
      </c>
    </row>
    <row r="378" spans="1:1" x14ac:dyDescent="0.25">
      <c r="A378" s="285">
        <v>20814</v>
      </c>
    </row>
    <row r="379" spans="1:1" x14ac:dyDescent="0.25">
      <c r="A379" s="285">
        <v>20821</v>
      </c>
    </row>
    <row r="380" spans="1:1" x14ac:dyDescent="0.25">
      <c r="A380" s="285">
        <v>20884</v>
      </c>
    </row>
    <row r="381" spans="1:1" x14ac:dyDescent="0.25">
      <c r="A381" s="285">
        <v>20885</v>
      </c>
    </row>
    <row r="382" spans="1:1" x14ac:dyDescent="0.25">
      <c r="A382" s="285">
        <v>20930</v>
      </c>
    </row>
    <row r="383" spans="1:1" x14ac:dyDescent="0.25">
      <c r="A383" s="285">
        <v>20941</v>
      </c>
    </row>
    <row r="384" spans="1:1" x14ac:dyDescent="0.25">
      <c r="A384" s="285">
        <v>20992</v>
      </c>
    </row>
    <row r="385" spans="1:1" x14ac:dyDescent="0.25">
      <c r="A385" s="285">
        <v>21070</v>
      </c>
    </row>
    <row r="386" spans="1:1" x14ac:dyDescent="0.25">
      <c r="A386" s="285">
        <v>21105</v>
      </c>
    </row>
    <row r="387" spans="1:1" x14ac:dyDescent="0.25">
      <c r="A387" s="285">
        <v>21126</v>
      </c>
    </row>
    <row r="388" spans="1:1" x14ac:dyDescent="0.25">
      <c r="A388" s="285">
        <v>21139</v>
      </c>
    </row>
    <row r="389" spans="1:1" x14ac:dyDescent="0.25">
      <c r="A389" s="285">
        <v>21179</v>
      </c>
    </row>
    <row r="390" spans="1:1" x14ac:dyDescent="0.25">
      <c r="A390" s="285">
        <v>21186</v>
      </c>
    </row>
    <row r="391" spans="1:1" x14ac:dyDescent="0.25">
      <c r="A391" s="285">
        <v>21241</v>
      </c>
    </row>
    <row r="392" spans="1:1" x14ac:dyDescent="0.25">
      <c r="A392" s="285">
        <v>21242</v>
      </c>
    </row>
    <row r="393" spans="1:1" x14ac:dyDescent="0.25">
      <c r="A393" s="285">
        <v>21287</v>
      </c>
    </row>
    <row r="394" spans="1:1" x14ac:dyDescent="0.25">
      <c r="A394" s="285">
        <v>21306</v>
      </c>
    </row>
    <row r="395" spans="1:1" x14ac:dyDescent="0.25">
      <c r="A395" s="285">
        <v>21349</v>
      </c>
    </row>
    <row r="396" spans="1:1" x14ac:dyDescent="0.25">
      <c r="A396" s="285">
        <v>21504</v>
      </c>
    </row>
    <row r="397" spans="1:1" x14ac:dyDescent="0.25">
      <c r="A397" s="285">
        <v>21544</v>
      </c>
    </row>
    <row r="398" spans="1:1" x14ac:dyDescent="0.25">
      <c r="A398" s="285">
        <v>21551</v>
      </c>
    </row>
    <row r="399" spans="1:1" x14ac:dyDescent="0.25">
      <c r="A399" s="285">
        <v>21591</v>
      </c>
    </row>
    <row r="400" spans="1:1" x14ac:dyDescent="0.25">
      <c r="A400" s="285">
        <v>21592</v>
      </c>
    </row>
    <row r="401" spans="1:1" x14ac:dyDescent="0.25">
      <c r="A401" s="285">
        <v>21637</v>
      </c>
    </row>
    <row r="402" spans="1:1" x14ac:dyDescent="0.25">
      <c r="A402" s="285">
        <v>21661</v>
      </c>
    </row>
    <row r="403" spans="1:1" x14ac:dyDescent="0.25">
      <c r="A403" s="285">
        <v>21671</v>
      </c>
    </row>
    <row r="404" spans="1:1" x14ac:dyDescent="0.25">
      <c r="A404" s="285">
        <v>21699</v>
      </c>
    </row>
    <row r="405" spans="1:1" x14ac:dyDescent="0.25">
      <c r="A405" s="285">
        <v>21909</v>
      </c>
    </row>
    <row r="406" spans="1:1" x14ac:dyDescent="0.25">
      <c r="A406" s="285">
        <v>21916</v>
      </c>
    </row>
    <row r="407" spans="1:1" x14ac:dyDescent="0.25">
      <c r="A407" s="285">
        <v>21976</v>
      </c>
    </row>
    <row r="408" spans="1:1" x14ac:dyDescent="0.25">
      <c r="A408" s="285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2025-02-28T18:41:52Z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