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\Documents\Cours\Réseaux électrique\"/>
    </mc:Choice>
  </mc:AlternateContent>
  <xr:revisionPtr revIDLastSave="0" documentId="13_ncr:1_{63799701-3C2C-4AC8-B8CD-E4C88B6FFCC3}" xr6:coauthVersionLast="36" xr6:coauthVersionMax="45" xr10:uidLastSave="{00000000-0000-0000-0000-000000000000}"/>
  <bookViews>
    <workbookView xWindow="-120" yWindow="-120" windowWidth="29040" windowHeight="15840" xr2:uid="{BA63CD5F-C4A5-4F98-84EE-3FCBBF018CCF}"/>
  </bookViews>
  <sheets>
    <sheet name="Calcul" sheetId="1" r:id="rId1"/>
    <sheet name="Donné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5" i="1"/>
  <c r="N24" i="1"/>
  <c r="N23" i="1"/>
  <c r="N22" i="1"/>
  <c r="N21" i="1"/>
  <c r="C22" i="1"/>
  <c r="P22" i="1" l="1"/>
  <c r="G21" i="1"/>
  <c r="G4" i="1"/>
  <c r="B31" i="1"/>
  <c r="C31" i="1" s="1"/>
  <c r="V14" i="1"/>
  <c r="V15" i="1"/>
  <c r="B32" i="1" s="1"/>
  <c r="C32" i="1" s="1"/>
  <c r="V13" i="1"/>
  <c r="B30" i="1" s="1"/>
  <c r="M32" i="1"/>
  <c r="M31" i="1"/>
  <c r="M30" i="1"/>
  <c r="M29" i="1"/>
  <c r="M28" i="1"/>
  <c r="M27" i="1"/>
  <c r="M22" i="1"/>
  <c r="M23" i="1"/>
  <c r="M24" i="1"/>
  <c r="M25" i="1"/>
  <c r="M21" i="1"/>
  <c r="C30" i="1" l="1"/>
  <c r="P30" i="1"/>
  <c r="P31" i="1"/>
  <c r="P32" i="1"/>
  <c r="W14" i="1"/>
  <c r="W15" i="1"/>
  <c r="S15" i="1" s="1"/>
  <c r="Q15" i="1" s="1"/>
  <c r="W13" i="1"/>
  <c r="W5" i="1"/>
  <c r="B23" i="1"/>
  <c r="B24" i="1"/>
  <c r="B25" i="1"/>
  <c r="W8" i="1" s="1"/>
  <c r="S8" i="1" s="1"/>
  <c r="Q8" i="1" s="1"/>
  <c r="B27" i="1"/>
  <c r="B28" i="1"/>
  <c r="B29" i="1"/>
  <c r="B21" i="1"/>
  <c r="G29" i="1"/>
  <c r="W4" i="1" l="1"/>
  <c r="S4" i="1" s="1"/>
  <c r="Q4" i="1" s="1"/>
  <c r="C21" i="1"/>
  <c r="P21" i="1"/>
  <c r="C25" i="1"/>
  <c r="P25" i="1"/>
  <c r="W10" i="1"/>
  <c r="S10" i="1" s="1"/>
  <c r="Q10" i="1" s="1"/>
  <c r="C27" i="1"/>
  <c r="P27" i="1"/>
  <c r="W12" i="1"/>
  <c r="S12" i="1" s="1"/>
  <c r="Q12" i="1" s="1"/>
  <c r="C29" i="1"/>
  <c r="E29" i="1" s="1"/>
  <c r="P29" i="1"/>
  <c r="W7" i="1"/>
  <c r="S7" i="1" s="1"/>
  <c r="Q7" i="1" s="1"/>
  <c r="C24" i="1"/>
  <c r="E24" i="1" s="1"/>
  <c r="P24" i="1"/>
  <c r="W11" i="1"/>
  <c r="S11" i="1" s="1"/>
  <c r="Q11" i="1" s="1"/>
  <c r="C28" i="1"/>
  <c r="E28" i="1" s="1"/>
  <c r="P28" i="1"/>
  <c r="C23" i="1"/>
  <c r="E23" i="1" s="1"/>
  <c r="W6" i="1"/>
  <c r="S6" i="1" s="1"/>
  <c r="Q6" i="1" s="1"/>
  <c r="P23" i="1"/>
  <c r="S14" i="1"/>
  <c r="Q14" i="1" s="1"/>
  <c r="S13" i="1"/>
  <c r="Q13" i="1" s="1"/>
  <c r="D21" i="1"/>
  <c r="E30" i="1"/>
  <c r="E31" i="1"/>
  <c r="E32" i="1"/>
  <c r="D22" i="1"/>
  <c r="E22" i="1" s="1"/>
  <c r="D23" i="1"/>
  <c r="D24" i="1"/>
  <c r="D25" i="1"/>
  <c r="D27" i="1"/>
  <c r="E27" i="1" s="1"/>
  <c r="D28" i="1"/>
  <c r="D29" i="1"/>
  <c r="D30" i="1"/>
  <c r="D31" i="1"/>
  <c r="D32" i="1"/>
  <c r="H22" i="1"/>
  <c r="H23" i="1"/>
  <c r="H24" i="1"/>
  <c r="H25" i="1"/>
  <c r="H27" i="1"/>
  <c r="H28" i="1"/>
  <c r="H29" i="1"/>
  <c r="H30" i="1"/>
  <c r="H31" i="1"/>
  <c r="H32" i="1"/>
  <c r="H21" i="1"/>
  <c r="I22" i="1"/>
  <c r="I23" i="1"/>
  <c r="I24" i="1"/>
  <c r="I25" i="1"/>
  <c r="I27" i="1"/>
  <c r="I28" i="1"/>
  <c r="I29" i="1"/>
  <c r="I30" i="1"/>
  <c r="I31" i="1"/>
  <c r="I32" i="1"/>
  <c r="I21" i="1"/>
  <c r="G22" i="1"/>
  <c r="G23" i="1"/>
  <c r="G24" i="1"/>
  <c r="G25" i="1"/>
  <c r="G27" i="1"/>
  <c r="G28" i="1"/>
  <c r="G30" i="1"/>
  <c r="G31" i="1"/>
  <c r="G32" i="1"/>
  <c r="G7" i="1"/>
  <c r="G8" i="1"/>
  <c r="G10" i="1"/>
  <c r="G11" i="1"/>
  <c r="G12" i="1"/>
  <c r="G13" i="1"/>
  <c r="G14" i="1"/>
  <c r="G15" i="1"/>
  <c r="G6" i="1"/>
  <c r="G5" i="1"/>
  <c r="E25" i="1" l="1"/>
  <c r="F25" i="1"/>
  <c r="F24" i="1"/>
  <c r="J24" i="1" s="1"/>
  <c r="K24" i="1" s="1"/>
  <c r="F22" i="1"/>
  <c r="J22" i="1" s="1"/>
  <c r="K22" i="1" s="1"/>
  <c r="F23" i="1"/>
  <c r="J23" i="1" s="1"/>
  <c r="K23" i="1" s="1"/>
  <c r="F21" i="1"/>
  <c r="F31" i="1"/>
  <c r="J31" i="1" s="1"/>
  <c r="K31" i="1" s="1"/>
  <c r="F29" i="1"/>
  <c r="J29" i="1" s="1"/>
  <c r="K29" i="1" s="1"/>
  <c r="F28" i="1"/>
  <c r="J28" i="1" s="1"/>
  <c r="K28" i="1" s="1"/>
  <c r="F32" i="1"/>
  <c r="J32" i="1" s="1"/>
  <c r="K32" i="1" s="1"/>
  <c r="F27" i="1"/>
  <c r="J27" i="1" s="1"/>
  <c r="K27" i="1" s="1"/>
  <c r="F30" i="1"/>
  <c r="J30" i="1" s="1"/>
  <c r="K30" i="1" s="1"/>
  <c r="E21" i="1"/>
  <c r="J25" i="1" l="1"/>
  <c r="K25" i="1" s="1"/>
  <c r="J21" i="1"/>
  <c r="K21" i="1" s="1"/>
</calcChain>
</file>

<file path=xl/sharedStrings.xml><?xml version="1.0" encoding="utf-8"?>
<sst xmlns="http://schemas.openxmlformats.org/spreadsheetml/2006/main" count="210" uniqueCount="84">
  <si>
    <t>Température ambiante</t>
  </si>
  <si>
    <t>Mode de pose</t>
  </si>
  <si>
    <t>Nombre d'étage de câble</t>
  </si>
  <si>
    <t>Nombre de cables</t>
  </si>
  <si>
    <t>Type de revetement</t>
  </si>
  <si>
    <t>Q3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</si>
  <si>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</si>
  <si>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</si>
  <si>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</si>
  <si>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</si>
  <si>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</si>
  <si>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</si>
  <si>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</si>
  <si>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</si>
  <si>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</si>
  <si>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Q14</t>
  </si>
  <si>
    <t>Cos(Phi)</t>
  </si>
  <si>
    <t>Puissance</t>
  </si>
  <si>
    <t>Câble</t>
  </si>
  <si>
    <t>Résultat</t>
  </si>
  <si>
    <t>Ib</t>
  </si>
  <si>
    <t>In</t>
  </si>
  <si>
    <t>Irth</t>
  </si>
  <si>
    <t>Iz</t>
  </si>
  <si>
    <t>Iz'</t>
  </si>
  <si>
    <t>K1</t>
  </si>
  <si>
    <t>K2</t>
  </si>
  <si>
    <t>K3</t>
  </si>
  <si>
    <t>Erreur</t>
  </si>
  <si>
    <t>Section</t>
  </si>
  <si>
    <t>PVC2</t>
  </si>
  <si>
    <t>PVC3</t>
  </si>
  <si>
    <t>PR2</t>
  </si>
  <si>
    <t>PR3</t>
  </si>
  <si>
    <t>Fixé en apparent, loin de la paroi</t>
  </si>
  <si>
    <t>Câble suspendu</t>
  </si>
  <si>
    <t>Installation</t>
  </si>
  <si>
    <t>E</t>
  </si>
  <si>
    <t>B</t>
  </si>
  <si>
    <t>C</t>
  </si>
  <si>
    <t>Lettre</t>
  </si>
  <si>
    <t>Disposition</t>
  </si>
  <si>
    <t>En apparance sur les murs/plafond</t>
  </si>
  <si>
    <t>Chemin de câble non perforée</t>
  </si>
  <si>
    <t>Chemin de câble perforée</t>
  </si>
  <si>
    <t>Faux plafond/vide de construction</t>
  </si>
  <si>
    <t>Sous caniveau/moulures/plinthes/chambranles</t>
  </si>
  <si>
    <t>Sous conduit/profilé/goulotte, apparent/encasté</t>
  </si>
  <si>
    <t>Autre</t>
  </si>
  <si>
    <t>O</t>
  </si>
  <si>
    <t>Cable dans matériaux isolants</t>
  </si>
  <si>
    <t>Conduits dans matériaux isolants</t>
  </si>
  <si>
    <t>Cable multiconducteur</t>
  </si>
  <si>
    <t>Vide de construction &amp; caniveaux</t>
  </si>
  <si>
    <t>Pose sous plafond</t>
  </si>
  <si>
    <t>Type de cable</t>
  </si>
  <si>
    <t>Caoutchouc</t>
  </si>
  <si>
    <t>Encastré/noyé dans parois</t>
  </si>
  <si>
    <t>Simple couche sur murs/planché/tablette</t>
  </si>
  <si>
    <t>Simple couche plafond</t>
  </si>
  <si>
    <t>Simple couche sur tablette perforée/verticale</t>
  </si>
  <si>
    <t>Simple couche sur echelle</t>
  </si>
  <si>
    <t>C°</t>
  </si>
  <si>
    <t>Ktotal</t>
  </si>
  <si>
    <t>Apparente (S)</t>
  </si>
  <si>
    <t>Réactive (Q)</t>
  </si>
  <si>
    <t>Active (P)</t>
  </si>
  <si>
    <t>Tension</t>
  </si>
  <si>
    <t>Intensité</t>
  </si>
  <si>
    <t>Section de protection</t>
  </si>
  <si>
    <t>F</t>
  </si>
  <si>
    <t>S (mm²)</t>
  </si>
  <si>
    <t>CUIVRE</t>
  </si>
  <si>
    <t>ALUMINIUM</t>
  </si>
  <si>
    <t>Isolants</t>
  </si>
  <si>
    <t>Q8</t>
  </si>
  <si>
    <t>Longueur</t>
  </si>
  <si>
    <t>1° Chute de tension</t>
  </si>
  <si>
    <t>% 1° Chute</t>
  </si>
  <si>
    <t>Matériau</t>
  </si>
  <si>
    <t>Cuivre</t>
  </si>
  <si>
    <t>Aluminium</t>
  </si>
  <si>
    <t>Le matériau défini par défaut est le cuivre.</t>
  </si>
  <si>
    <t>A mettre à la main.
Dans la feuille donnée se trouve un tableau des valeurs de section en fonction du matériau et de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</si>
</sst>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4" xfId="0" applyBorder="1" applyAlignment="1">
      <alignment vertical="center"/>
    </xf>
    <xf numFmtId="0" fontId="0" fillId="0" borderId="18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27" xfId="0" applyFill="1" applyBorder="1" applyAlignment="1"/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9EF8-EBD3-47B6-AA55-08CB6A6D55E8}">
  <dimension ref="A1:W39"/>
  <sheetViews>
    <sheetView tabSelected="1" workbookViewId="0">
      <pane xSplit="1" topLeftCell="B1" activePane="topRight" state="frozen"/>
      <selection pane="topRight" activeCell="O5" sqref="O5"/>
    </sheetView>
  </sheetViews>
  <sheetFormatPr baseColWidth="10" defaultRowHeight="15" x14ac:dyDescent="0.25"/>
  <cols>
    <col min="2" max="2" width="21.42578125" customWidth="1"/>
    <col min="3" max="7" width="15.28515625" customWidth="1"/>
    <col min="8" max="8" width="23" customWidth="1"/>
    <col min="9" max="9" width="7.42578125" customWidth="1"/>
    <col min="10" max="10" width="22.7109375" customWidth="1"/>
    <col min="11" max="11" width="17.42578125" customWidth="1"/>
    <col min="12" max="12" width="18.85546875" customWidth="1"/>
    <col min="13" max="13" width="22.28515625" customWidth="1"/>
    <col min="14" max="14" width="19.140625" customWidth="1"/>
    <col min="15" max="16" width="14" customWidth="1"/>
    <col min="17" max="17" width="13.85546875" customWidth="1"/>
    <col min="20" max="20" width="1.42578125" customWidth="1"/>
  </cols>
  <sheetData>
    <row r="1" spans="1:23" ht="15.75" thickBot="1" x14ac:dyDescent="0.3"/>
    <row r="2" spans="1:23" ht="15.75" thickBot="1" x14ac:dyDescent="0.3">
      <c r="B2" s="51" t="s">
        <v>18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4"/>
      <c r="Q2" s="52" t="s">
        <v>17</v>
      </c>
      <c r="R2" s="52"/>
      <c r="S2" s="56"/>
    </row>
    <row r="3" spans="1:23" s="27" customFormat="1" ht="15.75" thickBot="1" x14ac:dyDescent="0.3">
      <c r="B3" s="72" t="s">
        <v>0</v>
      </c>
      <c r="C3" s="73" t="s">
        <v>1</v>
      </c>
      <c r="D3" s="74"/>
      <c r="E3" s="74"/>
      <c r="F3" s="75"/>
      <c r="G3" s="72" t="s">
        <v>40</v>
      </c>
      <c r="H3" s="76" t="s">
        <v>36</v>
      </c>
      <c r="I3" s="77"/>
      <c r="J3" s="72" t="s">
        <v>2</v>
      </c>
      <c r="K3" s="72" t="s">
        <v>3</v>
      </c>
      <c r="L3" s="72" t="s">
        <v>4</v>
      </c>
      <c r="M3" s="57" t="s">
        <v>41</v>
      </c>
      <c r="N3" s="58"/>
      <c r="O3" s="31" t="s">
        <v>76</v>
      </c>
      <c r="P3" s="31" t="s">
        <v>79</v>
      </c>
      <c r="Q3" s="78" t="s">
        <v>64</v>
      </c>
      <c r="R3" s="72" t="s">
        <v>66</v>
      </c>
      <c r="S3" s="72" t="s">
        <v>65</v>
      </c>
      <c r="U3" s="42" t="s">
        <v>16</v>
      </c>
      <c r="V3" s="42" t="s">
        <v>67</v>
      </c>
      <c r="W3" s="42" t="s">
        <v>68</v>
      </c>
    </row>
    <row r="4" spans="1:23" x14ac:dyDescent="0.25">
      <c r="A4" s="2" t="s">
        <v>5</v>
      </c>
      <c r="B4" s="41">
        <v>30</v>
      </c>
      <c r="C4" s="66" t="s">
        <v>46</v>
      </c>
      <c r="D4" s="67"/>
      <c r="E4" s="67"/>
      <c r="F4" s="68"/>
      <c r="G4" s="34" t="str">
        <f>VLOOKUP(C4,Donnée!B3:C10,2,FALSE)</f>
        <v>B</v>
      </c>
      <c r="H4" s="66" t="s">
        <v>53</v>
      </c>
      <c r="I4" s="68"/>
      <c r="J4" s="38">
        <v>1</v>
      </c>
      <c r="K4" s="38">
        <v>3</v>
      </c>
      <c r="L4" s="70" t="s">
        <v>33</v>
      </c>
      <c r="M4" s="66" t="s">
        <v>58</v>
      </c>
      <c r="N4" s="67"/>
      <c r="O4" s="38">
        <v>20</v>
      </c>
      <c r="P4" s="70" t="s">
        <v>80</v>
      </c>
      <c r="Q4" s="33">
        <f t="shared" ref="Q4:Q15" si="0">SQRT(POWER(S4,2)+POWER(R4,2))</f>
        <v>112499.99999999999</v>
      </c>
      <c r="R4" s="38">
        <v>90000</v>
      </c>
      <c r="S4" s="34">
        <f>V4*SQRT(3)*W4*SIN((ACOS(U4)))</f>
        <v>67499.999999999971</v>
      </c>
      <c r="T4" s="35"/>
      <c r="U4" s="38">
        <v>0.8</v>
      </c>
      <c r="V4" s="38">
        <v>400</v>
      </c>
      <c r="W4" s="34">
        <f>B21</f>
        <v>162.37976320958222</v>
      </c>
    </row>
    <row r="5" spans="1:23" x14ac:dyDescent="0.25">
      <c r="A5" s="3" t="s">
        <v>6</v>
      </c>
      <c r="B5" s="41">
        <v>30</v>
      </c>
      <c r="C5" s="66" t="s">
        <v>46</v>
      </c>
      <c r="D5" s="67"/>
      <c r="E5" s="67"/>
      <c r="F5" s="68"/>
      <c r="G5" s="34" t="str">
        <f>VLOOKUP(C5,Donnée!B$3:C$10,2,FALSE)</f>
        <v>B</v>
      </c>
      <c r="H5" s="66" t="s">
        <v>53</v>
      </c>
      <c r="I5" s="68"/>
      <c r="J5" s="38">
        <v>1</v>
      </c>
      <c r="K5" s="38">
        <v>3</v>
      </c>
      <c r="L5" s="70" t="s">
        <v>33</v>
      </c>
      <c r="M5" s="66" t="s">
        <v>58</v>
      </c>
      <c r="N5" s="67"/>
      <c r="O5" s="38">
        <v>120</v>
      </c>
      <c r="P5" s="70" t="s">
        <v>80</v>
      </c>
      <c r="Q5" s="33"/>
      <c r="R5" s="38"/>
      <c r="S5" s="34"/>
      <c r="T5" s="35"/>
      <c r="U5" s="38">
        <v>0.85</v>
      </c>
      <c r="V5" s="38">
        <v>400</v>
      </c>
      <c r="W5" s="34">
        <f>B22</f>
        <v>287</v>
      </c>
    </row>
    <row r="6" spans="1:23" x14ac:dyDescent="0.25">
      <c r="A6" s="3" t="s">
        <v>7</v>
      </c>
      <c r="B6" s="41">
        <v>30</v>
      </c>
      <c r="C6" s="66" t="s">
        <v>46</v>
      </c>
      <c r="D6" s="67"/>
      <c r="E6" s="67"/>
      <c r="F6" s="68"/>
      <c r="G6" s="34" t="str">
        <f>VLOOKUP(C6,Donnée!B$3:C$11,2,FALSE)</f>
        <v>B</v>
      </c>
      <c r="H6" s="66" t="s">
        <v>53</v>
      </c>
      <c r="I6" s="68"/>
      <c r="J6" s="38">
        <v>1</v>
      </c>
      <c r="K6" s="38">
        <v>3</v>
      </c>
      <c r="L6" s="70" t="s">
        <v>33</v>
      </c>
      <c r="M6" s="66" t="s">
        <v>58</v>
      </c>
      <c r="N6" s="67"/>
      <c r="O6" s="38">
        <v>40</v>
      </c>
      <c r="P6" s="70" t="s">
        <v>80</v>
      </c>
      <c r="Q6" s="33">
        <f t="shared" si="0"/>
        <v>24999.999999999996</v>
      </c>
      <c r="R6" s="38">
        <v>20000</v>
      </c>
      <c r="S6" s="34">
        <f>V6*SQRT(3)*W6*SIN((ACOS(U6)))</f>
        <v>14999.999999999995</v>
      </c>
      <c r="T6" s="35"/>
      <c r="U6" s="38">
        <v>0.8</v>
      </c>
      <c r="V6" s="38">
        <v>400</v>
      </c>
      <c r="W6" s="34">
        <f>B23</f>
        <v>36.084391824351606</v>
      </c>
    </row>
    <row r="7" spans="1:23" x14ac:dyDescent="0.25">
      <c r="A7" s="3" t="s">
        <v>8</v>
      </c>
      <c r="B7" s="41">
        <v>40</v>
      </c>
      <c r="C7" s="66" t="s">
        <v>46</v>
      </c>
      <c r="D7" s="67"/>
      <c r="E7" s="67"/>
      <c r="F7" s="68"/>
      <c r="G7" s="34" t="str">
        <f>VLOOKUP(C7,Donnée!B$3:C$11,2,FALSE)</f>
        <v>B</v>
      </c>
      <c r="H7" s="66" t="s">
        <v>53</v>
      </c>
      <c r="I7" s="68"/>
      <c r="J7" s="38">
        <v>1</v>
      </c>
      <c r="K7" s="38">
        <v>2</v>
      </c>
      <c r="L7" s="70" t="s">
        <v>33</v>
      </c>
      <c r="M7" s="66" t="s">
        <v>58</v>
      </c>
      <c r="N7" s="67"/>
      <c r="O7" s="38">
        <v>15</v>
      </c>
      <c r="P7" s="70" t="s">
        <v>80</v>
      </c>
      <c r="Q7" s="33">
        <f t="shared" si="0"/>
        <v>27499.999999999996</v>
      </c>
      <c r="R7" s="38">
        <v>22000</v>
      </c>
      <c r="S7" s="34">
        <f>V7*SQRT(3)*W7*SIN((ACOS(U7)))</f>
        <v>16499.999999999993</v>
      </c>
      <c r="T7" s="35"/>
      <c r="U7" s="38">
        <v>0.8</v>
      </c>
      <c r="V7" s="38">
        <v>400</v>
      </c>
      <c r="W7" s="34">
        <f>B24</f>
        <v>39.692831006786768</v>
      </c>
    </row>
    <row r="8" spans="1:23" x14ac:dyDescent="0.25">
      <c r="A8" s="3" t="s">
        <v>9</v>
      </c>
      <c r="B8" s="41">
        <v>40</v>
      </c>
      <c r="C8" s="66" t="s">
        <v>46</v>
      </c>
      <c r="D8" s="67"/>
      <c r="E8" s="67"/>
      <c r="F8" s="68"/>
      <c r="G8" s="34" t="str">
        <f>VLOOKUP(C8,Donnée!B$3:C$11,2,FALSE)</f>
        <v>B</v>
      </c>
      <c r="H8" s="66" t="s">
        <v>53</v>
      </c>
      <c r="I8" s="68"/>
      <c r="J8" s="38">
        <v>1</v>
      </c>
      <c r="K8" s="38">
        <v>2</v>
      </c>
      <c r="L8" s="70" t="s">
        <v>33</v>
      </c>
      <c r="M8" s="66" t="s">
        <v>58</v>
      </c>
      <c r="N8" s="67"/>
      <c r="O8" s="38">
        <v>150</v>
      </c>
      <c r="P8" s="70" t="s">
        <v>80</v>
      </c>
      <c r="Q8" s="33">
        <f t="shared" si="0"/>
        <v>187499.99999999997</v>
      </c>
      <c r="R8" s="38">
        <v>150000</v>
      </c>
      <c r="S8" s="34">
        <f>V8*SQRT(3)*W8*SIN((ACOS(U8)))</f>
        <v>112499.99999999997</v>
      </c>
      <c r="T8" s="35"/>
      <c r="U8" s="38">
        <v>0.8</v>
      </c>
      <c r="V8" s="38">
        <v>400</v>
      </c>
      <c r="W8" s="34">
        <f>B25</f>
        <v>270.63293868263708</v>
      </c>
    </row>
    <row r="9" spans="1:23" s="25" customFormat="1" x14ac:dyDescent="0.25">
      <c r="A9" s="23"/>
      <c r="B9" s="40"/>
      <c r="C9" s="69"/>
      <c r="D9" s="69"/>
      <c r="E9" s="69"/>
      <c r="F9" s="69"/>
      <c r="G9" s="36"/>
      <c r="H9" s="69"/>
      <c r="I9" s="69"/>
      <c r="J9" s="40"/>
      <c r="K9" s="40"/>
      <c r="L9" s="69"/>
      <c r="M9" s="69"/>
      <c r="N9" s="69"/>
      <c r="O9" s="39"/>
      <c r="P9" s="71"/>
      <c r="Q9" s="36"/>
      <c r="R9" s="40"/>
      <c r="S9" s="36"/>
      <c r="T9" s="36"/>
      <c r="U9" s="40"/>
      <c r="V9" s="40"/>
      <c r="W9" s="36"/>
    </row>
    <row r="10" spans="1:23" x14ac:dyDescent="0.25">
      <c r="A10" s="3" t="s">
        <v>10</v>
      </c>
      <c r="B10" s="41">
        <v>40</v>
      </c>
      <c r="C10" s="66" t="s">
        <v>44</v>
      </c>
      <c r="D10" s="67"/>
      <c r="E10" s="67"/>
      <c r="F10" s="68"/>
      <c r="G10" s="34" t="str">
        <f>VLOOKUP(C10,Donnée!B$3:C$11,2,FALSE)</f>
        <v>E</v>
      </c>
      <c r="H10" s="66" t="s">
        <v>48</v>
      </c>
      <c r="I10" s="68"/>
      <c r="J10" s="38">
        <v>2</v>
      </c>
      <c r="K10" s="38">
        <v>6</v>
      </c>
      <c r="L10" s="70" t="s">
        <v>33</v>
      </c>
      <c r="M10" s="66" t="s">
        <v>60</v>
      </c>
      <c r="N10" s="67"/>
      <c r="O10" s="38">
        <v>20</v>
      </c>
      <c r="P10" s="70" t="s">
        <v>80</v>
      </c>
      <c r="Q10" s="33">
        <f t="shared" si="0"/>
        <v>150000</v>
      </c>
      <c r="R10" s="38">
        <v>120000</v>
      </c>
      <c r="S10" s="34">
        <f t="shared" ref="S10:S15" si="1">V10*SQRT(3)*W10*SIN((ACOS(U10)))</f>
        <v>89999.999999999985</v>
      </c>
      <c r="T10" s="35"/>
      <c r="U10" s="38">
        <v>0.8</v>
      </c>
      <c r="V10" s="38">
        <v>400</v>
      </c>
      <c r="W10" s="34">
        <f t="shared" ref="W10:W15" si="2">B27</f>
        <v>216.50635094610965</v>
      </c>
    </row>
    <row r="11" spans="1:23" x14ac:dyDescent="0.25">
      <c r="A11" s="3" t="s">
        <v>11</v>
      </c>
      <c r="B11" s="41">
        <v>40</v>
      </c>
      <c r="C11" s="66" t="s">
        <v>44</v>
      </c>
      <c r="D11" s="67"/>
      <c r="E11" s="67"/>
      <c r="F11" s="68"/>
      <c r="G11" s="34" t="str">
        <f>VLOOKUP(C11,Donnée!B$3:C$11,2,FALSE)</f>
        <v>E</v>
      </c>
      <c r="H11" s="66" t="s">
        <v>48</v>
      </c>
      <c r="I11" s="68"/>
      <c r="J11" s="38">
        <v>2</v>
      </c>
      <c r="K11" s="38">
        <v>6</v>
      </c>
      <c r="L11" s="70" t="s">
        <v>33</v>
      </c>
      <c r="M11" s="66" t="s">
        <v>60</v>
      </c>
      <c r="N11" s="67"/>
      <c r="O11" s="38">
        <v>30</v>
      </c>
      <c r="P11" s="70" t="s">
        <v>80</v>
      </c>
      <c r="Q11" s="33">
        <f t="shared" si="0"/>
        <v>39999.999999999993</v>
      </c>
      <c r="R11" s="38">
        <v>32000</v>
      </c>
      <c r="S11" s="34">
        <f t="shared" si="1"/>
        <v>23999.999999999989</v>
      </c>
      <c r="T11" s="35"/>
      <c r="U11" s="38">
        <v>0.8</v>
      </c>
      <c r="V11" s="38">
        <v>400</v>
      </c>
      <c r="W11" s="34">
        <f t="shared" si="2"/>
        <v>57.735026918962568</v>
      </c>
    </row>
    <row r="12" spans="1:23" x14ac:dyDescent="0.25">
      <c r="A12" s="3" t="s">
        <v>12</v>
      </c>
      <c r="B12" s="41">
        <v>40</v>
      </c>
      <c r="C12" s="66" t="s">
        <v>44</v>
      </c>
      <c r="D12" s="67"/>
      <c r="E12" s="67"/>
      <c r="F12" s="68"/>
      <c r="G12" s="34" t="str">
        <f>VLOOKUP(C12,Donnée!B$3:C$11,2,FALSE)</f>
        <v>E</v>
      </c>
      <c r="H12" s="66" t="s">
        <v>48</v>
      </c>
      <c r="I12" s="68"/>
      <c r="J12" s="38">
        <v>2</v>
      </c>
      <c r="K12" s="38">
        <v>6</v>
      </c>
      <c r="L12" s="70" t="s">
        <v>33</v>
      </c>
      <c r="M12" s="66" t="s">
        <v>60</v>
      </c>
      <c r="N12" s="67"/>
      <c r="O12" s="38">
        <v>30</v>
      </c>
      <c r="P12" s="70" t="s">
        <v>80</v>
      </c>
      <c r="Q12" s="33">
        <f t="shared" si="0"/>
        <v>22499.999999999996</v>
      </c>
      <c r="R12" s="38">
        <v>18000</v>
      </c>
      <c r="S12" s="34">
        <f t="shared" si="1"/>
        <v>13499.999999999995</v>
      </c>
      <c r="T12" s="35"/>
      <c r="U12" s="38">
        <v>0.8</v>
      </c>
      <c r="V12" s="38">
        <v>400</v>
      </c>
      <c r="W12" s="34">
        <f t="shared" si="2"/>
        <v>32.475952641916443</v>
      </c>
    </row>
    <row r="13" spans="1:23" x14ac:dyDescent="0.25">
      <c r="A13" s="3" t="s">
        <v>13</v>
      </c>
      <c r="B13" s="41">
        <v>40</v>
      </c>
      <c r="C13" s="66" t="s">
        <v>44</v>
      </c>
      <c r="D13" s="67"/>
      <c r="E13" s="67"/>
      <c r="F13" s="68"/>
      <c r="G13" s="34" t="str">
        <f>VLOOKUP(C13,Donnée!B$3:C$11,2,FALSE)</f>
        <v>E</v>
      </c>
      <c r="H13" s="66" t="s">
        <v>48</v>
      </c>
      <c r="I13" s="68"/>
      <c r="J13" s="38">
        <v>2</v>
      </c>
      <c r="K13" s="38">
        <v>6</v>
      </c>
      <c r="L13" s="70" t="s">
        <v>33</v>
      </c>
      <c r="M13" s="66" t="s">
        <v>60</v>
      </c>
      <c r="N13" s="67"/>
      <c r="O13" s="38">
        <v>6</v>
      </c>
      <c r="P13" s="70" t="s">
        <v>80</v>
      </c>
      <c r="Q13" s="33">
        <f t="shared" si="0"/>
        <v>3522.3980418740189</v>
      </c>
      <c r="R13" s="38">
        <v>2401</v>
      </c>
      <c r="S13" s="34">
        <f t="shared" si="1"/>
        <v>2577.3022650434159</v>
      </c>
      <c r="T13" s="35"/>
      <c r="U13" s="38">
        <v>0.85</v>
      </c>
      <c r="V13" s="38">
        <f>400/SQRT(3)</f>
        <v>230.94010767585033</v>
      </c>
      <c r="W13" s="34">
        <f t="shared" si="2"/>
        <v>12.231335261684924</v>
      </c>
    </row>
    <row r="14" spans="1:23" x14ac:dyDescent="0.25">
      <c r="A14" s="3" t="s">
        <v>14</v>
      </c>
      <c r="B14" s="41">
        <v>40</v>
      </c>
      <c r="C14" s="66" t="s">
        <v>44</v>
      </c>
      <c r="D14" s="67"/>
      <c r="E14" s="67"/>
      <c r="F14" s="68"/>
      <c r="G14" s="34" t="str">
        <f>VLOOKUP(C14,Donnée!B$3:C$11,2,FALSE)</f>
        <v>E</v>
      </c>
      <c r="H14" s="66" t="s">
        <v>48</v>
      </c>
      <c r="I14" s="68"/>
      <c r="J14" s="38">
        <v>2</v>
      </c>
      <c r="K14" s="38">
        <v>6</v>
      </c>
      <c r="L14" s="70" t="s">
        <v>33</v>
      </c>
      <c r="M14" s="66" t="s">
        <v>60</v>
      </c>
      <c r="N14" s="67"/>
      <c r="O14" s="38">
        <v>8</v>
      </c>
      <c r="P14" s="70" t="s">
        <v>80</v>
      </c>
      <c r="Q14" s="33">
        <f t="shared" si="0"/>
        <v>3522.3980418740189</v>
      </c>
      <c r="R14" s="38">
        <v>2401</v>
      </c>
      <c r="S14" s="34">
        <f t="shared" si="1"/>
        <v>2577.3022650434159</v>
      </c>
      <c r="T14" s="35"/>
      <c r="U14" s="38">
        <v>0.85</v>
      </c>
      <c r="V14" s="38">
        <f t="shared" ref="V14:V15" si="3">400/SQRT(3)</f>
        <v>230.94010767585033</v>
      </c>
      <c r="W14" s="34">
        <f t="shared" si="2"/>
        <v>12.231335261684924</v>
      </c>
    </row>
    <row r="15" spans="1:23" ht="15.75" thickBot="1" x14ac:dyDescent="0.3">
      <c r="A15" s="4" t="s">
        <v>15</v>
      </c>
      <c r="B15" s="41">
        <v>40</v>
      </c>
      <c r="C15" s="66" t="s">
        <v>44</v>
      </c>
      <c r="D15" s="67"/>
      <c r="E15" s="67"/>
      <c r="F15" s="68"/>
      <c r="G15" s="34" t="str">
        <f>VLOOKUP(C15,Donnée!B$3:C$11,2,FALSE)</f>
        <v>E</v>
      </c>
      <c r="H15" s="66" t="s">
        <v>48</v>
      </c>
      <c r="I15" s="68"/>
      <c r="J15" s="38">
        <v>2</v>
      </c>
      <c r="K15" s="38">
        <v>6</v>
      </c>
      <c r="L15" s="70" t="s">
        <v>33</v>
      </c>
      <c r="M15" s="66" t="s">
        <v>60</v>
      </c>
      <c r="N15" s="67"/>
      <c r="O15" s="38">
        <v>10</v>
      </c>
      <c r="P15" s="70" t="s">
        <v>80</v>
      </c>
      <c r="Q15" s="33">
        <f t="shared" si="0"/>
        <v>3522.3980418740189</v>
      </c>
      <c r="R15" s="38">
        <v>2401</v>
      </c>
      <c r="S15" s="34">
        <f t="shared" si="1"/>
        <v>2577.3022650434159</v>
      </c>
      <c r="T15" s="35"/>
      <c r="U15" s="38">
        <v>0.85</v>
      </c>
      <c r="V15" s="38">
        <f t="shared" si="3"/>
        <v>230.94010767585033</v>
      </c>
      <c r="W15" s="34">
        <f t="shared" si="2"/>
        <v>12.231335261684924</v>
      </c>
    </row>
    <row r="18" spans="1:21" ht="15.75" thickBot="1" x14ac:dyDescent="0.3">
      <c r="L18" s="8"/>
      <c r="M18" s="8"/>
      <c r="N18" s="8"/>
      <c r="O18" s="8"/>
      <c r="P18" s="8"/>
      <c r="Q18" s="8"/>
    </row>
    <row r="19" spans="1:21" ht="15.75" thickBot="1" x14ac:dyDescent="0.3">
      <c r="B19" s="51" t="s">
        <v>19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53"/>
      <c r="P19" s="54"/>
    </row>
    <row r="20" spans="1:21" s="27" customFormat="1" ht="15.75" thickBot="1" x14ac:dyDescent="0.3">
      <c r="B20" s="72" t="s">
        <v>20</v>
      </c>
      <c r="C20" s="72" t="s">
        <v>21</v>
      </c>
      <c r="D20" s="72" t="s">
        <v>22</v>
      </c>
      <c r="E20" s="72" t="s">
        <v>23</v>
      </c>
      <c r="F20" s="29" t="s">
        <v>63</v>
      </c>
      <c r="G20" s="72" t="s">
        <v>25</v>
      </c>
      <c r="H20" s="72" t="s">
        <v>26</v>
      </c>
      <c r="I20" s="72" t="s">
        <v>27</v>
      </c>
      <c r="J20" s="72" t="s">
        <v>24</v>
      </c>
      <c r="K20" s="72" t="s">
        <v>28</v>
      </c>
      <c r="L20" s="72" t="s">
        <v>29</v>
      </c>
      <c r="M20" s="32" t="s">
        <v>69</v>
      </c>
      <c r="N20" s="59" t="s">
        <v>77</v>
      </c>
      <c r="O20" s="59"/>
      <c r="P20" s="31" t="s">
        <v>78</v>
      </c>
      <c r="Q20" s="28"/>
      <c r="R20" s="28"/>
      <c r="T20" s="55"/>
      <c r="U20" s="55"/>
    </row>
    <row r="21" spans="1:21" x14ac:dyDescent="0.25">
      <c r="A21" s="14" t="s">
        <v>5</v>
      </c>
      <c r="B21" s="42">
        <f>R4/(V4*SQRT(3)*U4)</f>
        <v>162.37976320958222</v>
      </c>
      <c r="C21" s="42">
        <f>INDEX(Donnée!N$16:N$40,MATCH(B21,Donnée!N$16:N$40,-1))</f>
        <v>200</v>
      </c>
      <c r="D21" s="42">
        <f>1.05*B21</f>
        <v>170.49875137006134</v>
      </c>
      <c r="E21" s="42">
        <f>IF(C21&gt;125,D21,C21)</f>
        <v>170.49875137006134</v>
      </c>
      <c r="F21" s="43">
        <f>G21*H21*I21</f>
        <v>0.66499999999999992</v>
      </c>
      <c r="G21" s="44">
        <f>VLOOKUP(H4,Donnée!B$16:C$21,2,FALSE)</f>
        <v>0.95</v>
      </c>
      <c r="H21" s="45">
        <f>INDEX(Donnée!H$4:S$8,MATCH(M4,Donnée!G$4:G$8,0),K4)*(IF(J4=2,0.8,IF(J4=3,0.73,IF(J4&gt;=4,0.7,1))))</f>
        <v>0.7</v>
      </c>
      <c r="I21" s="22">
        <f>INDEX(Donnée!G$17:K$27,MATCH(B4,Donnée!F$17:F$27,0),MATCH(L4,Donnée!G$16:K$16,0))</f>
        <v>1</v>
      </c>
      <c r="J21" s="42">
        <f t="shared" ref="J21:J32" si="4">E21/F21</f>
        <v>256.38909980460357</v>
      </c>
      <c r="K21" s="42">
        <f t="shared" ref="K21:K28" si="5">0.95*J21</f>
        <v>243.56964481437339</v>
      </c>
      <c r="L21" s="1">
        <v>95</v>
      </c>
      <c r="M21" s="47">
        <f>IF(L21&lt;=16,L21,IF(L21&gt;=35,L21/2,16))</f>
        <v>47.5</v>
      </c>
      <c r="N21" s="60">
        <f>SQRT(3)*B21*(U4*(O4*IF(P4="Aluminium",36,22.5)*POWER(10,-3))/L21+O4*0.08*POWER(10,-3)*SIN(ACOS(U4)))</f>
        <v>1.3357894736842104</v>
      </c>
      <c r="O21" s="60"/>
      <c r="P21" s="34">
        <f>100*(N21/V4)</f>
        <v>0.3339473684210526</v>
      </c>
      <c r="Q21" s="21"/>
      <c r="R21" s="21"/>
      <c r="T21" s="48"/>
      <c r="U21" s="48"/>
    </row>
    <row r="22" spans="1:21" x14ac:dyDescent="0.25">
      <c r="A22" s="15" t="s">
        <v>6</v>
      </c>
      <c r="B22" s="42">
        <v>287</v>
      </c>
      <c r="C22" s="42">
        <f>INDEX(Donnée!N$16:N$40,MATCH(B22,Donnée!N$16:N$40,-1))</f>
        <v>400</v>
      </c>
      <c r="D22" s="42">
        <f t="shared" ref="D22:D32" si="6">1.05*B22</f>
        <v>301.35000000000002</v>
      </c>
      <c r="E22" s="42">
        <f t="shared" ref="E22:E32" si="7">IF(C22&gt;125,D22,C22)</f>
        <v>301.35000000000002</v>
      </c>
      <c r="F22" s="43">
        <f t="shared" ref="F22:F32" si="8">G22*H22*I22</f>
        <v>0.66499999999999992</v>
      </c>
      <c r="G22" s="44">
        <f>VLOOKUP(H5,Donnée!B$16:C$21,2,FALSE)</f>
        <v>0.95</v>
      </c>
      <c r="H22" s="45">
        <f>INDEX(Donnée!H$4:S$8,MATCH(M5,Donnée!G$4:G$8,0),K5)*(IF(J5=2,0.8,IF(J5=3,0.73,IF(J5&gt;=4,0.7,1))))</f>
        <v>0.7</v>
      </c>
      <c r="I22" s="22">
        <f>INDEX(Donnée!G$17:K$27,MATCH(B5,Donnée!F$17:F$27,0),MATCH(L5,Donnée!G$16:K$16,0))</f>
        <v>1</v>
      </c>
      <c r="J22" s="42">
        <f t="shared" si="4"/>
        <v>453.1578947368422</v>
      </c>
      <c r="K22" s="42">
        <f t="shared" si="5"/>
        <v>430.50000000000006</v>
      </c>
      <c r="L22" s="1">
        <v>240</v>
      </c>
      <c r="M22" s="47">
        <f t="shared" ref="M22:M25" si="9">IF(L22&lt;=16,L22,IF(L22&gt;=35,L22/2,16))</f>
        <v>120</v>
      </c>
      <c r="N22" s="60">
        <f>SQRT(3)*B22*(U5*(O5*IF(P5="Aluminium",36,22.5)*POWER(10,-3))/L22+O5*0.08*POWER(10,-3)*SIN(ACOS(U5)))</f>
        <v>7.2673892867189585</v>
      </c>
      <c r="O22" s="60"/>
      <c r="P22" s="34">
        <f>100*(N22/V5)</f>
        <v>1.8168473216797396</v>
      </c>
      <c r="Q22" s="21"/>
      <c r="R22" s="21"/>
      <c r="T22" s="48"/>
      <c r="U22" s="48"/>
    </row>
    <row r="23" spans="1:21" x14ac:dyDescent="0.25">
      <c r="A23" s="15" t="s">
        <v>7</v>
      </c>
      <c r="B23" s="42">
        <f>R6/(V6*SQRT(3)*U6)</f>
        <v>36.084391824351606</v>
      </c>
      <c r="C23" s="42">
        <f>INDEX(Donnée!N$16:N$40,MATCH(B23,Donnée!N$16:N$40,-1))</f>
        <v>40</v>
      </c>
      <c r="D23" s="42">
        <f t="shared" si="6"/>
        <v>37.888611415569187</v>
      </c>
      <c r="E23" s="42">
        <f t="shared" si="7"/>
        <v>40</v>
      </c>
      <c r="F23" s="43">
        <f t="shared" si="8"/>
        <v>0.66499999999999992</v>
      </c>
      <c r="G23" s="44">
        <f>VLOOKUP(H6,Donnée!B$16:C$21,2,FALSE)</f>
        <v>0.95</v>
      </c>
      <c r="H23" s="45">
        <f>INDEX(Donnée!H$4:S$8,MATCH(M6,Donnée!G$4:G$8,0),K6)*(IF(J6=2,0.8,IF(J6=3,0.73,IF(J6&gt;=4,0.7,1))))</f>
        <v>0.7</v>
      </c>
      <c r="I23" s="22">
        <f>INDEX(Donnée!G$17:K$27,MATCH(B6,Donnée!F$17:F$27,0),MATCH(L6,Donnée!G$16:K$16,0))</f>
        <v>1</v>
      </c>
      <c r="J23" s="42">
        <f t="shared" si="4"/>
        <v>60.150375939849631</v>
      </c>
      <c r="K23" s="42">
        <f t="shared" si="5"/>
        <v>57.142857142857146</v>
      </c>
      <c r="L23" s="1">
        <v>10</v>
      </c>
      <c r="M23" s="47">
        <f t="shared" si="9"/>
        <v>10</v>
      </c>
      <c r="N23" s="60">
        <f>SQRT(3)*B23*(U6*(O6*IF(P6="Aluminium",36,22.5)*POWER(10,-3))/L23+O6*0.08*POWER(10,-3)*SIN(ACOS(U6)))</f>
        <v>4.62</v>
      </c>
      <c r="O23" s="60"/>
      <c r="P23" s="34">
        <f>100*(N23/V6)</f>
        <v>1.155</v>
      </c>
      <c r="Q23" s="21"/>
      <c r="R23" s="21"/>
      <c r="T23" s="48"/>
      <c r="U23" s="48"/>
    </row>
    <row r="24" spans="1:21" x14ac:dyDescent="0.25">
      <c r="A24" s="15" t="s">
        <v>8</v>
      </c>
      <c r="B24" s="42">
        <f>R7/(V7*SQRT(3)*U7)</f>
        <v>39.692831006786768</v>
      </c>
      <c r="C24" s="42">
        <f>INDEX(Donnée!N$16:N$40,MATCH(B24,Donnée!N$16:N$40,-1))</f>
        <v>40</v>
      </c>
      <c r="D24" s="42">
        <f t="shared" si="6"/>
        <v>41.677472557126109</v>
      </c>
      <c r="E24" s="42">
        <f t="shared" si="7"/>
        <v>40</v>
      </c>
      <c r="F24" s="43">
        <f t="shared" si="8"/>
        <v>0.73482500000000006</v>
      </c>
      <c r="G24" s="44">
        <f>VLOOKUP(H7,Donnée!B$16:C$21,2,FALSE)</f>
        <v>0.95</v>
      </c>
      <c r="H24" s="45">
        <f>INDEX(Donnée!H$4:S$8,MATCH(M7,Donnée!G$4:G$8,0),K7)*(IF(J7=2,0.8,IF(J7=3,0.73,IF(J7&gt;=4,0.7,1))))</f>
        <v>0.85</v>
      </c>
      <c r="I24" s="22">
        <f>INDEX(Donnée!G$17:K$27,MATCH(B7,Donnée!F$17:F$27,0),MATCH(L7,Donnée!G$16:K$16,0))</f>
        <v>0.91</v>
      </c>
      <c r="J24" s="42">
        <f t="shared" si="4"/>
        <v>54.434729357329971</v>
      </c>
      <c r="K24" s="42">
        <f t="shared" si="5"/>
        <v>51.712992889463472</v>
      </c>
      <c r="L24" s="1">
        <v>10</v>
      </c>
      <c r="M24" s="47">
        <f t="shared" si="9"/>
        <v>10</v>
      </c>
      <c r="N24" s="60">
        <f>SQRT(3)*B24*(U7*(O7*IF(P7="Aluminium",36,22.5)*POWER(10,-3))/L24+O7*0.08*POWER(10,-3)*SIN(ACOS(U7)))</f>
        <v>1.9057499999999996</v>
      </c>
      <c r="O24" s="60"/>
      <c r="P24" s="34">
        <f>100*(N24/V7)</f>
        <v>0.47643749999999985</v>
      </c>
      <c r="Q24" s="21"/>
      <c r="R24" s="21"/>
      <c r="T24" s="48"/>
      <c r="U24" s="48"/>
    </row>
    <row r="25" spans="1:21" x14ac:dyDescent="0.25">
      <c r="A25" s="15" t="s">
        <v>9</v>
      </c>
      <c r="B25" s="42">
        <f>R8/(V8*SQRT(3)*U8)</f>
        <v>270.63293868263708</v>
      </c>
      <c r="C25" s="42">
        <f>INDEX(Donnée!N$16:N$40,MATCH(B25,Donnée!N$16:N$40,-1))</f>
        <v>400</v>
      </c>
      <c r="D25" s="42">
        <f t="shared" si="6"/>
        <v>284.16458561676893</v>
      </c>
      <c r="E25" s="42">
        <f t="shared" si="7"/>
        <v>284.16458561676893</v>
      </c>
      <c r="F25" s="43">
        <f t="shared" si="8"/>
        <v>0.73482500000000006</v>
      </c>
      <c r="G25" s="44">
        <f>VLOOKUP(H8,Donnée!B$16:C$21,2,FALSE)</f>
        <v>0.95</v>
      </c>
      <c r="H25" s="45">
        <f>INDEX(Donnée!H$4:S$8,MATCH(M8,Donnée!G$4:G$8,0),K8)*(IF(J8=2,0.8,IF(J8=3,0.73,IF(J8&gt;=4,0.7,1))))</f>
        <v>0.85</v>
      </c>
      <c r="I25" s="22">
        <f>INDEX(Donnée!G$17:K$27,MATCH(B8,Donnée!F$17:F$27,0),MATCH(L8,Donnée!G$16:K$16,0))</f>
        <v>0.91</v>
      </c>
      <c r="J25" s="42">
        <f t="shared" si="4"/>
        <v>386.71055777466597</v>
      </c>
      <c r="K25" s="42">
        <f t="shared" si="5"/>
        <v>367.37502988593263</v>
      </c>
      <c r="L25" s="1">
        <v>185</v>
      </c>
      <c r="M25" s="47">
        <f t="shared" si="9"/>
        <v>92.5</v>
      </c>
      <c r="N25" s="60">
        <f>SQRT(3)*B25*(U8*(O8*IF(P8="Aluminium",36,22.5)*POWER(10,-3))/L25+O8*0.08*POWER(10,-3)*SIN(ACOS(U8)))</f>
        <v>10.216216216216214</v>
      </c>
      <c r="O25" s="60"/>
      <c r="P25" s="34">
        <f>100*(N25/V8)</f>
        <v>2.5540540540540535</v>
      </c>
      <c r="Q25" s="21"/>
      <c r="R25" s="21"/>
      <c r="T25" s="48"/>
      <c r="U25" s="48"/>
    </row>
    <row r="26" spans="1:21" s="25" customFormat="1" x14ac:dyDescent="0.25">
      <c r="A26" s="23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24"/>
      <c r="M26" s="36"/>
      <c r="N26" s="37"/>
      <c r="O26" s="37"/>
      <c r="P26" s="37"/>
      <c r="Q26" s="30"/>
    </row>
    <row r="27" spans="1:21" x14ac:dyDescent="0.25">
      <c r="A27" s="15" t="s">
        <v>10</v>
      </c>
      <c r="B27" s="42">
        <f>R10/(V10*SQRT(3)*U10)</f>
        <v>216.50635094610965</v>
      </c>
      <c r="C27" s="42">
        <f>INDEX(Donnée!N$16:N$40,MATCH(B27,Donnée!N$16:N$40,-1))</f>
        <v>400</v>
      </c>
      <c r="D27" s="42">
        <f t="shared" si="6"/>
        <v>227.33166849341515</v>
      </c>
      <c r="E27" s="42">
        <f t="shared" si="7"/>
        <v>227.33166849341515</v>
      </c>
      <c r="F27" s="43">
        <f t="shared" si="8"/>
        <v>0.53144000000000002</v>
      </c>
      <c r="G27" s="44">
        <f>VLOOKUP(H10,Donnée!B$16:C$21,2,FALSE)</f>
        <v>1</v>
      </c>
      <c r="H27" s="44">
        <f>INDEX(Donnée!H$4:S$8,MATCH(M10,Donnée!G$4:G$8,0),K10)*(IF(J10=2,0.8,IF(J10=3,0.73,IF(J10&gt;=4,0.7,1))))</f>
        <v>0.58399999999999996</v>
      </c>
      <c r="I27" s="22">
        <f>INDEX(Donnée!G$17:K$27,MATCH(B10,Donnée!F$17:F$27,0),MATCH(L10,Donnée!G$16:K$16,0))</f>
        <v>0.91</v>
      </c>
      <c r="J27" s="42">
        <f t="shared" si="4"/>
        <v>427.76544575759283</v>
      </c>
      <c r="K27" s="42">
        <f t="shared" si="5"/>
        <v>406.37717346971317</v>
      </c>
      <c r="L27" s="1">
        <v>185</v>
      </c>
      <c r="M27" s="47">
        <f>IF(L27&lt;=16,L27,IF(L27&gt;=35,L27/2,16))</f>
        <v>92.5</v>
      </c>
      <c r="N27" s="60">
        <f t="shared" ref="N27:N32" si="10">SQRT(3)*B27*(U10*(O10*IF(P10="Aluminium",36,22.5)*POWER(10,-3))/L27+O10*0.08*POWER(10,-3)*SIN(ACOS(U10)))+N$22</f>
        <v>8.3571190164486886</v>
      </c>
      <c r="O27" s="60"/>
      <c r="P27" s="34">
        <f t="shared" ref="P27:P32" si="11">100*(N27/V10)</f>
        <v>2.0892797541121721</v>
      </c>
      <c r="Q27" s="21"/>
      <c r="R27" s="21"/>
      <c r="T27" s="48"/>
      <c r="U27" s="48"/>
    </row>
    <row r="28" spans="1:21" x14ac:dyDescent="0.25">
      <c r="A28" s="15" t="s">
        <v>11</v>
      </c>
      <c r="B28" s="42">
        <f>R11/(V11*SQRT(3)*U11)</f>
        <v>57.735026918962568</v>
      </c>
      <c r="C28" s="42">
        <f>INDEX(Donnée!N$16:N$40,MATCH(B28,Donnée!N$16:N$40,-1))</f>
        <v>63</v>
      </c>
      <c r="D28" s="42">
        <f t="shared" si="6"/>
        <v>60.621778264910702</v>
      </c>
      <c r="E28" s="42">
        <f t="shared" si="7"/>
        <v>63</v>
      </c>
      <c r="F28" s="43">
        <f t="shared" si="8"/>
        <v>0.53144000000000002</v>
      </c>
      <c r="G28" s="44">
        <f>VLOOKUP(H11,Donnée!B$16:C$21,2,FALSE)</f>
        <v>1</v>
      </c>
      <c r="H28" s="44">
        <f>INDEX(Donnée!H$4:S$8,MATCH(M11,Donnée!G$4:G$8,0),K11)*(IF(J11=2,0.8,IF(J11=3,0.73,IF(J11&gt;=4,0.7,1))))</f>
        <v>0.58399999999999996</v>
      </c>
      <c r="I28" s="22">
        <f>INDEX(Donnée!G$17:K$27,MATCH(B11,Donnée!F$17:F$27,0),MATCH(L11,Donnée!G$16:K$16,0))</f>
        <v>0.91</v>
      </c>
      <c r="J28" s="42">
        <f t="shared" si="4"/>
        <v>118.54583772391992</v>
      </c>
      <c r="K28" s="42">
        <f t="shared" si="5"/>
        <v>112.61854583772391</v>
      </c>
      <c r="L28" s="1">
        <v>25</v>
      </c>
      <c r="M28" s="47">
        <f t="shared" ref="M28:M32" si="12">IF(L28&lt;=16,L28,IF(L28&gt;=35,L28/2,16))</f>
        <v>16</v>
      </c>
      <c r="N28" s="60">
        <f t="shared" si="10"/>
        <v>9.5713892867189578</v>
      </c>
      <c r="O28" s="60"/>
      <c r="P28" s="34">
        <f t="shared" si="11"/>
        <v>2.3928473216797395</v>
      </c>
      <c r="Q28" s="21"/>
      <c r="R28" s="21"/>
      <c r="T28" s="48"/>
      <c r="U28" s="48"/>
    </row>
    <row r="29" spans="1:21" x14ac:dyDescent="0.25">
      <c r="A29" s="15" t="s">
        <v>12</v>
      </c>
      <c r="B29" s="42">
        <f>R12/(V12*SQRT(3)*U12)</f>
        <v>32.475952641916443</v>
      </c>
      <c r="C29" s="42">
        <f>INDEX(Donnée!N$16:N$40,MATCH(B29,Donnée!N$16:N$40,-1))</f>
        <v>40</v>
      </c>
      <c r="D29" s="42">
        <f t="shared" si="6"/>
        <v>34.099750274012266</v>
      </c>
      <c r="E29" s="42">
        <f t="shared" si="7"/>
        <v>40</v>
      </c>
      <c r="F29" s="43">
        <f t="shared" si="8"/>
        <v>0.53144000000000002</v>
      </c>
      <c r="G29" s="44">
        <f>VLOOKUP(H12,Donnée!B$16:C$21,2,FALSE)</f>
        <v>1</v>
      </c>
      <c r="H29" s="44">
        <f>INDEX(Donnée!H$4:S$8,MATCH(M12,Donnée!G$4:G$8,0),K12)*(IF(J12=2,0.8,IF(J12=3,0.73,IF(J12&gt;=4,0.7,1))))</f>
        <v>0.58399999999999996</v>
      </c>
      <c r="I29" s="22">
        <f>INDEX(Donnée!G$17:K$27,MATCH(B12,Donnée!F$17:F$27,0),MATCH(L12,Donnée!G$16:K$16,0))</f>
        <v>0.91</v>
      </c>
      <c r="J29" s="42">
        <f>E29/F29</f>
        <v>75.267198554869779</v>
      </c>
      <c r="K29" s="42">
        <f>0.95*J29</f>
        <v>71.503838627126285</v>
      </c>
      <c r="L29" s="1">
        <v>10</v>
      </c>
      <c r="M29" s="47">
        <f t="shared" si="12"/>
        <v>10</v>
      </c>
      <c r="N29" s="60">
        <f t="shared" si="10"/>
        <v>10.385889286718959</v>
      </c>
      <c r="O29" s="60"/>
      <c r="P29" s="34">
        <f t="shared" si="11"/>
        <v>2.5964723216797396</v>
      </c>
      <c r="Q29" s="21"/>
      <c r="R29" s="21"/>
      <c r="T29" s="48"/>
      <c r="U29" s="48"/>
    </row>
    <row r="30" spans="1:21" x14ac:dyDescent="0.25">
      <c r="A30" s="15" t="s">
        <v>13</v>
      </c>
      <c r="B30" s="42">
        <f>R13/(V13*U13)</f>
        <v>12.231335261684924</v>
      </c>
      <c r="C30" s="42">
        <f>INDEX(Donnée!N$16:N$40,MATCH(B30,Donnée!N$16:N$40,-1))</f>
        <v>16</v>
      </c>
      <c r="D30" s="42">
        <f t="shared" si="6"/>
        <v>12.84290202476917</v>
      </c>
      <c r="E30" s="42">
        <f t="shared" si="7"/>
        <v>16</v>
      </c>
      <c r="F30" s="43">
        <f t="shared" si="8"/>
        <v>0.53144000000000002</v>
      </c>
      <c r="G30" s="44">
        <f>VLOOKUP(H13,Donnée!B$16:C$21,2,FALSE)</f>
        <v>1</v>
      </c>
      <c r="H30" s="44">
        <f>INDEX(Donnée!H$4:S$8,MATCH(M13,Donnée!G$4:G$8,0),K13)*(IF(J13=2,0.8,IF(J13=3,0.73,IF(J13&gt;=4,0.7,1))))</f>
        <v>0.58399999999999996</v>
      </c>
      <c r="I30" s="22">
        <f>INDEX(Donnée!G$17:K$27,MATCH(B13,Donnée!F$17:F$27,0),MATCH(L13,Donnée!G$16:K$16,0))</f>
        <v>0.91</v>
      </c>
      <c r="J30" s="42">
        <f t="shared" si="4"/>
        <v>30.106879421947912</v>
      </c>
      <c r="K30" s="42">
        <f t="shared" ref="K30:K32" si="13">0.95*J30</f>
        <v>28.601535450850516</v>
      </c>
      <c r="L30" s="1">
        <v>2.5</v>
      </c>
      <c r="M30" s="47">
        <f t="shared" si="12"/>
        <v>2.5</v>
      </c>
      <c r="N30" s="60">
        <f t="shared" si="10"/>
        <v>8.2451511088823786</v>
      </c>
      <c r="O30" s="60"/>
      <c r="P30" s="34">
        <f t="shared" si="11"/>
        <v>3.5702551591667868</v>
      </c>
      <c r="Q30" s="21"/>
      <c r="R30" s="21"/>
      <c r="T30" s="48"/>
      <c r="U30" s="48"/>
    </row>
    <row r="31" spans="1:21" x14ac:dyDescent="0.25">
      <c r="A31" s="15" t="s">
        <v>14</v>
      </c>
      <c r="B31" s="42">
        <f>R14/(V14*U14)</f>
        <v>12.231335261684924</v>
      </c>
      <c r="C31" s="42">
        <f>INDEX(Donnée!N$16:N$40,MATCH(B31,Donnée!N$16:N$40,-1))</f>
        <v>16</v>
      </c>
      <c r="D31" s="42">
        <f t="shared" si="6"/>
        <v>12.84290202476917</v>
      </c>
      <c r="E31" s="42">
        <f t="shared" si="7"/>
        <v>16</v>
      </c>
      <c r="F31" s="43">
        <f t="shared" si="8"/>
        <v>0.53144000000000002</v>
      </c>
      <c r="G31" s="44">
        <f>VLOOKUP(H14,Donnée!B$16:C$21,2,FALSE)</f>
        <v>1</v>
      </c>
      <c r="H31" s="44">
        <f>INDEX(Donnée!H$4:S$8,MATCH(M14,Donnée!G$4:G$8,0),K14)*(IF(J14=2,0.8,IF(J14=3,0.73,IF(J14&gt;=4,0.7,1))))</f>
        <v>0.58399999999999996</v>
      </c>
      <c r="I31" s="22">
        <f>INDEX(Donnée!G$17:K$27,MATCH(B14,Donnée!F$17:F$27,0),MATCH(L14,Donnée!G$16:K$16,0))</f>
        <v>0.91</v>
      </c>
      <c r="J31" s="42">
        <f t="shared" si="4"/>
        <v>30.106879421947912</v>
      </c>
      <c r="K31" s="42">
        <f t="shared" si="13"/>
        <v>28.601535450850516</v>
      </c>
      <c r="L31" s="1">
        <v>2.5</v>
      </c>
      <c r="M31" s="47">
        <f t="shared" si="12"/>
        <v>2.5</v>
      </c>
      <c r="N31" s="60">
        <f t="shared" si="10"/>
        <v>8.5710717162701862</v>
      </c>
      <c r="O31" s="60"/>
      <c r="P31" s="34">
        <f t="shared" si="11"/>
        <v>3.7113829219741343</v>
      </c>
      <c r="Q31" s="21"/>
      <c r="R31" s="21"/>
      <c r="T31" s="48"/>
      <c r="U31" s="48"/>
    </row>
    <row r="32" spans="1:21" ht="15.75" thickBot="1" x14ac:dyDescent="0.3">
      <c r="A32" s="16" t="s">
        <v>15</v>
      </c>
      <c r="B32" s="42">
        <f>R15/(V15*U15)</f>
        <v>12.231335261684924</v>
      </c>
      <c r="C32" s="42">
        <f>INDEX(Donnée!N$16:N$40,MATCH(B32,Donnée!N$16:N$40,-1))</f>
        <v>16</v>
      </c>
      <c r="D32" s="42">
        <f t="shared" si="6"/>
        <v>12.84290202476917</v>
      </c>
      <c r="E32" s="42">
        <f t="shared" si="7"/>
        <v>16</v>
      </c>
      <c r="F32" s="43">
        <f t="shared" si="8"/>
        <v>0.53144000000000002</v>
      </c>
      <c r="G32" s="44">
        <f>VLOOKUP(H15,Donnée!B$16:C$21,2,FALSE)</f>
        <v>1</v>
      </c>
      <c r="H32" s="44">
        <f>INDEX(Donnée!H$4:S$8,MATCH(M15,Donnée!G$4:G$8,0),K15)*(IF(J15=2,0.8,IF(J15=3,0.73,IF(J15&gt;=4,0.7,1))))</f>
        <v>0.58399999999999996</v>
      </c>
      <c r="I32" s="22">
        <f>INDEX(Donnée!G$17:K$27,MATCH(B15,Donnée!F$17:F$27,0),MATCH(L15,Donnée!G$16:K$16,0))</f>
        <v>0.91</v>
      </c>
      <c r="J32" s="42">
        <f t="shared" si="4"/>
        <v>30.106879421947912</v>
      </c>
      <c r="K32" s="42">
        <f t="shared" si="13"/>
        <v>28.601535450850516</v>
      </c>
      <c r="L32" s="1">
        <v>2.5</v>
      </c>
      <c r="M32" s="47">
        <f t="shared" si="12"/>
        <v>2.5</v>
      </c>
      <c r="N32" s="60">
        <f t="shared" si="10"/>
        <v>8.8969923236579938</v>
      </c>
      <c r="O32" s="60"/>
      <c r="P32" s="34">
        <f t="shared" si="11"/>
        <v>3.8525106847814823</v>
      </c>
      <c r="Q32" s="21"/>
      <c r="R32" s="21"/>
      <c r="T32" s="48"/>
      <c r="U32" s="48"/>
    </row>
    <row r="33" spans="12:16" ht="15" customHeight="1" x14ac:dyDescent="0.25">
      <c r="L33" s="49" t="s">
        <v>83</v>
      </c>
      <c r="N33" s="61" t="s">
        <v>82</v>
      </c>
      <c r="O33" s="61"/>
      <c r="P33" s="26"/>
    </row>
    <row r="34" spans="12:16" x14ac:dyDescent="0.25">
      <c r="L34" s="50"/>
      <c r="N34" s="61"/>
      <c r="O34" s="61"/>
      <c r="P34" s="26"/>
    </row>
    <row r="35" spans="12:16" x14ac:dyDescent="0.25">
      <c r="L35" s="50"/>
      <c r="N35" s="61"/>
      <c r="O35" s="61"/>
      <c r="P35" s="26"/>
    </row>
    <row r="36" spans="12:16" x14ac:dyDescent="0.25">
      <c r="L36" s="50"/>
    </row>
    <row r="37" spans="12:16" x14ac:dyDescent="0.25">
      <c r="L37" s="50"/>
    </row>
    <row r="38" spans="12:16" x14ac:dyDescent="0.25">
      <c r="L38" s="50"/>
    </row>
    <row r="39" spans="12:16" x14ac:dyDescent="0.25">
      <c r="L39" s="50"/>
    </row>
  </sheetData>
  <mergeCells count="65">
    <mergeCell ref="N33:O35"/>
    <mergeCell ref="T32:U32"/>
    <mergeCell ref="T27:U27"/>
    <mergeCell ref="T28:U28"/>
    <mergeCell ref="T29:U29"/>
    <mergeCell ref="T30:U30"/>
    <mergeCell ref="T31:U31"/>
    <mergeCell ref="N32:O32"/>
    <mergeCell ref="N31:O31"/>
    <mergeCell ref="N28:O28"/>
    <mergeCell ref="N29:O29"/>
    <mergeCell ref="N30:O30"/>
    <mergeCell ref="N24:O24"/>
    <mergeCell ref="N25:O25"/>
    <mergeCell ref="N20:O20"/>
    <mergeCell ref="N21:O21"/>
    <mergeCell ref="N22:O22"/>
    <mergeCell ref="N23:O23"/>
    <mergeCell ref="N27:O27"/>
    <mergeCell ref="C15:F15"/>
    <mergeCell ref="C4:F4"/>
    <mergeCell ref="C3:F3"/>
    <mergeCell ref="H4:I4"/>
    <mergeCell ref="M13:N13"/>
    <mergeCell ref="C10:F10"/>
    <mergeCell ref="C11:F11"/>
    <mergeCell ref="C12:F12"/>
    <mergeCell ref="C13:F13"/>
    <mergeCell ref="M12:N12"/>
    <mergeCell ref="H5:I5"/>
    <mergeCell ref="M15:N15"/>
    <mergeCell ref="M3:N3"/>
    <mergeCell ref="H10:I10"/>
    <mergeCell ref="H11:I11"/>
    <mergeCell ref="H12:I12"/>
    <mergeCell ref="H13:I13"/>
    <mergeCell ref="H14:I14"/>
    <mergeCell ref="H15:I15"/>
    <mergeCell ref="C5:F5"/>
    <mergeCell ref="C6:F6"/>
    <mergeCell ref="C7:F7"/>
    <mergeCell ref="C8:F8"/>
    <mergeCell ref="M14:N14"/>
    <mergeCell ref="C14:F14"/>
    <mergeCell ref="M4:N4"/>
    <mergeCell ref="H3:I3"/>
    <mergeCell ref="H6:I6"/>
    <mergeCell ref="H7:I7"/>
    <mergeCell ref="H8:I8"/>
    <mergeCell ref="T25:U25"/>
    <mergeCell ref="L33:L39"/>
    <mergeCell ref="B19:P19"/>
    <mergeCell ref="B2:P2"/>
    <mergeCell ref="T20:U20"/>
    <mergeCell ref="T21:U21"/>
    <mergeCell ref="T22:U22"/>
    <mergeCell ref="T23:U23"/>
    <mergeCell ref="T24:U24"/>
    <mergeCell ref="Q2:S2"/>
    <mergeCell ref="M11:N11"/>
    <mergeCell ref="M10:N10"/>
    <mergeCell ref="M8:N8"/>
    <mergeCell ref="M7:N7"/>
    <mergeCell ref="M6:N6"/>
    <mergeCell ref="M5:N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8C2B152-C76B-49AD-B928-60A165FD609B}">
          <x14:formula1>
            <xm:f>Donnée!$B$3:$B$11</xm:f>
          </x14:formula1>
          <xm:sqref>C4:F8 C10:F15</xm:sqref>
        </x14:dataValidation>
        <x14:dataValidation type="list" allowBlank="1" showInputMessage="1" showErrorMessage="1" xr:uid="{AFE3F33F-B725-4B06-9333-DF8BCEED25F1}">
          <x14:formula1>
            <xm:f>Donnée!$B$16:$B$21</xm:f>
          </x14:formula1>
          <xm:sqref>H4:H8 H10:H15</xm:sqref>
        </x14:dataValidation>
        <x14:dataValidation type="list" allowBlank="1" showInputMessage="1" showErrorMessage="1" xr:uid="{64BA6E7F-0207-4254-9229-222213269261}">
          <x14:formula1>
            <xm:f>Donnée!$B$25:$B$29</xm:f>
          </x14:formula1>
          <xm:sqref>L4:L8 L10:L15</xm:sqref>
        </x14:dataValidation>
        <x14:dataValidation type="list" allowBlank="1" showInputMessage="1" showErrorMessage="1" xr:uid="{01A49926-E193-49F2-BF89-1B5A85EE3142}">
          <x14:formula1>
            <xm:f>Donnée!$G$4:$G$8</xm:f>
          </x14:formula1>
          <xm:sqref>M4:M8 M10:M15</xm:sqref>
        </x14:dataValidation>
        <x14:dataValidation type="list" showInputMessage="1" showErrorMessage="1" xr:uid="{5C3ED890-9969-4124-893E-F6DD0DDF555B}">
          <x14:formula1>
            <xm:f>Donnée!$P$16:$P$17</xm:f>
          </x14:formula1>
          <xm:sqref>P4:P8 P10:P15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A660-0D38-4173-AA3B-A4FB180EE76F}">
  <dimension ref="A1:AE57"/>
  <sheetViews>
    <sheetView topLeftCell="I13" workbookViewId="0">
      <selection activeCell="N16" sqref="N16:N40"/>
    </sheetView>
  </sheetViews>
  <sheetFormatPr baseColWidth="10" defaultRowHeight="15" x14ac:dyDescent="0.25"/>
  <cols>
    <col min="2" max="2" width="44.5703125" customWidth="1"/>
    <col min="7" max="7" width="24.7109375" customWidth="1"/>
  </cols>
  <sheetData>
    <row r="1" spans="1:31" ht="15.75" thickBot="1" x14ac:dyDescent="0.3"/>
    <row r="2" spans="1:31" x14ac:dyDescent="0.25">
      <c r="B2" s="62" t="s">
        <v>40</v>
      </c>
      <c r="C2" s="54"/>
      <c r="D2" s="7"/>
      <c r="F2" s="62" t="s">
        <v>26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1:31" x14ac:dyDescent="0.25">
      <c r="B3" s="9" t="s">
        <v>44</v>
      </c>
      <c r="C3" s="9" t="s">
        <v>37</v>
      </c>
      <c r="D3" s="6"/>
      <c r="F3" s="1" t="s">
        <v>40</v>
      </c>
      <c r="G3" s="11" t="s">
        <v>41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1">
        <v>9</v>
      </c>
      <c r="Q3" s="1">
        <v>12</v>
      </c>
      <c r="R3" s="1">
        <v>15</v>
      </c>
      <c r="S3" s="1">
        <v>20</v>
      </c>
      <c r="V3" s="63" t="s">
        <v>74</v>
      </c>
      <c r="W3" s="64"/>
      <c r="X3" s="64"/>
      <c r="Y3" s="64"/>
      <c r="Z3" s="64"/>
      <c r="AA3" s="64"/>
      <c r="AB3" s="64"/>
      <c r="AC3" s="64"/>
      <c r="AD3" s="64"/>
      <c r="AE3" s="65"/>
    </row>
    <row r="4" spans="1:31" x14ac:dyDescent="0.25">
      <c r="B4" s="9" t="s">
        <v>34</v>
      </c>
      <c r="C4" s="9" t="s">
        <v>37</v>
      </c>
      <c r="D4" s="6"/>
      <c r="F4" s="1" t="s">
        <v>38</v>
      </c>
      <c r="G4" s="11" t="s">
        <v>57</v>
      </c>
      <c r="H4" s="1">
        <v>1</v>
      </c>
      <c r="I4" s="1">
        <v>0.8</v>
      </c>
      <c r="J4" s="1">
        <v>0.7</v>
      </c>
      <c r="K4" s="1">
        <v>0.65</v>
      </c>
      <c r="L4" s="1">
        <v>0.6</v>
      </c>
      <c r="M4" s="1">
        <v>0.56999999999999995</v>
      </c>
      <c r="N4" s="1">
        <v>0.54</v>
      </c>
      <c r="O4" s="1">
        <v>0.52</v>
      </c>
      <c r="P4" s="1">
        <v>0.5</v>
      </c>
      <c r="Q4" s="1">
        <v>0.45</v>
      </c>
      <c r="R4" s="1">
        <v>0.41</v>
      </c>
      <c r="S4" s="1">
        <v>0.38</v>
      </c>
      <c r="V4" s="18" t="s">
        <v>38</v>
      </c>
      <c r="W4" s="18" t="s">
        <v>31</v>
      </c>
      <c r="X4" s="18" t="s">
        <v>30</v>
      </c>
      <c r="Y4" s="18"/>
      <c r="Z4" s="18" t="s">
        <v>33</v>
      </c>
      <c r="AA4" s="18"/>
      <c r="AB4" s="18" t="s">
        <v>32</v>
      </c>
      <c r="AC4" s="18"/>
      <c r="AD4" s="18"/>
      <c r="AE4" s="18"/>
    </row>
    <row r="5" spans="1:31" ht="15" customHeight="1" x14ac:dyDescent="0.25">
      <c r="B5" s="9" t="s">
        <v>35</v>
      </c>
      <c r="C5" s="9" t="s">
        <v>37</v>
      </c>
      <c r="D5" s="6"/>
      <c r="F5" s="9" t="s">
        <v>39</v>
      </c>
      <c r="G5" s="12" t="s">
        <v>58</v>
      </c>
      <c r="H5" s="9">
        <v>1</v>
      </c>
      <c r="I5" s="9">
        <v>0.85</v>
      </c>
      <c r="J5" s="9">
        <v>0.7</v>
      </c>
      <c r="K5" s="9">
        <v>0.75</v>
      </c>
      <c r="L5" s="9">
        <v>0.73</v>
      </c>
      <c r="M5" s="9">
        <v>0.72</v>
      </c>
      <c r="N5" s="9">
        <v>0.72</v>
      </c>
      <c r="O5" s="9">
        <v>0.71</v>
      </c>
      <c r="P5" s="9">
        <v>0.7</v>
      </c>
      <c r="Q5" s="9">
        <v>0.7</v>
      </c>
      <c r="R5" s="9"/>
      <c r="S5" s="9"/>
      <c r="V5" s="18" t="s">
        <v>39</v>
      </c>
      <c r="W5" s="18"/>
      <c r="X5" s="18" t="s">
        <v>31</v>
      </c>
      <c r="Y5" s="18"/>
      <c r="Z5" s="18" t="s">
        <v>30</v>
      </c>
      <c r="AA5" s="18" t="s">
        <v>33</v>
      </c>
      <c r="AB5" s="18"/>
      <c r="AC5" s="18" t="s">
        <v>32</v>
      </c>
      <c r="AD5" s="18"/>
      <c r="AE5" s="18"/>
    </row>
    <row r="6" spans="1:31" x14ac:dyDescent="0.25">
      <c r="B6" s="9" t="s">
        <v>42</v>
      </c>
      <c r="C6" s="9" t="s">
        <v>39</v>
      </c>
      <c r="F6" s="9" t="s">
        <v>39</v>
      </c>
      <c r="G6" s="12" t="s">
        <v>59</v>
      </c>
      <c r="H6" s="9">
        <v>0.95</v>
      </c>
      <c r="I6" s="9">
        <v>0.81</v>
      </c>
      <c r="J6" s="9">
        <v>0.72</v>
      </c>
      <c r="K6" s="9">
        <v>0.68</v>
      </c>
      <c r="L6" s="9">
        <v>0.56000000000000005</v>
      </c>
      <c r="M6" s="9">
        <v>0.64</v>
      </c>
      <c r="N6" s="9">
        <v>0.63</v>
      </c>
      <c r="O6" s="9">
        <v>0.62</v>
      </c>
      <c r="P6" s="9">
        <v>0.61</v>
      </c>
      <c r="Q6" s="9">
        <v>0.61</v>
      </c>
      <c r="R6" s="9"/>
      <c r="S6" s="9"/>
      <c r="V6" s="18" t="s">
        <v>37</v>
      </c>
      <c r="W6" s="18"/>
      <c r="X6" s="18"/>
      <c r="Y6" s="18" t="s">
        <v>31</v>
      </c>
      <c r="Z6" s="18"/>
      <c r="AA6" s="18" t="s">
        <v>30</v>
      </c>
      <c r="AB6" s="18" t="s">
        <v>33</v>
      </c>
      <c r="AC6" s="18"/>
      <c r="AD6" s="18" t="s">
        <v>32</v>
      </c>
      <c r="AE6" s="18"/>
    </row>
    <row r="7" spans="1:31" ht="15" customHeight="1" x14ac:dyDescent="0.25">
      <c r="B7" s="9" t="s">
        <v>43</v>
      </c>
      <c r="C7" s="9" t="s">
        <v>39</v>
      </c>
      <c r="F7" s="9" t="s">
        <v>37</v>
      </c>
      <c r="G7" s="12" t="s">
        <v>60</v>
      </c>
      <c r="H7" s="9">
        <v>1</v>
      </c>
      <c r="I7" s="9">
        <v>0.88</v>
      </c>
      <c r="J7" s="9">
        <v>0.82</v>
      </c>
      <c r="K7" s="9">
        <v>0.77</v>
      </c>
      <c r="L7" s="9">
        <v>0.75</v>
      </c>
      <c r="M7" s="9">
        <v>0.73</v>
      </c>
      <c r="N7" s="9">
        <v>0.73</v>
      </c>
      <c r="O7" s="9">
        <v>0.72</v>
      </c>
      <c r="P7" s="9">
        <v>0.72</v>
      </c>
      <c r="Q7" s="9">
        <v>0.72</v>
      </c>
      <c r="R7" s="9"/>
      <c r="S7" s="9"/>
      <c r="V7" s="18" t="s">
        <v>70</v>
      </c>
      <c r="W7" s="18"/>
      <c r="X7" s="18"/>
      <c r="Y7" s="18"/>
      <c r="Z7" s="18" t="s">
        <v>31</v>
      </c>
      <c r="AA7" s="18"/>
      <c r="AB7" s="18" t="s">
        <v>30</v>
      </c>
      <c r="AC7" s="18" t="s">
        <v>33</v>
      </c>
      <c r="AD7" s="18"/>
      <c r="AE7" s="18" t="s">
        <v>32</v>
      </c>
    </row>
    <row r="8" spans="1:31" x14ac:dyDescent="0.25">
      <c r="B8" s="9" t="s">
        <v>45</v>
      </c>
      <c r="C8" s="9" t="s">
        <v>38</v>
      </c>
      <c r="F8" s="9" t="s">
        <v>37</v>
      </c>
      <c r="G8" s="12" t="s">
        <v>61</v>
      </c>
      <c r="H8" s="9">
        <v>1</v>
      </c>
      <c r="I8" s="9">
        <v>0.87</v>
      </c>
      <c r="J8" s="9">
        <v>0.82</v>
      </c>
      <c r="K8" s="9">
        <v>0.8</v>
      </c>
      <c r="L8" s="9">
        <v>0.8</v>
      </c>
      <c r="M8" s="9">
        <v>0.79</v>
      </c>
      <c r="N8" s="9">
        <v>0.79</v>
      </c>
      <c r="O8" s="9">
        <v>0.78</v>
      </c>
      <c r="P8" s="9">
        <v>0.78</v>
      </c>
      <c r="Q8" s="9">
        <v>0.78</v>
      </c>
      <c r="R8" s="9"/>
      <c r="S8" s="9"/>
      <c r="W8">
        <v>1</v>
      </c>
      <c r="X8">
        <v>2</v>
      </c>
      <c r="Y8">
        <v>3</v>
      </c>
      <c r="Z8">
        <v>4</v>
      </c>
      <c r="AA8">
        <v>5</v>
      </c>
      <c r="AB8">
        <v>6</v>
      </c>
      <c r="AC8">
        <v>7</v>
      </c>
      <c r="AD8">
        <v>8</v>
      </c>
      <c r="AE8">
        <v>9</v>
      </c>
    </row>
    <row r="9" spans="1:31" x14ac:dyDescent="0.25">
      <c r="B9" s="9" t="s">
        <v>46</v>
      </c>
      <c r="C9" s="9" t="s">
        <v>38</v>
      </c>
      <c r="V9" s="18" t="s">
        <v>71</v>
      </c>
      <c r="W9" s="63" t="s">
        <v>72</v>
      </c>
      <c r="X9" s="64"/>
      <c r="Y9" s="64"/>
      <c r="Z9" s="64"/>
      <c r="AA9" s="64"/>
      <c r="AB9" s="64"/>
      <c r="AC9" s="64"/>
      <c r="AD9" s="64"/>
      <c r="AE9" s="65"/>
    </row>
    <row r="10" spans="1:31" x14ac:dyDescent="0.25">
      <c r="B10" s="9" t="s">
        <v>47</v>
      </c>
      <c r="C10" s="9" t="s">
        <v>38</v>
      </c>
      <c r="V10" s="18">
        <v>1.5</v>
      </c>
      <c r="W10" s="18">
        <v>15.5</v>
      </c>
      <c r="X10" s="18">
        <v>17.5</v>
      </c>
      <c r="Y10" s="18">
        <v>18.5</v>
      </c>
      <c r="Z10" s="18">
        <v>19.5</v>
      </c>
      <c r="AA10" s="18">
        <v>22</v>
      </c>
      <c r="AB10" s="18">
        <v>23</v>
      </c>
      <c r="AC10" s="18">
        <v>24</v>
      </c>
      <c r="AD10" s="18">
        <v>26</v>
      </c>
      <c r="AE10" s="20"/>
    </row>
    <row r="11" spans="1:31" x14ac:dyDescent="0.25">
      <c r="B11" s="9" t="s">
        <v>48</v>
      </c>
      <c r="C11" s="9" t="s">
        <v>49</v>
      </c>
      <c r="V11" s="18">
        <v>2.5</v>
      </c>
      <c r="W11" s="18">
        <v>21</v>
      </c>
      <c r="X11" s="18">
        <v>24</v>
      </c>
      <c r="Y11" s="18">
        <v>25</v>
      </c>
      <c r="Z11" s="18">
        <v>27</v>
      </c>
      <c r="AA11" s="18">
        <v>30</v>
      </c>
      <c r="AB11" s="18">
        <v>31</v>
      </c>
      <c r="AC11" s="18">
        <v>33</v>
      </c>
      <c r="AD11" s="18">
        <v>36</v>
      </c>
      <c r="AE11" s="20"/>
    </row>
    <row r="12" spans="1:31" x14ac:dyDescent="0.25">
      <c r="V12" s="18">
        <v>4</v>
      </c>
      <c r="W12" s="18">
        <v>28</v>
      </c>
      <c r="X12" s="18">
        <v>32</v>
      </c>
      <c r="Y12" s="18">
        <v>34</v>
      </c>
      <c r="Z12" s="18">
        <v>36</v>
      </c>
      <c r="AA12" s="18">
        <v>40</v>
      </c>
      <c r="AB12" s="18">
        <v>42</v>
      </c>
      <c r="AC12" s="18">
        <v>45</v>
      </c>
      <c r="AD12" s="18">
        <v>49</v>
      </c>
      <c r="AE12" s="20"/>
    </row>
    <row r="13" spans="1:31" x14ac:dyDescent="0.25">
      <c r="V13" s="18">
        <v>6</v>
      </c>
      <c r="W13" s="18">
        <v>36</v>
      </c>
      <c r="X13" s="18">
        <v>41</v>
      </c>
      <c r="Y13" s="18">
        <v>43</v>
      </c>
      <c r="Z13" s="18">
        <v>48</v>
      </c>
      <c r="AA13" s="18">
        <v>51</v>
      </c>
      <c r="AB13" s="18">
        <v>54</v>
      </c>
      <c r="AC13" s="18">
        <v>58</v>
      </c>
      <c r="AD13" s="18">
        <v>63</v>
      </c>
      <c r="AE13" s="20"/>
    </row>
    <row r="14" spans="1:31" ht="15.75" thickBot="1" x14ac:dyDescent="0.3">
      <c r="V14" s="18">
        <v>10</v>
      </c>
      <c r="W14" s="18">
        <v>50</v>
      </c>
      <c r="X14" s="18">
        <v>57</v>
      </c>
      <c r="Y14" s="18">
        <v>60</v>
      </c>
      <c r="Z14" s="18">
        <v>63</v>
      </c>
      <c r="AA14" s="18">
        <v>70</v>
      </c>
      <c r="AB14" s="18">
        <v>75</v>
      </c>
      <c r="AC14" s="18">
        <v>80</v>
      </c>
      <c r="AD14" s="18">
        <v>86</v>
      </c>
      <c r="AE14" s="20"/>
    </row>
    <row r="15" spans="1:31" x14ac:dyDescent="0.25">
      <c r="A15" s="62" t="s">
        <v>25</v>
      </c>
      <c r="B15" s="53"/>
      <c r="C15" s="54"/>
      <c r="F15" s="62" t="s">
        <v>27</v>
      </c>
      <c r="G15" s="53"/>
      <c r="H15" s="53"/>
      <c r="I15" s="53"/>
      <c r="J15" s="53"/>
      <c r="K15" s="54"/>
      <c r="N15" s="1" t="s">
        <v>21</v>
      </c>
      <c r="P15" s="1" t="s">
        <v>79</v>
      </c>
      <c r="V15" s="18">
        <v>16</v>
      </c>
      <c r="W15" s="18">
        <v>68</v>
      </c>
      <c r="X15" s="18">
        <v>76</v>
      </c>
      <c r="Y15" s="18">
        <v>80</v>
      </c>
      <c r="Z15" s="18">
        <v>85</v>
      </c>
      <c r="AA15" s="18">
        <v>94</v>
      </c>
      <c r="AB15" s="18">
        <v>100</v>
      </c>
      <c r="AC15" s="18">
        <v>107</v>
      </c>
      <c r="AD15" s="18">
        <v>115</v>
      </c>
      <c r="AE15" s="20"/>
    </row>
    <row r="16" spans="1:31" x14ac:dyDescent="0.25">
      <c r="A16" s="1" t="s">
        <v>38</v>
      </c>
      <c r="B16" s="1" t="s">
        <v>50</v>
      </c>
      <c r="C16" s="1">
        <v>0.7</v>
      </c>
      <c r="F16" s="13" t="s">
        <v>62</v>
      </c>
      <c r="G16" s="1" t="s">
        <v>56</v>
      </c>
      <c r="H16" s="1" t="s">
        <v>30</v>
      </c>
      <c r="I16" s="1" t="s">
        <v>31</v>
      </c>
      <c r="J16" s="1" t="s">
        <v>32</v>
      </c>
      <c r="K16" s="1" t="s">
        <v>33</v>
      </c>
      <c r="N16" s="1">
        <v>1250</v>
      </c>
      <c r="P16" s="1" t="s">
        <v>80</v>
      </c>
      <c r="V16" s="18">
        <v>25</v>
      </c>
      <c r="W16" s="18">
        <v>89</v>
      </c>
      <c r="X16" s="18">
        <v>96</v>
      </c>
      <c r="Y16" s="18">
        <v>101</v>
      </c>
      <c r="Z16" s="18">
        <v>112</v>
      </c>
      <c r="AA16" s="18">
        <v>119</v>
      </c>
      <c r="AB16" s="18">
        <v>127</v>
      </c>
      <c r="AC16" s="18">
        <v>138</v>
      </c>
      <c r="AD16" s="18">
        <v>149</v>
      </c>
      <c r="AE16" s="18">
        <v>161</v>
      </c>
    </row>
    <row r="17" spans="1:31" x14ac:dyDescent="0.25">
      <c r="A17" s="1" t="s">
        <v>38</v>
      </c>
      <c r="B17" s="1" t="s">
        <v>51</v>
      </c>
      <c r="C17" s="1">
        <v>0.77</v>
      </c>
      <c r="F17" s="1">
        <v>10</v>
      </c>
      <c r="G17" s="1">
        <v>1.29</v>
      </c>
      <c r="H17" s="1">
        <v>1.22</v>
      </c>
      <c r="I17" s="1">
        <v>1.22</v>
      </c>
      <c r="J17" s="1">
        <v>1.1499999999999999</v>
      </c>
      <c r="K17" s="1">
        <v>1.1499999999999999</v>
      </c>
      <c r="N17" s="1">
        <v>800</v>
      </c>
      <c r="P17" s="1" t="s">
        <v>81</v>
      </c>
      <c r="V17" s="18">
        <v>35</v>
      </c>
      <c r="W17" s="18">
        <v>110</v>
      </c>
      <c r="X17" s="18">
        <v>119</v>
      </c>
      <c r="Y17" s="18">
        <v>126</v>
      </c>
      <c r="Z17" s="18">
        <v>138</v>
      </c>
      <c r="AA17" s="18">
        <v>147</v>
      </c>
      <c r="AB17" s="18">
        <v>158</v>
      </c>
      <c r="AC17" s="18">
        <v>169</v>
      </c>
      <c r="AD17" s="18">
        <v>185</v>
      </c>
      <c r="AE17" s="18">
        <v>200</v>
      </c>
    </row>
    <row r="18" spans="1:31" x14ac:dyDescent="0.25">
      <c r="A18" s="1" t="s">
        <v>38</v>
      </c>
      <c r="B18" s="1" t="s">
        <v>52</v>
      </c>
      <c r="C18" s="1">
        <v>0.9</v>
      </c>
      <c r="F18" s="1">
        <v>15</v>
      </c>
      <c r="G18" s="1">
        <v>1.22</v>
      </c>
      <c r="H18" s="1">
        <v>1.17</v>
      </c>
      <c r="I18" s="1">
        <v>1.17</v>
      </c>
      <c r="J18" s="1">
        <v>1.1200000000000001</v>
      </c>
      <c r="K18" s="1">
        <v>1.1200000000000001</v>
      </c>
      <c r="N18" s="1">
        <v>630</v>
      </c>
      <c r="V18" s="18">
        <v>50</v>
      </c>
      <c r="W18" s="18">
        <v>134</v>
      </c>
      <c r="X18" s="18">
        <v>144</v>
      </c>
      <c r="Y18" s="18">
        <v>153</v>
      </c>
      <c r="Z18" s="18">
        <v>168</v>
      </c>
      <c r="AA18" s="18">
        <v>179</v>
      </c>
      <c r="AB18" s="18">
        <v>192</v>
      </c>
      <c r="AC18" s="18">
        <v>207</v>
      </c>
      <c r="AD18" s="18">
        <v>225</v>
      </c>
      <c r="AE18" s="18">
        <v>242</v>
      </c>
    </row>
    <row r="19" spans="1:31" x14ac:dyDescent="0.25">
      <c r="A19" s="1" t="s">
        <v>38</v>
      </c>
      <c r="B19" s="1" t="s">
        <v>53</v>
      </c>
      <c r="C19" s="1">
        <v>0.95</v>
      </c>
      <c r="F19" s="1">
        <v>20</v>
      </c>
      <c r="G19" s="1">
        <v>1.1499999999999999</v>
      </c>
      <c r="H19" s="1">
        <v>1.1200000000000001</v>
      </c>
      <c r="I19" s="1">
        <v>1.1200000000000001</v>
      </c>
      <c r="J19" s="1">
        <v>1.08</v>
      </c>
      <c r="K19" s="1">
        <v>1.08</v>
      </c>
      <c r="N19" s="1">
        <v>400</v>
      </c>
      <c r="V19" s="18">
        <v>70</v>
      </c>
      <c r="W19" s="18">
        <v>171</v>
      </c>
      <c r="X19" s="18">
        <v>184</v>
      </c>
      <c r="Y19" s="18">
        <v>196</v>
      </c>
      <c r="Z19" s="18">
        <v>213</v>
      </c>
      <c r="AA19" s="18">
        <v>229</v>
      </c>
      <c r="AB19" s="18">
        <v>246</v>
      </c>
      <c r="AC19" s="18">
        <v>268</v>
      </c>
      <c r="AD19" s="18">
        <v>289</v>
      </c>
      <c r="AE19" s="18">
        <v>310</v>
      </c>
    </row>
    <row r="20" spans="1:31" x14ac:dyDescent="0.25">
      <c r="A20" s="1" t="s">
        <v>39</v>
      </c>
      <c r="B20" s="1" t="s">
        <v>54</v>
      </c>
      <c r="C20" s="1">
        <v>0.95</v>
      </c>
      <c r="F20" s="1">
        <v>25</v>
      </c>
      <c r="G20" s="1">
        <v>1.07</v>
      </c>
      <c r="H20" s="1">
        <v>1.07</v>
      </c>
      <c r="I20" s="1">
        <v>1.07</v>
      </c>
      <c r="J20" s="1">
        <v>1.04</v>
      </c>
      <c r="K20" s="1">
        <v>1.04</v>
      </c>
      <c r="N20" s="1">
        <v>200</v>
      </c>
      <c r="V20" s="18">
        <v>95</v>
      </c>
      <c r="W20" s="18">
        <v>207</v>
      </c>
      <c r="X20" s="18">
        <v>223</v>
      </c>
      <c r="Y20" s="18">
        <v>238</v>
      </c>
      <c r="Z20" s="18">
        <v>258</v>
      </c>
      <c r="AA20" s="18">
        <v>278</v>
      </c>
      <c r="AB20" s="18">
        <v>298</v>
      </c>
      <c r="AC20" s="18">
        <v>328</v>
      </c>
      <c r="AD20" s="18">
        <v>352</v>
      </c>
      <c r="AE20" s="18">
        <v>377</v>
      </c>
    </row>
    <row r="21" spans="1:31" x14ac:dyDescent="0.25">
      <c r="A21" s="1"/>
      <c r="B21" s="1" t="s">
        <v>48</v>
      </c>
      <c r="C21" s="1">
        <v>1</v>
      </c>
      <c r="F21" s="1">
        <v>30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N21" s="1">
        <v>160</v>
      </c>
      <c r="V21" s="18">
        <v>120</v>
      </c>
      <c r="W21" s="18">
        <v>239</v>
      </c>
      <c r="X21" s="18">
        <v>259</v>
      </c>
      <c r="Y21" s="18">
        <v>276</v>
      </c>
      <c r="Z21" s="18">
        <v>299</v>
      </c>
      <c r="AA21" s="18">
        <v>322</v>
      </c>
      <c r="AB21" s="18">
        <v>346</v>
      </c>
      <c r="AC21" s="18">
        <v>382</v>
      </c>
      <c r="AD21" s="18">
        <v>410</v>
      </c>
      <c r="AE21" s="18">
        <v>437</v>
      </c>
    </row>
    <row r="22" spans="1:31" x14ac:dyDescent="0.25">
      <c r="F22" s="1">
        <v>35</v>
      </c>
      <c r="G22" s="1">
        <v>0.93</v>
      </c>
      <c r="H22" s="1">
        <v>0.93</v>
      </c>
      <c r="I22" s="1">
        <v>0.93</v>
      </c>
      <c r="J22" s="1">
        <v>0.96</v>
      </c>
      <c r="K22" s="1">
        <v>0.96</v>
      </c>
      <c r="N22" s="1">
        <v>125</v>
      </c>
      <c r="V22" s="18">
        <v>150</v>
      </c>
      <c r="W22" s="20"/>
      <c r="X22" s="18">
        <v>299</v>
      </c>
      <c r="Y22" s="18">
        <v>319</v>
      </c>
      <c r="Z22" s="18">
        <v>344</v>
      </c>
      <c r="AA22" s="18">
        <v>371</v>
      </c>
      <c r="AB22" s="18">
        <v>395</v>
      </c>
      <c r="AC22" s="18">
        <v>441</v>
      </c>
      <c r="AD22" s="18">
        <v>473</v>
      </c>
      <c r="AE22" s="18">
        <v>504</v>
      </c>
    </row>
    <row r="23" spans="1:31" ht="15.75" thickBot="1" x14ac:dyDescent="0.3">
      <c r="F23" s="1">
        <v>40</v>
      </c>
      <c r="G23" s="1">
        <v>0.82</v>
      </c>
      <c r="H23" s="1">
        <v>0.87</v>
      </c>
      <c r="I23" s="1">
        <v>0.87</v>
      </c>
      <c r="J23" s="1">
        <v>0.91</v>
      </c>
      <c r="K23" s="1">
        <v>0.91</v>
      </c>
      <c r="N23" s="1">
        <v>100</v>
      </c>
      <c r="V23" s="18">
        <v>185</v>
      </c>
      <c r="W23" s="20"/>
      <c r="X23" s="18">
        <v>341</v>
      </c>
      <c r="Y23" s="18">
        <v>364</v>
      </c>
      <c r="Z23" s="18">
        <v>392</v>
      </c>
      <c r="AA23" s="18">
        <v>424</v>
      </c>
      <c r="AB23" s="18">
        <v>450</v>
      </c>
      <c r="AC23" s="18">
        <v>506</v>
      </c>
      <c r="AD23" s="18">
        <v>542</v>
      </c>
      <c r="AE23" s="18">
        <v>575</v>
      </c>
    </row>
    <row r="24" spans="1:31" x14ac:dyDescent="0.25">
      <c r="B24" s="10" t="s">
        <v>55</v>
      </c>
      <c r="F24" s="1">
        <v>45</v>
      </c>
      <c r="G24" s="1">
        <v>0.71</v>
      </c>
      <c r="H24" s="1">
        <v>0.79</v>
      </c>
      <c r="I24" s="1">
        <v>0.79</v>
      </c>
      <c r="J24" s="1">
        <v>0.87</v>
      </c>
      <c r="K24" s="1">
        <v>0.87</v>
      </c>
      <c r="N24" s="1">
        <v>80</v>
      </c>
      <c r="V24" s="18">
        <v>240</v>
      </c>
      <c r="W24" s="20"/>
      <c r="X24" s="18">
        <v>403</v>
      </c>
      <c r="Y24" s="18">
        <v>430</v>
      </c>
      <c r="Z24" s="18">
        <v>461</v>
      </c>
      <c r="AA24" s="18">
        <v>500</v>
      </c>
      <c r="AB24" s="18">
        <v>538</v>
      </c>
      <c r="AC24" s="18">
        <v>599</v>
      </c>
      <c r="AD24" s="18">
        <v>641</v>
      </c>
      <c r="AE24" s="18">
        <v>679</v>
      </c>
    </row>
    <row r="25" spans="1:31" x14ac:dyDescent="0.25">
      <c r="B25" s="1" t="s">
        <v>31</v>
      </c>
      <c r="F25" s="1">
        <v>50</v>
      </c>
      <c r="G25" s="1">
        <v>0.57999999999999996</v>
      </c>
      <c r="H25" s="1">
        <v>0.71</v>
      </c>
      <c r="I25" s="1">
        <v>0.71</v>
      </c>
      <c r="J25" s="1">
        <v>0.82</v>
      </c>
      <c r="K25" s="1">
        <v>0.82</v>
      </c>
      <c r="N25" s="1">
        <v>63</v>
      </c>
      <c r="V25" s="18">
        <v>300</v>
      </c>
      <c r="W25" s="20"/>
      <c r="X25" s="18">
        <v>464</v>
      </c>
      <c r="Y25" s="18">
        <v>497</v>
      </c>
      <c r="Z25" s="18">
        <v>530</v>
      </c>
      <c r="AA25" s="18">
        <v>576</v>
      </c>
      <c r="AB25" s="18">
        <v>621</v>
      </c>
      <c r="AC25" s="18">
        <v>693</v>
      </c>
      <c r="AD25" s="18">
        <v>741</v>
      </c>
      <c r="AE25" s="18">
        <v>783</v>
      </c>
    </row>
    <row r="26" spans="1:31" x14ac:dyDescent="0.25">
      <c r="B26" s="1" t="s">
        <v>30</v>
      </c>
      <c r="F26" s="1">
        <v>55</v>
      </c>
      <c r="G26" s="1"/>
      <c r="H26" s="1">
        <v>0.61</v>
      </c>
      <c r="I26" s="1">
        <v>0.61</v>
      </c>
      <c r="J26" s="1">
        <v>0.76</v>
      </c>
      <c r="K26" s="1">
        <v>0.76</v>
      </c>
      <c r="N26" s="1">
        <v>50</v>
      </c>
      <c r="V26" s="18">
        <v>400</v>
      </c>
      <c r="W26" s="20"/>
      <c r="X26" s="20"/>
      <c r="Y26" s="20"/>
      <c r="Z26" s="20"/>
      <c r="AA26" s="18">
        <v>656</v>
      </c>
      <c r="AB26" s="18">
        <v>754</v>
      </c>
      <c r="AC26" s="18">
        <v>825</v>
      </c>
      <c r="AD26" s="20"/>
      <c r="AE26" s="18">
        <v>940</v>
      </c>
    </row>
    <row r="27" spans="1:31" x14ac:dyDescent="0.25">
      <c r="B27" s="1" t="s">
        <v>33</v>
      </c>
      <c r="F27" s="1">
        <v>60</v>
      </c>
      <c r="G27" s="1"/>
      <c r="H27" s="1">
        <v>0.5</v>
      </c>
      <c r="I27" s="1">
        <v>0.5</v>
      </c>
      <c r="J27" s="1">
        <v>0.71</v>
      </c>
      <c r="K27" s="1">
        <v>0.71</v>
      </c>
      <c r="N27" s="1">
        <v>40</v>
      </c>
      <c r="V27" s="18">
        <v>500</v>
      </c>
      <c r="W27" s="20"/>
      <c r="X27" s="20"/>
      <c r="Y27" s="20"/>
      <c r="Z27" s="20"/>
      <c r="AA27" s="18">
        <v>749</v>
      </c>
      <c r="AB27" s="18">
        <v>868</v>
      </c>
      <c r="AC27" s="18">
        <v>946</v>
      </c>
      <c r="AD27" s="20"/>
      <c r="AE27" s="18">
        <v>1083</v>
      </c>
    </row>
    <row r="28" spans="1:31" x14ac:dyDescent="0.25">
      <c r="B28" s="1" t="s">
        <v>32</v>
      </c>
      <c r="N28" s="1">
        <v>32</v>
      </c>
      <c r="V28" s="18">
        <v>630</v>
      </c>
      <c r="W28" s="20"/>
      <c r="X28" s="20"/>
      <c r="Y28" s="20"/>
      <c r="Z28" s="20"/>
      <c r="AA28" s="18">
        <v>855</v>
      </c>
      <c r="AB28" s="18">
        <v>1005</v>
      </c>
      <c r="AC28" s="18">
        <v>1088</v>
      </c>
      <c r="AD28" s="20"/>
      <c r="AE28" s="18">
        <v>1254</v>
      </c>
    </row>
    <row r="29" spans="1:31" ht="15" customHeight="1" x14ac:dyDescent="0.25">
      <c r="B29" s="1" t="s">
        <v>56</v>
      </c>
      <c r="N29" s="1">
        <v>25</v>
      </c>
      <c r="V29" s="19" t="s">
        <v>71</v>
      </c>
      <c r="W29" s="64" t="s">
        <v>73</v>
      </c>
      <c r="X29" s="64"/>
      <c r="Y29" s="64"/>
      <c r="Z29" s="64"/>
      <c r="AA29" s="64"/>
      <c r="AB29" s="64"/>
      <c r="AC29" s="64"/>
      <c r="AD29" s="64"/>
      <c r="AE29" s="65"/>
    </row>
    <row r="30" spans="1:31" ht="15" customHeight="1" x14ac:dyDescent="0.25">
      <c r="N30" s="1">
        <v>20</v>
      </c>
      <c r="V30" s="18">
        <v>10</v>
      </c>
      <c r="W30" s="18">
        <v>39</v>
      </c>
      <c r="X30" s="18">
        <v>44</v>
      </c>
      <c r="Y30" s="18">
        <v>46</v>
      </c>
      <c r="Z30" s="18">
        <v>49</v>
      </c>
      <c r="AA30" s="18">
        <v>54</v>
      </c>
      <c r="AB30" s="18">
        <v>58</v>
      </c>
      <c r="AC30" s="18">
        <v>62</v>
      </c>
      <c r="AD30" s="18">
        <v>67</v>
      </c>
      <c r="AE30" s="18"/>
    </row>
    <row r="31" spans="1:31" x14ac:dyDescent="0.25">
      <c r="N31" s="1">
        <v>16</v>
      </c>
      <c r="V31" s="18">
        <v>16</v>
      </c>
      <c r="W31" s="18">
        <v>53</v>
      </c>
      <c r="X31" s="18">
        <v>59</v>
      </c>
      <c r="Y31" s="18">
        <v>61</v>
      </c>
      <c r="Z31" s="18">
        <v>66</v>
      </c>
      <c r="AA31" s="18">
        <v>73</v>
      </c>
      <c r="AB31" s="18">
        <v>77</v>
      </c>
      <c r="AC31" s="18">
        <v>84</v>
      </c>
      <c r="AD31" s="18">
        <v>91</v>
      </c>
      <c r="AE31" s="18"/>
    </row>
    <row r="32" spans="1:31" x14ac:dyDescent="0.25">
      <c r="N32" s="1">
        <v>12</v>
      </c>
      <c r="V32" s="18">
        <v>25</v>
      </c>
      <c r="W32" s="18">
        <v>70</v>
      </c>
      <c r="X32" s="18">
        <v>73</v>
      </c>
      <c r="Y32" s="18">
        <v>78</v>
      </c>
      <c r="Z32" s="18">
        <v>83</v>
      </c>
      <c r="AA32" s="18">
        <v>90</v>
      </c>
      <c r="AB32" s="18">
        <v>97</v>
      </c>
      <c r="AC32" s="18">
        <v>101</v>
      </c>
      <c r="AD32" s="18">
        <v>108</v>
      </c>
      <c r="AE32" s="18">
        <v>121</v>
      </c>
    </row>
    <row r="33" spans="14:31" x14ac:dyDescent="0.25">
      <c r="N33" s="1">
        <v>10</v>
      </c>
      <c r="V33" s="18">
        <v>35</v>
      </c>
      <c r="W33" s="18">
        <v>86</v>
      </c>
      <c r="X33" s="18">
        <v>90</v>
      </c>
      <c r="Y33" s="18">
        <v>96</v>
      </c>
      <c r="Z33" s="18">
        <v>103</v>
      </c>
      <c r="AA33" s="18">
        <v>112</v>
      </c>
      <c r="AB33" s="18">
        <v>120</v>
      </c>
      <c r="AC33" s="18">
        <v>126</v>
      </c>
      <c r="AD33" s="18">
        <v>135</v>
      </c>
      <c r="AE33" s="18">
        <v>150</v>
      </c>
    </row>
    <row r="34" spans="14:31" x14ac:dyDescent="0.25">
      <c r="N34" s="1">
        <v>8</v>
      </c>
      <c r="V34" s="18">
        <v>50</v>
      </c>
      <c r="W34" s="18">
        <v>104</v>
      </c>
      <c r="X34" s="18">
        <v>110</v>
      </c>
      <c r="Y34" s="18">
        <v>117</v>
      </c>
      <c r="Z34" s="18">
        <v>125</v>
      </c>
      <c r="AA34" s="18">
        <v>136</v>
      </c>
      <c r="AB34" s="18">
        <v>146</v>
      </c>
      <c r="AC34" s="18">
        <v>154</v>
      </c>
      <c r="AD34" s="18">
        <v>164</v>
      </c>
      <c r="AE34" s="18">
        <v>184</v>
      </c>
    </row>
    <row r="35" spans="14:31" x14ac:dyDescent="0.25">
      <c r="N35" s="1">
        <v>6</v>
      </c>
      <c r="V35" s="18">
        <v>70</v>
      </c>
      <c r="W35" s="18">
        <v>133</v>
      </c>
      <c r="X35" s="18">
        <v>140</v>
      </c>
      <c r="Y35" s="18">
        <v>150</v>
      </c>
      <c r="Z35" s="18">
        <v>160</v>
      </c>
      <c r="AA35" s="18">
        <v>174</v>
      </c>
      <c r="AB35" s="18">
        <v>187</v>
      </c>
      <c r="AC35" s="18">
        <v>198</v>
      </c>
      <c r="AD35" s="18">
        <v>211</v>
      </c>
      <c r="AE35" s="18">
        <v>237</v>
      </c>
    </row>
    <row r="36" spans="14:31" x14ac:dyDescent="0.25">
      <c r="N36" s="1">
        <v>4</v>
      </c>
      <c r="V36" s="18">
        <v>95</v>
      </c>
      <c r="W36" s="18">
        <v>161</v>
      </c>
      <c r="X36" s="18">
        <v>170</v>
      </c>
      <c r="Y36" s="18">
        <v>183</v>
      </c>
      <c r="Z36" s="18">
        <v>195</v>
      </c>
      <c r="AA36" s="18">
        <v>211</v>
      </c>
      <c r="AB36" s="18">
        <v>227</v>
      </c>
      <c r="AC36" s="18">
        <v>241</v>
      </c>
      <c r="AD36" s="18">
        <v>257</v>
      </c>
      <c r="AE36" s="18">
        <v>289</v>
      </c>
    </row>
    <row r="37" spans="14:31" x14ac:dyDescent="0.25">
      <c r="N37" s="1">
        <v>2</v>
      </c>
      <c r="V37" s="18">
        <v>120</v>
      </c>
      <c r="W37" s="18">
        <v>186</v>
      </c>
      <c r="X37" s="18">
        <v>197</v>
      </c>
      <c r="Y37" s="18">
        <v>212</v>
      </c>
      <c r="Z37" s="18">
        <v>226</v>
      </c>
      <c r="AA37" s="18">
        <v>245</v>
      </c>
      <c r="AB37" s="18">
        <v>263</v>
      </c>
      <c r="AC37" s="18">
        <v>280</v>
      </c>
      <c r="AD37" s="18">
        <v>300</v>
      </c>
      <c r="AE37" s="18">
        <v>337</v>
      </c>
    </row>
    <row r="38" spans="14:31" x14ac:dyDescent="0.25">
      <c r="N38" s="1">
        <v>1</v>
      </c>
      <c r="V38" s="18">
        <v>150</v>
      </c>
      <c r="W38" s="20"/>
      <c r="X38" s="18">
        <v>227</v>
      </c>
      <c r="Y38" s="18">
        <v>245</v>
      </c>
      <c r="Z38" s="18">
        <v>261</v>
      </c>
      <c r="AA38" s="18">
        <v>283</v>
      </c>
      <c r="AB38" s="18">
        <v>304</v>
      </c>
      <c r="AC38" s="18">
        <v>324</v>
      </c>
      <c r="AD38" s="18">
        <v>346</v>
      </c>
      <c r="AE38" s="18">
        <v>389</v>
      </c>
    </row>
    <row r="39" spans="14:31" x14ac:dyDescent="0.25">
      <c r="N39" s="1">
        <v>0.5</v>
      </c>
      <c r="V39" s="18">
        <v>185</v>
      </c>
      <c r="W39" s="20"/>
      <c r="X39" s="18">
        <v>259</v>
      </c>
      <c r="Y39" s="18">
        <v>280</v>
      </c>
      <c r="Z39" s="18">
        <v>298</v>
      </c>
      <c r="AA39" s="18">
        <v>323</v>
      </c>
      <c r="AB39" s="18">
        <v>347</v>
      </c>
      <c r="AC39" s="18">
        <v>371</v>
      </c>
      <c r="AD39" s="18">
        <v>397</v>
      </c>
      <c r="AE39" s="18">
        <v>447</v>
      </c>
    </row>
    <row r="40" spans="14:31" x14ac:dyDescent="0.25">
      <c r="N40" s="1"/>
      <c r="V40" s="18">
        <v>240</v>
      </c>
      <c r="W40" s="20"/>
      <c r="X40" s="18">
        <v>305</v>
      </c>
      <c r="Y40" s="18">
        <v>330</v>
      </c>
      <c r="Z40" s="18">
        <v>352</v>
      </c>
      <c r="AA40" s="18">
        <v>382</v>
      </c>
      <c r="AB40" s="18">
        <v>409</v>
      </c>
      <c r="AC40" s="18">
        <v>439</v>
      </c>
      <c r="AD40" s="18">
        <v>470</v>
      </c>
      <c r="AE40" s="18">
        <v>530</v>
      </c>
    </row>
    <row r="41" spans="14:31" x14ac:dyDescent="0.25">
      <c r="V41" s="18">
        <v>300</v>
      </c>
      <c r="W41" s="20"/>
      <c r="X41" s="18">
        <v>351</v>
      </c>
      <c r="Y41" s="18">
        <v>381</v>
      </c>
      <c r="Z41" s="18">
        <v>406</v>
      </c>
      <c r="AA41" s="18">
        <v>440</v>
      </c>
      <c r="AB41" s="18">
        <v>471</v>
      </c>
      <c r="AC41" s="18">
        <v>508</v>
      </c>
      <c r="AD41" s="18">
        <v>543</v>
      </c>
      <c r="AE41" s="18">
        <v>613</v>
      </c>
    </row>
    <row r="42" spans="14:31" x14ac:dyDescent="0.25">
      <c r="V42" s="18">
        <v>400</v>
      </c>
      <c r="W42" s="20"/>
      <c r="X42" s="20"/>
      <c r="Y42" s="20"/>
      <c r="Z42" s="20"/>
      <c r="AA42" s="18">
        <v>526</v>
      </c>
      <c r="AB42" s="18">
        <v>600</v>
      </c>
      <c r="AC42" s="18">
        <v>663</v>
      </c>
      <c r="AD42" s="20"/>
      <c r="AE42" s="18">
        <v>740</v>
      </c>
    </row>
    <row r="43" spans="14:31" x14ac:dyDescent="0.25">
      <c r="V43" s="18">
        <v>500</v>
      </c>
      <c r="W43" s="20"/>
      <c r="X43" s="20"/>
      <c r="Y43" s="20"/>
      <c r="Z43" s="20"/>
      <c r="AA43" s="18">
        <v>610</v>
      </c>
      <c r="AB43" s="18">
        <v>694</v>
      </c>
      <c r="AC43" s="18">
        <v>770</v>
      </c>
      <c r="AD43" s="20"/>
      <c r="AE43" s="18">
        <v>856</v>
      </c>
    </row>
    <row r="44" spans="14:31" x14ac:dyDescent="0.25">
      <c r="V44" s="18">
        <v>630</v>
      </c>
      <c r="W44" s="20"/>
      <c r="X44" s="20"/>
      <c r="Y44" s="20"/>
      <c r="Z44" s="20"/>
      <c r="AA44" s="18">
        <v>711</v>
      </c>
      <c r="AB44" s="18">
        <v>808</v>
      </c>
      <c r="AC44" s="18">
        <v>899</v>
      </c>
      <c r="AD44" s="20"/>
      <c r="AE44" s="18">
        <v>996</v>
      </c>
    </row>
    <row r="46" spans="14:31" x14ac:dyDescent="0.25">
      <c r="V46" t="s">
        <v>5</v>
      </c>
      <c r="W46" s="17"/>
      <c r="X46" s="17"/>
      <c r="Y46" s="17"/>
      <c r="Z46" s="17"/>
      <c r="AA46" s="5"/>
      <c r="AB46" s="5"/>
      <c r="AC46" s="5"/>
      <c r="AD46" s="17"/>
      <c r="AE46" s="5"/>
    </row>
    <row r="47" spans="14:31" x14ac:dyDescent="0.25">
      <c r="V47" t="s">
        <v>6</v>
      </c>
    </row>
    <row r="48" spans="14:31" x14ac:dyDescent="0.25">
      <c r="V48" t="s">
        <v>7</v>
      </c>
    </row>
    <row r="49" spans="22:22" x14ac:dyDescent="0.25">
      <c r="V49" t="s">
        <v>8</v>
      </c>
    </row>
    <row r="50" spans="22:22" x14ac:dyDescent="0.25">
      <c r="V50" t="s">
        <v>9</v>
      </c>
    </row>
    <row r="51" spans="22:22" x14ac:dyDescent="0.25">
      <c r="V51" t="s">
        <v>75</v>
      </c>
    </row>
    <row r="52" spans="22:22" x14ac:dyDescent="0.25">
      <c r="V52" t="s">
        <v>10</v>
      </c>
    </row>
    <row r="53" spans="22:22" x14ac:dyDescent="0.25">
      <c r="V53" t="s">
        <v>11</v>
      </c>
    </row>
    <row r="54" spans="22:22" x14ac:dyDescent="0.25">
      <c r="V54" t="s">
        <v>12</v>
      </c>
    </row>
    <row r="55" spans="22:22" x14ac:dyDescent="0.25">
      <c r="V55" t="s">
        <v>13</v>
      </c>
    </row>
    <row r="56" spans="22:22" x14ac:dyDescent="0.25">
      <c r="V56" t="s">
        <v>14</v>
      </c>
    </row>
    <row r="57" spans="22:22" x14ac:dyDescent="0.25">
      <c r="V57" t="s">
        <v>15</v>
      </c>
    </row>
  </sheetData>
  <sortState ref="N16:N40">
    <sortCondition descending="1" ref="N16"/>
  </sortState>
  <mergeCells count="7">
    <mergeCell ref="F2:S2"/>
    <mergeCell ref="B2:C2"/>
    <mergeCell ref="W9:AE9"/>
    <mergeCell ref="W29:AE29"/>
    <mergeCell ref="V3:AE3"/>
    <mergeCell ref="A15:C15"/>
    <mergeCell ref="F15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Donnée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2020-02-02T17:18:40Z</dcterms:created>
  <dcterms:modified xsi:type="dcterms:W3CDTF">2020-04-20T20:41:00Z</dcterms:modified>
</cp:coreProperties>
</file>