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ctrlProps/ctrlProp4.xml" ContentType="application/vnd.ms-excel.controlproperties+xml"/>
  <Override PartName="/xl/drawings/drawing6.xml" ContentType="application/vnd.openxmlformats-officedocument.drawing+xml"/>
  <Override PartName="/xl/ctrlProps/ctrlProp5.xml" ContentType="application/vnd.ms-excel.controlproperties+xml"/>
  <Override PartName="/xl/drawings/drawing7.xml" ContentType="application/vnd.openxmlformats-officedocument.drawing+xml"/>
  <Override PartName="/xl/ctrlProps/ctrlProp6.xml" ContentType="application/vnd.ms-excel.controlproperties+xml"/>
  <Override PartName="/xl/drawings/drawing8.xml" ContentType="application/vnd.openxmlformats-officedocument.drawing+xml"/>
  <Override PartName="/xl/ctrlProps/ctrlProp7.xml" ContentType="application/vnd.ms-excel.controlproperties+xml"/>
  <Override PartName="/xl/drawings/drawing9.xml" ContentType="application/vnd.openxmlformats-officedocument.drawing+xml"/>
  <Override PartName="/xl/ctrlProps/ctrlProp8.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0.xml" ContentType="application/vnd.openxmlformats-officedocument.drawing+xml"/>
  <Override PartName="/xl/ctrlProps/ctrlProp9.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B03266F0-0317-4C4C-B02E-08B7320F282A}" xr6:coauthVersionLast="47" xr6:coauthVersionMax="47" xr10:uidLastSave="{00000000-0000-0000-0000-000000000000}"/>
  <bookViews>
    <workbookView xWindow="-110" yWindow="-110" windowWidth="19420" windowHeight="10300" activeTab="5" xr2:uid="{5796E8A8-17F2-4F5F-91BC-DC280C78E627}"/>
  </bookViews>
  <sheets>
    <sheet name="CoverPage" sheetId="8" r:id="rId1"/>
    <sheet name="CONTENT" sheetId="14" r:id="rId2"/>
    <sheet name="Dashboard" sheetId="9" r:id="rId3"/>
    <sheet name="financial statement " sheetId="7" r:id="rId4"/>
    <sheet name="Business Valuation" sheetId="2" r:id="rId5"/>
    <sheet name="Assumptions" sheetId="3" r:id="rId6"/>
    <sheet name="Workings " sheetId="4" r:id="rId7"/>
    <sheet name="CAPEX" sheetId="5" r:id="rId8"/>
    <sheet name="Analysis" sheetId="6" r:id="rId9"/>
    <sheet name="Dataset" sheetId="10" r:id="rId10"/>
    <sheet name="PIVOT" sheetId="11" r:id="rId11"/>
  </sheets>
  <definedNames>
    <definedName name="Slicer_Year">#N/A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10" l="1"/>
  <c r="I22" i="10"/>
  <c r="I19" i="10"/>
  <c r="I16" i="10"/>
  <c r="I13" i="10"/>
  <c r="K41" i="11"/>
  <c r="J41" i="11"/>
  <c r="I41" i="11"/>
  <c r="I22" i="2" l="1"/>
  <c r="K4" i="2"/>
  <c r="L4" i="2" s="1"/>
  <c r="M4" i="2" s="1"/>
  <c r="N4" i="2" s="1"/>
  <c r="J141" i="4"/>
  <c r="J142" i="4" s="1"/>
  <c r="J138" i="4"/>
  <c r="J137" i="4"/>
  <c r="J53" i="4" a="1"/>
  <c r="J53" i="4" s="1"/>
  <c r="K15" i="4" a="1"/>
  <c r="K15" i="4" s="1"/>
  <c r="L15" i="4" a="1"/>
  <c r="L15" i="4" s="1"/>
  <c r="M15" i="4" a="1"/>
  <c r="M15" i="4" s="1"/>
  <c r="N15" i="4" a="1"/>
  <c r="N15" i="4" s="1"/>
  <c r="J15" i="4" a="1"/>
  <c r="J15" i="4" s="1"/>
  <c r="K14" i="4" a="1"/>
  <c r="K14" i="4" s="1"/>
  <c r="L14" i="4" a="1"/>
  <c r="L14" i="4" s="1"/>
  <c r="M14" i="4" a="1"/>
  <c r="M14" i="4" s="1"/>
  <c r="N14" i="4" a="1"/>
  <c r="N14" i="4" s="1"/>
  <c r="J14" i="4" a="1"/>
  <c r="J14" i="4" s="1"/>
  <c r="K13" i="4" a="1"/>
  <c r="K13" i="4" s="1"/>
  <c r="L13" i="4" a="1"/>
  <c r="L13" i="4" s="1"/>
  <c r="M13" i="4" a="1"/>
  <c r="M13" i="4" s="1"/>
  <c r="N13" i="4" a="1"/>
  <c r="N13" i="4" s="1"/>
  <c r="J13" i="4" a="1"/>
  <c r="J13" i="4" s="1"/>
  <c r="K12" i="4" a="1"/>
  <c r="K12" i="4" s="1"/>
  <c r="L12" i="4" a="1"/>
  <c r="L12" i="4" s="1"/>
  <c r="M12" i="4" a="1"/>
  <c r="M12" i="4" s="1"/>
  <c r="N12" i="4" a="1"/>
  <c r="N12" i="4" s="1"/>
  <c r="J12" i="4" a="1"/>
  <c r="J12" i="4" s="1"/>
  <c r="K11" i="4" a="1"/>
  <c r="K11" i="4" s="1"/>
  <c r="L11" i="4" a="1"/>
  <c r="L11" i="4" s="1"/>
  <c r="M11" i="4" a="1"/>
  <c r="M11" i="4" s="1"/>
  <c r="N11" i="4" a="1"/>
  <c r="N11" i="4" s="1"/>
  <c r="J11" i="4" a="1"/>
  <c r="J11" i="4" s="1"/>
  <c r="J10" i="4" a="1"/>
  <c r="J10" i="4" s="1"/>
  <c r="K10" i="4" a="1"/>
  <c r="K10" i="4" s="1"/>
  <c r="L10" i="4" a="1"/>
  <c r="L10" i="4" s="1"/>
  <c r="M10" i="4" a="1"/>
  <c r="M10" i="4" s="1"/>
  <c r="N10" i="4" a="1"/>
  <c r="N10" i="4" s="1"/>
  <c r="I21" i="3"/>
  <c r="I19" i="3"/>
  <c r="J143" i="4" l="1"/>
  <c r="J106" i="7"/>
  <c r="K104" i="4"/>
  <c r="K100" i="7" s="1"/>
  <c r="L104" i="4"/>
  <c r="L100" i="7" s="1"/>
  <c r="M104" i="4"/>
  <c r="M100" i="7" s="1"/>
  <c r="N104" i="4"/>
  <c r="N100" i="7" s="1"/>
  <c r="J99" i="7"/>
  <c r="K64" i="7"/>
  <c r="L64" i="7"/>
  <c r="M64" i="7"/>
  <c r="N64" i="7"/>
  <c r="J64" i="7"/>
  <c r="J131" i="4"/>
  <c r="J129" i="4"/>
  <c r="J119" i="4"/>
  <c r="J90" i="7" s="1"/>
  <c r="J117" i="4"/>
  <c r="J107" i="4"/>
  <c r="J102" i="7" s="1"/>
  <c r="J103" i="4"/>
  <c r="F118" i="3"/>
  <c r="J144" i="4" s="1"/>
  <c r="J147" i="4" s="1"/>
  <c r="I20" i="2" s="1"/>
  <c r="K21" i="2" l="1"/>
  <c r="L21" i="2"/>
  <c r="M21" i="2"/>
  <c r="N21" i="2"/>
  <c r="J21" i="2"/>
  <c r="J57" i="5"/>
  <c r="J56" i="5"/>
  <c r="J55" i="5"/>
  <c r="J37" i="5"/>
  <c r="J38" i="5"/>
  <c r="J36" i="5"/>
  <c r="J26" i="5"/>
  <c r="J44" i="5" s="1"/>
  <c r="J50" i="5" s="1"/>
  <c r="K38" i="5" s="1"/>
  <c r="I27" i="5"/>
  <c r="I19" i="5"/>
  <c r="J18" i="5"/>
  <c r="J43" i="5" s="1"/>
  <c r="J65" i="4" s="1"/>
  <c r="I11" i="5"/>
  <c r="J13" i="5" s="1"/>
  <c r="J61" i="5" s="1"/>
  <c r="J70" i="4" s="1"/>
  <c r="J10" i="5"/>
  <c r="J42" i="5" s="1"/>
  <c r="J49" i="4"/>
  <c r="K63" i="3"/>
  <c r="K49" i="4" s="1"/>
  <c r="J51" i="4"/>
  <c r="K64" i="3"/>
  <c r="L64" i="3" s="1"/>
  <c r="K65" i="3"/>
  <c r="K51" i="4" s="1"/>
  <c r="J52" i="4"/>
  <c r="J50" i="4"/>
  <c r="L63" i="3" l="1"/>
  <c r="M63" i="3" s="1"/>
  <c r="N63" i="3" s="1"/>
  <c r="N49" i="4" s="1"/>
  <c r="J64" i="4"/>
  <c r="J48" i="5"/>
  <c r="K36" i="5" s="1"/>
  <c r="J49" i="5"/>
  <c r="K37" i="5" s="1"/>
  <c r="J66" i="4"/>
  <c r="L65" i="3"/>
  <c r="M65" i="3" s="1"/>
  <c r="J54" i="4"/>
  <c r="J88" i="4" s="1"/>
  <c r="J12" i="5"/>
  <c r="J20" i="5"/>
  <c r="J21" i="5"/>
  <c r="J62" i="5" s="1"/>
  <c r="J29" i="5"/>
  <c r="J28" i="5"/>
  <c r="J67" i="4" l="1"/>
  <c r="J94" i="7" s="1"/>
  <c r="L49" i="4"/>
  <c r="M49" i="4"/>
  <c r="L51" i="4"/>
  <c r="N65" i="3"/>
  <c r="N51" i="4" s="1"/>
  <c r="M51" i="4"/>
  <c r="J68" i="5"/>
  <c r="J71" i="4"/>
  <c r="J67" i="5"/>
  <c r="J63" i="5"/>
  <c r="K42" i="4"/>
  <c r="L42" i="4"/>
  <c r="M42" i="4"/>
  <c r="N42" i="4"/>
  <c r="J42" i="4"/>
  <c r="K30" i="4"/>
  <c r="L30" i="4"/>
  <c r="M30" i="4"/>
  <c r="N30" i="4"/>
  <c r="J30" i="4"/>
  <c r="K29" i="4"/>
  <c r="L29" i="4"/>
  <c r="M29" i="4"/>
  <c r="N29" i="4"/>
  <c r="J29" i="4"/>
  <c r="K28" i="4"/>
  <c r="L28" i="4"/>
  <c r="M28" i="4"/>
  <c r="N28" i="4"/>
  <c r="J28" i="4"/>
  <c r="K27" i="4"/>
  <c r="L27" i="4"/>
  <c r="M27" i="4"/>
  <c r="N27" i="4"/>
  <c r="J27" i="4"/>
  <c r="K26" i="4"/>
  <c r="L26" i="4"/>
  <c r="M26" i="4"/>
  <c r="N26" i="4"/>
  <c r="J26" i="4"/>
  <c r="K25" i="4"/>
  <c r="L25" i="4"/>
  <c r="M25" i="4"/>
  <c r="K91" i="3"/>
  <c r="K5" i="4"/>
  <c r="H111" i="3"/>
  <c r="J56" i="4" s="1"/>
  <c r="K95" i="3"/>
  <c r="K87" i="3"/>
  <c r="K67" i="3"/>
  <c r="K53" i="4" s="1" a="1"/>
  <c r="K53" i="4" s="1"/>
  <c r="J83" i="4" l="1"/>
  <c r="J95" i="7"/>
  <c r="J13" i="2"/>
  <c r="J16" i="4"/>
  <c r="J9" i="7" s="1"/>
  <c r="L87" i="3"/>
  <c r="K10" i="5"/>
  <c r="L91" i="3"/>
  <c r="K18" i="5"/>
  <c r="L95" i="3"/>
  <c r="K26" i="5"/>
  <c r="J58" i="4"/>
  <c r="J85" i="4"/>
  <c r="K56" i="5"/>
  <c r="J75" i="5"/>
  <c r="J77" i="4" s="1"/>
  <c r="J69" i="5"/>
  <c r="J72" i="4"/>
  <c r="J73" i="4" s="1"/>
  <c r="J17" i="7" s="1"/>
  <c r="I14" i="10" s="1"/>
  <c r="K55" i="5"/>
  <c r="J74" i="5"/>
  <c r="K50" i="4"/>
  <c r="K52" i="4"/>
  <c r="L67" i="3"/>
  <c r="L53" i="4" s="1" a="1"/>
  <c r="L53" i="4" s="1"/>
  <c r="N16" i="4"/>
  <c r="N9" i="7" s="1"/>
  <c r="N25" i="4"/>
  <c r="N31" i="4" s="1"/>
  <c r="N11" i="7" s="1"/>
  <c r="L16" i="4"/>
  <c r="L9" i="7" s="1"/>
  <c r="K16" i="4"/>
  <c r="K9" i="7" s="1"/>
  <c r="J25" i="4"/>
  <c r="J31" i="4" s="1"/>
  <c r="K31" i="4"/>
  <c r="K11" i="7" s="1"/>
  <c r="L31" i="4"/>
  <c r="L11" i="7" s="1"/>
  <c r="M31" i="4"/>
  <c r="M11" i="7" s="1"/>
  <c r="M16" i="4"/>
  <c r="N12" i="3"/>
  <c r="N43" i="4" s="1"/>
  <c r="N44" i="4" s="1"/>
  <c r="F12" i="10" l="1"/>
  <c r="N13" i="6"/>
  <c r="E12" i="10"/>
  <c r="N89" i="6"/>
  <c r="N96" i="6"/>
  <c r="N101" i="6"/>
  <c r="N95" i="6"/>
  <c r="N11" i="6"/>
  <c r="N18" i="6"/>
  <c r="F11" i="10"/>
  <c r="E10" i="10"/>
  <c r="L95" i="6"/>
  <c r="L11" i="6"/>
  <c r="L96" i="6"/>
  <c r="L89" i="6"/>
  <c r="L101" i="6"/>
  <c r="L18" i="6"/>
  <c r="F9" i="10"/>
  <c r="K13" i="6"/>
  <c r="F10" i="10"/>
  <c r="L13" i="6"/>
  <c r="E8" i="10"/>
  <c r="J11" i="6"/>
  <c r="J18" i="6"/>
  <c r="J107" i="6"/>
  <c r="J100" i="6"/>
  <c r="J89" i="6"/>
  <c r="J96" i="6"/>
  <c r="J95" i="6"/>
  <c r="J91" i="6"/>
  <c r="J103" i="6"/>
  <c r="E9" i="10"/>
  <c r="K18" i="6"/>
  <c r="K95" i="6"/>
  <c r="K11" i="6"/>
  <c r="K89" i="6"/>
  <c r="K96" i="6"/>
  <c r="K101" i="6"/>
  <c r="J19" i="6"/>
  <c r="K13" i="7"/>
  <c r="L13" i="7"/>
  <c r="J87" i="4"/>
  <c r="J11" i="7"/>
  <c r="J13" i="7" s="1"/>
  <c r="M9" i="7"/>
  <c r="N16" i="7"/>
  <c r="J18" i="7"/>
  <c r="N13" i="7"/>
  <c r="J81" i="7"/>
  <c r="J82" i="6" s="1"/>
  <c r="J41" i="7"/>
  <c r="K44" i="5"/>
  <c r="K29" i="5"/>
  <c r="K63" i="5" s="1"/>
  <c r="K72" i="4" s="1"/>
  <c r="K28" i="5"/>
  <c r="M91" i="3"/>
  <c r="L18" i="5"/>
  <c r="L21" i="5" s="1"/>
  <c r="L62" i="5" s="1"/>
  <c r="L71" i="4" s="1"/>
  <c r="M95" i="3"/>
  <c r="L26" i="5"/>
  <c r="L29" i="5" s="1"/>
  <c r="L63" i="5" s="1"/>
  <c r="L72" i="4" s="1"/>
  <c r="K42" i="5"/>
  <c r="K13" i="5"/>
  <c r="K61" i="5" s="1"/>
  <c r="K70" i="4" s="1"/>
  <c r="K12" i="5"/>
  <c r="M87" i="3"/>
  <c r="L10" i="5"/>
  <c r="L13" i="5" s="1"/>
  <c r="L61" i="5" s="1"/>
  <c r="L70" i="4" s="1"/>
  <c r="K43" i="5"/>
  <c r="K20" i="5"/>
  <c r="K21" i="5"/>
  <c r="K62" i="5" s="1"/>
  <c r="K71" i="4" s="1"/>
  <c r="K33" i="4"/>
  <c r="K46" i="7" s="1"/>
  <c r="L33" i="4"/>
  <c r="L46" i="7" s="1"/>
  <c r="K54" i="4"/>
  <c r="K58" i="4" s="1"/>
  <c r="J33" i="4"/>
  <c r="J46" i="7" s="1"/>
  <c r="J18" i="4"/>
  <c r="K18" i="4"/>
  <c r="N33" i="4"/>
  <c r="N46" i="7" s="1"/>
  <c r="L18" i="4"/>
  <c r="M33" i="4"/>
  <c r="M46" i="7" s="1"/>
  <c r="N18" i="4"/>
  <c r="J76" i="4"/>
  <c r="K57" i="5"/>
  <c r="J76" i="5"/>
  <c r="J78" i="4" s="1"/>
  <c r="J42" i="7" s="1"/>
  <c r="L52" i="4"/>
  <c r="M64" i="3"/>
  <c r="L50" i="4"/>
  <c r="M67" i="3"/>
  <c r="M53" i="4" s="1" a="1"/>
  <c r="M53" i="4" s="1"/>
  <c r="M18" i="4"/>
  <c r="K12" i="3"/>
  <c r="K43" i="4" s="1"/>
  <c r="K44" i="4" s="1"/>
  <c r="L12" i="3"/>
  <c r="L43" i="4" s="1"/>
  <c r="L44" i="4" s="1"/>
  <c r="M12" i="3"/>
  <c r="M43" i="4" s="1"/>
  <c r="M44" i="4" s="1"/>
  <c r="J12" i="3"/>
  <c r="J43" i="4" s="1"/>
  <c r="J44" i="4" s="1"/>
  <c r="J16" i="7" s="1"/>
  <c r="L5" i="4"/>
  <c r="M5" i="4" s="1"/>
  <c r="N5" i="4" s="1"/>
  <c r="L5" i="2"/>
  <c r="M5" i="2" s="1"/>
  <c r="K5" i="3"/>
  <c r="K5" i="5"/>
  <c r="L5" i="5" s="1"/>
  <c r="M5" i="5" s="1"/>
  <c r="K5" i="6"/>
  <c r="L5" i="6" s="1"/>
  <c r="M5" i="6" s="1"/>
  <c r="K5" i="7"/>
  <c r="L5" i="7" s="1"/>
  <c r="M5" i="7" s="1"/>
  <c r="K5" i="2"/>
  <c r="G12" i="10" l="1"/>
  <c r="N15" i="6"/>
  <c r="N130" i="6"/>
  <c r="K12" i="10" s="1"/>
  <c r="M13" i="7"/>
  <c r="E11" i="10"/>
  <c r="M96" i="6"/>
  <c r="M101" i="6"/>
  <c r="M95" i="6"/>
  <c r="M18" i="6"/>
  <c r="M11" i="6"/>
  <c r="M89" i="6"/>
  <c r="F8" i="10"/>
  <c r="J13" i="6"/>
  <c r="I15" i="10"/>
  <c r="J20" i="6"/>
  <c r="M13" i="6"/>
  <c r="G10" i="10"/>
  <c r="L130" i="6"/>
  <c r="K10" i="10" s="1"/>
  <c r="L15" i="6"/>
  <c r="G8" i="10"/>
  <c r="J130" i="6"/>
  <c r="K8" i="10" s="1"/>
  <c r="J15" i="6"/>
  <c r="G9" i="10"/>
  <c r="K130" i="6"/>
  <c r="K9" i="10" s="1"/>
  <c r="K15" i="6"/>
  <c r="J15" i="7"/>
  <c r="L86" i="7"/>
  <c r="L87" i="6" s="1"/>
  <c r="N86" i="7"/>
  <c r="N87" i="6" s="1"/>
  <c r="M16" i="7"/>
  <c r="K18" i="7"/>
  <c r="L5" i="3"/>
  <c r="K107" i="4"/>
  <c r="K102" i="7" s="1"/>
  <c r="K103" i="6" s="1"/>
  <c r="L16" i="7"/>
  <c r="K86" i="7"/>
  <c r="K87" i="6" s="1"/>
  <c r="J86" i="7"/>
  <c r="J87" i="6" s="1"/>
  <c r="K16" i="7"/>
  <c r="M86" i="7"/>
  <c r="M87" i="6" s="1"/>
  <c r="J40" i="7"/>
  <c r="K69" i="5"/>
  <c r="L57" i="5" s="1"/>
  <c r="L69" i="5" s="1"/>
  <c r="K67" i="5"/>
  <c r="L55" i="5" s="1"/>
  <c r="L67" i="5" s="1"/>
  <c r="M55" i="5" s="1"/>
  <c r="N91" i="3"/>
  <c r="N18" i="5" s="1"/>
  <c r="M18" i="5"/>
  <c r="K73" i="4"/>
  <c r="K65" i="4"/>
  <c r="K49" i="5"/>
  <c r="K64" i="4"/>
  <c r="K48" i="5"/>
  <c r="L43" i="5"/>
  <c r="L65" i="4" s="1"/>
  <c r="L20" i="5"/>
  <c r="K68" i="5"/>
  <c r="L56" i="5" s="1"/>
  <c r="L68" i="5" s="1"/>
  <c r="M56" i="5" s="1"/>
  <c r="L42" i="5"/>
  <c r="L64" i="4" s="1"/>
  <c r="L12" i="5"/>
  <c r="L44" i="5"/>
  <c r="L66" i="4" s="1"/>
  <c r="L28" i="5"/>
  <c r="L73" i="4"/>
  <c r="N87" i="3"/>
  <c r="N10" i="5" s="1"/>
  <c r="M10" i="5"/>
  <c r="N95" i="3"/>
  <c r="N26" i="5" s="1"/>
  <c r="M26" i="5"/>
  <c r="K66" i="4"/>
  <c r="K50" i="5"/>
  <c r="L38" i="5" s="1"/>
  <c r="M19" i="4"/>
  <c r="M98" i="4"/>
  <c r="N19" i="4"/>
  <c r="N98" i="4"/>
  <c r="L19" i="4"/>
  <c r="L98" i="4"/>
  <c r="K19" i="4"/>
  <c r="K98" i="4"/>
  <c r="J19" i="4"/>
  <c r="J98" i="4"/>
  <c r="L54" i="4"/>
  <c r="L58" i="4" s="1"/>
  <c r="J86" i="4"/>
  <c r="J89" i="4" s="1"/>
  <c r="F116" i="3" s="1"/>
  <c r="J35" i="4"/>
  <c r="M35" i="4"/>
  <c r="L35" i="4"/>
  <c r="N35" i="4"/>
  <c r="K35" i="4"/>
  <c r="J79" i="4"/>
  <c r="N52" i="4"/>
  <c r="M52" i="4"/>
  <c r="N67" i="3"/>
  <c r="N53" i="4" s="1" a="1"/>
  <c r="N53" i="4" s="1"/>
  <c r="N64" i="3"/>
  <c r="N50" i="4" s="1"/>
  <c r="M50" i="4"/>
  <c r="G11" i="10" l="1"/>
  <c r="M130" i="6"/>
  <c r="K11" i="10" s="1"/>
  <c r="M15" i="6"/>
  <c r="I18" i="10"/>
  <c r="K20" i="6"/>
  <c r="J43" i="7"/>
  <c r="J20" i="7"/>
  <c r="J17" i="6"/>
  <c r="K47" i="7"/>
  <c r="M5" i="3"/>
  <c r="L107" i="4"/>
  <c r="L102" i="7" s="1"/>
  <c r="L103" i="6" s="1"/>
  <c r="M47" i="7"/>
  <c r="J91" i="4"/>
  <c r="J92" i="4"/>
  <c r="J104" i="4" s="1"/>
  <c r="L47" i="7"/>
  <c r="J47" i="7"/>
  <c r="N21" i="5"/>
  <c r="N62" i="5" s="1"/>
  <c r="N71" i="4" s="1"/>
  <c r="N47" i="7"/>
  <c r="L18" i="7"/>
  <c r="K17" i="7"/>
  <c r="I17" i="10" s="1"/>
  <c r="L17" i="7"/>
  <c r="I20" i="10" s="1"/>
  <c r="K67" i="4"/>
  <c r="M44" i="5"/>
  <c r="M66" i="4" s="1"/>
  <c r="M28" i="5"/>
  <c r="M29" i="5"/>
  <c r="M63" i="5" s="1"/>
  <c r="M72" i="4" s="1"/>
  <c r="L37" i="5"/>
  <c r="L49" i="5" s="1"/>
  <c r="K75" i="5"/>
  <c r="K77" i="4" s="1"/>
  <c r="M42" i="5"/>
  <c r="M64" i="4" s="1"/>
  <c r="M12" i="5"/>
  <c r="M13" i="5"/>
  <c r="M61" i="5" s="1"/>
  <c r="M70" i="4" s="1"/>
  <c r="N13" i="5"/>
  <c r="N61" i="5" s="1"/>
  <c r="N70" i="4" s="1"/>
  <c r="N42" i="5"/>
  <c r="N64" i="4" s="1"/>
  <c r="N12" i="5"/>
  <c r="M43" i="5"/>
  <c r="M65" i="4" s="1"/>
  <c r="M20" i="5"/>
  <c r="N44" i="5"/>
  <c r="N66" i="4" s="1"/>
  <c r="N28" i="5"/>
  <c r="N43" i="5"/>
  <c r="N65" i="4" s="1"/>
  <c r="N20" i="5"/>
  <c r="L67" i="4"/>
  <c r="N29" i="5"/>
  <c r="N63" i="5" s="1"/>
  <c r="N72" i="4" s="1"/>
  <c r="M21" i="5"/>
  <c r="M62" i="5" s="1"/>
  <c r="M71" i="4" s="1"/>
  <c r="L50" i="5"/>
  <c r="M38" i="5" s="1"/>
  <c r="M50" i="5" s="1"/>
  <c r="N38" i="5" s="1"/>
  <c r="L36" i="5"/>
  <c r="L48" i="5" s="1"/>
  <c r="K74" i="5"/>
  <c r="K76" i="4" s="1"/>
  <c r="K40" i="7" s="1"/>
  <c r="K76" i="5"/>
  <c r="K78" i="4" s="1"/>
  <c r="M54" i="4"/>
  <c r="M58" i="4" s="1"/>
  <c r="N54" i="4"/>
  <c r="N58" i="4" s="1"/>
  <c r="M57" i="5"/>
  <c r="I21" i="10" l="1"/>
  <c r="L20" i="6"/>
  <c r="L19" i="6"/>
  <c r="K19" i="6"/>
  <c r="J22" i="6"/>
  <c r="N87" i="7"/>
  <c r="N88" i="6" s="1"/>
  <c r="M55" i="7"/>
  <c r="N55" i="7"/>
  <c r="J55" i="7"/>
  <c r="J98" i="7" s="1"/>
  <c r="J99" i="6" s="1"/>
  <c r="K55" i="7"/>
  <c r="L55" i="7"/>
  <c r="L94" i="7"/>
  <c r="N5" i="3"/>
  <c r="N107" i="4" s="1"/>
  <c r="N102" i="7" s="1"/>
  <c r="N103" i="6" s="1"/>
  <c r="J87" i="7"/>
  <c r="J88" i="6" s="1"/>
  <c r="K87" i="7"/>
  <c r="K88" i="6" s="1"/>
  <c r="N18" i="7"/>
  <c r="M18" i="7"/>
  <c r="M87" i="7"/>
  <c r="M88" i="6" s="1"/>
  <c r="L87" i="7"/>
  <c r="L88" i="6" s="1"/>
  <c r="K94" i="7"/>
  <c r="J106" i="4"/>
  <c r="J101" i="7" s="1"/>
  <c r="J102" i="6" s="1"/>
  <c r="J100" i="7"/>
  <c r="J101" i="6" s="1"/>
  <c r="J105" i="4"/>
  <c r="J22" i="7" s="1"/>
  <c r="K15" i="7"/>
  <c r="K81" i="7"/>
  <c r="K82" i="6" s="1"/>
  <c r="L15" i="7"/>
  <c r="L81" i="7"/>
  <c r="L82" i="6" s="1"/>
  <c r="K41" i="7"/>
  <c r="K42" i="7"/>
  <c r="M69" i="5"/>
  <c r="N57" i="5" s="1"/>
  <c r="N69" i="5" s="1"/>
  <c r="M73" i="4"/>
  <c r="K79" i="4"/>
  <c r="M67" i="4"/>
  <c r="N50" i="5"/>
  <c r="N67" i="4"/>
  <c r="M37" i="5"/>
  <c r="M49" i="5" s="1"/>
  <c r="L75" i="5"/>
  <c r="L77" i="4" s="1"/>
  <c r="L76" i="5"/>
  <c r="L78" i="4" s="1"/>
  <c r="M67" i="5"/>
  <c r="N55" i="5" s="1"/>
  <c r="N67" i="5" s="1"/>
  <c r="M36" i="5"/>
  <c r="M48" i="5" s="1"/>
  <c r="L74" i="5"/>
  <c r="L76" i="4" s="1"/>
  <c r="L40" i="7" s="1"/>
  <c r="M68" i="5"/>
  <c r="N56" i="5" s="1"/>
  <c r="N68" i="5" s="1"/>
  <c r="N73" i="4"/>
  <c r="J10" i="2" l="1"/>
  <c r="J11" i="2" s="1"/>
  <c r="J24" i="6"/>
  <c r="J122" i="6"/>
  <c r="I24" i="10"/>
  <c r="M20" i="6"/>
  <c r="I27" i="10"/>
  <c r="N20" i="6"/>
  <c r="L20" i="7"/>
  <c r="L17" i="6"/>
  <c r="K20" i="7"/>
  <c r="K17" i="6"/>
  <c r="N76" i="5"/>
  <c r="N78" i="4" s="1"/>
  <c r="K95" i="7"/>
  <c r="K13" i="2"/>
  <c r="L95" i="7"/>
  <c r="L13" i="2"/>
  <c r="K98" i="7"/>
  <c r="K99" i="6" s="1"/>
  <c r="L98" i="7"/>
  <c r="L99" i="6" s="1"/>
  <c r="N98" i="7"/>
  <c r="N99" i="6" s="1"/>
  <c r="J108" i="4"/>
  <c r="J60" i="7" s="1"/>
  <c r="J61" i="7" s="1"/>
  <c r="N94" i="7"/>
  <c r="J103" i="7"/>
  <c r="J104" i="6" s="1"/>
  <c r="M98" i="7"/>
  <c r="M99" i="6" s="1"/>
  <c r="J83" i="7"/>
  <c r="J84" i="6" s="1"/>
  <c r="J24" i="7"/>
  <c r="J26" i="6" s="1"/>
  <c r="M94" i="7"/>
  <c r="K43" i="7"/>
  <c r="L41" i="7"/>
  <c r="L42" i="7"/>
  <c r="N17" i="7"/>
  <c r="I26" i="10" s="1"/>
  <c r="M17" i="7"/>
  <c r="I23" i="10" s="1"/>
  <c r="M76" i="5"/>
  <c r="M78" i="4" s="1"/>
  <c r="N37" i="5"/>
  <c r="N49" i="5" s="1"/>
  <c r="N75" i="5" s="1"/>
  <c r="N77" i="4" s="1"/>
  <c r="M75" i="5"/>
  <c r="M77" i="4" s="1"/>
  <c r="L79" i="4"/>
  <c r="N36" i="5"/>
  <c r="N48" i="5" s="1"/>
  <c r="N74" i="5" s="1"/>
  <c r="N76" i="4" s="1"/>
  <c r="M74" i="5"/>
  <c r="M76" i="4" s="1"/>
  <c r="N19" i="6" l="1"/>
  <c r="M19" i="6"/>
  <c r="K22" i="6"/>
  <c r="L22" i="6"/>
  <c r="N42" i="7"/>
  <c r="M95" i="7"/>
  <c r="M13" i="2"/>
  <c r="N95" i="7"/>
  <c r="N13" i="2"/>
  <c r="K103" i="4"/>
  <c r="K105" i="4" s="1"/>
  <c r="K22" i="7" s="1"/>
  <c r="K122" i="6" s="1"/>
  <c r="J113" i="4"/>
  <c r="J115" i="4" s="1"/>
  <c r="J118" i="4" s="1"/>
  <c r="M15" i="7"/>
  <c r="M81" i="7"/>
  <c r="M82" i="6" s="1"/>
  <c r="N15" i="7"/>
  <c r="N81" i="7"/>
  <c r="N82" i="6" s="1"/>
  <c r="L43" i="7"/>
  <c r="M40" i="7"/>
  <c r="N40" i="7"/>
  <c r="M42" i="7"/>
  <c r="M41" i="7"/>
  <c r="N41" i="7"/>
  <c r="M79" i="4"/>
  <c r="N79" i="4"/>
  <c r="K10" i="2" l="1"/>
  <c r="K11" i="2" s="1"/>
  <c r="K24" i="6"/>
  <c r="M20" i="7"/>
  <c r="M17" i="6"/>
  <c r="N20" i="7"/>
  <c r="N17" i="6"/>
  <c r="K106" i="4"/>
  <c r="K108" i="4" s="1"/>
  <c r="K119" i="4"/>
  <c r="K90" i="7" s="1"/>
  <c r="K91" i="6" s="1"/>
  <c r="J26" i="7"/>
  <c r="J28" i="6" s="1"/>
  <c r="J120" i="4"/>
  <c r="K83" i="7"/>
  <c r="K84" i="6" s="1"/>
  <c r="K24" i="7"/>
  <c r="K26" i="6" s="1"/>
  <c r="N43" i="7"/>
  <c r="M43" i="7"/>
  <c r="M22" i="6" l="1"/>
  <c r="N22" i="6"/>
  <c r="K101" i="7"/>
  <c r="K102" i="6" s="1"/>
  <c r="K60" i="7"/>
  <c r="K61" i="7" s="1"/>
  <c r="L103" i="4"/>
  <c r="J66" i="7"/>
  <c r="K117" i="4"/>
  <c r="J82" i="7"/>
  <c r="J83" i="6" s="1"/>
  <c r="J28" i="7"/>
  <c r="K113" i="4"/>
  <c r="K115" i="4" s="1"/>
  <c r="K118" i="4" s="1"/>
  <c r="J136" i="6" l="1"/>
  <c r="M8" i="10" s="1"/>
  <c r="J8" i="10"/>
  <c r="J30" i="6"/>
  <c r="J132" i="6"/>
  <c r="L8" i="10" s="1"/>
  <c r="L119" i="4"/>
  <c r="L90" i="7" s="1"/>
  <c r="L91" i="6" s="1"/>
  <c r="K26" i="7"/>
  <c r="K28" i="6" s="1"/>
  <c r="J79" i="7"/>
  <c r="J125" i="4"/>
  <c r="J127" i="4" s="1"/>
  <c r="J130" i="4" s="1"/>
  <c r="K120" i="4"/>
  <c r="L106" i="4"/>
  <c r="L101" i="7" s="1"/>
  <c r="L102" i="6" s="1"/>
  <c r="L105" i="4"/>
  <c r="L22" i="7" s="1"/>
  <c r="L10" i="2" l="1"/>
  <c r="L11" i="2" s="1"/>
  <c r="L24" i="6"/>
  <c r="L122" i="6"/>
  <c r="J84" i="7"/>
  <c r="J80" i="6"/>
  <c r="L83" i="7"/>
  <c r="L84" i="6" s="1"/>
  <c r="L24" i="7"/>
  <c r="L26" i="6" s="1"/>
  <c r="L108" i="4"/>
  <c r="L117" i="4"/>
  <c r="K66" i="7"/>
  <c r="J30" i="7"/>
  <c r="K131" i="4"/>
  <c r="K99" i="7" s="1"/>
  <c r="K100" i="6" s="1"/>
  <c r="J132" i="4"/>
  <c r="K82" i="7"/>
  <c r="K83" i="6" s="1"/>
  <c r="K28" i="7"/>
  <c r="K136" i="6" l="1"/>
  <c r="M9" i="10" s="1"/>
  <c r="J9" i="10"/>
  <c r="K30" i="6"/>
  <c r="K132" i="6"/>
  <c r="L9" i="10" s="1"/>
  <c r="K103" i="7"/>
  <c r="K104" i="6" s="1"/>
  <c r="J89" i="7"/>
  <c r="J85" i="6"/>
  <c r="J32" i="7"/>
  <c r="J32" i="6"/>
  <c r="M103" i="4"/>
  <c r="L60" i="7"/>
  <c r="L61" i="7" s="1"/>
  <c r="K129" i="4"/>
  <c r="J65" i="7"/>
  <c r="K79" i="7"/>
  <c r="K125" i="4"/>
  <c r="K127" i="4" s="1"/>
  <c r="K130" i="4" s="1"/>
  <c r="L113" i="4"/>
  <c r="L115" i="4" s="1"/>
  <c r="L118" i="4" s="1"/>
  <c r="J91" i="7" l="1"/>
  <c r="J90" i="6"/>
  <c r="K84" i="7"/>
  <c r="K80" i="6"/>
  <c r="J67" i="7"/>
  <c r="J33" i="7"/>
  <c r="J34" i="6"/>
  <c r="M119" i="4"/>
  <c r="M90" i="7" s="1"/>
  <c r="M91" i="6" s="1"/>
  <c r="L26" i="7"/>
  <c r="L28" i="6" s="1"/>
  <c r="M106" i="4"/>
  <c r="M101" i="7" s="1"/>
  <c r="M102" i="6" s="1"/>
  <c r="M105" i="4"/>
  <c r="M22" i="7" s="1"/>
  <c r="K30" i="7"/>
  <c r="L131" i="4"/>
  <c r="L99" i="7" s="1"/>
  <c r="L100" i="6" s="1"/>
  <c r="K132" i="4"/>
  <c r="L120" i="4"/>
  <c r="M10" i="2" l="1"/>
  <c r="M11" i="2" s="1"/>
  <c r="M24" i="6"/>
  <c r="M122" i="6"/>
  <c r="L103" i="7"/>
  <c r="L104" i="6" s="1"/>
  <c r="J9" i="2"/>
  <c r="J12" i="2" s="1"/>
  <c r="J14" i="2" s="1"/>
  <c r="J15" i="2" s="1"/>
  <c r="J92" i="6"/>
  <c r="J105" i="7"/>
  <c r="K89" i="7"/>
  <c r="K85" i="6"/>
  <c r="J69" i="7"/>
  <c r="J56" i="7"/>
  <c r="J35" i="6"/>
  <c r="K32" i="7"/>
  <c r="K32" i="6"/>
  <c r="M83" i="7"/>
  <c r="M84" i="6" s="1"/>
  <c r="M24" i="7"/>
  <c r="M26" i="6" s="1"/>
  <c r="M117" i="4"/>
  <c r="L66" i="7"/>
  <c r="L129" i="4"/>
  <c r="K65" i="7"/>
  <c r="L82" i="7"/>
  <c r="L83" i="6" s="1"/>
  <c r="L28" i="7"/>
  <c r="M107" i="4"/>
  <c r="L136" i="6" l="1"/>
  <c r="M10" i="10" s="1"/>
  <c r="J10" i="10"/>
  <c r="L30" i="6"/>
  <c r="L132" i="6"/>
  <c r="L10" i="10" s="1"/>
  <c r="J107" i="7"/>
  <c r="J106" i="6"/>
  <c r="K91" i="7"/>
  <c r="K92" i="6" s="1"/>
  <c r="K90" i="6"/>
  <c r="K67" i="7"/>
  <c r="J57" i="7"/>
  <c r="K33" i="7"/>
  <c r="K34" i="6"/>
  <c r="M113" i="4"/>
  <c r="M115" i="4" s="1"/>
  <c r="M118" i="4" s="1"/>
  <c r="M108" i="4"/>
  <c r="M102" i="7"/>
  <c r="M103" i="6" s="1"/>
  <c r="L79" i="7"/>
  <c r="L125" i="4"/>
  <c r="L127" i="4" s="1"/>
  <c r="L130" i="4" s="1"/>
  <c r="L132" i="4" s="1"/>
  <c r="J48" i="7" l="1"/>
  <c r="J49" i="7" s="1"/>
  <c r="J117" i="6" s="1"/>
  <c r="J108" i="6"/>
  <c r="K106" i="7"/>
  <c r="K107" i="6" s="1"/>
  <c r="K9" i="2"/>
  <c r="K12" i="2" s="1"/>
  <c r="K14" i="2" s="1"/>
  <c r="K15" i="2" s="1"/>
  <c r="K105" i="7"/>
  <c r="L84" i="7"/>
  <c r="L80" i="6"/>
  <c r="K69" i="7"/>
  <c r="J71" i="7"/>
  <c r="K56" i="7"/>
  <c r="K35" i="6"/>
  <c r="M129" i="4"/>
  <c r="L65" i="7"/>
  <c r="M26" i="7"/>
  <c r="M28" i="6" s="1"/>
  <c r="N119" i="4"/>
  <c r="N90" i="7" s="1"/>
  <c r="N91" i="6" s="1"/>
  <c r="M120" i="4"/>
  <c r="L30" i="7"/>
  <c r="M131" i="4"/>
  <c r="M99" i="7" s="1"/>
  <c r="M100" i="6" s="1"/>
  <c r="N103" i="4"/>
  <c r="M60" i="7"/>
  <c r="M61" i="7" s="1"/>
  <c r="J51" i="7" l="1"/>
  <c r="J134" i="6" s="1"/>
  <c r="J115" i="6"/>
  <c r="K107" i="7"/>
  <c r="K106" i="6"/>
  <c r="M103" i="7"/>
  <c r="M104" i="6" s="1"/>
  <c r="L89" i="7"/>
  <c r="L85" i="6"/>
  <c r="L67" i="7"/>
  <c r="K57" i="7"/>
  <c r="L32" i="7"/>
  <c r="L32" i="6"/>
  <c r="N117" i="4"/>
  <c r="M66" i="7"/>
  <c r="M82" i="7"/>
  <c r="M83" i="6" s="1"/>
  <c r="M28" i="7"/>
  <c r="N106" i="4"/>
  <c r="N101" i="7" s="1"/>
  <c r="N102" i="6" s="1"/>
  <c r="N105" i="4"/>
  <c r="N22" i="7" s="1"/>
  <c r="N10" i="2" l="1"/>
  <c r="N11" i="2" s="1"/>
  <c r="N24" i="6"/>
  <c r="N122" i="6"/>
  <c r="M136" i="6"/>
  <c r="M11" i="10" s="1"/>
  <c r="J11" i="10"/>
  <c r="M30" i="6"/>
  <c r="M132" i="6"/>
  <c r="L11" i="10" s="1"/>
  <c r="J68" i="6"/>
  <c r="J126" i="6"/>
  <c r="J51" i="6"/>
  <c r="J70" i="6"/>
  <c r="J50" i="6"/>
  <c r="J73" i="7"/>
  <c r="J58" i="6"/>
  <c r="J59" i="6"/>
  <c r="J63" i="6"/>
  <c r="J43" i="6"/>
  <c r="J74" i="7"/>
  <c r="J75" i="7" s="1"/>
  <c r="J67" i="6"/>
  <c r="J60" i="6"/>
  <c r="J52" i="6"/>
  <c r="J46" i="6"/>
  <c r="J44" i="6"/>
  <c r="J54" i="6"/>
  <c r="J72" i="6"/>
  <c r="J49" i="6"/>
  <c r="J74" i="6"/>
  <c r="J69" i="6"/>
  <c r="J45" i="6"/>
  <c r="L106" i="7"/>
  <c r="L107" i="6" s="1"/>
  <c r="K108" i="6"/>
  <c r="K48" i="7"/>
  <c r="K49" i="7" s="1"/>
  <c r="L91" i="7"/>
  <c r="L90" i="6"/>
  <c r="L69" i="7"/>
  <c r="K71" i="7"/>
  <c r="L33" i="7"/>
  <c r="L34" i="6"/>
  <c r="N83" i="7"/>
  <c r="N84" i="6" s="1"/>
  <c r="N24" i="7"/>
  <c r="N26" i="6" s="1"/>
  <c r="M79" i="7"/>
  <c r="M125" i="4"/>
  <c r="M127" i="4" s="1"/>
  <c r="M130" i="4" s="1"/>
  <c r="N108" i="4"/>
  <c r="N60" i="7" s="1"/>
  <c r="N61" i="7" s="1"/>
  <c r="K115" i="6" l="1"/>
  <c r="K117" i="6"/>
  <c r="K51" i="7"/>
  <c r="K134" i="6" s="1"/>
  <c r="L9" i="2"/>
  <c r="L12" i="2" s="1"/>
  <c r="L14" i="2" s="1"/>
  <c r="L15" i="2" s="1"/>
  <c r="L92" i="6"/>
  <c r="L105" i="7"/>
  <c r="M84" i="7"/>
  <c r="M80" i="6"/>
  <c r="L56" i="7"/>
  <c r="L35" i="6"/>
  <c r="N113" i="4"/>
  <c r="N115" i="4" s="1"/>
  <c r="N118" i="4" s="1"/>
  <c r="N131" i="4"/>
  <c r="N99" i="7" s="1"/>
  <c r="N100" i="6" s="1"/>
  <c r="M30" i="7"/>
  <c r="M132" i="4"/>
  <c r="K70" i="6" l="1"/>
  <c r="K126" i="6"/>
  <c r="K73" i="7"/>
  <c r="K51" i="6"/>
  <c r="K46" i="6"/>
  <c r="K72" i="6"/>
  <c r="K59" i="6"/>
  <c r="K63" i="6"/>
  <c r="K69" i="6"/>
  <c r="K67" i="6"/>
  <c r="K44" i="6"/>
  <c r="K68" i="6"/>
  <c r="K60" i="6"/>
  <c r="K58" i="6"/>
  <c r="K45" i="6"/>
  <c r="K74" i="7"/>
  <c r="K75" i="7" s="1"/>
  <c r="K43" i="6"/>
  <c r="K52" i="6"/>
  <c r="K49" i="6"/>
  <c r="K74" i="6"/>
  <c r="K54" i="6"/>
  <c r="K50" i="6"/>
  <c r="L107" i="7"/>
  <c r="L106" i="6"/>
  <c r="N103" i="7"/>
  <c r="N104" i="6" s="1"/>
  <c r="M89" i="7"/>
  <c r="M85" i="6"/>
  <c r="L57" i="7"/>
  <c r="M32" i="7"/>
  <c r="M32" i="6"/>
  <c r="M65" i="7"/>
  <c r="N129" i="4"/>
  <c r="N26" i="7"/>
  <c r="N28" i="6" s="1"/>
  <c r="N120" i="4"/>
  <c r="N66" i="7" s="1"/>
  <c r="M106" i="7" l="1"/>
  <c r="M107" i="6" s="1"/>
  <c r="L108" i="6"/>
  <c r="L48" i="7"/>
  <c r="L49" i="7" s="1"/>
  <c r="M91" i="7"/>
  <c r="M90" i="6"/>
  <c r="M67" i="7"/>
  <c r="L71" i="7"/>
  <c r="M33" i="7"/>
  <c r="M34" i="6"/>
  <c r="N82" i="7"/>
  <c r="N83" i="6" s="1"/>
  <c r="N28" i="7"/>
  <c r="N136" i="6" l="1"/>
  <c r="M12" i="10" s="1"/>
  <c r="J12" i="10"/>
  <c r="N30" i="6"/>
  <c r="N132" i="6"/>
  <c r="L12" i="10" s="1"/>
  <c r="L115" i="6"/>
  <c r="L117" i="6"/>
  <c r="L51" i="7"/>
  <c r="L134" i="6" s="1"/>
  <c r="M9" i="2"/>
  <c r="M12" i="2" s="1"/>
  <c r="M14" i="2" s="1"/>
  <c r="M15" i="2" s="1"/>
  <c r="M92" i="6"/>
  <c r="M105" i="7"/>
  <c r="M69" i="7"/>
  <c r="M56" i="7"/>
  <c r="M35" i="6"/>
  <c r="N79" i="7"/>
  <c r="N125" i="4"/>
  <c r="N127" i="4" s="1"/>
  <c r="N130" i="4" s="1"/>
  <c r="L70" i="6" l="1"/>
  <c r="L126" i="6"/>
  <c r="L72" i="6"/>
  <c r="L60" i="6"/>
  <c r="L74" i="7"/>
  <c r="L75" i="7" s="1"/>
  <c r="L59" i="6"/>
  <c r="L44" i="6"/>
  <c r="L52" i="6"/>
  <c r="L43" i="6"/>
  <c r="L45" i="6"/>
  <c r="L49" i="6"/>
  <c r="L68" i="6"/>
  <c r="L69" i="6"/>
  <c r="L50" i="6"/>
  <c r="L63" i="6"/>
  <c r="L74" i="6"/>
  <c r="L54" i="6"/>
  <c r="L46" i="6"/>
  <c r="L67" i="6"/>
  <c r="L73" i="7"/>
  <c r="L51" i="6"/>
  <c r="L58" i="6"/>
  <c r="M107" i="7"/>
  <c r="M106" i="6"/>
  <c r="N84" i="7"/>
  <c r="N80" i="6"/>
  <c r="M57" i="7"/>
  <c r="N30" i="7"/>
  <c r="N132" i="4"/>
  <c r="N65" i="7" s="1"/>
  <c r="M48" i="7" l="1"/>
  <c r="M49" i="7" s="1"/>
  <c r="M108" i="6"/>
  <c r="N106" i="7"/>
  <c r="N107" i="6" s="1"/>
  <c r="N89" i="7"/>
  <c r="N85" i="6"/>
  <c r="N67" i="7"/>
  <c r="M71" i="7"/>
  <c r="N32" i="7"/>
  <c r="N32" i="6"/>
  <c r="M115" i="6" l="1"/>
  <c r="M117" i="6"/>
  <c r="M51" i="7"/>
  <c r="M134" i="6" s="1"/>
  <c r="N91" i="7"/>
  <c r="N90" i="6"/>
  <c r="N69" i="7"/>
  <c r="N33" i="7"/>
  <c r="N34" i="6"/>
  <c r="M69" i="6" l="1"/>
  <c r="M126" i="6"/>
  <c r="M73" i="7"/>
  <c r="M51" i="6"/>
  <c r="M44" i="6"/>
  <c r="M43" i="6"/>
  <c r="M58" i="6"/>
  <c r="M50" i="6"/>
  <c r="M70" i="6"/>
  <c r="M59" i="6"/>
  <c r="M49" i="6"/>
  <c r="M74" i="7"/>
  <c r="M75" i="7" s="1"/>
  <c r="M60" i="6"/>
  <c r="M52" i="6"/>
  <c r="M45" i="6"/>
  <c r="M74" i="6"/>
  <c r="M68" i="6"/>
  <c r="M63" i="6"/>
  <c r="M46" i="6"/>
  <c r="M72" i="6"/>
  <c r="M67" i="6"/>
  <c r="M54" i="6"/>
  <c r="N9" i="2"/>
  <c r="N12" i="2" s="1"/>
  <c r="N14" i="2" s="1"/>
  <c r="N15" i="2" s="1"/>
  <c r="N16" i="2" s="1"/>
  <c r="N92" i="6"/>
  <c r="N105" i="7"/>
  <c r="N56" i="7"/>
  <c r="N35" i="6"/>
  <c r="N107" i="7" l="1"/>
  <c r="N106" i="6"/>
  <c r="J18" i="2"/>
  <c r="I16" i="2" s="1"/>
  <c r="N57" i="7"/>
  <c r="N48" i="7" l="1"/>
  <c r="N49" i="7" s="1"/>
  <c r="N108" i="6"/>
  <c r="N71" i="7"/>
  <c r="N115" i="6" l="1"/>
  <c r="N117" i="6"/>
  <c r="N51" i="7"/>
  <c r="N134" i="6" s="1"/>
  <c r="N70" i="6" l="1"/>
  <c r="N126" i="6"/>
  <c r="N60" i="6"/>
  <c r="N51" i="6"/>
  <c r="N45" i="6"/>
  <c r="N68" i="6"/>
  <c r="N43" i="6"/>
  <c r="N58" i="6"/>
  <c r="N54" i="6"/>
  <c r="N63" i="6"/>
  <c r="N49" i="6"/>
  <c r="N52" i="6"/>
  <c r="N69" i="6"/>
  <c r="N44" i="6"/>
  <c r="N74" i="6"/>
  <c r="N59" i="6"/>
  <c r="N74" i="7"/>
  <c r="N75" i="7" s="1"/>
  <c r="N73" i="7"/>
  <c r="N46" i="6"/>
  <c r="N67" i="6"/>
  <c r="N72" i="6"/>
  <c r="N5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<sst xmlns="http://schemas.openxmlformats.org/spreadsheetml/2006/main" count="527" uniqueCount="283">
  <si>
    <t>AFOBJMART</t>
  </si>
  <si>
    <t>Four-Year financial model</t>
  </si>
  <si>
    <t>Naira</t>
  </si>
  <si>
    <t>Assumptions</t>
  </si>
  <si>
    <t>Workings</t>
  </si>
  <si>
    <t>Capex</t>
  </si>
  <si>
    <t>unit</t>
  </si>
  <si>
    <t>sources</t>
  </si>
  <si>
    <t xml:space="preserve">Days in a week </t>
  </si>
  <si>
    <t>weeks in a month</t>
  </si>
  <si>
    <t>months in a year</t>
  </si>
  <si>
    <t>Quarters in a year</t>
  </si>
  <si>
    <t>Inflation</t>
  </si>
  <si>
    <t>Credit sales</t>
  </si>
  <si>
    <t>Closing inventory</t>
  </si>
  <si>
    <t>X  Revenue  Assumption</t>
  </si>
  <si>
    <t>X General Assumption</t>
  </si>
  <si>
    <t>Iphone X series</t>
  </si>
  <si>
    <t>Number of unit sold</t>
  </si>
  <si>
    <t>Prices per unit</t>
  </si>
  <si>
    <t>Iphone 11 series</t>
  </si>
  <si>
    <t>Iphone 12 series</t>
  </si>
  <si>
    <t xml:space="preserve">Prices per unit </t>
  </si>
  <si>
    <t>Iphone 13 series</t>
  </si>
  <si>
    <t xml:space="preserve">Number of unit sold </t>
  </si>
  <si>
    <t>Iphone 14 series</t>
  </si>
  <si>
    <t>Iphone 15 series</t>
  </si>
  <si>
    <t xml:space="preserve">Number of units sold </t>
  </si>
  <si>
    <t>units</t>
  </si>
  <si>
    <t xml:space="preserve">Naira </t>
  </si>
  <si>
    <t>per week</t>
  </si>
  <si>
    <t>per  week</t>
  </si>
  <si>
    <t>X  Cost of Sales  Assumption</t>
  </si>
  <si>
    <t>Purchases cost of inventory</t>
  </si>
  <si>
    <t xml:space="preserve">Iphone X series  </t>
  </si>
  <si>
    <t xml:space="preserve">Iphone 11 series  </t>
  </si>
  <si>
    <t xml:space="preserve">Iphone 12 series  </t>
  </si>
  <si>
    <t xml:space="preserve">Iphone 13 series  </t>
  </si>
  <si>
    <t xml:space="preserve">Iphone 14 series  </t>
  </si>
  <si>
    <t xml:space="preserve">Iphone 15 series  </t>
  </si>
  <si>
    <t>Five-Year financial model</t>
  </si>
  <si>
    <t>X  Other operating expenses Assumption</t>
  </si>
  <si>
    <t>Rent</t>
  </si>
  <si>
    <t xml:space="preserve">General Business Expenses </t>
  </si>
  <si>
    <t>per month</t>
  </si>
  <si>
    <t xml:space="preserve">per year </t>
  </si>
  <si>
    <t>Service charge</t>
  </si>
  <si>
    <t>X  Personnel expenses Assumption</t>
  </si>
  <si>
    <t>Count</t>
  </si>
  <si>
    <t>Sales representative</t>
  </si>
  <si>
    <t>Accountant</t>
  </si>
  <si>
    <t>Salary</t>
  </si>
  <si>
    <t>quarterly</t>
  </si>
  <si>
    <t>X Non- Current Assumption</t>
  </si>
  <si>
    <t>Acquistion</t>
  </si>
  <si>
    <t>Furniture&amp; Fittings</t>
  </si>
  <si>
    <t>quantity purchased</t>
  </si>
  <si>
    <t>Price per unit</t>
  </si>
  <si>
    <t xml:space="preserve">Office Equipment </t>
  </si>
  <si>
    <t>Quantity Purchased</t>
  </si>
  <si>
    <t xml:space="preserve">price per unit </t>
  </si>
  <si>
    <t>Air conditioner</t>
  </si>
  <si>
    <t>Depreciation</t>
  </si>
  <si>
    <t xml:space="preserve">Furniture &amp; Fittings </t>
  </si>
  <si>
    <t>Office Equipment</t>
  </si>
  <si>
    <t>Air condition</t>
  </si>
  <si>
    <t>EUL</t>
  </si>
  <si>
    <t>X Pre-operating Expenses Assumption</t>
  </si>
  <si>
    <t>Registration &amp; licensing</t>
  </si>
  <si>
    <t>Renovation</t>
  </si>
  <si>
    <t xml:space="preserve">Advertising </t>
  </si>
  <si>
    <t>Miscellaneous</t>
  </si>
  <si>
    <t xml:space="preserve">X  Revenue  </t>
  </si>
  <si>
    <t xml:space="preserve">Iphone 15 series </t>
  </si>
  <si>
    <t xml:space="preserve">credit sales </t>
  </si>
  <si>
    <t xml:space="preserve">cash sales </t>
  </si>
  <si>
    <t xml:space="preserve">X  Cost of Sales   </t>
  </si>
  <si>
    <t xml:space="preserve"> closing inventory</t>
  </si>
  <si>
    <t>Total Purchases</t>
  </si>
  <si>
    <t>cash Purchases</t>
  </si>
  <si>
    <t xml:space="preserve">X  personnel Expenses </t>
  </si>
  <si>
    <t xml:space="preserve">Total personnel expenses </t>
  </si>
  <si>
    <t xml:space="preserve">X  Other operating Expenses </t>
  </si>
  <si>
    <t xml:space="preserve"> </t>
  </si>
  <si>
    <t>Electricity</t>
  </si>
  <si>
    <t>Pre incorporating expenses</t>
  </si>
  <si>
    <t>Total other operating expenses</t>
  </si>
  <si>
    <t>Advertising</t>
  </si>
  <si>
    <t>X  Non current asset</t>
  </si>
  <si>
    <t>X Furniture &amp; Fittings</t>
  </si>
  <si>
    <t>Acquisition value</t>
  </si>
  <si>
    <t>Estimated useful life</t>
  </si>
  <si>
    <t>New Depreciation</t>
  </si>
  <si>
    <t>Total depreciation FTY</t>
  </si>
  <si>
    <t>X Office Equipment</t>
  </si>
  <si>
    <t>X Air conditioner</t>
  </si>
  <si>
    <t>X Non Current Assets Register</t>
  </si>
  <si>
    <t>Cost</t>
  </si>
  <si>
    <t>Opening Balance</t>
  </si>
  <si>
    <t>Acquistions</t>
  </si>
  <si>
    <t>Closing Balance</t>
  </si>
  <si>
    <t>Depreciation FTY</t>
  </si>
  <si>
    <t xml:space="preserve">Netbook value </t>
  </si>
  <si>
    <t>Closing Value</t>
  </si>
  <si>
    <t>Acquisition</t>
  </si>
  <si>
    <t>Netbook value</t>
  </si>
  <si>
    <t xml:space="preserve">X Statement of comprehensive income </t>
  </si>
  <si>
    <t xml:space="preserve">Cost of sales </t>
  </si>
  <si>
    <t>Tax Expenses</t>
  </si>
  <si>
    <t>Profit After Tax</t>
  </si>
  <si>
    <t>X Statement of Financial position</t>
  </si>
  <si>
    <t>Assets</t>
  </si>
  <si>
    <t>Total NCA</t>
  </si>
  <si>
    <t>Recievables (debtors)</t>
  </si>
  <si>
    <t>cash</t>
  </si>
  <si>
    <t>Total CA</t>
  </si>
  <si>
    <t>Equity</t>
  </si>
  <si>
    <t>Total Equity</t>
  </si>
  <si>
    <t>Total CL</t>
  </si>
  <si>
    <t>Total NCL</t>
  </si>
  <si>
    <t>X Financing</t>
  </si>
  <si>
    <t>CAPEX</t>
  </si>
  <si>
    <t>OPEX</t>
  </si>
  <si>
    <t>Pre incorporating Expenses</t>
  </si>
  <si>
    <t>Personnel Expenses</t>
  </si>
  <si>
    <t xml:space="preserve">Other Operating expenses </t>
  </si>
  <si>
    <t>X Financing Assumption</t>
  </si>
  <si>
    <t>Capital Required</t>
  </si>
  <si>
    <t xml:space="preserve">Tax rate </t>
  </si>
  <si>
    <t>Profit before tax</t>
  </si>
  <si>
    <t xml:space="preserve">Opening Balance </t>
  </si>
  <si>
    <t>Tax Expense</t>
  </si>
  <si>
    <t>Tax paid</t>
  </si>
  <si>
    <t xml:space="preserve">Closing Balance </t>
  </si>
  <si>
    <t>X Taxation</t>
  </si>
  <si>
    <t>Taxable ?</t>
  </si>
  <si>
    <t>X Recievables (Debtors)</t>
  </si>
  <si>
    <t xml:space="preserve">End of year recievables </t>
  </si>
  <si>
    <t xml:space="preserve">X Statement of Cash Flow </t>
  </si>
  <si>
    <t xml:space="preserve">Operating Activities </t>
  </si>
  <si>
    <t>Closing Inventory</t>
  </si>
  <si>
    <t xml:space="preserve">Receivables </t>
  </si>
  <si>
    <t xml:space="preserve">Tax Paid </t>
  </si>
  <si>
    <t>Acquisition of NCA</t>
  </si>
  <si>
    <t xml:space="preserve">debt </t>
  </si>
  <si>
    <t xml:space="preserve">Dividend payout ratio </t>
  </si>
  <si>
    <t>Minimum Profit</t>
  </si>
  <si>
    <t xml:space="preserve">Coupon Rate </t>
  </si>
  <si>
    <t xml:space="preserve">Effective Interest Rate </t>
  </si>
  <si>
    <t xml:space="preserve">Loan Tenure </t>
  </si>
  <si>
    <t>Termination Year</t>
  </si>
  <si>
    <t>4 years</t>
  </si>
  <si>
    <t>debt</t>
  </si>
  <si>
    <t xml:space="preserve">Revenue </t>
  </si>
  <si>
    <t xml:space="preserve">Gross Profit </t>
  </si>
  <si>
    <t xml:space="preserve">Operating Expenses </t>
  </si>
  <si>
    <t xml:space="preserve">Personnel expenses </t>
  </si>
  <si>
    <t>Other operating expenses</t>
  </si>
  <si>
    <t>Profit before Tax</t>
  </si>
  <si>
    <t>Profit before Interest and  Tax</t>
  </si>
  <si>
    <t>Interest Expense</t>
  </si>
  <si>
    <t>Tax expenses</t>
  </si>
  <si>
    <t>Dividend due</t>
  </si>
  <si>
    <t>Retained Earnings</t>
  </si>
  <si>
    <t>Cummulative Retained Earnings</t>
  </si>
  <si>
    <t>Non Current  Assets NCA</t>
  </si>
  <si>
    <t>Current Assets CA</t>
  </si>
  <si>
    <t>Total Assets</t>
  </si>
  <si>
    <t xml:space="preserve">Equity and liabilities </t>
  </si>
  <si>
    <t xml:space="preserve">Share Capital </t>
  </si>
  <si>
    <t xml:space="preserve">Cummulative Retained Earnings </t>
  </si>
  <si>
    <t>Non Current Liabilities (NCL)</t>
  </si>
  <si>
    <t xml:space="preserve">Loan </t>
  </si>
  <si>
    <t>Current Liabilities (CL)</t>
  </si>
  <si>
    <t xml:space="preserve">Dividend Payables </t>
  </si>
  <si>
    <t xml:space="preserve">Payables (Creditors) </t>
  </si>
  <si>
    <t xml:space="preserve">Tax Payables </t>
  </si>
  <si>
    <t xml:space="preserve">Total Liablities </t>
  </si>
  <si>
    <t>Total Equity and Liabilities</t>
  </si>
  <si>
    <t>X Loan Ammortization Schedule</t>
  </si>
  <si>
    <t>Principal Loan Amount</t>
  </si>
  <si>
    <t>Interest Due</t>
  </si>
  <si>
    <t>Interest Paid</t>
  </si>
  <si>
    <t>Terminal Payment</t>
  </si>
  <si>
    <t>X Dividend</t>
  </si>
  <si>
    <t>Profit After tax</t>
  </si>
  <si>
    <t xml:space="preserve">Dividend Payable? </t>
  </si>
  <si>
    <t>Dividend Due</t>
  </si>
  <si>
    <t>Dividend paid</t>
  </si>
  <si>
    <t xml:space="preserve">Profit After Tax </t>
  </si>
  <si>
    <t>Adjust for Non cash item</t>
  </si>
  <si>
    <t>Interest Expenses</t>
  </si>
  <si>
    <t>Operating Cash flow before WC changes</t>
  </si>
  <si>
    <t xml:space="preserve">Working Capital changes </t>
  </si>
  <si>
    <t xml:space="preserve">Payables </t>
  </si>
  <si>
    <t>Operating cash flow after WC changes</t>
  </si>
  <si>
    <t>Cash Flow from operating Activities</t>
  </si>
  <si>
    <t>Investing Activities</t>
  </si>
  <si>
    <t xml:space="preserve">Cash Flow from investing Activities </t>
  </si>
  <si>
    <t xml:space="preserve">Financing Activities </t>
  </si>
  <si>
    <t>Share Capital</t>
  </si>
  <si>
    <t xml:space="preserve">Dividend Paid </t>
  </si>
  <si>
    <t>Principal Loan</t>
  </si>
  <si>
    <t xml:space="preserve">Cash Flow from Financing Activities </t>
  </si>
  <si>
    <t>Cash Flow FTY</t>
  </si>
  <si>
    <t>Opening Cash Flow</t>
  </si>
  <si>
    <t xml:space="preserve">Closing Cash Flow </t>
  </si>
  <si>
    <t>Five -Year financial model</t>
  </si>
  <si>
    <t>Financial Statement</t>
  </si>
  <si>
    <t>Scenarios</t>
  </si>
  <si>
    <t>Best Case</t>
  </si>
  <si>
    <t>Base Case</t>
  </si>
  <si>
    <t>Worst Case</t>
  </si>
  <si>
    <t xml:space="preserve">Business valuation </t>
  </si>
  <si>
    <t xml:space="preserve">X Discounted Cash Flow model </t>
  </si>
  <si>
    <t xml:space="preserve">Cash Flow from Operations </t>
  </si>
  <si>
    <t>Tax Savings on Interest Expenses</t>
  </si>
  <si>
    <t>FCFF</t>
  </si>
  <si>
    <t>PV</t>
  </si>
  <si>
    <t>X Weighted Average Cost of Capital</t>
  </si>
  <si>
    <t>Cost of Equity</t>
  </si>
  <si>
    <t>Cost of debt</t>
  </si>
  <si>
    <t>After Tax Cost of Debt</t>
  </si>
  <si>
    <t>Weight of Debt</t>
  </si>
  <si>
    <t>Weight of Equity</t>
  </si>
  <si>
    <t>Tax Savings on Debt</t>
  </si>
  <si>
    <t>WACC</t>
  </si>
  <si>
    <t xml:space="preserve">Discounting Factor </t>
  </si>
  <si>
    <t xml:space="preserve">Terminal Value </t>
  </si>
  <si>
    <t>Long Term Growth</t>
  </si>
  <si>
    <t xml:space="preserve">Long Term Growth Rate </t>
  </si>
  <si>
    <t xml:space="preserve">Business Value </t>
  </si>
  <si>
    <t>Financial statement Analysis</t>
  </si>
  <si>
    <t>Common size Analysis</t>
  </si>
  <si>
    <t xml:space="preserve">STATEMENT OF COMPREHENSIVE  INCOME </t>
  </si>
  <si>
    <t>STATEMENT OF FINANCIAL POSITION</t>
  </si>
  <si>
    <t>STATEMENT OF CASH FLOW</t>
  </si>
  <si>
    <t>Ratio  Analysis</t>
  </si>
  <si>
    <t>Liquidity</t>
  </si>
  <si>
    <t>Current Ratio</t>
  </si>
  <si>
    <t>Quick Ratio</t>
  </si>
  <si>
    <t>Coverage Ratio</t>
  </si>
  <si>
    <t>Interest Coverage Ratio</t>
  </si>
  <si>
    <t>Solvency Ratio</t>
  </si>
  <si>
    <t>Total Debt Ratio</t>
  </si>
  <si>
    <t>Profitability Ratio</t>
  </si>
  <si>
    <t>Net Profit Margin</t>
  </si>
  <si>
    <t>Return on Total assets</t>
  </si>
  <si>
    <t>Return On Equity</t>
  </si>
  <si>
    <t xml:space="preserve">Financial Dataset </t>
  </si>
  <si>
    <t>Year</t>
  </si>
  <si>
    <t>COS</t>
  </si>
  <si>
    <t>Gross Profit</t>
  </si>
  <si>
    <t>OPEX items</t>
  </si>
  <si>
    <t xml:space="preserve">Gross Profit Margin </t>
  </si>
  <si>
    <t>Return on Equity</t>
  </si>
  <si>
    <t xml:space="preserve">Profit  After Tax </t>
  </si>
  <si>
    <t>Gross  Profit Margin</t>
  </si>
  <si>
    <t xml:space="preserve">PIVOT </t>
  </si>
  <si>
    <t>Row Labels</t>
  </si>
  <si>
    <t>Grand Total</t>
  </si>
  <si>
    <t xml:space="preserve">Sum of Revenue </t>
  </si>
  <si>
    <t>Sum of COS</t>
  </si>
  <si>
    <t>Sum of Gross Profit</t>
  </si>
  <si>
    <t>Column Labels</t>
  </si>
  <si>
    <t>Sum of OPEX</t>
  </si>
  <si>
    <t xml:space="preserve">Average of Revenue </t>
  </si>
  <si>
    <t>Average of Gross Profit</t>
  </si>
  <si>
    <t xml:space="preserve">Average of Profit  After Tax </t>
  </si>
  <si>
    <t xml:space="preserve">Sum of Gross Profit Margin </t>
  </si>
  <si>
    <t>Sum of Net Profit Margin</t>
  </si>
  <si>
    <t>Sum of Return on Equity</t>
  </si>
  <si>
    <t>Revenue</t>
  </si>
  <si>
    <t>CONTENT</t>
  </si>
  <si>
    <t>OUTPUT SHEET</t>
  </si>
  <si>
    <t>INPUT SHEET</t>
  </si>
  <si>
    <t>CACULATION SHEET</t>
  </si>
  <si>
    <t>Dashboard</t>
  </si>
  <si>
    <t>Financial Statements</t>
  </si>
  <si>
    <t>Valuation</t>
  </si>
  <si>
    <t>Analysis</t>
  </si>
  <si>
    <t>Dataset</t>
  </si>
  <si>
    <t>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</si>
</sst>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
    <numFmt numFmtId="166" formatCode="0&quot; months&quot;"/>
    <numFmt numFmtId="167" formatCode="&quot;Year &quot;0"/>
    <numFmt numFmtId="168" formatCode="_(* #,##0.000_);_(* \(#,##0.000\);_(* &quot;-&quot;??_);_(@_)"/>
    <numFmt numFmtId="169" formatCode="0.00&quot; x&quot;"/>
    <numFmt numFmtId="170" formatCode="_-[$₦-471]\ * #,##0_-;\-[$₦-471]\ * #,##0_-;_-[$₦-471]\ * &quot;-&quot;_-;_-@_-"/>
  </numFmts>
  <fonts count="10" x14ac:knownFonts="1">
    <font>
      <sz val="11"/>
      <color theme="1"/>
      <name val="Aptos Narrow"/>
      <family val="2"/>
      <scheme val="minor"/>
    </font>
    <font>
      <sz val="11"/>
      <color theme="0"/>
      <name val="Aptos Narrow"/>
      <family val="2"/>
      <scheme val="minor"/>
    </font>
    <font>
      <b/>
      <sz val="12"/>
      <color theme="0"/>
      <name val="Calibri"/>
      <family val="2"/>
    </font>
    <font>
      <sz val="11"/>
      <color theme="1"/>
      <name val="Aptos Narrow"/>
      <family val="2"/>
      <scheme val="minor"/>
    </font>
    <font>
      <b/>
      <sz val="11"/>
      <color theme="0"/>
      <name val="Aptos Narrow"/>
      <family val="2"/>
      <scheme val="minor"/>
    </font>
    <font>
      <b/>
      <sz val="11"/>
      <color theme="1"/>
      <name val="Aptos Narrow"/>
      <family val="2"/>
      <scheme val="minor"/>
    </font>
    <font>
      <i/>
      <sz val="11"/>
      <color theme="1"/>
      <name val="Aptos Narrow"/>
      <family val="2"/>
      <scheme val="minor"/>
    </font>
    <font>
      <sz val="11"/>
      <name val="Aptos Narrow"/>
      <family val="2"/>
      <scheme val="minor"/>
    </font>
    <font>
      <b/>
      <sz val="11"/>
      <color theme="0"/>
      <name val="Calibri"/>
      <family val="2"/>
    </font>
    <font>
      <u/>
      <sz val="11"/>
      <color theme="10"/>
      <name val="Aptos Narrow"/>
      <family val="2"/>
      <scheme val="minor"/>
    </font>
  </fonts>
  <fills count="13">
    <fill>
      <patternFill patternType="none"/>
    </fill>
    <fill>
      <patternFill patternType="gray125"/>
    </fill>
    <fill>
      <patternFill patternType="solid">
        <fgColor theme="3" tint="0.249977111117893"/>
        <bgColor indexed="64"/>
      </patternFill>
    </fill>
    <fill>
      <patternFill patternType="solid">
        <fgColor theme="3" tint="9.9978637043366805E-2"/>
        <bgColor indexed="64"/>
      </patternFill>
    </fill>
    <fill>
      <patternFill patternType="solid">
        <fgColor theme="3" tint="0.74999237037263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CC"/>
        <bgColor indexed="64"/>
      </patternFill>
    </fill>
    <fill>
      <patternFill patternType="solid">
        <fgColor theme="1" tint="0.249977111117893"/>
        <bgColor indexed="64"/>
      </patternFill>
    </fill>
    <fill>
      <patternFill patternType="solid">
        <fgColor rgb="FF0070C0"/>
        <bgColor indexed="64"/>
      </patternFill>
    </fill>
    <fill>
      <patternFill patternType="solid">
        <fgColor theme="0"/>
        <bgColor indexed="64"/>
      </patternFill>
    </fill>
    <fill>
      <patternFill patternType="solid">
        <fgColor rgb="FFFFC000"/>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right/>
      <top/>
      <bottom style="hair">
        <color indexed="64"/>
      </bottom>
      <diagonal/>
    </border>
    <border>
      <left/>
      <right style="hair">
        <color indexed="64"/>
      </right>
      <top/>
      <bottom/>
      <diagonal/>
    </border>
    <border>
      <left/>
      <right/>
      <top style="hair">
        <color indexed="64"/>
      </top>
      <bottom/>
      <diagonal/>
    </border>
  </borders>
  <cellStyleXfs count="4">
    <xf numFmtId="0" fontId="0" fillId="0" borderId="0"/>
    <xf numFmtId="43" fontId="3" fillId="0" borderId="0" applyFont="0" applyFill="0" applyBorder="0" applyAlignment="0" applyProtection="0"/>
    <xf numFmtId="9" fontId="3" fillId="0" borderId="0" applyFont="0" applyFill="0" applyBorder="0" applyAlignment="0" applyProtection="0"/>
    <xf numFmtId="0" fontId="9" fillId="0" borderId="0" applyNumberFormat="0" applyFill="0" applyBorder="0" applyAlignment="0" applyProtection="0"/>
  </cellStyleXfs>
  <cellXfs count="77">
    <xf numFmtId="0" fontId="0" fillId="0" borderId="0" xfId="0"/>
    <xf numFmtId="0" fontId="0" fillId="2" borderId="0" xfId="0" applyFill="1"/>
    <xf numFmtId="0" fontId="2" fillId="2" borderId="0" xfId="0" applyFont="1" applyFill="1"/>
    <xf numFmtId="0" fontId="1" fillId="2" borderId="0" xfId="0" applyFont="1" applyFill="1"/>
    <xf numFmtId="0" fontId="0" fillId="3" borderId="0" xfId="0" applyFill="1"/>
    <xf numFmtId="0" fontId="0" fillId="4" borderId="0" xfId="0" applyFill="1"/>
    <xf numFmtId="0" fontId="0" fillId="5" borderId="1" xfId="0" applyFill="1" applyBorder="1"/>
    <xf numFmtId="0" fontId="0" fillId="0" borderId="1" xfId="0" applyBorder="1"/>
    <xf numFmtId="10" fontId="0" fillId="6" borderId="1" xfId="0" applyNumberFormat="1" applyFill="1" applyBorder="1"/>
    <xf numFmtId="9" fontId="0" fillId="6" borderId="1" xfId="0" applyNumberFormat="1" applyFill="1" applyBorder="1"/>
    <xf numFmtId="9" fontId="0" fillId="0" borderId="0" xfId="0" applyNumberFormat="1"/>
    <xf numFmtId="0" fontId="5" fillId="4" borderId="0" xfId="0" applyFont="1" applyFill="1"/>
    <xf numFmtId="0" fontId="5" fillId="0" borderId="0" xfId="0" applyFont="1"/>
    <xf numFmtId="164" fontId="0" fillId="6" borderId="1" xfId="1" applyNumberFormat="1" applyFont="1" applyFill="1" applyBorder="1"/>
    <xf numFmtId="164" fontId="0" fillId="0" borderId="0" xfId="1" applyNumberFormat="1" applyFont="1" applyFill="1" applyBorder="1"/>
    <xf numFmtId="0" fontId="4" fillId="2" borderId="0" xfId="0" applyFont="1" applyFill="1"/>
    <xf numFmtId="165" fontId="0" fillId="6" borderId="1" xfId="0" applyNumberFormat="1" applyFill="1" applyBorder="1"/>
    <xf numFmtId="10" fontId="0" fillId="0" borderId="0" xfId="0" applyNumberFormat="1"/>
    <xf numFmtId="165" fontId="0" fillId="0" borderId="0" xfId="0" applyNumberFormat="1"/>
    <xf numFmtId="0" fontId="6" fillId="0" borderId="0" xfId="0" applyFont="1"/>
    <xf numFmtId="9" fontId="0" fillId="6" borderId="1" xfId="2" applyFont="1" applyFill="1" applyBorder="1"/>
    <xf numFmtId="164" fontId="0" fillId="0" borderId="0" xfId="0" applyNumberFormat="1"/>
    <xf numFmtId="0" fontId="5" fillId="2" borderId="0" xfId="0" applyFont="1" applyFill="1"/>
    <xf numFmtId="164" fontId="5" fillId="0" borderId="0" xfId="1" applyNumberFormat="1" applyFont="1"/>
    <xf numFmtId="164" fontId="3" fillId="0" borderId="0" xfId="1" applyNumberFormat="1" applyFont="1"/>
    <xf numFmtId="164" fontId="5" fillId="7" borderId="2" xfId="1" applyNumberFormat="1" applyFont="1" applyFill="1" applyBorder="1"/>
    <xf numFmtId="164" fontId="0" fillId="0" borderId="0" xfId="1" applyNumberFormat="1" applyFont="1"/>
    <xf numFmtId="164" fontId="5" fillId="0" borderId="2" xfId="1" applyNumberFormat="1" applyFont="1" applyBorder="1"/>
    <xf numFmtId="164" fontId="5" fillId="6" borderId="1" xfId="1" applyNumberFormat="1" applyFont="1" applyFill="1" applyBorder="1"/>
    <xf numFmtId="166" fontId="0" fillId="6" borderId="1" xfId="1" applyNumberFormat="1" applyFont="1" applyFill="1" applyBorder="1"/>
    <xf numFmtId="3" fontId="0" fillId="0" borderId="0" xfId="0" applyNumberFormat="1"/>
    <xf numFmtId="164" fontId="0" fillId="0" borderId="0" xfId="1" applyNumberFormat="1" applyFont="1" applyFill="1"/>
    <xf numFmtId="2" fontId="0" fillId="0" borderId="0" xfId="0" applyNumberFormat="1"/>
    <xf numFmtId="164" fontId="5" fillId="8" borderId="3" xfId="1" applyNumberFormat="1" applyFont="1" applyFill="1" applyBorder="1"/>
    <xf numFmtId="164" fontId="5" fillId="0" borderId="4" xfId="1" applyNumberFormat="1" applyFont="1" applyBorder="1"/>
    <xf numFmtId="164" fontId="3" fillId="0" borderId="5" xfId="1" applyNumberFormat="1" applyFont="1" applyBorder="1"/>
    <xf numFmtId="1" fontId="0" fillId="0" borderId="0" xfId="0" applyNumberFormat="1"/>
    <xf numFmtId="0" fontId="0" fillId="0" borderId="0" xfId="0" applyAlignment="1">
      <alignment horizontal="center"/>
    </xf>
    <xf numFmtId="0" fontId="0" fillId="0" borderId="0" xfId="0" applyAlignment="1">
      <alignment horizontal="left"/>
    </xf>
    <xf numFmtId="164" fontId="5" fillId="0" borderId="2" xfId="1" applyNumberFormat="1" applyFont="1" applyFill="1" applyBorder="1"/>
    <xf numFmtId="0" fontId="0" fillId="0" borderId="0" xfId="0" applyAlignment="1">
      <alignment horizontal="left" vertical="center"/>
    </xf>
    <xf numFmtId="0" fontId="0" fillId="0" borderId="0" xfId="0" applyAlignment="1">
      <alignment horizontal="left" vertical="center" indent="2"/>
    </xf>
    <xf numFmtId="9" fontId="0" fillId="0" borderId="7" xfId="0" applyNumberFormat="1" applyBorder="1"/>
    <xf numFmtId="0" fontId="0" fillId="0" borderId="8" xfId="0" applyBorder="1"/>
    <xf numFmtId="9" fontId="0" fillId="5" borderId="0" xfId="2" applyFont="1" applyFill="1"/>
    <xf numFmtId="9" fontId="7" fillId="5" borderId="1" xfId="2" applyFont="1" applyFill="1" applyBorder="1"/>
    <xf numFmtId="9" fontId="7" fillId="0" borderId="1" xfId="2" applyFont="1" applyFill="1" applyBorder="1"/>
    <xf numFmtId="9" fontId="7" fillId="0" borderId="6" xfId="2" applyFont="1" applyFill="1" applyBorder="1"/>
    <xf numFmtId="0" fontId="8" fillId="2" borderId="0" xfId="0" applyFont="1" applyFill="1"/>
    <xf numFmtId="164" fontId="5" fillId="0" borderId="9" xfId="1" applyNumberFormat="1" applyFont="1" applyBorder="1"/>
    <xf numFmtId="164" fontId="3" fillId="0" borderId="9" xfId="1" applyNumberFormat="1" applyFont="1" applyBorder="1"/>
    <xf numFmtId="9" fontId="3" fillId="0" borderId="0" xfId="2" applyFont="1"/>
    <xf numFmtId="9" fontId="5" fillId="0" borderId="0" xfId="2" applyFont="1"/>
    <xf numFmtId="9" fontId="3" fillId="0" borderId="1" xfId="2" applyFont="1" applyFill="1" applyBorder="1"/>
    <xf numFmtId="9" fontId="5" fillId="0" borderId="1" xfId="2" applyFont="1" applyFill="1" applyBorder="1"/>
    <xf numFmtId="9" fontId="5" fillId="8" borderId="0" xfId="0" applyNumberFormat="1" applyFont="1" applyFill="1"/>
    <xf numFmtId="9" fontId="0" fillId="0" borderId="0" xfId="2" applyFont="1"/>
    <xf numFmtId="167" fontId="1" fillId="2" borderId="0" xfId="0" applyNumberFormat="1" applyFont="1" applyFill="1"/>
    <xf numFmtId="168" fontId="0" fillId="0" borderId="0" xfId="1" applyNumberFormat="1" applyFont="1"/>
    <xf numFmtId="9" fontId="7" fillId="0" borderId="0" xfId="2" applyFont="1" applyFill="1" applyBorder="1"/>
    <xf numFmtId="164" fontId="0" fillId="8" borderId="3" xfId="1" applyNumberFormat="1" applyFont="1" applyFill="1" applyBorder="1"/>
    <xf numFmtId="9" fontId="5" fillId="0" borderId="2" xfId="2" applyFont="1" applyBorder="1"/>
    <xf numFmtId="9" fontId="5" fillId="8" borderId="3" xfId="2" applyFont="1" applyFill="1" applyBorder="1"/>
    <xf numFmtId="169" fontId="0" fillId="0" borderId="0" xfId="1" applyNumberFormat="1" applyFont="1"/>
    <xf numFmtId="164" fontId="0" fillId="0" borderId="0" xfId="0" pivotButton="1" applyNumberFormat="1"/>
    <xf numFmtId="164" fontId="0" fillId="0" borderId="0" xfId="0" applyNumberFormat="1" applyAlignment="1">
      <alignment horizontal="left"/>
    </xf>
    <xf numFmtId="0" fontId="0" fillId="0" borderId="0" xfId="0" pivotButton="1"/>
    <xf numFmtId="0" fontId="0" fillId="9" borderId="0" xfId="0" applyFill="1"/>
    <xf numFmtId="170" fontId="0" fillId="0" borderId="0" xfId="1" applyNumberFormat="1" applyFont="1"/>
    <xf numFmtId="0" fontId="0" fillId="10" borderId="0" xfId="0" applyFill="1"/>
    <xf numFmtId="0" fontId="0" fillId="11" borderId="0" xfId="0" applyFill="1"/>
    <xf numFmtId="0" fontId="5" fillId="11" borderId="0" xfId="0" applyFont="1" applyFill="1"/>
    <xf numFmtId="0" fontId="0" fillId="11" borderId="5" xfId="0" applyFill="1" applyBorder="1"/>
    <xf numFmtId="0" fontId="0" fillId="2" borderId="5" xfId="0" applyFill="1" applyBorder="1"/>
    <xf numFmtId="0" fontId="0" fillId="7" borderId="5" xfId="0" applyFill="1" applyBorder="1"/>
    <xf numFmtId="0" fontId="0" fillId="12" borderId="5" xfId="0" applyFill="1" applyBorder="1"/>
    <xf numFmtId="0" fontId="9" fillId="11" borderId="0" xfId="3" applyFill="1"/>
  </cellXfs>
  <cellStyles count="4">
    <cellStyle name="Comma" xfId="1" builtinId="3"/>
    <cellStyle name="Hyperlink" xfId="3" builtinId="8"/>
    <cellStyle name="Normal" xfId="0" builtinId="0"/>
    <cellStyle name="Percent" xfId="2" builtinId="5"/>
  </cellStyles>
  <dxfs count="29">
    <dxf>
      <numFmt numFmtId="0" formatCode="General"/>
    </dxf>
    <dxf>
      <numFmt numFmtId="0" formatCode="General"/>
    </dxf>
    <dxf>
      <numFmt numFmtId="0" formatCode="General"/>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0" formatCode="General"/>
    </dxf>
    <dxf>
      <numFmt numFmtId="0" formatCode="General"/>
    </dxf>
    <dxf>
      <numFmt numFmtId="164" formatCode="_(* #,##0_);_(* \(#,##0\);_(* &quot;-&quot;??_);_(@_)"/>
    </dxf>
    <dxf>
      <numFmt numFmtId="164" formatCode="_(* #,##0_);_(* \(#,##0\);_(* &quot;-&quot;??_);_(@_)"/>
    </dxf>
    <dxf>
      <numFmt numFmtId="164" formatCode="_(* #,##0_);_(* \(#,##0\);_(* &quot;-&quot;??_);_(@_)"/>
    </dxf>
    <dxf>
      <numFmt numFmtId="0" formatCode="General"/>
    </dxf>
    <dxf>
      <numFmt numFmtId="0" formatCode="General"/>
    </dxf>
    <dxf>
      <numFmt numFmtId="0" formatCode="General"/>
    </dxf>
    <dxf>
      <numFmt numFmtId="164" formatCode="_(* #,##0_);_(* \(#,##0\);_(* &quot;-&quot;??_);_(@_)"/>
    </dxf>
    <dxf>
      <numFmt numFmtId="164" formatCode="_(* #,##0_);_(* \(#,##0\);_(* &quot;-&quot;??_);_(@_)"/>
    </dxf>
    <dxf>
      <numFmt numFmtId="164" formatCode="_(* #,##0_);_(* \(#,##0\);_(* &quot;-&quot;??_);_(@_)"/>
    </dxf>
    <dxf>
      <numFmt numFmtId="13" formatCode="0%"/>
    </dxf>
    <dxf>
      <numFmt numFmtId="13" formatCode="0%"/>
    </dxf>
    <dxf>
      <numFmt numFmtId="0" formatCode="General"/>
    </dxf>
    <dxf>
      <numFmt numFmtId="0" formatCode="General"/>
    </dxf>
    <dxf>
      <numFmt numFmtId="0" formatCode="General"/>
    </dxf>
    <dxf>
      <numFmt numFmtId="164" formatCode="_(* #,##0_);_(* \(#,##0\);_(* &quot;-&quot;??_);_(@_)"/>
    </dxf>
    <dxf>
      <font>
        <b val="0"/>
        <i val="0"/>
        <strike val="0"/>
        <condense val="0"/>
        <extend val="0"/>
        <outline val="0"/>
        <shadow val="0"/>
        <u val="none"/>
        <vertAlign val="baseline"/>
        <sz val="11"/>
        <color theme="1"/>
        <name val="Aptos Narrow"/>
        <family val="2"/>
        <scheme val="minor"/>
      </font>
      <numFmt numFmtId="164" formatCode="_(* #,##0_);_(* \(#,##0\);_(* &quot;-&quot;??_);_(@_)"/>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[KAFAYAT OLAJUMOKE AFOLAYAN  CAPSTONE PROJECT.xlsx]PIVOT!PivotTable1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37160498109542"/>
          <c:y val="0.14980134363938452"/>
          <c:w val="0.79974650043744544"/>
          <c:h val="0.6257065377201293"/>
        </c:manualLayout>
      </c:layout>
      <c:barChart>
        <c:barDir val="col"/>
        <c:grouping val="clustered"/>
        <c:varyColors val="0"/>
        <c:ser>
          <c:idx val="0"/>
          <c:order val="0"/>
          <c:tx>
            <c:strRef>
              <c:f>PIVOT!$E$8</c:f>
              <c:strCache>
                <c:ptCount val="1"/>
                <c:pt idx="0">
                  <c:v>Sum of Revenue </c:v>
                </c:pt>
              </c:strCache>
            </c:strRef>
          </c:tx>
          <c:spPr>
            <a:solidFill>
              <a:schemeClr val="accent1"/>
            </a:solidFill>
            <a:ln>
              <a:noFill/>
            </a:ln>
            <a:effectLst/>
          </c:spPr>
          <c:invertIfNegative val="0"/>
          <c:cat>
            <c:strRef>
              <c:f>PIVOT!$D$9:$D$14</c:f>
              <c:strCache>
                <c:ptCount val="5"/>
                <c:pt idx="0">
                  <c:v>2024</c:v>
                </c:pt>
                <c:pt idx="1">
                  <c:v>2025</c:v>
                </c:pt>
                <c:pt idx="2">
                  <c:v>2026</c:v>
                </c:pt>
                <c:pt idx="3">
                  <c:v>2027</c:v>
                </c:pt>
                <c:pt idx="4">
                  <c:v>2028</c:v>
                </c:pt>
              </c:strCache>
            </c:strRef>
          </c:cat>
          <c:val>
            <c:numRef>
              <c:f>PIVOT!$E$9:$E$14</c:f>
              <c:numCache>
                <c:formatCode>_(* #,##0_);_(* \(#,##0\);_(* "-"??_);_(@_)</c:formatCode>
                <c:ptCount val="5"/>
                <c:pt idx="0">
                  <c:v>435360000</c:v>
                </c:pt>
                <c:pt idx="1">
                  <c:v>693235200</c:v>
                </c:pt>
                <c:pt idx="2">
                  <c:v>634584000</c:v>
                </c:pt>
                <c:pt idx="3">
                  <c:v>845850000</c:v>
                </c:pt>
                <c:pt idx="4">
                  <c:v>807759600</c:v>
                </c:pt>
              </c:numCache>
            </c:numRef>
          </c:val>
          <c:extLst>
            <c:ext xmlns:c16="http://schemas.microsoft.com/office/drawing/2014/chart" uri="{C3380CC4-5D6E-409C-BE32-E72D297353CC}">
              <c16:uniqueId val="{00000000-66F0-425A-A092-809BF0ABE5B6}"/>
            </c:ext>
          </c:extLst>
        </c:ser>
        <c:ser>
          <c:idx val="1"/>
          <c:order val="1"/>
          <c:tx>
            <c:strRef>
              <c:f>PIVOT!$F$8</c:f>
              <c:strCache>
                <c:ptCount val="1"/>
                <c:pt idx="0">
                  <c:v>Sum of Gross Profit</c:v>
                </c:pt>
              </c:strCache>
            </c:strRef>
          </c:tx>
          <c:spPr>
            <a:solidFill>
              <a:schemeClr val="accent2"/>
            </a:solidFill>
            <a:ln>
              <a:noFill/>
            </a:ln>
            <a:effectLst/>
          </c:spPr>
          <c:invertIfNegative val="0"/>
          <c:cat>
            <c:strRef>
              <c:f>PIVOT!$D$9:$D$14</c:f>
              <c:strCache>
                <c:ptCount val="5"/>
                <c:pt idx="0">
                  <c:v>2024</c:v>
                </c:pt>
                <c:pt idx="1">
                  <c:v>2025</c:v>
                </c:pt>
                <c:pt idx="2">
                  <c:v>2026</c:v>
                </c:pt>
                <c:pt idx="3">
                  <c:v>2027</c:v>
                </c:pt>
                <c:pt idx="4">
                  <c:v>2028</c:v>
                </c:pt>
              </c:strCache>
            </c:strRef>
          </c:cat>
          <c:val>
            <c:numRef>
              <c:f>PIVOT!$F$9:$F$14</c:f>
              <c:numCache>
                <c:formatCode>_(* #,##0_);_(* \(#,##0\);_(* "-"??_);_(@_)</c:formatCode>
                <c:ptCount val="5"/>
                <c:pt idx="0">
                  <c:v>16042296</c:v>
                </c:pt>
                <c:pt idx="1">
                  <c:v>21923289.600000024</c:v>
                </c:pt>
                <c:pt idx="2">
                  <c:v>21186725.75999999</c:v>
                </c:pt>
                <c:pt idx="3">
                  <c:v>25282147.200000048</c:v>
                </c:pt>
                <c:pt idx="4">
                  <c:v>23179060.799999952</c:v>
                </c:pt>
              </c:numCache>
            </c:numRef>
          </c:val>
          <c:extLst>
            <c:ext xmlns:c16="http://schemas.microsoft.com/office/drawing/2014/chart" uri="{C3380CC4-5D6E-409C-BE32-E72D297353CC}">
              <c16:uniqueId val="{00000001-66F0-425A-A092-809BF0ABE5B6}"/>
            </c:ext>
          </c:extLst>
        </c:ser>
        <c:ser>
          <c:idx val="2"/>
          <c:order val="2"/>
          <c:tx>
            <c:strRef>
              <c:f>PIVOT!$G$8</c:f>
              <c:strCache>
                <c:ptCount val="1"/>
                <c:pt idx="0">
                  <c:v>Sum of COS</c:v>
                </c:pt>
              </c:strCache>
            </c:strRef>
          </c:tx>
          <c:spPr>
            <a:solidFill>
              <a:schemeClr val="accent3"/>
            </a:solidFill>
            <a:ln>
              <a:noFill/>
            </a:ln>
            <a:effectLst/>
          </c:spPr>
          <c:invertIfNegative val="0"/>
          <c:cat>
            <c:strRef>
              <c:f>PIVOT!$D$9:$D$14</c:f>
              <c:strCache>
                <c:ptCount val="5"/>
                <c:pt idx="0">
                  <c:v>2024</c:v>
                </c:pt>
                <c:pt idx="1">
                  <c:v>2025</c:v>
                </c:pt>
                <c:pt idx="2">
                  <c:v>2026</c:v>
                </c:pt>
                <c:pt idx="3">
                  <c:v>2027</c:v>
                </c:pt>
                <c:pt idx="4">
                  <c:v>2028</c:v>
                </c:pt>
              </c:strCache>
            </c:strRef>
          </c:cat>
          <c:val>
            <c:numRef>
              <c:f>PIVOT!$G$9:$G$14</c:f>
              <c:numCache>
                <c:formatCode>_(* #,##0_);_(* \(#,##0\);_(* "-"??_);_(@_)</c:formatCode>
                <c:ptCount val="5"/>
                <c:pt idx="0">
                  <c:v>419317704</c:v>
                </c:pt>
                <c:pt idx="1">
                  <c:v>671311910.39999998</c:v>
                </c:pt>
                <c:pt idx="2">
                  <c:v>613397274.24000001</c:v>
                </c:pt>
                <c:pt idx="3">
                  <c:v>820567852.79999995</c:v>
                </c:pt>
                <c:pt idx="4">
                  <c:v>784580539.20000005</c:v>
                </c:pt>
              </c:numCache>
            </c:numRef>
          </c:val>
          <c:extLst>
            <c:ext xmlns:c16="http://schemas.microsoft.com/office/drawing/2014/chart" uri="{C3380CC4-5D6E-409C-BE32-E72D297353CC}">
              <c16:uniqueId val="{00000002-66F0-425A-A092-809BF0ABE5B6}"/>
            </c:ext>
          </c:extLst>
        </c:ser>
        <c:dLbls>
          <c:showLegendKey val="0"/>
          <c:showVal val="0"/>
          <c:showCatName val="0"/>
          <c:showSerName val="0"/>
          <c:showPercent val="0"/>
          <c:showBubbleSize val="0"/>
        </c:dLbls>
        <c:gapWidth val="219"/>
        <c:overlap val="-27"/>
        <c:axId val="597357720"/>
        <c:axId val="597357000"/>
      </c:barChart>
      <c:catAx>
        <c:axId val="597357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97357000"/>
        <c:crosses val="autoZero"/>
        <c:auto val="1"/>
        <c:lblAlgn val="ctr"/>
        <c:lblOffset val="100"/>
        <c:noMultiLvlLbl val="0"/>
      </c:catAx>
      <c:valAx>
        <c:axId val="59735700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mn-lt"/>
                <a:ea typeface="+mn-ea"/>
                <a:cs typeface="+mn-cs"/>
              </a:defRPr>
            </a:pPr>
            <a:endParaRPr lang="en-US"/>
          </a:p>
        </c:txPr>
        <c:crossAx val="597357720"/>
        <c:crosses val="autoZero"/>
        <c:crossBetween val="between"/>
        <c:dispUnits>
          <c:builtInUnit val="millions"/>
          <c:dispUnitsLbl>
            <c:layout>
              <c:manualLayout>
                <c:xMode val="edge"/>
                <c:yMode val="edge"/>
                <c:x val="3.47652884852808E-2"/>
                <c:y val="0.10631931646842017"/>
              </c:manualLayout>
            </c:layout>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ispUnitsLbl>
        </c:dispUnits>
      </c:valAx>
      <c:spPr>
        <a:noFill/>
        <a:ln w="25400">
          <a:noFill/>
        </a:ln>
        <a:effectLst/>
      </c:spPr>
    </c:plotArea>
    <c:legend>
      <c:legendPos val="r"/>
      <c:layout>
        <c:manualLayout>
          <c:xMode val="edge"/>
          <c:yMode val="edge"/>
          <c:x val="7.8876320662962837E-2"/>
          <c:y val="0.87273953141178462"/>
          <c:w val="0.89066682654515905"/>
          <c:h val="0.1180476293674299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[KAFAYAT OLAJUMOKE AFOLAYAN  CAPSTONE PROJECT.xlsx]PIVOT!PivotTable2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83114610673666"/>
          <c:y val="5.0925925925925923E-2"/>
          <c:w val="0.79477427821522306"/>
          <c:h val="0.69389690871974341"/>
        </c:manualLayout>
      </c:layout>
      <c:barChart>
        <c:barDir val="col"/>
        <c:grouping val="stacked"/>
        <c:varyColors val="0"/>
        <c:ser>
          <c:idx val="0"/>
          <c:order val="0"/>
          <c:tx>
            <c:strRef>
              <c:f>PIVOT!$E$17:$E$18</c:f>
              <c:strCache>
                <c:ptCount val="1"/>
                <c:pt idx="0">
                  <c:v>Depreciation</c:v>
                </c:pt>
              </c:strCache>
            </c:strRef>
          </c:tx>
          <c:spPr>
            <a:solidFill>
              <a:schemeClr val="accent1"/>
            </a:solidFill>
            <a:ln>
              <a:noFill/>
            </a:ln>
            <a:effectLst/>
          </c:spPr>
          <c:invertIfNegative val="0"/>
          <c:cat>
            <c:strRef>
              <c:f>PIVOT!$D$19:$D$24</c:f>
              <c:strCache>
                <c:ptCount val="5"/>
                <c:pt idx="0">
                  <c:v>2024</c:v>
                </c:pt>
                <c:pt idx="1">
                  <c:v>2025</c:v>
                </c:pt>
                <c:pt idx="2">
                  <c:v>2026</c:v>
                </c:pt>
                <c:pt idx="3">
                  <c:v>2027</c:v>
                </c:pt>
                <c:pt idx="4">
                  <c:v>2028</c:v>
                </c:pt>
              </c:strCache>
            </c:strRef>
          </c:cat>
          <c:val>
            <c:numRef>
              <c:f>PIVOT!$E$19:$E$24</c:f>
              <c:numCache>
                <c:formatCode>_(* #,##0_);_(* \(#,##0\);_(* "-"??_);_(@_)</c:formatCode>
                <c:ptCount val="5"/>
                <c:pt idx="0">
                  <c:v>222000</c:v>
                </c:pt>
                <c:pt idx="1">
                  <c:v>222000</c:v>
                </c:pt>
                <c:pt idx="2">
                  <c:v>497699.85030000005</c:v>
                </c:pt>
                <c:pt idx="3">
                  <c:v>367699.85030000005</c:v>
                </c:pt>
                <c:pt idx="4">
                  <c:v>695287.98785417597</c:v>
                </c:pt>
              </c:numCache>
            </c:numRef>
          </c:val>
          <c:extLst>
            <c:ext xmlns:c16="http://schemas.microsoft.com/office/drawing/2014/chart" uri="{C3380CC4-5D6E-409C-BE32-E72D297353CC}">
              <c16:uniqueId val="{00000000-A130-47A7-9126-0D743239BB9D}"/>
            </c:ext>
          </c:extLst>
        </c:ser>
        <c:ser>
          <c:idx val="1"/>
          <c:order val="1"/>
          <c:tx>
            <c:strRef>
              <c:f>PIVOT!$F$17:$F$18</c:f>
              <c:strCache>
                <c:ptCount val="1"/>
                <c:pt idx="0">
                  <c:v>Other operating expenses</c:v>
                </c:pt>
              </c:strCache>
            </c:strRef>
          </c:tx>
          <c:spPr>
            <a:solidFill>
              <a:schemeClr val="accent2"/>
            </a:solidFill>
            <a:ln>
              <a:noFill/>
            </a:ln>
            <a:effectLst/>
          </c:spPr>
          <c:invertIfNegative val="0"/>
          <c:cat>
            <c:strRef>
              <c:f>PIVOT!$D$19:$D$24</c:f>
              <c:strCache>
                <c:ptCount val="5"/>
                <c:pt idx="0">
                  <c:v>2024</c:v>
                </c:pt>
                <c:pt idx="1">
                  <c:v>2025</c:v>
                </c:pt>
                <c:pt idx="2">
                  <c:v>2026</c:v>
                </c:pt>
                <c:pt idx="3">
                  <c:v>2027</c:v>
                </c:pt>
                <c:pt idx="4">
                  <c:v>2028</c:v>
                </c:pt>
              </c:strCache>
            </c:strRef>
          </c:cat>
          <c:val>
            <c:numRef>
              <c:f>PIVOT!$F$19:$F$24</c:f>
              <c:numCache>
                <c:formatCode>_(* #,##0_);_(* \(#,##0\);_(* "-"??_);_(@_)</c:formatCode>
                <c:ptCount val="5"/>
                <c:pt idx="0">
                  <c:v>4932000</c:v>
                </c:pt>
                <c:pt idx="1">
                  <c:v>4487063.8</c:v>
                </c:pt>
                <c:pt idx="2">
                  <c:v>5535051.9318599999</c:v>
                </c:pt>
                <c:pt idx="3">
                  <c:v>6141959.2023204006</c:v>
                </c:pt>
                <c:pt idx="4">
                  <c:v>7233833.4906452578</c:v>
                </c:pt>
              </c:numCache>
            </c:numRef>
          </c:val>
          <c:extLst>
            <c:ext xmlns:c16="http://schemas.microsoft.com/office/drawing/2014/chart" uri="{C3380CC4-5D6E-409C-BE32-E72D297353CC}">
              <c16:uniqueId val="{00000001-A130-47A7-9126-0D743239BB9D}"/>
            </c:ext>
          </c:extLst>
        </c:ser>
        <c:ser>
          <c:idx val="2"/>
          <c:order val="2"/>
          <c:tx>
            <c:strRef>
              <c:f>PIVOT!$G$17:$G$18</c:f>
              <c:strCache>
                <c:ptCount val="1"/>
                <c:pt idx="0">
                  <c:v>Personnel expenses </c:v>
                </c:pt>
              </c:strCache>
            </c:strRef>
          </c:tx>
          <c:spPr>
            <a:solidFill>
              <a:schemeClr val="accent3"/>
            </a:solidFill>
            <a:ln>
              <a:noFill/>
            </a:ln>
            <a:effectLst/>
          </c:spPr>
          <c:invertIfNegative val="0"/>
          <c:cat>
            <c:strRef>
              <c:f>PIVOT!$D$19:$D$24</c:f>
              <c:strCache>
                <c:ptCount val="5"/>
                <c:pt idx="0">
                  <c:v>2024</c:v>
                </c:pt>
                <c:pt idx="1">
                  <c:v>2025</c:v>
                </c:pt>
                <c:pt idx="2">
                  <c:v>2026</c:v>
                </c:pt>
                <c:pt idx="3">
                  <c:v>2027</c:v>
                </c:pt>
                <c:pt idx="4">
                  <c:v>2028</c:v>
                </c:pt>
              </c:strCache>
            </c:strRef>
          </c:cat>
          <c:val>
            <c:numRef>
              <c:f>PIVOT!$G$19:$G$24</c:f>
              <c:numCache>
                <c:formatCode>_(* #,##0_);_(* \(#,##0\);_(* "-"??_);_(@_)</c:formatCode>
                <c:ptCount val="5"/>
                <c:pt idx="0">
                  <c:v>1000000</c:v>
                </c:pt>
                <c:pt idx="1">
                  <c:v>1000000</c:v>
                </c:pt>
                <c:pt idx="2">
                  <c:v>2040000</c:v>
                </c:pt>
                <c:pt idx="3">
                  <c:v>2280000</c:v>
                </c:pt>
                <c:pt idx="4">
                  <c:v>2280000</c:v>
                </c:pt>
              </c:numCache>
            </c:numRef>
          </c:val>
          <c:extLst>
            <c:ext xmlns:c16="http://schemas.microsoft.com/office/drawing/2014/chart" uri="{C3380CC4-5D6E-409C-BE32-E72D297353CC}">
              <c16:uniqueId val="{00000002-A130-47A7-9126-0D743239BB9D}"/>
            </c:ext>
          </c:extLst>
        </c:ser>
        <c:dLbls>
          <c:showLegendKey val="0"/>
          <c:showVal val="0"/>
          <c:showCatName val="0"/>
          <c:showSerName val="0"/>
          <c:showPercent val="0"/>
          <c:showBubbleSize val="0"/>
        </c:dLbls>
        <c:gapWidth val="150"/>
        <c:overlap val="100"/>
        <c:axId val="696975512"/>
        <c:axId val="696976592"/>
      </c:barChart>
      <c:catAx>
        <c:axId val="696975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96976592"/>
        <c:crosses val="autoZero"/>
        <c:auto val="1"/>
        <c:lblAlgn val="ctr"/>
        <c:lblOffset val="100"/>
        <c:noMultiLvlLbl val="0"/>
      </c:catAx>
      <c:valAx>
        <c:axId val="696976592"/>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9697551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3.1827646544182006E-2"/>
          <c:y val="0.86689705453485"/>
          <c:w val="0.94595013123359584"/>
          <c:h val="0.1226873724117818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[KAFAYAT OLAJUMOKE AFOLAYAN  CAPSTONE PROJECT.xlsx]PIVOT!PivotTable3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PIVOT!$E$27</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3299-43BF-8D76-F5CF2943F2C2}"/>
              </c:ext>
            </c:extLst>
          </c:dPt>
          <c:dPt>
            <c:idx val="1"/>
            <c:bubble3D val="0"/>
            <c:spPr>
              <a:solidFill>
                <a:schemeClr val="accent2"/>
              </a:solidFill>
              <a:ln w="19050">
                <a:noFill/>
              </a:ln>
              <a:effectLst/>
            </c:spPr>
            <c:extLst>
              <c:ext xmlns:c16="http://schemas.microsoft.com/office/drawing/2014/chart" uri="{C3380CC4-5D6E-409C-BE32-E72D297353CC}">
                <c16:uniqueId val="{00000003-3299-43BF-8D76-F5CF2943F2C2}"/>
              </c:ext>
            </c:extLst>
          </c:dPt>
          <c:dPt>
            <c:idx val="2"/>
            <c:bubble3D val="0"/>
            <c:spPr>
              <a:solidFill>
                <a:schemeClr val="accent3"/>
              </a:solidFill>
              <a:ln w="19050">
                <a:noFill/>
              </a:ln>
              <a:effectLst/>
            </c:spPr>
            <c:extLst>
              <c:ext xmlns:c16="http://schemas.microsoft.com/office/drawing/2014/chart" uri="{C3380CC4-5D6E-409C-BE32-E72D297353CC}">
                <c16:uniqueId val="{00000005-3299-43BF-8D76-F5CF2943F2C2}"/>
              </c:ext>
            </c:extLst>
          </c:dPt>
          <c:dPt>
            <c:idx val="3"/>
            <c:bubble3D val="0"/>
            <c:spPr>
              <a:solidFill>
                <a:schemeClr val="accent4"/>
              </a:solidFill>
              <a:ln w="19050">
                <a:noFill/>
              </a:ln>
              <a:effectLst/>
            </c:spPr>
            <c:extLst>
              <c:ext xmlns:c16="http://schemas.microsoft.com/office/drawing/2014/chart" uri="{C3380CC4-5D6E-409C-BE32-E72D297353CC}">
                <c16:uniqueId val="{00000007-3299-43BF-8D76-F5CF2943F2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PIVOT!$D$28:$D$31</c:f>
              <c:strCache>
                <c:ptCount val="3"/>
                <c:pt idx="0">
                  <c:v>Depreciation</c:v>
                </c:pt>
                <c:pt idx="1">
                  <c:v>Other operating expenses</c:v>
                </c:pt>
                <c:pt idx="2">
                  <c:v>Personnel expenses </c:v>
                </c:pt>
              </c:strCache>
            </c:strRef>
          </c:cat>
          <c:val>
            <c:numRef>
              <c:f>PIVOT!$E$28:$E$31</c:f>
              <c:numCache>
                <c:formatCode>_(* #,##0_);_(* \(#,##0\);_(* "-"??_);_(@_)</c:formatCode>
                <c:ptCount val="3"/>
                <c:pt idx="0">
                  <c:v>2004687.6884541761</c:v>
                </c:pt>
                <c:pt idx="1">
                  <c:v>28329908.424825657</c:v>
                </c:pt>
                <c:pt idx="2">
                  <c:v>8600000</c:v>
                </c:pt>
              </c:numCache>
            </c:numRef>
          </c:val>
          <c:extLst>
            <c:ext xmlns:c16="http://schemas.microsoft.com/office/drawing/2014/chart" uri="{C3380CC4-5D6E-409C-BE32-E72D297353CC}">
              <c16:uniqueId val="{00000008-3299-43BF-8D76-F5CF2943F2C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4849095237302534"/>
          <c:y val="0.55603273728714941"/>
          <c:w val="0.3134540793394483"/>
          <c:h val="0.4101020131104301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[KAFAYAT OLAJUMOKE AFOLAYAN  CAPSTONE PROJECT.xlsx]PIVOT!PivotTable5</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594925634295711E-2"/>
          <c:y val="0.18142620887122654"/>
          <c:w val="0.84645909886264203"/>
          <c:h val="0.54439908177621998"/>
        </c:manualLayout>
      </c:layout>
      <c:lineChart>
        <c:grouping val="standard"/>
        <c:varyColors val="0"/>
        <c:ser>
          <c:idx val="0"/>
          <c:order val="0"/>
          <c:tx>
            <c:strRef>
              <c:f>PIVOT!$E$44</c:f>
              <c:strCache>
                <c:ptCount val="1"/>
                <c:pt idx="0">
                  <c:v>Sum of Gross Profit Margin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PIVOT!$D$45:$D$50</c:f>
              <c:strCache>
                <c:ptCount val="5"/>
                <c:pt idx="0">
                  <c:v>2024</c:v>
                </c:pt>
                <c:pt idx="1">
                  <c:v>2025</c:v>
                </c:pt>
                <c:pt idx="2">
                  <c:v>2026</c:v>
                </c:pt>
                <c:pt idx="3">
                  <c:v>2027</c:v>
                </c:pt>
                <c:pt idx="4">
                  <c:v>2028</c:v>
                </c:pt>
              </c:strCache>
            </c:strRef>
          </c:cat>
          <c:val>
            <c:numRef>
              <c:f>PIVOT!$E$45:$E$50</c:f>
              <c:numCache>
                <c:formatCode>0%</c:formatCode>
                <c:ptCount val="5"/>
                <c:pt idx="0">
                  <c:v>3.684834619625138E-2</c:v>
                </c:pt>
                <c:pt idx="1">
                  <c:v>3.162460532875426E-2</c:v>
                </c:pt>
                <c:pt idx="2">
                  <c:v>3.3386794750576744E-2</c:v>
                </c:pt>
                <c:pt idx="3">
                  <c:v>2.9889634332328482E-2</c:v>
                </c:pt>
                <c:pt idx="4">
                  <c:v>2.8695494055409495E-2</c:v>
                </c:pt>
              </c:numCache>
            </c:numRef>
          </c:val>
          <c:smooth val="0"/>
          <c:extLst>
            <c:ext xmlns:c16="http://schemas.microsoft.com/office/drawing/2014/chart" uri="{C3380CC4-5D6E-409C-BE32-E72D297353CC}">
              <c16:uniqueId val="{00000000-BD81-4DE2-8643-ACB14089C1F0}"/>
            </c:ext>
          </c:extLst>
        </c:ser>
        <c:ser>
          <c:idx val="1"/>
          <c:order val="1"/>
          <c:tx>
            <c:strRef>
              <c:f>PIVOT!$F$44</c:f>
              <c:strCache>
                <c:ptCount val="1"/>
                <c:pt idx="0">
                  <c:v>Sum of Net Profit Margin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PIVOT!$D$45:$D$50</c:f>
              <c:strCache>
                <c:ptCount val="5"/>
                <c:pt idx="0">
                  <c:v>2024</c:v>
                </c:pt>
                <c:pt idx="1">
                  <c:v>2025</c:v>
                </c:pt>
                <c:pt idx="2">
                  <c:v>2026</c:v>
                </c:pt>
                <c:pt idx="3">
                  <c:v>2027</c:v>
                </c:pt>
                <c:pt idx="4">
                  <c:v>2028</c:v>
                </c:pt>
              </c:strCache>
            </c:strRef>
          </c:cat>
          <c:val>
            <c:numRef>
              <c:f>PIVOT!$F$45:$F$50</c:f>
              <c:numCache>
                <c:formatCode>0%</c:formatCode>
                <c:ptCount val="5"/>
                <c:pt idx="0">
                  <c:v>1.4237591841234841E-2</c:v>
                </c:pt>
                <c:pt idx="1">
                  <c:v>1.6365051521907741E-2</c:v>
                </c:pt>
                <c:pt idx="2">
                  <c:v>1.4097354882619154E-2</c:v>
                </c:pt>
                <c:pt idx="3">
                  <c:v>1.3863011589567558E-2</c:v>
                </c:pt>
                <c:pt idx="4">
                  <c:v>1.284534588904968E-2</c:v>
                </c:pt>
              </c:numCache>
            </c:numRef>
          </c:val>
          <c:smooth val="0"/>
          <c:extLst>
            <c:ext xmlns:c16="http://schemas.microsoft.com/office/drawing/2014/chart" uri="{C3380CC4-5D6E-409C-BE32-E72D297353CC}">
              <c16:uniqueId val="{00000001-BD81-4DE2-8643-ACB14089C1F0}"/>
            </c:ext>
          </c:extLst>
        </c:ser>
        <c:ser>
          <c:idx val="2"/>
          <c:order val="2"/>
          <c:tx>
            <c:strRef>
              <c:f>PIVOT!$G$44</c:f>
              <c:strCache>
                <c:ptCount val="1"/>
                <c:pt idx="0">
                  <c:v>Sum of Return on Equity</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PIVOT!$D$45:$D$50</c:f>
              <c:strCache>
                <c:ptCount val="5"/>
                <c:pt idx="0">
                  <c:v>2024</c:v>
                </c:pt>
                <c:pt idx="1">
                  <c:v>2025</c:v>
                </c:pt>
                <c:pt idx="2">
                  <c:v>2026</c:v>
                </c:pt>
                <c:pt idx="3">
                  <c:v>2027</c:v>
                </c:pt>
                <c:pt idx="4">
                  <c:v>2028</c:v>
                </c:pt>
              </c:strCache>
            </c:strRef>
          </c:cat>
          <c:val>
            <c:numRef>
              <c:f>PIVOT!$G$45:$G$50</c:f>
              <c:numCache>
                <c:formatCode>0%</c:formatCode>
                <c:ptCount val="5"/>
                <c:pt idx="0">
                  <c:v>7.2405409195404918E-2</c:v>
                </c:pt>
                <c:pt idx="1">
                  <c:v>0.1325207645316942</c:v>
                </c:pt>
                <c:pt idx="2">
                  <c:v>0.1044991360291193</c:v>
                </c:pt>
                <c:pt idx="3">
                  <c:v>0.13697360599328556</c:v>
                </c:pt>
                <c:pt idx="4">
                  <c:v>0.12120314260847648</c:v>
                </c:pt>
              </c:numCache>
            </c:numRef>
          </c:val>
          <c:smooth val="0"/>
          <c:extLst>
            <c:ext xmlns:c16="http://schemas.microsoft.com/office/drawing/2014/chart" uri="{C3380CC4-5D6E-409C-BE32-E72D297353CC}">
              <c16:uniqueId val="{00000002-BD81-4DE2-8643-ACB14089C1F0}"/>
            </c:ext>
          </c:extLst>
        </c:ser>
        <c:dLbls>
          <c:dLblPos val="t"/>
          <c:showLegendKey val="0"/>
          <c:showVal val="1"/>
          <c:showCatName val="0"/>
          <c:showSerName val="0"/>
          <c:showPercent val="0"/>
          <c:showBubbleSize val="0"/>
        </c:dLbls>
        <c:smooth val="0"/>
        <c:axId val="702274504"/>
        <c:axId val="702269824"/>
      </c:lineChart>
      <c:catAx>
        <c:axId val="702274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02269824"/>
        <c:crosses val="autoZero"/>
        <c:auto val="1"/>
        <c:lblAlgn val="ctr"/>
        <c:lblOffset val="100"/>
        <c:noMultiLvlLbl val="0"/>
      </c:catAx>
      <c:valAx>
        <c:axId val="7022698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02274504"/>
        <c:crosses val="autoZero"/>
        <c:crossBetween val="between"/>
      </c:valAx>
      <c:spPr>
        <a:noFill/>
        <a:ln>
          <a:noFill/>
        </a:ln>
        <a:effectLst/>
      </c:spPr>
    </c:plotArea>
    <c:legend>
      <c:legendPos val="r"/>
      <c:layout>
        <c:manualLayout>
          <c:xMode val="edge"/>
          <c:yMode val="edge"/>
          <c:x val="8.7498468941382329E-2"/>
          <c:y val="0.818769777602251"/>
          <c:w val="0.8986126421697288"/>
          <c:h val="0.1794959642583861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31" fmlaLink="Assumptions!$G$5" fmlaRange="Assumptions!$E$19:$E$21" sel="2" val="0"/>
</file>

<file path=xl/ctrlProps/ctrlProp2.xml><?xml version="1.0" encoding="utf-8"?>
<formControlPr xmlns="http://schemas.microsoft.com/office/spreadsheetml/2009/9/main" objectType="Drop" dropLines="3" dropStyle="combo" dx="31" fmlaLink="Assumptions!$G$5" fmlaRange="Assumptions!$E$19:$E$21" sel="2" val="0"/>
</file>

<file path=xl/ctrlProps/ctrlProp3.xml><?xml version="1.0" encoding="utf-8"?>
<formControlPr xmlns="http://schemas.microsoft.com/office/spreadsheetml/2009/9/main" objectType="Drop" dropLines="3" dropStyle="combo" dx="31" fmlaLink="Assumptions!$G$5" fmlaRange="Assumptions!$E$19:$E$21" sel="2" val="0"/>
</file>

<file path=xl/ctrlProps/ctrlProp4.xml><?xml version="1.0" encoding="utf-8"?>
<formControlPr xmlns="http://schemas.microsoft.com/office/spreadsheetml/2009/9/main" objectType="Drop" dropLines="3" dropStyle="combo" dx="31" fmlaLink="Assumptions!$G$5" fmlaRange="Assumptions!$E$19:$E$21" sel="2" val="0"/>
</file>

<file path=xl/ctrlProps/ctrlProp5.xml><?xml version="1.0" encoding="utf-8"?>
<formControlPr xmlns="http://schemas.microsoft.com/office/spreadsheetml/2009/9/main" objectType="Drop" dropLines="3" dropStyle="combo" dx="31" fmlaLink="Assumptions!$G$5" fmlaRange="Assumptions!$E$19:$E$21" sel="2" val="0"/>
</file>

<file path=xl/ctrlProps/ctrlProp6.xml><?xml version="1.0" encoding="utf-8"?>
<formControlPr xmlns="http://schemas.microsoft.com/office/spreadsheetml/2009/9/main" objectType="Drop" dropLines="3" dropStyle="combo" dx="31" fmlaLink="Assumptions!$G$5" fmlaRange="Assumptions!$E$19:$E$21" sel="2" val="0"/>
</file>

<file path=xl/ctrlProps/ctrlProp7.xml><?xml version="1.0" encoding="utf-8"?>
<formControlPr xmlns="http://schemas.microsoft.com/office/spreadsheetml/2009/9/main" objectType="Drop" dropLines="3" dropStyle="combo" dx="31" fmlaLink="Assumptions!$G$5" fmlaRange="Assumptions!$E$19:$E$21" sel="2" val="0"/>
</file>

<file path=xl/ctrlProps/ctrlProp8.xml><?xml version="1.0" encoding="utf-8"?>
<formControlPr xmlns="http://schemas.microsoft.com/office/spreadsheetml/2009/9/main" objectType="Drop" dropLines="3" dropStyle="combo" dx="31" fmlaLink="Assumptions!$G$5" fmlaRange="Assumptions!$E$19:$E$21" sel="2" val="0"/>
</file>

<file path=xl/ctrlProps/ctrlProp9.xml><?xml version="1.0" encoding="utf-8"?>
<formControlPr xmlns="http://schemas.microsoft.com/office/spreadsheetml/2009/9/main" objectType="Drop" dropLines="3" dropStyle="combo" dx="31" fmlaLink="Assumptions!$G$5" fmlaRange="Assumptions!$E$19:$E$21" sel="2" val="0"/>
</file>

<file path=xl/drawings/_rels/drawing1.xml.rels><?xml version="1.0" encoding="UTF-8" standalone="yes"?>
<Relationships xmlns="http://schemas.openxmlformats.org/package/2006/relationships"><Relationship Id="rId2" Type="http://schemas.openxmlformats.org/officeDocument/2006/relationships/hyperlink" Target="https://www.pngall.com/apple-iphone-12-png/download/5624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152400</xdr:colOff>
      <xdr:row>1</xdr:row>
      <xdr:rowOff>114300</xdr:rowOff>
    </xdr:from>
    <xdr:to>
      <xdr:col>14</xdr:col>
      <xdr:colOff>508000</xdr:colOff>
      <xdr:row>22</xdr:row>
      <xdr:rowOff>120650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1981200" y="298450"/>
          <a:ext cx="7061200" cy="387350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520701</xdr:colOff>
      <xdr:row>1</xdr:row>
      <xdr:rowOff>158750</xdr:rowOff>
    </xdr:from>
    <xdr:to>
      <xdr:col>14</xdr:col>
      <xdr:colOff>596901</xdr:colOff>
      <xdr:row>15</xdr:row>
      <xdr:rowOff>75473</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6007101" y="342900"/>
          <a:ext cx="3124200" cy="2494823"/>
        </a:xfrm>
        <a:prstGeom prst="rect">
          <a:avLst/>
        </a:prstGeom>
      </xdr:spPr>
    </xdr:pic>
    <xdr:clientData/>
  </xdr:twoCellAnchor>
  <xdr:twoCellAnchor>
    <xdr:from>
      <xdr:col>3</xdr:col>
      <xdr:colOff>596900</xdr:colOff>
      <xdr:row>3</xdr:row>
      <xdr:rowOff>82550</xdr:rowOff>
    </xdr:from>
    <xdr:to>
      <xdr:col>8</xdr:col>
      <xdr:colOff>355600</xdr:colOff>
      <xdr:row>9</xdr:row>
      <xdr:rowOff>171450</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2425700" y="635000"/>
          <a:ext cx="2806700" cy="11938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   AFOBJMART</a:t>
          </a:r>
          <a:r>
            <a:rPr lang="en-US" sz="2000" baseline="0"/>
            <a:t> </a:t>
          </a:r>
          <a:endParaRPr lang="en-US" sz="900" b="1" baseline="0"/>
        </a:p>
        <a:p>
          <a:pPr algn="l"/>
          <a:r>
            <a:rPr lang="en-US" sz="900" b="1" baseline="0"/>
            <a:t>we are always available to serve you</a:t>
          </a:r>
        </a:p>
        <a:p>
          <a:pPr algn="l"/>
          <a:endParaRPr lang="en-US" sz="900" b="1"/>
        </a:p>
      </xdr:txBody>
    </xdr:sp>
    <xdr:clientData/>
  </xdr:twoCellAnchor>
  <xdr:twoCellAnchor>
    <xdr:from>
      <xdr:col>4</xdr:col>
      <xdr:colOff>57150</xdr:colOff>
      <xdr:row>6</xdr:row>
      <xdr:rowOff>101600</xdr:rowOff>
    </xdr:from>
    <xdr:to>
      <xdr:col>6</xdr:col>
      <xdr:colOff>476250</xdr:colOff>
      <xdr:row>8</xdr:row>
      <xdr:rowOff>12700</xdr:rowOff>
    </xdr:to>
    <xdr:sp macro="" textlink="">
      <xdr:nvSpPr>
        <xdr:cNvPr id="19" name="Rectangle 18">
          <a:extLst>
            <a:ext uri="{FF2B5EF4-FFF2-40B4-BE49-F238E27FC236}">
              <a16:creationId xmlns:a16="http://schemas.microsoft.com/office/drawing/2014/main" id="{00000000-0008-0000-0000-000013000000}"/>
            </a:ext>
          </a:extLst>
        </xdr:cNvPr>
        <xdr:cNvSpPr/>
      </xdr:nvSpPr>
      <xdr:spPr>
        <a:xfrm>
          <a:off x="2495550" y="1206500"/>
          <a:ext cx="1638300" cy="2794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t>BUY | SELL | SWAP</a:t>
          </a:r>
        </a:p>
      </xdr:txBody>
    </xdr:sp>
    <xdr:clientData/>
  </xdr:twoCellAnchor>
  <xdr:twoCellAnchor>
    <xdr:from>
      <xdr:col>6</xdr:col>
      <xdr:colOff>425450</xdr:colOff>
      <xdr:row>3</xdr:row>
      <xdr:rowOff>88900</xdr:rowOff>
    </xdr:from>
    <xdr:to>
      <xdr:col>8</xdr:col>
      <xdr:colOff>311150</xdr:colOff>
      <xdr:row>4</xdr:row>
      <xdr:rowOff>165100</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4083050" y="641350"/>
          <a:ext cx="1104900" cy="2603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b="1"/>
            <a:t>RC:3274569</a:t>
          </a:r>
        </a:p>
      </xdr:txBody>
    </xdr:sp>
    <xdr:clientData/>
  </xdr:twoCellAnchor>
  <xdr:twoCellAnchor>
    <xdr:from>
      <xdr:col>3</xdr:col>
      <xdr:colOff>266700</xdr:colOff>
      <xdr:row>12</xdr:row>
      <xdr:rowOff>165100</xdr:rowOff>
    </xdr:from>
    <xdr:to>
      <xdr:col>9</xdr:col>
      <xdr:colOff>25400</xdr:colOff>
      <xdr:row>16</xdr:row>
      <xdr:rowOff>38100</xdr:rowOff>
    </xdr:to>
    <xdr:sp macro="" textlink="">
      <xdr:nvSpPr>
        <xdr:cNvPr id="22" name="Rectangle 21">
          <a:extLst>
            <a:ext uri="{FF2B5EF4-FFF2-40B4-BE49-F238E27FC236}">
              <a16:creationId xmlns:a16="http://schemas.microsoft.com/office/drawing/2014/main" id="{00000000-0008-0000-0000-000016000000}"/>
            </a:ext>
          </a:extLst>
        </xdr:cNvPr>
        <xdr:cNvSpPr/>
      </xdr:nvSpPr>
      <xdr:spPr>
        <a:xfrm>
          <a:off x="2095500" y="2374900"/>
          <a:ext cx="3416300" cy="609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ADDRESS:</a:t>
          </a:r>
          <a:r>
            <a:rPr lang="en-US" sz="1100" b="1" baseline="0"/>
            <a:t> 7 Adepele street platinum plaza,shop B29, computer village ,ikeja Lagos</a:t>
          </a:r>
          <a:endParaRPr lang="en-US" sz="1100" b="1"/>
        </a:p>
      </xdr:txBody>
    </xdr:sp>
    <xdr:clientData/>
  </xdr:twoCellAnchor>
  <xdr:twoCellAnchor>
    <xdr:from>
      <xdr:col>3</xdr:col>
      <xdr:colOff>419100</xdr:colOff>
      <xdr:row>9</xdr:row>
      <xdr:rowOff>127000</xdr:rowOff>
    </xdr:from>
    <xdr:to>
      <xdr:col>9</xdr:col>
      <xdr:colOff>292100</xdr:colOff>
      <xdr:row>12</xdr:row>
      <xdr:rowOff>95250</xdr:rowOff>
    </xdr:to>
    <xdr:sp macro="" textlink="">
      <xdr:nvSpPr>
        <xdr:cNvPr id="23" name="Rectangle 22">
          <a:extLst>
            <a:ext uri="{FF2B5EF4-FFF2-40B4-BE49-F238E27FC236}">
              <a16:creationId xmlns:a16="http://schemas.microsoft.com/office/drawing/2014/main" id="{00000000-0008-0000-0000-000017000000}"/>
            </a:ext>
          </a:extLst>
        </xdr:cNvPr>
        <xdr:cNvSpPr/>
      </xdr:nvSpPr>
      <xdr:spPr>
        <a:xfrm>
          <a:off x="2247900" y="1784350"/>
          <a:ext cx="3530600" cy="520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Five</a:t>
          </a:r>
          <a:r>
            <a:rPr lang="en-US" sz="1400" b="1" baseline="0"/>
            <a:t>-Year Financial model</a:t>
          </a:r>
          <a:endParaRPr lang="en-US" sz="1400" b="1"/>
        </a:p>
      </xdr:txBody>
    </xdr:sp>
    <xdr:clientData/>
  </xdr:twoCellAnchor>
  <xdr:twoCellAnchor>
    <xdr:from>
      <xdr:col>3</xdr:col>
      <xdr:colOff>488950</xdr:colOff>
      <xdr:row>19</xdr:row>
      <xdr:rowOff>95250</xdr:rowOff>
    </xdr:from>
    <xdr:to>
      <xdr:col>4</xdr:col>
      <xdr:colOff>355600</xdr:colOff>
      <xdr:row>21</xdr:row>
      <xdr:rowOff>25400</xdr:rowOff>
    </xdr:to>
    <xdr:sp macro="" textlink="">
      <xdr:nvSpPr>
        <xdr:cNvPr id="25" name="Rectangle 24">
          <a:extLst>
            <a:ext uri="{FF2B5EF4-FFF2-40B4-BE49-F238E27FC236}">
              <a16:creationId xmlns:a16="http://schemas.microsoft.com/office/drawing/2014/main" id="{00000000-0008-0000-0000-000019000000}"/>
            </a:ext>
          </a:extLst>
        </xdr:cNvPr>
        <xdr:cNvSpPr/>
      </xdr:nvSpPr>
      <xdr:spPr>
        <a:xfrm>
          <a:off x="2317750" y="3594100"/>
          <a:ext cx="476250" cy="2984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2023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127000</xdr:colOff>
      <xdr:row>2</xdr:row>
      <xdr:rowOff>82550</xdr:rowOff>
    </xdr:from>
    <xdr:to>
      <xdr:col>18</xdr:col>
      <xdr:colOff>158750</xdr:colOff>
      <xdr:row>35</xdr:row>
      <xdr:rowOff>63500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127000" y="82550"/>
          <a:ext cx="10394950" cy="6057900"/>
        </a:xfrm>
        <a:prstGeom prst="rect">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120650</xdr:colOff>
      <xdr:row>2</xdr:row>
      <xdr:rowOff>88900</xdr:rowOff>
    </xdr:from>
    <xdr:to>
      <xdr:col>18</xdr:col>
      <xdr:colOff>158750</xdr:colOff>
      <xdr:row>7</xdr:row>
      <xdr:rowOff>63500</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120650" y="88900"/>
          <a:ext cx="10401300" cy="895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            </a:t>
          </a:r>
          <a:r>
            <a:rPr lang="en-US" sz="1600" b="1">
              <a:solidFill>
                <a:schemeClr val="lt1"/>
              </a:solidFill>
              <a:effectLst/>
              <a:latin typeface="+mn-lt"/>
              <a:ea typeface="+mn-ea"/>
              <a:cs typeface="+mn-cs"/>
            </a:rPr>
            <a:t>AFOBJMART</a:t>
          </a:r>
          <a:r>
            <a:rPr lang="en-US" sz="1100" baseline="0">
              <a:solidFill>
                <a:schemeClr val="lt1"/>
              </a:solidFill>
              <a:effectLst/>
              <a:latin typeface="+mn-lt"/>
              <a:ea typeface="+mn-ea"/>
              <a:cs typeface="+mn-cs"/>
            </a:rPr>
            <a:t>         </a:t>
          </a:r>
          <a:r>
            <a:rPr lang="en-US" sz="1100" b="1">
              <a:solidFill>
                <a:schemeClr val="lt1"/>
              </a:solidFill>
              <a:effectLst/>
              <a:latin typeface="+mn-lt"/>
              <a:ea typeface="+mn-ea"/>
              <a:cs typeface="+mn-cs"/>
            </a:rPr>
            <a:t>RC:3274569                                                                                                                                                                                                                                   </a:t>
          </a:r>
          <a:r>
            <a:rPr lang="en-US" sz="1200" b="1">
              <a:solidFill>
                <a:schemeClr val="lt1"/>
              </a:solidFill>
              <a:effectLst/>
              <a:latin typeface="+mn-lt"/>
              <a:ea typeface="+mn-ea"/>
              <a:cs typeface="+mn-cs"/>
            </a:rPr>
            <a:t>Five</a:t>
          </a:r>
          <a:r>
            <a:rPr lang="en-US" sz="1200" b="1" baseline="0">
              <a:solidFill>
                <a:schemeClr val="lt1"/>
              </a:solidFill>
              <a:effectLst/>
              <a:latin typeface="+mn-lt"/>
              <a:ea typeface="+mn-ea"/>
              <a:cs typeface="+mn-cs"/>
            </a:rPr>
            <a:t>-Year Financial model</a:t>
          </a: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    </a:t>
          </a:r>
          <a:r>
            <a:rPr lang="en-US" sz="1100" b="1" baseline="0">
              <a:solidFill>
                <a:schemeClr val="lt1"/>
              </a:solidFill>
              <a:effectLst/>
              <a:latin typeface="+mn-lt"/>
              <a:ea typeface="+mn-ea"/>
              <a:cs typeface="+mn-cs"/>
            </a:rPr>
            <a:t>we are always available to serve you</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                 </a:t>
          </a:r>
          <a:r>
            <a:rPr lang="en-US" sz="1100" b="1">
              <a:solidFill>
                <a:schemeClr val="lt1"/>
              </a:solidFill>
              <a:effectLst/>
              <a:latin typeface="+mn-lt"/>
              <a:ea typeface="+mn-ea"/>
              <a:cs typeface="+mn-cs"/>
            </a:rPr>
            <a:t>BUY | SELL | SWAP</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a:effectLst/>
          </a:endParaRPr>
        </a:p>
        <a:p>
          <a:pPr algn="l"/>
          <a:endParaRPr lang="en-US" sz="1100"/>
        </a:p>
      </xdr:txBody>
    </xdr:sp>
    <xdr:clientData/>
  </xdr:twoCellAnchor>
  <xdr:twoCellAnchor>
    <xdr:from>
      <xdr:col>1</xdr:col>
      <xdr:colOff>260350</xdr:colOff>
      <xdr:row>8</xdr:row>
      <xdr:rowOff>25400</xdr:rowOff>
    </xdr:from>
    <xdr:to>
      <xdr:col>4</xdr:col>
      <xdr:colOff>215900</xdr:colOff>
      <xdr:row>34</xdr:row>
      <xdr:rowOff>76200</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260350" y="1130300"/>
          <a:ext cx="1784350" cy="4838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266700</xdr:colOff>
      <xdr:row>8</xdr:row>
      <xdr:rowOff>38100</xdr:rowOff>
    </xdr:from>
    <xdr:to>
      <xdr:col>11</xdr:col>
      <xdr:colOff>368300</xdr:colOff>
      <xdr:row>19</xdr:row>
      <xdr:rowOff>139700</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2095500" y="1143000"/>
          <a:ext cx="4368800" cy="2127250"/>
        </a:xfrm>
        <a:prstGeom prst="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279400</xdr:colOff>
      <xdr:row>20</xdr:row>
      <xdr:rowOff>50800</xdr:rowOff>
    </xdr:from>
    <xdr:to>
      <xdr:col>10</xdr:col>
      <xdr:colOff>304800</xdr:colOff>
      <xdr:row>34</xdr:row>
      <xdr:rowOff>82550</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2108200" y="3365500"/>
          <a:ext cx="3683000" cy="2609850"/>
        </a:xfrm>
        <a:prstGeom prst="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444500</xdr:colOff>
      <xdr:row>8</xdr:row>
      <xdr:rowOff>38100</xdr:rowOff>
    </xdr:from>
    <xdr:to>
      <xdr:col>18</xdr:col>
      <xdr:colOff>6350</xdr:colOff>
      <xdr:row>19</xdr:row>
      <xdr:rowOff>133350</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6540500" y="1143000"/>
          <a:ext cx="3829050" cy="2120900"/>
        </a:xfrm>
        <a:prstGeom prst="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381000</xdr:colOff>
      <xdr:row>20</xdr:row>
      <xdr:rowOff>57150</xdr:rowOff>
    </xdr:from>
    <xdr:to>
      <xdr:col>15</xdr:col>
      <xdr:colOff>387350</xdr:colOff>
      <xdr:row>34</xdr:row>
      <xdr:rowOff>95250</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5867400" y="3371850"/>
          <a:ext cx="3054350" cy="2616200"/>
        </a:xfrm>
        <a:prstGeom prst="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457200</xdr:colOff>
      <xdr:row>20</xdr:row>
      <xdr:rowOff>63500</xdr:rowOff>
    </xdr:from>
    <xdr:to>
      <xdr:col>18</xdr:col>
      <xdr:colOff>25400</xdr:colOff>
      <xdr:row>34</xdr:row>
      <xdr:rowOff>88900</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8991600" y="3378200"/>
          <a:ext cx="1397000" cy="2603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285750</xdr:colOff>
      <xdr:row>8</xdr:row>
      <xdr:rowOff>69850</xdr:rowOff>
    </xdr:from>
    <xdr:to>
      <xdr:col>11</xdr:col>
      <xdr:colOff>342900</xdr:colOff>
      <xdr:row>19</xdr:row>
      <xdr:rowOff>120650</xdr:rowOff>
    </xdr:to>
    <xdr:graphicFrame macro="">
      <xdr:nvGraphicFramePr>
        <xdr:cNvPr id="15" name="Chart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20</xdr:row>
      <xdr:rowOff>69850</xdr:rowOff>
    </xdr:from>
    <xdr:to>
      <xdr:col>10</xdr:col>
      <xdr:colOff>279400</xdr:colOff>
      <xdr:row>34</xdr:row>
      <xdr:rowOff>57150</xdr:rowOff>
    </xdr:to>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361950</xdr:colOff>
          <xdr:row>3</xdr:row>
          <xdr:rowOff>177800</xdr:rowOff>
        </xdr:from>
        <xdr:to>
          <xdr:col>10</xdr:col>
          <xdr:colOff>501650</xdr:colOff>
          <xdr:row>5</xdr:row>
          <xdr:rowOff>120650</xdr:rowOff>
        </xdr:to>
        <xdr:sp macro="" textlink="">
          <xdr:nvSpPr>
            <xdr:cNvPr id="11267" name="Drop Down 3" hidden="1">
              <a:extLst>
                <a:ext uri="{63B3BB69-23CF-44E3-9099-C40C66FF867C}">
                  <a14:compatExt spid="_x0000_s11267"/>
                </a:ext>
                <a:ext uri="{FF2B5EF4-FFF2-40B4-BE49-F238E27FC236}">
                  <a16:creationId xmlns:a16="http://schemas.microsoft.com/office/drawing/2014/main" id="{00000000-0008-0000-0200-000003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10</xdr:col>
      <xdr:colOff>406400</xdr:colOff>
      <xdr:row>20</xdr:row>
      <xdr:rowOff>88900</xdr:rowOff>
    </xdr:from>
    <xdr:to>
      <xdr:col>15</xdr:col>
      <xdr:colOff>361950</xdr:colOff>
      <xdr:row>34</xdr:row>
      <xdr:rowOff>88900</xdr:rowOff>
    </xdr:to>
    <xdr:graphicFrame macro="">
      <xdr:nvGraphicFramePr>
        <xdr:cNvPr id="18" name="Chart 17">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8</xdr:row>
      <xdr:rowOff>57150</xdr:rowOff>
    </xdr:from>
    <xdr:to>
      <xdr:col>17</xdr:col>
      <xdr:colOff>596900</xdr:colOff>
      <xdr:row>19</xdr:row>
      <xdr:rowOff>120650</xdr:rowOff>
    </xdr:to>
    <xdr:graphicFrame macro="">
      <xdr:nvGraphicFramePr>
        <xdr:cNvPr id="20" name="Chart 19">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355600</xdr:colOff>
      <xdr:row>8</xdr:row>
      <xdr:rowOff>146050</xdr:rowOff>
    </xdr:from>
    <xdr:to>
      <xdr:col>4</xdr:col>
      <xdr:colOff>120650</xdr:colOff>
      <xdr:row>15</xdr:row>
      <xdr:rowOff>50800</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355600" y="1250950"/>
          <a:ext cx="1593850" cy="11938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349250</xdr:colOff>
      <xdr:row>17</xdr:row>
      <xdr:rowOff>0</xdr:rowOff>
    </xdr:from>
    <xdr:to>
      <xdr:col>4</xdr:col>
      <xdr:colOff>114300</xdr:colOff>
      <xdr:row>24</xdr:row>
      <xdr:rowOff>95250</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349250" y="2762250"/>
          <a:ext cx="1593850" cy="13843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361950</xdr:colOff>
      <xdr:row>25</xdr:row>
      <xdr:rowOff>139700</xdr:rowOff>
    </xdr:from>
    <xdr:to>
      <xdr:col>4</xdr:col>
      <xdr:colOff>127000</xdr:colOff>
      <xdr:row>33</xdr:row>
      <xdr:rowOff>101600</xdr:rowOff>
    </xdr:to>
    <xdr:sp macro="" textlink="">
      <xdr:nvSpPr>
        <xdr:cNvPr id="23" name="Rectangle 22">
          <a:extLst>
            <a:ext uri="{FF2B5EF4-FFF2-40B4-BE49-F238E27FC236}">
              <a16:creationId xmlns:a16="http://schemas.microsoft.com/office/drawing/2014/main" id="{00000000-0008-0000-0200-000017000000}"/>
            </a:ext>
          </a:extLst>
        </xdr:cNvPr>
        <xdr:cNvSpPr/>
      </xdr:nvSpPr>
      <xdr:spPr>
        <a:xfrm>
          <a:off x="361950" y="4375150"/>
          <a:ext cx="1593850" cy="14351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539750</xdr:colOff>
      <xdr:row>9</xdr:row>
      <xdr:rowOff>152400</xdr:rowOff>
    </xdr:from>
    <xdr:to>
      <xdr:col>3</xdr:col>
      <xdr:colOff>590550</xdr:colOff>
      <xdr:row>11</xdr:row>
      <xdr:rowOff>69850</xdr:rowOff>
    </xdr:to>
    <xdr:sp macro="" textlink="">
      <xdr:nvSpPr>
        <xdr:cNvPr id="25" name="Rectangle 24">
          <a:extLst>
            <a:ext uri="{FF2B5EF4-FFF2-40B4-BE49-F238E27FC236}">
              <a16:creationId xmlns:a16="http://schemas.microsoft.com/office/drawing/2014/main" id="{00000000-0008-0000-0200-000019000000}"/>
            </a:ext>
          </a:extLst>
        </xdr:cNvPr>
        <xdr:cNvSpPr/>
      </xdr:nvSpPr>
      <xdr:spPr>
        <a:xfrm>
          <a:off x="539750" y="1441450"/>
          <a:ext cx="1270000" cy="285750"/>
        </a:xfrm>
        <a:prstGeom prst="rect">
          <a:avLst/>
        </a:prstGeom>
        <a:solidFill>
          <a:schemeClr val="accent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Revenue</a:t>
          </a:r>
        </a:p>
      </xdr:txBody>
    </xdr:sp>
    <xdr:clientData/>
  </xdr:twoCellAnchor>
  <xdr:twoCellAnchor>
    <xdr:from>
      <xdr:col>1</xdr:col>
      <xdr:colOff>488950</xdr:colOff>
      <xdr:row>17</xdr:row>
      <xdr:rowOff>139700</xdr:rowOff>
    </xdr:from>
    <xdr:to>
      <xdr:col>3</xdr:col>
      <xdr:colOff>539750</xdr:colOff>
      <xdr:row>19</xdr:row>
      <xdr:rowOff>69850</xdr:rowOff>
    </xdr:to>
    <xdr:sp macro="" textlink="">
      <xdr:nvSpPr>
        <xdr:cNvPr id="26" name="Rectangle 25">
          <a:extLst>
            <a:ext uri="{FF2B5EF4-FFF2-40B4-BE49-F238E27FC236}">
              <a16:creationId xmlns:a16="http://schemas.microsoft.com/office/drawing/2014/main" id="{00000000-0008-0000-0200-00001A000000}"/>
            </a:ext>
          </a:extLst>
        </xdr:cNvPr>
        <xdr:cNvSpPr/>
      </xdr:nvSpPr>
      <xdr:spPr>
        <a:xfrm>
          <a:off x="488950" y="2901950"/>
          <a:ext cx="1270000" cy="298450"/>
        </a:xfrm>
        <a:prstGeom prst="rect">
          <a:avLst/>
        </a:prstGeom>
        <a:solidFill>
          <a:schemeClr val="accent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Avrg</a:t>
          </a:r>
          <a:r>
            <a:rPr lang="en-US" sz="1100" b="1" baseline="0"/>
            <a:t> Gross Profit</a:t>
          </a:r>
          <a:endParaRPr lang="en-US" sz="1100" b="1"/>
        </a:p>
      </xdr:txBody>
    </xdr:sp>
    <xdr:clientData/>
  </xdr:twoCellAnchor>
  <xdr:twoCellAnchor>
    <xdr:from>
      <xdr:col>1</xdr:col>
      <xdr:colOff>508000</xdr:colOff>
      <xdr:row>27</xdr:row>
      <xdr:rowOff>6350</xdr:rowOff>
    </xdr:from>
    <xdr:to>
      <xdr:col>4</xdr:col>
      <xdr:colOff>0</xdr:colOff>
      <xdr:row>28</xdr:row>
      <xdr:rowOff>114300</xdr:rowOff>
    </xdr:to>
    <xdr:sp macro="" textlink="">
      <xdr:nvSpPr>
        <xdr:cNvPr id="27" name="Rectangle 26">
          <a:extLst>
            <a:ext uri="{FF2B5EF4-FFF2-40B4-BE49-F238E27FC236}">
              <a16:creationId xmlns:a16="http://schemas.microsoft.com/office/drawing/2014/main" id="{00000000-0008-0000-0200-00001B000000}"/>
            </a:ext>
          </a:extLst>
        </xdr:cNvPr>
        <xdr:cNvSpPr/>
      </xdr:nvSpPr>
      <xdr:spPr>
        <a:xfrm>
          <a:off x="508000" y="4610100"/>
          <a:ext cx="1320800" cy="292100"/>
        </a:xfrm>
        <a:prstGeom prst="rect">
          <a:avLst/>
        </a:prstGeom>
        <a:solidFill>
          <a:schemeClr val="accent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Avrg</a:t>
          </a:r>
          <a:r>
            <a:rPr lang="en-US" sz="1100" b="1" baseline="0"/>
            <a:t> Profit After Tax</a:t>
          </a:r>
          <a:endParaRPr lang="en-US" sz="1100" b="1"/>
        </a:p>
      </xdr:txBody>
    </xdr:sp>
    <xdr:clientData/>
  </xdr:twoCellAnchor>
  <xdr:twoCellAnchor>
    <xdr:from>
      <xdr:col>1</xdr:col>
      <xdr:colOff>514350</xdr:colOff>
      <xdr:row>12</xdr:row>
      <xdr:rowOff>95250</xdr:rowOff>
    </xdr:from>
    <xdr:to>
      <xdr:col>3</xdr:col>
      <xdr:colOff>565150</xdr:colOff>
      <xdr:row>14</xdr:row>
      <xdr:rowOff>25400</xdr:rowOff>
    </xdr:to>
    <xdr:sp macro="" textlink="PIVOT!I41">
      <xdr:nvSpPr>
        <xdr:cNvPr id="28" name="Rectangle 27">
          <a:extLst>
            <a:ext uri="{FF2B5EF4-FFF2-40B4-BE49-F238E27FC236}">
              <a16:creationId xmlns:a16="http://schemas.microsoft.com/office/drawing/2014/main" id="{00000000-0008-0000-0200-00001C000000}"/>
            </a:ext>
          </a:extLst>
        </xdr:cNvPr>
        <xdr:cNvSpPr/>
      </xdr:nvSpPr>
      <xdr:spPr>
        <a:xfrm>
          <a:off x="514350" y="1936750"/>
          <a:ext cx="1270000" cy="2984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5FBB3BE-99C8-49BE-B409-93572BEC6F2D}" type="TxLink">
            <a:rPr lang="en-US" sz="1400" b="1" i="0" u="none" strike="noStrike">
              <a:solidFill>
                <a:schemeClr val="tx2">
                  <a:lumMod val="50000"/>
                  <a:lumOff val="50000"/>
                </a:schemeClr>
              </a:solidFill>
              <a:latin typeface="Aptos Narrow"/>
            </a:rPr>
            <a:pPr algn="l"/>
            <a:t> ₦ 683,357,760 </a:t>
          </a:fld>
          <a:endParaRPr lang="en-US" sz="1400" b="1">
            <a:solidFill>
              <a:schemeClr val="tx2">
                <a:lumMod val="50000"/>
                <a:lumOff val="50000"/>
              </a:schemeClr>
            </a:solidFill>
          </a:endParaRPr>
        </a:p>
      </xdr:txBody>
    </xdr:sp>
    <xdr:clientData/>
  </xdr:twoCellAnchor>
  <xdr:twoCellAnchor>
    <xdr:from>
      <xdr:col>1</xdr:col>
      <xdr:colOff>488950</xdr:colOff>
      <xdr:row>20</xdr:row>
      <xdr:rowOff>146050</xdr:rowOff>
    </xdr:from>
    <xdr:to>
      <xdr:col>3</xdr:col>
      <xdr:colOff>539750</xdr:colOff>
      <xdr:row>22</xdr:row>
      <xdr:rowOff>76200</xdr:rowOff>
    </xdr:to>
    <xdr:sp macro="" textlink="PIVOT!J41">
      <xdr:nvSpPr>
        <xdr:cNvPr id="29" name="Rectangle 28">
          <a:extLst>
            <a:ext uri="{FF2B5EF4-FFF2-40B4-BE49-F238E27FC236}">
              <a16:creationId xmlns:a16="http://schemas.microsoft.com/office/drawing/2014/main" id="{00000000-0008-0000-0200-00001D000000}"/>
            </a:ext>
          </a:extLst>
        </xdr:cNvPr>
        <xdr:cNvSpPr/>
      </xdr:nvSpPr>
      <xdr:spPr>
        <a:xfrm>
          <a:off x="488950" y="3460750"/>
          <a:ext cx="1270000" cy="2984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334DEB0-2A4D-4494-9976-2A0CA264BF72}" type="TxLink">
            <a:rPr lang="en-US" sz="1400" b="1" i="0" u="none" strike="noStrike">
              <a:solidFill>
                <a:schemeClr val="tx2">
                  <a:lumMod val="50000"/>
                  <a:lumOff val="50000"/>
                </a:schemeClr>
              </a:solidFill>
              <a:latin typeface="Aptos Narrow"/>
            </a:rPr>
            <a:pPr algn="l"/>
            <a:t> ₦ 21,522,704 </a:t>
          </a:fld>
          <a:endParaRPr lang="en-US" sz="1400" b="1">
            <a:solidFill>
              <a:schemeClr val="tx2">
                <a:lumMod val="50000"/>
                <a:lumOff val="50000"/>
              </a:schemeClr>
            </a:solidFill>
          </a:endParaRPr>
        </a:p>
      </xdr:txBody>
    </xdr:sp>
    <xdr:clientData/>
  </xdr:twoCellAnchor>
  <xdr:twoCellAnchor>
    <xdr:from>
      <xdr:col>1</xdr:col>
      <xdr:colOff>495300</xdr:colOff>
      <xdr:row>29</xdr:row>
      <xdr:rowOff>171450</xdr:rowOff>
    </xdr:from>
    <xdr:to>
      <xdr:col>3</xdr:col>
      <xdr:colOff>596900</xdr:colOff>
      <xdr:row>31</xdr:row>
      <xdr:rowOff>95250</xdr:rowOff>
    </xdr:to>
    <xdr:sp macro="" textlink="PIVOT!K41">
      <xdr:nvSpPr>
        <xdr:cNvPr id="30" name="Rectangle 29">
          <a:extLst>
            <a:ext uri="{FF2B5EF4-FFF2-40B4-BE49-F238E27FC236}">
              <a16:creationId xmlns:a16="http://schemas.microsoft.com/office/drawing/2014/main" id="{00000000-0008-0000-0200-00001E000000}"/>
            </a:ext>
          </a:extLst>
        </xdr:cNvPr>
        <xdr:cNvSpPr/>
      </xdr:nvSpPr>
      <xdr:spPr>
        <a:xfrm>
          <a:off x="495300" y="5143500"/>
          <a:ext cx="1320800" cy="2921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826CD7C-D7BD-4CD0-992B-A27B6308E581}" type="TxLink">
            <a:rPr lang="en-US" sz="1600" b="1" i="0" u="none" strike="noStrike">
              <a:solidFill>
                <a:schemeClr val="tx2">
                  <a:lumMod val="50000"/>
                  <a:lumOff val="50000"/>
                </a:schemeClr>
              </a:solidFill>
              <a:latin typeface="Aptos Narrow"/>
            </a:rPr>
            <a:pPr algn="l"/>
            <a:t> ₦ 9,718,249 </a:t>
          </a:fld>
          <a:endParaRPr lang="en-US" sz="1600" b="1">
            <a:solidFill>
              <a:schemeClr val="tx2">
                <a:lumMod val="50000"/>
                <a:lumOff val="50000"/>
              </a:schemeClr>
            </a:solidFill>
          </a:endParaRPr>
        </a:p>
      </xdr:txBody>
    </xdr:sp>
    <xdr:clientData/>
  </xdr:twoCellAnchor>
  <xdr:twoCellAnchor>
    <xdr:from>
      <xdr:col>6</xdr:col>
      <xdr:colOff>279400</xdr:colOff>
      <xdr:row>8</xdr:row>
      <xdr:rowOff>50800</xdr:rowOff>
    </xdr:from>
    <xdr:to>
      <xdr:col>8</xdr:col>
      <xdr:colOff>577850</xdr:colOff>
      <xdr:row>9</xdr:row>
      <xdr:rowOff>152400</xdr:rowOff>
    </xdr:to>
    <xdr:sp macro="" textlink="">
      <xdr:nvSpPr>
        <xdr:cNvPr id="31" name="Rectangle 30">
          <a:extLst>
            <a:ext uri="{FF2B5EF4-FFF2-40B4-BE49-F238E27FC236}">
              <a16:creationId xmlns:a16="http://schemas.microsoft.com/office/drawing/2014/main" id="{00000000-0008-0000-0200-00001F000000}"/>
            </a:ext>
          </a:extLst>
        </xdr:cNvPr>
        <xdr:cNvSpPr/>
      </xdr:nvSpPr>
      <xdr:spPr>
        <a:xfrm>
          <a:off x="3327400" y="1155700"/>
          <a:ext cx="1517650" cy="28575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Overall</a:t>
          </a:r>
          <a:r>
            <a:rPr lang="en-US" sz="1200" b="1" baseline="0"/>
            <a:t> Performance</a:t>
          </a:r>
          <a:endParaRPr lang="en-US" sz="1200" b="1"/>
        </a:p>
      </xdr:txBody>
    </xdr:sp>
    <xdr:clientData/>
  </xdr:twoCellAnchor>
  <xdr:twoCellAnchor>
    <xdr:from>
      <xdr:col>6</xdr:col>
      <xdr:colOff>196850</xdr:colOff>
      <xdr:row>20</xdr:row>
      <xdr:rowOff>57150</xdr:rowOff>
    </xdr:from>
    <xdr:to>
      <xdr:col>8</xdr:col>
      <xdr:colOff>419100</xdr:colOff>
      <xdr:row>21</xdr:row>
      <xdr:rowOff>158750</xdr:rowOff>
    </xdr:to>
    <xdr:sp macro="" textlink="">
      <xdr:nvSpPr>
        <xdr:cNvPr id="11268" name="Rectangle 11267">
          <a:extLst>
            <a:ext uri="{FF2B5EF4-FFF2-40B4-BE49-F238E27FC236}">
              <a16:creationId xmlns:a16="http://schemas.microsoft.com/office/drawing/2014/main" id="{00000000-0008-0000-0200-0000042C0000}"/>
            </a:ext>
          </a:extLst>
        </xdr:cNvPr>
        <xdr:cNvSpPr/>
      </xdr:nvSpPr>
      <xdr:spPr>
        <a:xfrm>
          <a:off x="3244850" y="3371850"/>
          <a:ext cx="1441450" cy="28575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t>OPEX</a:t>
          </a:r>
          <a:r>
            <a:rPr lang="en-US" sz="1200" b="1" baseline="0"/>
            <a:t> Breakdown I</a:t>
          </a:r>
          <a:endParaRPr lang="en-US" sz="1200" b="1"/>
        </a:p>
      </xdr:txBody>
    </xdr:sp>
    <xdr:clientData/>
  </xdr:twoCellAnchor>
  <xdr:twoCellAnchor>
    <xdr:from>
      <xdr:col>11</xdr:col>
      <xdr:colOff>508000</xdr:colOff>
      <xdr:row>20</xdr:row>
      <xdr:rowOff>95250</xdr:rowOff>
    </xdr:from>
    <xdr:to>
      <xdr:col>14</xdr:col>
      <xdr:colOff>95250</xdr:colOff>
      <xdr:row>21</xdr:row>
      <xdr:rowOff>177800</xdr:rowOff>
    </xdr:to>
    <xdr:sp macro="" textlink="">
      <xdr:nvSpPr>
        <xdr:cNvPr id="11270" name="Rectangle 11269">
          <a:extLst>
            <a:ext uri="{FF2B5EF4-FFF2-40B4-BE49-F238E27FC236}">
              <a16:creationId xmlns:a16="http://schemas.microsoft.com/office/drawing/2014/main" id="{00000000-0008-0000-0200-0000062C0000}"/>
            </a:ext>
          </a:extLst>
        </xdr:cNvPr>
        <xdr:cNvSpPr/>
      </xdr:nvSpPr>
      <xdr:spPr>
        <a:xfrm>
          <a:off x="6604000" y="3409950"/>
          <a:ext cx="1416050" cy="26670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OPEX</a:t>
          </a:r>
          <a:r>
            <a:rPr lang="en-US" sz="1100" b="1" baseline="0"/>
            <a:t> Breakdown II</a:t>
          </a:r>
        </a:p>
        <a:p>
          <a:pPr algn="l"/>
          <a:endParaRPr lang="en-US" sz="1100" b="1"/>
        </a:p>
      </xdr:txBody>
    </xdr:sp>
    <xdr:clientData/>
  </xdr:twoCellAnchor>
  <xdr:twoCellAnchor>
    <xdr:from>
      <xdr:col>14</xdr:col>
      <xdr:colOff>133350</xdr:colOff>
      <xdr:row>8</xdr:row>
      <xdr:rowOff>38100</xdr:rowOff>
    </xdr:from>
    <xdr:to>
      <xdr:col>16</xdr:col>
      <xdr:colOff>184150</xdr:colOff>
      <xdr:row>9</xdr:row>
      <xdr:rowOff>139700</xdr:rowOff>
    </xdr:to>
    <xdr:sp macro="" textlink="">
      <xdr:nvSpPr>
        <xdr:cNvPr id="11271" name="Rectangle 11270">
          <a:extLst>
            <a:ext uri="{FF2B5EF4-FFF2-40B4-BE49-F238E27FC236}">
              <a16:creationId xmlns:a16="http://schemas.microsoft.com/office/drawing/2014/main" id="{00000000-0008-0000-0200-0000072C0000}"/>
            </a:ext>
          </a:extLst>
        </xdr:cNvPr>
        <xdr:cNvSpPr/>
      </xdr:nvSpPr>
      <xdr:spPr>
        <a:xfrm>
          <a:off x="8058150" y="1143000"/>
          <a:ext cx="1270000" cy="285750"/>
        </a:xfrm>
        <a:prstGeom prst="rect">
          <a:avLst/>
        </a:prstGeom>
        <a:solidFill>
          <a:schemeClr val="tx2">
            <a:lumMod val="75000"/>
            <a:lumOff val="2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Profitability</a:t>
          </a:r>
          <a:r>
            <a:rPr lang="en-US" sz="1100" b="1" baseline="0"/>
            <a:t> Ratios</a:t>
          </a:r>
          <a:endParaRPr lang="en-US" sz="1100" b="1"/>
        </a:p>
      </xdr:txBody>
    </xdr:sp>
    <xdr:clientData/>
  </xdr:twoCellAnchor>
  <xdr:twoCellAnchor editAs="oneCell">
    <xdr:from>
      <xdr:col>15</xdr:col>
      <xdr:colOff>444500</xdr:colOff>
      <xdr:row>20</xdr:row>
      <xdr:rowOff>57150</xdr:rowOff>
    </xdr:from>
    <xdr:to>
      <xdr:col>18</xdr:col>
      <xdr:colOff>19050</xdr:colOff>
      <xdr:row>34</xdr:row>
      <xdr:rowOff>57150</xdr:rowOff>
    </xdr:to>
    <mc:AlternateContent xmlns:mc="http://schemas.openxmlformats.org/markup-compatibility/2006" xmlns:a14="http://schemas.microsoft.com/office/drawing/2010/main">
      <mc:Choice Requires="a14">
        <xdr:graphicFrame macro="">
          <xdr:nvGraphicFramePr>
            <xdr:cNvPr id="11272" name="Year">
              <a:extLst>
                <a:ext uri="{FF2B5EF4-FFF2-40B4-BE49-F238E27FC236}">
                  <a16:creationId xmlns:a16="http://schemas.microsoft.com/office/drawing/2014/main" id="{00000000-0008-0000-0200-0000082C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588500" y="3740150"/>
              <a:ext cx="1403350" cy="257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1746250</xdr:colOff>
          <xdr:row>2</xdr:row>
          <xdr:rowOff>107950</xdr:rowOff>
        </xdr:from>
        <xdr:to>
          <xdr:col>9</xdr:col>
          <xdr:colOff>133350</xdr:colOff>
          <xdr:row>4</xdr:row>
          <xdr:rowOff>50800</xdr:rowOff>
        </xdr:to>
        <xdr:sp macro="" textlink="">
          <xdr:nvSpPr>
            <xdr:cNvPr id="2049" name="Drop Down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584200</xdr:colOff>
          <xdr:row>3</xdr:row>
          <xdr:rowOff>44450</xdr:rowOff>
        </xdr:from>
        <xdr:to>
          <xdr:col>5</xdr:col>
          <xdr:colOff>38100</xdr:colOff>
          <xdr:row>4</xdr:row>
          <xdr:rowOff>152400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4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285750</xdr:colOff>
          <xdr:row>2</xdr:row>
          <xdr:rowOff>146050</xdr:rowOff>
        </xdr:from>
        <xdr:to>
          <xdr:col>9</xdr:col>
          <xdr:colOff>196850</xdr:colOff>
          <xdr:row>4</xdr:row>
          <xdr:rowOff>88900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654050</xdr:colOff>
          <xdr:row>3</xdr:row>
          <xdr:rowOff>44450</xdr:rowOff>
        </xdr:from>
        <xdr:to>
          <xdr:col>5</xdr:col>
          <xdr:colOff>50800</xdr:colOff>
          <xdr:row>4</xdr:row>
          <xdr:rowOff>152400</xdr:rowOff>
        </xdr:to>
        <xdr:sp macro="" textlink="">
          <xdr:nvSpPr>
            <xdr:cNvPr id="5121" name="Drop Down 1" hidden="1">
              <a:extLst>
                <a:ext uri="{63B3BB69-23CF-44E3-9099-C40C66FF867C}">
                  <a14:compatExt spid="_x0000_s5121"/>
                </a:ext>
                <a:ext uri="{FF2B5EF4-FFF2-40B4-BE49-F238E27FC236}">
                  <a16:creationId xmlns:a16="http://schemas.microsoft.com/office/drawing/2014/main" id="{00000000-0008-0000-06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1822450</xdr:colOff>
          <xdr:row>1</xdr:row>
          <xdr:rowOff>88900</xdr:rowOff>
        </xdr:from>
        <xdr:to>
          <xdr:col>7</xdr:col>
          <xdr:colOff>457200</xdr:colOff>
          <xdr:row>3</xdr:row>
          <xdr:rowOff>31750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7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501650</xdr:colOff>
          <xdr:row>3</xdr:row>
          <xdr:rowOff>69850</xdr:rowOff>
        </xdr:from>
        <xdr:to>
          <xdr:col>5</xdr:col>
          <xdr:colOff>95250</xdr:colOff>
          <xdr:row>4</xdr:row>
          <xdr:rowOff>177800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8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1822450</xdr:colOff>
          <xdr:row>1</xdr:row>
          <xdr:rowOff>88900</xdr:rowOff>
        </xdr:from>
        <xdr:to>
          <xdr:col>6</xdr:col>
          <xdr:colOff>717550</xdr:colOff>
          <xdr:row>3</xdr:row>
          <xdr:rowOff>31750</xdr:rowOff>
        </xdr:to>
        <xdr:sp macro="" textlink="">
          <xdr:nvSpPr>
            <xdr:cNvPr id="10242" name="Drop Down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1822450</xdr:colOff>
          <xdr:row>1</xdr:row>
          <xdr:rowOff>88900</xdr:rowOff>
        </xdr:from>
        <xdr:to>
          <xdr:col>6</xdr:col>
          <xdr:colOff>533400</xdr:colOff>
          <xdr:row>3</xdr:row>
          <xdr:rowOff>31750</xdr:rowOff>
        </xdr:to>
        <xdr:sp macro="" textlink="">
          <xdr:nvSpPr>
            <xdr:cNvPr id="12289" name="Drop Down 1" hidden="1">
              <a:extLst>
                <a:ext uri="{63B3BB69-23CF-44E3-9099-C40C66FF867C}">
                  <a14:compatExt spid="_x0000_s12289"/>
                </a:ext>
                <a:ext uri="{FF2B5EF4-FFF2-40B4-BE49-F238E27FC236}">
                  <a16:creationId xmlns:a16="http://schemas.microsoft.com/office/drawing/2014/main" id="{00000000-0008-0000-0A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77.799534490739" createdVersion="8" refreshedVersion="8" minRefreshableVersion="3" recordCount="20" xr:uid="{5844C289-53D0-410F-A6FD-5089E3E7E8ED}">
  <cacheSource type="worksheet">
    <worksheetSource name="Table2"/>
  </cacheSource>
  <cacheFields count="10">
    <cacheField name="Year" numFmtId="0">
      <sharedItems containsSemiMixedTypes="0" containsString="0" containsNumber="1" containsInteger="1" minValue="2024" maxValue="2028" count="5">
        <n v="2024"/>
        <n v="2025"/>
        <n v="2026"/>
        <n v="2027"/>
        <n v="2028"/>
      </sharedItems>
    </cacheField>
    <cacheField name="Revenue " numFmtId="0">
      <sharedItems containsString="0" containsBlank="1" containsNumber="1" containsInteger="1" minValue="435360000" maxValue="845850000"/>
    </cacheField>
    <cacheField name="COS" numFmtId="0">
      <sharedItems containsString="0" containsBlank="1" containsNumber="1" minValue="419317704" maxValue="820567852.79999995"/>
    </cacheField>
    <cacheField name="Gross Profit" numFmtId="0">
      <sharedItems containsString="0" containsBlank="1" containsNumber="1" minValue="16042296" maxValue="25282147.200000048"/>
    </cacheField>
    <cacheField name="OPEX items" numFmtId="0">
      <sharedItems containsBlank="1" count="4">
        <m/>
        <s v="Personnel expenses "/>
        <s v="Depreciation"/>
        <s v="Other operating expenses"/>
      </sharedItems>
    </cacheField>
    <cacheField name="OPEX" numFmtId="0">
      <sharedItems containsString="0" containsBlank="1" containsNumber="1" minValue="222000" maxValue="7233833.4906452578"/>
    </cacheField>
    <cacheField name="Profit  After Tax " numFmtId="0">
      <sharedItems containsString="0" containsBlank="1" containsNumber="1" minValue="6198477.9840000002" maxValue="11726028.353035718"/>
    </cacheField>
    <cacheField name="Gross Profit Margin " numFmtId="0">
      <sharedItems containsString="0" containsBlank="1" containsNumber="1" minValue="2.8695494055409495E-2" maxValue="3.684834619625138E-2"/>
    </cacheField>
    <cacheField name="Net Profit Margin" numFmtId="0">
      <sharedItems containsString="0" containsBlank="1" containsNumber="1" minValue="1.284534588904968E-2" maxValue="1.6365051521907741E-2"/>
    </cacheField>
    <cacheField name="Return on Equity" numFmtId="0">
      <sharedItems containsString="0" containsBlank="1" containsNumber="1" minValue="7.2405409195404918E-2" maxValue="0.13697360599328556"/>
    </cacheField>
  </cacheFields>
  <extLst>
    <ext xmlns:x14="http://schemas.microsoft.com/office/spreadsheetml/2009/9/main" uri="{725AE2AE-9491-48be-B2B4-4EB974FC3084}">
      <x14:pivotCacheDefinition pivotCacheId="3572580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435360000"/>
    <n v="419317704"/>
    <n v="16042296"/>
    <x v="0"/>
    <m/>
    <n v="6198477.9840000002"/>
    <n v="3.684834619625138E-2"/>
    <n v="1.4237591841234841E-2"/>
    <n v="7.2405409195404918E-2"/>
  </r>
  <r>
    <x v="1"/>
    <n v="693235200"/>
    <n v="671311910.39999998"/>
    <n v="21923289.600000024"/>
    <x v="0"/>
    <m/>
    <n v="11344829.764800018"/>
    <n v="3.162460532875426E-2"/>
    <n v="1.6365051521907741E-2"/>
    <n v="0.1325207645316942"/>
  </r>
  <r>
    <x v="2"/>
    <n v="634584000"/>
    <n v="613397274.24000001"/>
    <n v="21186725.75999999"/>
    <x v="0"/>
    <m/>
    <n v="8945955.8508319929"/>
    <n v="3.3386794750576744E-2"/>
    <n v="1.4097354882619154E-2"/>
    <n v="0.1044991360291193"/>
  </r>
  <r>
    <x v="3"/>
    <n v="845850000"/>
    <n v="820567852.79999995"/>
    <n v="25282147.200000048"/>
    <x v="0"/>
    <m/>
    <n v="11726028.353035718"/>
    <n v="2.9889634332328482E-2"/>
    <n v="1.3863011589567558E-2"/>
    <n v="0.13697360599328556"/>
  </r>
  <r>
    <x v="4"/>
    <n v="807759600"/>
    <n v="784580539.20000005"/>
    <n v="23179060.799999952"/>
    <x v="0"/>
    <m/>
    <n v="10375951.457200414"/>
    <n v="2.8695494055409495E-2"/>
    <n v="1.284534588904968E-2"/>
    <n v="0.12120314260847648"/>
  </r>
  <r>
    <x v="0"/>
    <m/>
    <m/>
    <m/>
    <x v="1"/>
    <n v="1000000"/>
    <m/>
    <m/>
    <m/>
    <m/>
  </r>
  <r>
    <x v="0"/>
    <m/>
    <m/>
    <m/>
    <x v="2"/>
    <n v="222000"/>
    <m/>
    <m/>
    <m/>
    <m/>
  </r>
  <r>
    <x v="0"/>
    <m/>
    <m/>
    <m/>
    <x v="3"/>
    <n v="4932000"/>
    <m/>
    <m/>
    <m/>
    <m/>
  </r>
  <r>
    <x v="1"/>
    <m/>
    <m/>
    <m/>
    <x v="1"/>
    <n v="1000000"/>
    <m/>
    <m/>
    <m/>
    <m/>
  </r>
  <r>
    <x v="1"/>
    <m/>
    <m/>
    <m/>
    <x v="2"/>
    <n v="222000"/>
    <m/>
    <m/>
    <m/>
    <m/>
  </r>
  <r>
    <x v="1"/>
    <m/>
    <m/>
    <m/>
    <x v="3"/>
    <n v="4487063.8"/>
    <m/>
    <m/>
    <m/>
    <m/>
  </r>
  <r>
    <x v="2"/>
    <m/>
    <m/>
    <m/>
    <x v="1"/>
    <n v="2040000"/>
    <m/>
    <m/>
    <m/>
    <m/>
  </r>
  <r>
    <x v="2"/>
    <m/>
    <m/>
    <m/>
    <x v="2"/>
    <n v="497699.85030000005"/>
    <m/>
    <m/>
    <m/>
    <m/>
  </r>
  <r>
    <x v="2"/>
    <m/>
    <m/>
    <m/>
    <x v="3"/>
    <n v="5535051.9318599999"/>
    <m/>
    <m/>
    <m/>
    <m/>
  </r>
  <r>
    <x v="3"/>
    <m/>
    <m/>
    <m/>
    <x v="1"/>
    <n v="2280000"/>
    <m/>
    <m/>
    <m/>
    <m/>
  </r>
  <r>
    <x v="3"/>
    <m/>
    <m/>
    <m/>
    <x v="2"/>
    <n v="367699.85030000005"/>
    <m/>
    <m/>
    <m/>
    <m/>
  </r>
  <r>
    <x v="3"/>
    <m/>
    <m/>
    <m/>
    <x v="3"/>
    <n v="6141959.2023204006"/>
    <m/>
    <m/>
    <m/>
    <m/>
  </r>
  <r>
    <x v="4"/>
    <m/>
    <m/>
    <m/>
    <x v="1"/>
    <n v="2280000"/>
    <m/>
    <m/>
    <m/>
    <m/>
  </r>
  <r>
    <x v="4"/>
    <m/>
    <m/>
    <m/>
    <x v="2"/>
    <n v="695287.98785417597"/>
    <m/>
    <m/>
    <m/>
    <m/>
  </r>
  <r>
    <x v="4"/>
    <m/>
    <m/>
    <m/>
    <x v="3"/>
    <n v="7233833.4906452578"/>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4B5FB0-DB31-4581-99CD-B3352B11497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5:G41" firstHeaderRow="0" firstDataRow="1" firstDataCol="1"/>
  <pivotFields count="10">
    <pivotField axis="axisRow" showAll="0">
      <items count="6">
        <item x="0"/>
        <item x="1"/>
        <item x="2"/>
        <item x="3"/>
        <item x="4"/>
        <item t="default"/>
      </items>
    </pivotField>
    <pivotField dataField="1" showAll="0"/>
    <pivotField showAll="0"/>
    <pivotField dataField="1" showAll="0"/>
    <pivotField showAll="0"/>
    <pivotField showAll="0"/>
    <pivotField dataField="1"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Average of Revenue " fld="1" subtotal="average" baseField="0" baseItem="0"/>
    <dataField name="Average of Gross Profit" fld="3" subtotal="average" baseField="0" baseItem="0"/>
    <dataField name="Average of Profit  After Tax " fld="6" subtotal="average" baseField="0" baseItem="0"/>
  </dataFields>
  <formats count="6">
    <format dxfId="5">
      <pivotArea type="all" dataOnly="0" outline="0" fieldPosition="0"/>
    </format>
    <format dxfId="4">
      <pivotArea outline="0" collapsedLevelsAreSubtotals="1" fieldPosition="0"/>
    </format>
    <format dxfId="3">
      <pivotArea dataOnly="0" labelOnly="1" outline="0" fieldPosition="0">
        <references count="1">
          <reference field="4294967294" count="2">
            <x v="0"/>
            <x v="1"/>
          </reference>
        </references>
      </pivotArea>
    </format>
    <format dxfId="2">
      <pivotArea field="0" type="button" dataOnly="0" labelOnly="1" outline="0" axis="axisRow" fieldPosition="0"/>
    </format>
    <format dxfId="1">
      <pivotArea dataOnly="0" labelOnly="1" fieldPosition="0">
        <references count="1">
          <reference field="0"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D6A19C-C732-45BC-BD17-71DD44D9CE5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27:E31" firstHeaderRow="1" firstDataRow="1" firstDataCol="1"/>
  <pivotFields count="10">
    <pivotField showAll="0">
      <items count="6">
        <item x="0"/>
        <item x="1"/>
        <item x="2"/>
        <item x="3"/>
        <item x="4"/>
        <item t="default"/>
      </items>
    </pivotField>
    <pivotField showAll="0"/>
    <pivotField showAll="0"/>
    <pivotField showAll="0"/>
    <pivotField axis="axisRow" showAll="0">
      <items count="5">
        <item x="2"/>
        <item x="3"/>
        <item x="1"/>
        <item h="1" x="0"/>
        <item t="default"/>
      </items>
    </pivotField>
    <pivotField dataField="1" showAll="0"/>
    <pivotField showAll="0"/>
    <pivotField showAll="0"/>
    <pivotField showAll="0"/>
    <pivotField showAll="0"/>
  </pivotFields>
  <rowFields count="1">
    <field x="4"/>
  </rowFields>
  <rowItems count="4">
    <i>
      <x/>
    </i>
    <i>
      <x v="1"/>
    </i>
    <i>
      <x v="2"/>
    </i>
    <i t="grand">
      <x/>
    </i>
  </rowItems>
  <colItems count="1">
    <i/>
  </colItems>
  <dataFields count="1">
    <dataField name="Sum of OPEX" fld="5" baseField="0" baseItem="0"/>
  </dataFields>
  <formats count="4">
    <format dxfId="9">
      <pivotArea type="all" dataOnly="0" outline="0" fieldPosition="0"/>
    </format>
    <format dxfId="8">
      <pivotArea outline="0" collapsedLevelsAreSubtotals="1" fieldPosition="0"/>
    </format>
    <format dxfId="7">
      <pivotArea field="0" type="button" dataOnly="0" labelOnly="1" outline="0"/>
    </format>
    <format dxfId="6">
      <pivotArea dataOnly="0" labelOnly="1" grandRow="1" outline="0" fieldPosition="0"/>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4" format="9">
      <pivotArea type="data" outline="0" fieldPosition="0">
        <references count="2">
          <reference field="4294967294" count="1" selected="0">
            <x v="0"/>
          </reference>
          <reference field="4" count="1" selected="0">
            <x v="2"/>
          </reference>
        </references>
      </pivotArea>
    </chartFormat>
    <chartFormat chart="4"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553A29-6B85-4D75-ACE9-1DC60F6763E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17:H24" firstHeaderRow="1" firstDataRow="2" firstDataCol="1"/>
  <pivotFields count="10">
    <pivotField axis="axisRow" showAll="0">
      <items count="6">
        <item x="0"/>
        <item x="1"/>
        <item x="2"/>
        <item x="3"/>
        <item x="4"/>
        <item t="default"/>
      </items>
    </pivotField>
    <pivotField showAll="0"/>
    <pivotField showAll="0"/>
    <pivotField showAll="0"/>
    <pivotField axis="axisCol" showAll="0">
      <items count="5">
        <item x="2"/>
        <item x="3"/>
        <item x="1"/>
        <item h="1" x="0"/>
        <item t="default"/>
      </items>
    </pivotField>
    <pivotField dataField="1" showAll="0"/>
    <pivotField showAll="0"/>
    <pivotField showAll="0"/>
    <pivotField showAll="0"/>
    <pivotField showAll="0"/>
  </pivotFields>
  <rowFields count="1">
    <field x="0"/>
  </rowFields>
  <rowItems count="6">
    <i>
      <x/>
    </i>
    <i>
      <x v="1"/>
    </i>
    <i>
      <x v="2"/>
    </i>
    <i>
      <x v="3"/>
    </i>
    <i>
      <x v="4"/>
    </i>
    <i t="grand">
      <x/>
    </i>
  </rowItems>
  <colFields count="1">
    <field x="4"/>
  </colFields>
  <colItems count="4">
    <i>
      <x/>
    </i>
    <i>
      <x v="1"/>
    </i>
    <i>
      <x v="2"/>
    </i>
    <i t="grand">
      <x/>
    </i>
  </colItems>
  <dataFields count="1">
    <dataField name="Sum of OPEX" fld="5" baseField="0" baseItem="0"/>
  </dataFields>
  <formats count="6">
    <format dxfId="15">
      <pivotArea type="all" dataOnly="0" outline="0" fieldPosition="0"/>
    </format>
    <format dxfId="14">
      <pivotArea outline="0" collapsedLevelsAreSubtotals="1" fieldPosition="0"/>
    </format>
    <format dxfId="13">
      <pivotArea dataOnly="0" labelOnly="1" grandRow="1" outline="0" fieldPosition="0"/>
    </format>
    <format dxfId="12">
      <pivotArea type="origin" dataOnly="0" labelOnly="1" outline="0" fieldPosition="0"/>
    </format>
    <format dxfId="11">
      <pivotArea field="0" type="button" dataOnly="0" labelOnly="1" outline="0" axis="axisRow" fieldPosition="0"/>
    </format>
    <format dxfId="10">
      <pivotArea dataOnly="0" labelOnly="1" fieldPosition="0">
        <references count="1">
          <reference field="0" count="0"/>
        </references>
      </pivotArea>
    </format>
  </formats>
  <chartFormats count="4">
    <chartFormat chart="3" format="8" series="1">
      <pivotArea type="data" outline="0" fieldPosition="0">
        <references count="2">
          <reference field="4294967294" count="1" selected="0">
            <x v="0"/>
          </reference>
          <reference field="4" count="1" selected="0">
            <x v="0"/>
          </reference>
        </references>
      </pivotArea>
    </chartFormat>
    <chartFormat chart="3" format="9" series="1">
      <pivotArea type="data" outline="0" fieldPosition="0">
        <references count="2">
          <reference field="4294967294" count="1" selected="0">
            <x v="0"/>
          </reference>
          <reference field="4" count="1" selected="0">
            <x v="1"/>
          </reference>
        </references>
      </pivotArea>
    </chartFormat>
    <chartFormat chart="3" format="10" series="1">
      <pivotArea type="data" outline="0" fieldPosition="0">
        <references count="2">
          <reference field="4294967294" count="1" selected="0">
            <x v="0"/>
          </reference>
          <reference field="4" count="1" selected="0">
            <x v="2"/>
          </reference>
        </references>
      </pivotArea>
    </chartFormat>
    <chartFormat chart="3"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F7854A-AB44-42F9-A87D-A46AE5FAC50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8:G14" firstHeaderRow="0" firstDataRow="1" firstDataCol="1"/>
  <pivotFields count="10">
    <pivotField axis="axisRow" showAll="0">
      <items count="6">
        <item x="0"/>
        <item x="1"/>
        <item x="2"/>
        <item x="3"/>
        <item x="4"/>
        <item t="default"/>
      </items>
    </pivotField>
    <pivotField dataField="1" showAll="0"/>
    <pivotField dataField="1" showAll="0"/>
    <pivotField dataField="1" showAll="0"/>
    <pivotField showAll="0"/>
    <pivotField showAll="0"/>
    <pivotField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Sum of Revenue " fld="1" baseField="0" baseItem="0"/>
    <dataField name="Sum of Gross Profit" fld="3" baseField="0" baseItem="0"/>
    <dataField name="Sum of COS" fld="2" baseField="0" baseItem="0"/>
  </dataFields>
  <formats count="6">
    <format dxfId="21">
      <pivotArea type="all" dataOnly="0" outline="0" fieldPosition="0"/>
    </format>
    <format dxfId="20">
      <pivotArea outline="0" collapsedLevelsAreSubtotals="1" fieldPosition="0"/>
    </format>
    <format dxfId="19">
      <pivotArea dataOnly="0" labelOnly="1" outline="0" fieldPosition="0">
        <references count="1">
          <reference field="4294967294" count="3">
            <x v="0"/>
            <x v="1"/>
            <x v="2"/>
          </reference>
        </references>
      </pivotArea>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17B528-81A9-46A5-859D-5B844CBB45C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44:G50" firstHeaderRow="0" firstDataRow="1" firstDataCol="1"/>
  <pivotFields count="10">
    <pivotField axis="axisRow" showAll="0">
      <items count="6">
        <item x="0"/>
        <item x="1"/>
        <item x="2"/>
        <item x="3"/>
        <item x="4"/>
        <item t="default"/>
      </items>
    </pivotField>
    <pivotField showAll="0"/>
    <pivotField showAll="0"/>
    <pivotField showAll="0"/>
    <pivotField showAll="0"/>
    <pivotField showAll="0"/>
    <pivotField showAll="0"/>
    <pivotField dataField="1" showAll="0"/>
    <pivotField dataField="1" showAll="0"/>
    <pivotField dataField="1" showAll="0"/>
  </pivotFields>
  <rowFields count="1">
    <field x="0"/>
  </rowFields>
  <rowItems count="6">
    <i>
      <x/>
    </i>
    <i>
      <x v="1"/>
    </i>
    <i>
      <x v="2"/>
    </i>
    <i>
      <x v="3"/>
    </i>
    <i>
      <x v="4"/>
    </i>
    <i t="grand">
      <x/>
    </i>
  </rowItems>
  <colFields count="1">
    <field x="-2"/>
  </colFields>
  <colItems count="3">
    <i>
      <x/>
    </i>
    <i i="1">
      <x v="1"/>
    </i>
    <i i="2">
      <x v="2"/>
    </i>
  </colItems>
  <dataFields count="3">
    <dataField name="Sum of Gross Profit Margin " fld="7" baseField="0" baseItem="0"/>
    <dataField name="Sum of Net Profit Margin" fld="8" baseField="0" baseItem="0"/>
    <dataField name="Sum of Return on Equity" fld="9" baseField="0" baseItem="0"/>
  </dataFields>
  <formats count="6">
    <format dxfId="27">
      <pivotArea type="all" dataOnly="0" outline="0" fieldPosition="0"/>
    </format>
    <format dxfId="26">
      <pivotArea field="0" type="button" dataOnly="0" labelOnly="1" outline="0" axis="axisRow" fieldPosition="0"/>
    </format>
    <format dxfId="25">
      <pivotArea dataOnly="0" labelOnly="1" fieldPosition="0">
        <references count="1">
          <reference field="0" count="0"/>
        </references>
      </pivotArea>
    </format>
    <format dxfId="24">
      <pivotArea dataOnly="0" labelOnly="1" grandRow="1" outline="0" fieldPosition="0"/>
    </format>
    <format dxfId="23">
      <pivotArea outline="0" collapsedLevelsAreSubtotals="1" fieldPosition="0"/>
    </format>
    <format dxfId="22">
      <pivotArea dataOnly="0" labelOnly="1" outline="0" fieldPosition="0">
        <references count="1">
          <reference field="4294967294" count="3">
            <x v="0"/>
            <x v="1"/>
            <x v="2"/>
          </reference>
        </references>
      </pivotArea>
    </format>
  </formats>
  <chartFormats count="3">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D8CD042-AC19-4346-A894-2C7D0F3D57FC}" sourceName="Year">
  <pivotTables>
    <pivotTable tabId="11" name="PivotTable5"/>
    <pivotTable tabId="11" name="PivotTable1"/>
    <pivotTable tabId="11" name="PivotTable2"/>
    <pivotTable tabId="11" name="PivotTable3"/>
    <pivotTable tabId="11" name="PivotTable4"/>
  </pivotTables>
  <data>
    <tabular pivotCacheId="357258026">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313E38D-9878-44FB-9E3B-E76B0E254637}" cache="Slicer_Year" caption="Yea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F7FB3B-746D-4EF9-BDD5-0087A57DEA08}" name="Table2" displayName="Table2" ref="D7:M27" totalsRowShown="0">
  <autoFilter ref="D7:M27" xr:uid="{36F7FB3B-746D-4EF9-BDD5-0087A57DEA08}"/>
  <tableColumns count="10">
    <tableColumn id="1" xr3:uid="{9703CE44-72D5-4A9D-9832-89C46C039DCB}" name="Year"/>
    <tableColumn id="2" xr3:uid="{E50803DC-F8B3-45A0-AF01-70BAA5ECEAF7}" name="Revenue "/>
    <tableColumn id="3" xr3:uid="{C8A91194-A20C-4644-97FD-259783791353}" name="COS"/>
    <tableColumn id="4" xr3:uid="{009FC053-C5D9-41AA-8A75-D7F8951BB899}" name="Gross Profit"/>
    <tableColumn id="5" xr3:uid="{8069A57B-BDD1-4162-995C-F9E5DA8E6032}" name="OPEX items"/>
    <tableColumn id="6" xr3:uid="{71D093BD-FF43-475E-BCB5-BD33A6929EDB}" name="OPEX" dataDxfId="28" dataCellStyle="Comma"/>
    <tableColumn id="7" xr3:uid="{9C0D3485-01EC-4066-994D-E42FD8274BD8}" name="Profit  After Tax "/>
    <tableColumn id="8" xr3:uid="{5551B92B-0CD4-4B27-A44E-069DAEF0D63D}" name="Gross Profit Margin "/>
    <tableColumn id="9" xr3:uid="{6A2C409D-B202-4F87-9B1F-BC75E9BFDA5A}" name="Net Profit Margin"/>
    <tableColumn id="10" xr3:uid="{B6641BE3-40AE-4535-849C-C483B485AAA8}" name="Return on Equit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8.vml"/><Relationship Id="rId1" Type="http://schemas.openxmlformats.org/officeDocument/2006/relationships/drawing" Target="../drawings/drawing9.xml"/><Relationship Id="rId4"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pivotTable" Target="../pivotTables/pivotTable3.xml"/><Relationship Id="rId7" Type="http://schemas.openxmlformats.org/officeDocument/2006/relationships/vmlDrawing" Target="../drawings/vmlDrawing9.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0.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0885-B72C-47AE-A2A1-22DB5BAAB047}">
  <sheetPr>
    <tabColor theme="3" tint="0.249977111117893"/>
  </sheetPr>
  <dimension ref="P20"/>
  <sheetViews>
    <sheetView workbookViewId="0">
      <selection activeCell="C19" sqref="C19"/>
    </sheetView>
  </sheetViews>
  <sheetFormatPr defaultColWidth="8.7265625" defaultRowHeight="14.5" x14ac:dyDescent="0.35"/>
  <cols>
    <col min="1" max="16384" width="8.7265625" style="4"/>
  </cols>
  <sheetData>
    <row r="20" spans="16:16" x14ac:dyDescent="0.35">
      <c r="P2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A904-6483-4110-98B9-1F4E9CFF3070}">
  <sheetPr>
    <tabColor theme="3" tint="0.249977111117893"/>
  </sheetPr>
  <dimension ref="B4:F19"/>
  <sheetViews>
    <sheetView workbookViewId="0">
      <selection activeCell="H18" sqref="H18"/>
    </sheetView>
  </sheetViews>
  <sheetFormatPr defaultRowHeight="14.5" x14ac:dyDescent="0.35"/>
  <cols>
    <col min="1" max="1" width="12.90625" style="69" customWidth="1"/>
    <col min="2" max="2" width="6.26953125" style="69" customWidth="1"/>
    <col min="3" max="4" width="8.7265625" style="69"/>
    <col min="5" max="5" width="8.7265625" style="69" customWidth="1"/>
    <col min="6" max="6" width="5.81640625" style="69" customWidth="1"/>
    <col min="7" max="16384" width="8.7265625" style="69"/>
  </cols>
  <sheetData>
    <row r="4" spans="2:6" x14ac:dyDescent="0.35">
      <c r="B4" s="71" t="s">
        <v>273</v>
      </c>
      <c r="C4" s="70"/>
      <c r="D4" s="70"/>
      <c r="E4" s="70"/>
      <c r="F4" s="70"/>
    </row>
    <row r="5" spans="2:6" x14ac:dyDescent="0.35">
      <c r="B5" s="70"/>
      <c r="C5" s="70"/>
      <c r="D5" s="70"/>
      <c r="E5" s="70"/>
      <c r="F5" s="70"/>
    </row>
    <row r="6" spans="2:6" x14ac:dyDescent="0.35">
      <c r="B6" s="70"/>
      <c r="C6" s="72" t="s">
        <v>274</v>
      </c>
      <c r="D6" s="72"/>
      <c r="E6" s="73"/>
      <c r="F6" s="70"/>
    </row>
    <row r="7" spans="2:6" x14ac:dyDescent="0.35">
      <c r="B7" s="70"/>
      <c r="C7" s="72" t="s">
        <v>275</v>
      </c>
      <c r="D7" s="72"/>
      <c r="E7" s="74"/>
      <c r="F7" s="70"/>
    </row>
    <row r="8" spans="2:6" x14ac:dyDescent="0.35">
      <c r="B8" s="70"/>
      <c r="C8" s="72" t="s">
        <v>276</v>
      </c>
      <c r="D8" s="72"/>
      <c r="E8" s="75"/>
      <c r="F8" s="70"/>
    </row>
    <row r="9" spans="2:6" x14ac:dyDescent="0.35">
      <c r="B9" s="70"/>
      <c r="C9" s="70"/>
      <c r="D9" s="70"/>
      <c r="E9" s="70"/>
      <c r="F9" s="70"/>
    </row>
    <row r="10" spans="2:6" x14ac:dyDescent="0.35">
      <c r="B10" s="76" t="s">
        <v>277</v>
      </c>
      <c r="C10" s="70"/>
      <c r="D10" s="70"/>
      <c r="E10" s="70"/>
      <c r="F10" s="70"/>
    </row>
    <row r="11" spans="2:6" x14ac:dyDescent="0.35">
      <c r="B11" s="76" t="s">
        <v>278</v>
      </c>
      <c r="C11" s="70"/>
      <c r="D11" s="70"/>
      <c r="E11" s="70"/>
      <c r="F11" s="70"/>
    </row>
    <row r="12" spans="2:6" x14ac:dyDescent="0.35">
      <c r="B12" s="76" t="s">
        <v>279</v>
      </c>
      <c r="C12" s="70"/>
      <c r="D12" s="70"/>
      <c r="E12" s="70"/>
      <c r="F12" s="70"/>
    </row>
    <row r="13" spans="2:6" x14ac:dyDescent="0.35">
      <c r="B13" s="76" t="s">
        <v>3</v>
      </c>
      <c r="C13" s="70"/>
      <c r="D13" s="70"/>
      <c r="E13" s="70"/>
      <c r="F13" s="70"/>
    </row>
    <row r="14" spans="2:6" x14ac:dyDescent="0.35">
      <c r="B14" s="76" t="s">
        <v>4</v>
      </c>
      <c r="C14" s="70"/>
      <c r="D14" s="70"/>
      <c r="E14" s="70"/>
      <c r="F14" s="70"/>
    </row>
    <row r="15" spans="2:6" x14ac:dyDescent="0.35">
      <c r="B15" s="76" t="s">
        <v>121</v>
      </c>
      <c r="C15" s="70"/>
      <c r="D15" s="70"/>
      <c r="E15" s="70"/>
      <c r="F15" s="70"/>
    </row>
    <row r="16" spans="2:6" x14ac:dyDescent="0.35">
      <c r="B16" s="76" t="s">
        <v>280</v>
      </c>
      <c r="C16" s="70"/>
      <c r="D16" s="70"/>
      <c r="E16" s="70"/>
      <c r="F16" s="70"/>
    </row>
    <row r="17" spans="2:6" x14ac:dyDescent="0.35">
      <c r="B17" s="76" t="s">
        <v>281</v>
      </c>
      <c r="C17" s="70"/>
      <c r="D17" s="70"/>
      <c r="E17" s="70"/>
      <c r="F17" s="70"/>
    </row>
    <row r="18" spans="2:6" x14ac:dyDescent="0.35">
      <c r="B18" s="76" t="s">
        <v>282</v>
      </c>
      <c r="C18" s="70"/>
      <c r="D18" s="70"/>
      <c r="E18" s="70"/>
      <c r="F18" s="70"/>
    </row>
    <row r="19" spans="2:6" x14ac:dyDescent="0.35">
      <c r="B19" s="70"/>
      <c r="C19" s="70"/>
      <c r="D19" s="70"/>
      <c r="E19" s="70"/>
      <c r="F19" s="70"/>
    </row>
  </sheetData>
  <hyperlinks>
    <hyperlink ref="B10" location="Dashboard!A1" display="Dashboard" xr:uid="{A7FA65A3-FC59-43F2-BDB1-0B5E918A4E63}"/>
    <hyperlink ref="B11" location="'financial statement '!A1" display="Financial Statements" xr:uid="{48472795-7EFF-4592-A353-657ADC3317DC}"/>
    <hyperlink ref="B12" location="'Business Valuation'!A1" display="Valuation" xr:uid="{132F30AB-60BF-4B01-AB04-98CF3A2678A3}"/>
    <hyperlink ref="B13" location="Assumptions!A1" display="Assumptions" xr:uid="{764BC47D-13E4-4570-920F-F9B050186866}"/>
    <hyperlink ref="B14" location="'Workings '!A1" display="Workings" xr:uid="{EF907D72-8B74-4D17-B274-FF8EB8A45B2C}"/>
    <hyperlink ref="B15" location="CAPEX!A1" display="CAPEX" xr:uid="{9D045441-7F80-42DB-BC0B-EE24CC10E116}"/>
    <hyperlink ref="B16" location="Analysis!A1" display="Analysis" xr:uid="{2853AF9D-ED6A-4865-90A8-14E62D527A4D}"/>
    <hyperlink ref="B17" location="Dataset!A1" display="Dataset" xr:uid="{34880937-4801-4C57-9549-5A49453A87BE}"/>
    <hyperlink ref="B18" location="PIVOT!A1" display="PIVOT" xr:uid="{410C9295-D639-4C8F-96BF-26228191B7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C60AC-4824-42C5-B36B-C24DD5BC0091}">
  <sheetPr>
    <tabColor theme="3" tint="0.249977111117893"/>
  </sheetPr>
  <dimension ref="A1"/>
  <sheetViews>
    <sheetView topLeftCell="A10" workbookViewId="0">
      <selection activeCell="S3" sqref="S3"/>
    </sheetView>
  </sheetViews>
  <sheetFormatPr defaultRowHeight="14.5" x14ac:dyDescent="0.35"/>
  <cols>
    <col min="1" max="16384" width="8.7265625" style="67"/>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7" r:id="rId3" name="Drop Down 3">
              <controlPr defaultSize="0" autoLine="0" autoPict="0">
                <anchor moveWithCells="1">
                  <from>
                    <xdr:col>8</xdr:col>
                    <xdr:colOff>361950</xdr:colOff>
                    <xdr:row>3</xdr:row>
                    <xdr:rowOff>177800</xdr:rowOff>
                  </from>
                  <to>
                    <xdr:col>10</xdr:col>
                    <xdr:colOff>501650</xdr:colOff>
                    <xdr:row>5</xdr:row>
                    <xdr:rowOff>120650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8C926-C67E-4F73-98DF-7E3FC4E3DB66}">
  <sheetPr>
    <tabColor theme="3" tint="0.249977111117893"/>
  </sheetPr>
  <dimension ref="A1:N506"/>
  <sheetViews>
    <sheetView workbookViewId="0"/>
  </sheetViews>
  <sheetFormatPr defaultRowHeight="14.5" x14ac:dyDescent="0.35"/>
  <cols>
    <col min="1" max="2" width="4.453125" customWidth="1"/>
    <col min="3" max="4" width="4.453125" style="12" customWidth="1"/>
    <col min="5" max="5" width="27.81640625" customWidth="1"/>
    <col min="6" max="9" width="3.81640625" customWidth="1"/>
    <col min="10" max="14" width="15.26953125" customWidth="1"/>
    <col min="15" max="16" width="8.81640625" customWidth="1"/>
  </cols>
  <sheetData>
    <row r="1" spans="1:14" s="1" customFormat="1" x14ac:dyDescent="0.35">
      <c r="A1" s="15" t="s">
        <v>0</v>
      </c>
      <c r="B1" s="22"/>
      <c r="C1" s="22"/>
      <c r="D1" s="22"/>
      <c r="E1" s="22"/>
    </row>
    <row r="2" spans="1:14" s="1" customFormat="1" x14ac:dyDescent="0.35">
      <c r="A2" s="15" t="s">
        <v>207</v>
      </c>
      <c r="B2" s="22"/>
      <c r="C2" s="22"/>
      <c r="D2" s="22"/>
      <c r="E2" s="22"/>
    </row>
    <row r="3" spans="1:14" s="1" customFormat="1" x14ac:dyDescent="0.35">
      <c r="A3" s="15" t="s">
        <v>208</v>
      </c>
      <c r="B3" s="15"/>
      <c r="C3" s="15"/>
      <c r="D3" s="15"/>
      <c r="E3" s="22"/>
    </row>
    <row r="4" spans="1:14" s="1" customFormat="1" x14ac:dyDescent="0.35">
      <c r="A4" s="22"/>
      <c r="B4" s="22"/>
      <c r="C4" s="22"/>
      <c r="D4" s="22"/>
      <c r="E4" s="22"/>
    </row>
    <row r="5" spans="1:14" s="1" customFormat="1" x14ac:dyDescent="0.35">
      <c r="A5" s="15" t="s">
        <v>2</v>
      </c>
      <c r="B5" s="22"/>
      <c r="C5" s="22"/>
      <c r="D5" s="22"/>
      <c r="E5" s="22"/>
      <c r="J5" s="15">
        <v>2024</v>
      </c>
      <c r="K5" s="15">
        <f>J5+1</f>
        <v>2025</v>
      </c>
      <c r="L5" s="15">
        <f>K5+1</f>
        <v>2026</v>
      </c>
      <c r="M5" s="15">
        <f>L5+1</f>
        <v>2027</v>
      </c>
      <c r="N5" s="15">
        <v>2028</v>
      </c>
    </row>
    <row r="7" spans="1:14" s="5" customFormat="1" x14ac:dyDescent="0.35">
      <c r="A7" s="11" t="s">
        <v>106</v>
      </c>
      <c r="C7" s="11"/>
      <c r="D7" s="11"/>
    </row>
    <row r="9" spans="1:14" x14ac:dyDescent="0.35">
      <c r="E9" t="s">
        <v>153</v>
      </c>
      <c r="J9" s="26">
        <f>'Workings '!J16</f>
        <v>435360000</v>
      </c>
      <c r="K9" s="26">
        <f>'Workings '!K16</f>
        <v>693235200</v>
      </c>
      <c r="L9" s="26">
        <f>'Workings '!L16</f>
        <v>634584000</v>
      </c>
      <c r="M9" s="26">
        <f>'Workings '!M16</f>
        <v>845850000</v>
      </c>
      <c r="N9" s="26">
        <f>'Workings '!N16</f>
        <v>807759600</v>
      </c>
    </row>
    <row r="10" spans="1:14" x14ac:dyDescent="0.35">
      <c r="J10" s="26"/>
      <c r="K10" s="26"/>
      <c r="L10" s="26"/>
      <c r="M10" s="26"/>
      <c r="N10" s="26"/>
    </row>
    <row r="11" spans="1:14" x14ac:dyDescent="0.35">
      <c r="E11" t="s">
        <v>107</v>
      </c>
      <c r="J11" s="26">
        <f>-'Workings '!J31</f>
        <v>-419317704</v>
      </c>
      <c r="K11" s="26">
        <f>-'Workings '!K31</f>
        <v>-671311910.39999998</v>
      </c>
      <c r="L11" s="26">
        <f>-'Workings '!L31</f>
        <v>-613397274.24000001</v>
      </c>
      <c r="M11" s="26">
        <f>-'Workings '!M31</f>
        <v>-820567852.79999995</v>
      </c>
      <c r="N11" s="26">
        <f>-'Workings '!N31</f>
        <v>-784580539.20000005</v>
      </c>
    </row>
    <row r="12" spans="1:14" x14ac:dyDescent="0.35">
      <c r="J12" s="26"/>
      <c r="K12" s="26"/>
      <c r="L12" s="26"/>
      <c r="M12" s="26"/>
      <c r="N12" s="26"/>
    </row>
    <row r="13" spans="1:14" x14ac:dyDescent="0.35">
      <c r="E13" s="12" t="s">
        <v>154</v>
      </c>
      <c r="J13" s="27">
        <f>J9+J11</f>
        <v>16042296</v>
      </c>
      <c r="K13" s="27">
        <f>K9+K11</f>
        <v>21923289.600000024</v>
      </c>
      <c r="L13" s="27">
        <f>L9+L11</f>
        <v>21186725.75999999</v>
      </c>
      <c r="M13" s="27">
        <f>M9+M11</f>
        <v>25282147.200000048</v>
      </c>
      <c r="N13" s="27">
        <f>N9+N11</f>
        <v>23179060.799999952</v>
      </c>
    </row>
    <row r="14" spans="1:14" x14ac:dyDescent="0.35">
      <c r="J14" s="26"/>
      <c r="K14" s="26"/>
      <c r="L14" s="26"/>
      <c r="M14" s="26"/>
      <c r="N14" s="26"/>
    </row>
    <row r="15" spans="1:14" x14ac:dyDescent="0.35">
      <c r="E15" s="12" t="s">
        <v>155</v>
      </c>
      <c r="J15" s="23">
        <f ca="1">SUM(J16:J18)</f>
        <v>-6154000</v>
      </c>
      <c r="K15" s="23">
        <f ca="1">SUM(K16:K18)</f>
        <v>-5709063.7999999998</v>
      </c>
      <c r="L15" s="23">
        <f ca="1">SUM(L16:L18)</f>
        <v>-8072751.7821599999</v>
      </c>
      <c r="M15" s="23">
        <f ca="1">SUM(M16:M18)</f>
        <v>-8789659.0526203997</v>
      </c>
      <c r="N15" s="23">
        <f ca="1">SUM(N16:N18)</f>
        <v>-10209121.478499435</v>
      </c>
    </row>
    <row r="16" spans="1:14" x14ac:dyDescent="0.35">
      <c r="E16" t="s">
        <v>156</v>
      </c>
      <c r="J16" s="26">
        <f>-'Workings '!J44</f>
        <v>-1000000</v>
      </c>
      <c r="K16" s="26">
        <f>-'Workings '!K44</f>
        <v>-1000000</v>
      </c>
      <c r="L16" s="26">
        <f>-'Workings '!L44</f>
        <v>-2040000</v>
      </c>
      <c r="M16" s="26">
        <f>-'Workings '!M44</f>
        <v>-2280000</v>
      </c>
      <c r="N16" s="26">
        <f>-'Workings '!N44</f>
        <v>-2280000</v>
      </c>
    </row>
    <row r="17" spans="5:14" x14ac:dyDescent="0.35">
      <c r="E17" s="12" t="s">
        <v>62</v>
      </c>
      <c r="J17" s="26">
        <f ca="1">-'Workings '!J73</f>
        <v>-222000</v>
      </c>
      <c r="K17" s="26">
        <f ca="1">-'Workings '!K73</f>
        <v>-222000</v>
      </c>
      <c r="L17" s="26">
        <f ca="1">-'Workings '!L73</f>
        <v>-497699.85030000005</v>
      </c>
      <c r="M17" s="26">
        <f ca="1">-'Workings '!M73</f>
        <v>-367699.85030000005</v>
      </c>
      <c r="N17" s="26">
        <f ca="1">-'Workings '!N73</f>
        <v>-695287.98785417597</v>
      </c>
    </row>
    <row r="18" spans="5:14" x14ac:dyDescent="0.35">
      <c r="E18" t="s">
        <v>157</v>
      </c>
      <c r="J18" s="26">
        <f>-'Workings '!J58</f>
        <v>-4932000</v>
      </c>
      <c r="K18" s="26">
        <f>-'Workings '!K58</f>
        <v>-4487063.8</v>
      </c>
      <c r="L18" s="26">
        <f>-'Workings '!L58</f>
        <v>-5535051.9318599999</v>
      </c>
      <c r="M18" s="26">
        <f>-'Workings '!M58</f>
        <v>-6141959.2023204006</v>
      </c>
      <c r="N18" s="26">
        <f>-'Workings '!N58</f>
        <v>-7233833.4906452578</v>
      </c>
    </row>
    <row r="19" spans="5:14" x14ac:dyDescent="0.35">
      <c r="J19" s="26"/>
      <c r="K19" s="26"/>
      <c r="L19" s="26"/>
      <c r="M19" s="26"/>
      <c r="N19" s="26"/>
    </row>
    <row r="20" spans="5:14" x14ac:dyDescent="0.35">
      <c r="E20" s="12" t="s">
        <v>159</v>
      </c>
      <c r="J20" s="27">
        <f ca="1">J13+J15</f>
        <v>9888296</v>
      </c>
      <c r="K20" s="27">
        <f ca="1">K13+K15</f>
        <v>16214225.800000023</v>
      </c>
      <c r="L20" s="27">
        <f ca="1">L13+L15</f>
        <v>13113973.977839991</v>
      </c>
      <c r="M20" s="27">
        <f ca="1">M13+M15</f>
        <v>16492488.147379648</v>
      </c>
      <c r="N20" s="27">
        <f ca="1">N13+N15</f>
        <v>12969939.321500517</v>
      </c>
    </row>
    <row r="21" spans="5:14" x14ac:dyDescent="0.35">
      <c r="J21" s="26"/>
      <c r="K21" s="26"/>
      <c r="L21" s="26"/>
      <c r="M21" s="26"/>
      <c r="N21" s="26"/>
    </row>
    <row r="22" spans="5:14" x14ac:dyDescent="0.35">
      <c r="E22" t="s">
        <v>160</v>
      </c>
      <c r="J22" s="31">
        <f>-'Workings '!J105</f>
        <v>-2140198.5199999996</v>
      </c>
      <c r="K22" s="31">
        <f>-'Workings '!K105</f>
        <v>-2033188.5939999998</v>
      </c>
      <c r="L22" s="31">
        <f>-'Workings '!L105</f>
        <v>-1931529.1643000001</v>
      </c>
      <c r="M22" s="31">
        <f>-'Workings '!M105</f>
        <v>-1834952.706085</v>
      </c>
      <c r="N22" s="31">
        <f>-'Workings '!N105</f>
        <v>0</v>
      </c>
    </row>
    <row r="23" spans="5:14" x14ac:dyDescent="0.35">
      <c r="J23" s="26"/>
      <c r="K23" s="26"/>
      <c r="L23" s="26"/>
      <c r="M23" s="26"/>
      <c r="N23" s="26"/>
    </row>
    <row r="24" spans="5:14" x14ac:dyDescent="0.35">
      <c r="E24" s="12" t="s">
        <v>158</v>
      </c>
      <c r="J24" s="27">
        <f ca="1">J20+J22</f>
        <v>7748097.4800000004</v>
      </c>
      <c r="K24" s="27">
        <f ca="1">K20+K22</f>
        <v>14181037.206000023</v>
      </c>
      <c r="L24" s="27">
        <f ca="1">L20+L22</f>
        <v>11182444.813539991</v>
      </c>
      <c r="M24" s="27">
        <f ca="1">M20+M22</f>
        <v>14657535.441294648</v>
      </c>
      <c r="N24" s="27">
        <f ca="1">N20+N22</f>
        <v>12969939.321500517</v>
      </c>
    </row>
    <row r="25" spans="5:14" x14ac:dyDescent="0.35">
      <c r="J25" s="26"/>
      <c r="K25" s="26"/>
      <c r="L25" s="26"/>
      <c r="M25" s="26"/>
      <c r="N25" s="26"/>
    </row>
    <row r="26" spans="5:14" x14ac:dyDescent="0.35">
      <c r="E26" t="s">
        <v>161</v>
      </c>
      <c r="J26" s="31">
        <f ca="1">-'Workings '!J118</f>
        <v>-1549619.4960000003</v>
      </c>
      <c r="K26" s="31">
        <f ca="1">-'Workings '!K118</f>
        <v>-2836207.4412000049</v>
      </c>
      <c r="L26" s="31">
        <f ca="1">-'Workings '!L118</f>
        <v>-2236488.9627079982</v>
      </c>
      <c r="M26" s="31">
        <f ca="1">-'Workings '!M118</f>
        <v>-2931507.0882589296</v>
      </c>
      <c r="N26" s="31">
        <f ca="1">-'Workings '!N118</f>
        <v>-2593987.8643001039</v>
      </c>
    </row>
    <row r="27" spans="5:14" x14ac:dyDescent="0.35">
      <c r="J27" s="26"/>
      <c r="K27" s="26"/>
      <c r="L27" s="26"/>
      <c r="M27" s="26"/>
      <c r="N27" s="26"/>
    </row>
    <row r="28" spans="5:14" x14ac:dyDescent="0.35">
      <c r="E28" s="12" t="s">
        <v>109</v>
      </c>
      <c r="J28" s="27">
        <f ca="1">J24+J26</f>
        <v>6198477.9840000002</v>
      </c>
      <c r="K28" s="27">
        <f ca="1">K24+K26</f>
        <v>11344829.764800018</v>
      </c>
      <c r="L28" s="27">
        <f ca="1">L24+L26</f>
        <v>8945955.8508319929</v>
      </c>
      <c r="M28" s="27">
        <f ca="1">M24+M26</f>
        <v>11726028.353035718</v>
      </c>
      <c r="N28" s="27">
        <f ca="1">N24+N26</f>
        <v>10375951.457200414</v>
      </c>
    </row>
    <row r="29" spans="5:14" x14ac:dyDescent="0.35">
      <c r="J29" s="26"/>
      <c r="K29" s="26"/>
      <c r="L29" s="26"/>
      <c r="M29" s="26"/>
      <c r="N29" s="26"/>
    </row>
    <row r="30" spans="5:14" x14ac:dyDescent="0.35">
      <c r="E30" t="s">
        <v>162</v>
      </c>
      <c r="J30" s="31">
        <f ca="1">-'Workings '!J130</f>
        <v>-929771.69759999996</v>
      </c>
      <c r="K30" s="31">
        <f ca="1">-'Workings '!K130</f>
        <v>-1701724.4647200026</v>
      </c>
      <c r="L30" s="31">
        <f ca="1">-'Workings '!L130</f>
        <v>-1341893.3776247988</v>
      </c>
      <c r="M30" s="31">
        <f ca="1">-'Workings '!M130</f>
        <v>-1758904.2529553578</v>
      </c>
      <c r="N30" s="31">
        <f ca="1">-'Workings '!N130</f>
        <v>-1556392.718580062</v>
      </c>
    </row>
    <row r="31" spans="5:14" x14ac:dyDescent="0.35">
      <c r="J31" s="26"/>
      <c r="K31" s="26"/>
      <c r="L31" s="26"/>
      <c r="M31" s="26"/>
      <c r="N31" s="26"/>
    </row>
    <row r="32" spans="5:14" x14ac:dyDescent="0.35">
      <c r="E32" s="12" t="s">
        <v>163</v>
      </c>
      <c r="J32" s="34">
        <f ca="1">J28+J30</f>
        <v>5268706.2864000006</v>
      </c>
      <c r="K32" s="34">
        <f ca="1">K28+K30</f>
        <v>9643105.3000800144</v>
      </c>
      <c r="L32" s="34">
        <f ca="1">L28+L30</f>
        <v>7604062.4732071944</v>
      </c>
      <c r="M32" s="34">
        <f ca="1">M28+M30</f>
        <v>9967124.1000803597</v>
      </c>
      <c r="N32" s="34">
        <f ca="1">N28+N30</f>
        <v>8819558.738620352</v>
      </c>
    </row>
    <row r="33" spans="1:14" ht="15" thickBot="1" x14ac:dyDescent="0.4">
      <c r="E33" s="12" t="s">
        <v>164</v>
      </c>
      <c r="J33" s="33">
        <f ca="1">I33+J32</f>
        <v>5268706.2864000006</v>
      </c>
      <c r="K33" s="33">
        <f ca="1">J33+K32</f>
        <v>14911811.586480014</v>
      </c>
      <c r="L33" s="33">
        <f ca="1">K33+L32</f>
        <v>22515874.059687208</v>
      </c>
      <c r="M33" s="33">
        <f ca="1">L33+M32</f>
        <v>32482998.159767568</v>
      </c>
      <c r="N33" s="33">
        <f ca="1">M33+N32</f>
        <v>41302556.898387924</v>
      </c>
    </row>
    <row r="34" spans="1:14" ht="15" thickTop="1" x14ac:dyDescent="0.35">
      <c r="J34" s="26"/>
      <c r="K34" s="26"/>
      <c r="L34" s="26"/>
      <c r="M34" s="26"/>
      <c r="N34" s="26"/>
    </row>
    <row r="35" spans="1:14" x14ac:dyDescent="0.35">
      <c r="J35" s="26"/>
      <c r="K35" s="26"/>
      <c r="L35" s="26"/>
      <c r="M35" s="26"/>
      <c r="N35" s="26"/>
    </row>
    <row r="36" spans="1:14" s="5" customFormat="1" x14ac:dyDescent="0.35">
      <c r="A36" s="11" t="s">
        <v>110</v>
      </c>
      <c r="C36" s="11"/>
      <c r="D36" s="11"/>
    </row>
    <row r="37" spans="1:14" x14ac:dyDescent="0.35">
      <c r="J37" s="26"/>
      <c r="K37" s="26"/>
      <c r="L37" s="26"/>
      <c r="M37" s="26"/>
      <c r="N37" s="26"/>
    </row>
    <row r="38" spans="1:14" x14ac:dyDescent="0.35">
      <c r="C38" s="12" t="s">
        <v>111</v>
      </c>
      <c r="J38" s="26"/>
      <c r="K38" s="26"/>
      <c r="L38" s="26"/>
      <c r="M38" s="26"/>
      <c r="N38" s="26"/>
    </row>
    <row r="39" spans="1:14" x14ac:dyDescent="0.35">
      <c r="D39" s="12" t="s">
        <v>165</v>
      </c>
      <c r="J39" s="26"/>
      <c r="K39" s="26"/>
      <c r="L39" s="26"/>
      <c r="M39" s="26"/>
      <c r="N39" s="26"/>
    </row>
    <row r="40" spans="1:14" x14ac:dyDescent="0.35">
      <c r="E40" t="s">
        <v>63</v>
      </c>
      <c r="J40" s="26">
        <f ca="1">'Workings '!J76</f>
        <v>368000</v>
      </c>
      <c r="K40" s="26">
        <f ca="1">'Workings '!K76</f>
        <v>276000</v>
      </c>
      <c r="L40" s="26">
        <f ca="1">'Workings '!L76</f>
        <v>184000</v>
      </c>
      <c r="M40" s="26">
        <f ca="1">'Workings '!M76</f>
        <v>92000</v>
      </c>
      <c r="N40" s="26">
        <f ca="1">'Workings '!N76</f>
        <v>627877.26364550402</v>
      </c>
    </row>
    <row r="41" spans="1:14" x14ac:dyDescent="0.35">
      <c r="E41" t="s">
        <v>64</v>
      </c>
      <c r="J41" s="26">
        <f ca="1">'Workings '!J77</f>
        <v>100000</v>
      </c>
      <c r="K41" s="26">
        <f ca="1">'Workings '!K77</f>
        <v>50000</v>
      </c>
      <c r="L41" s="26">
        <f ca="1">'Workings '!L77</f>
        <v>131285.64299999998</v>
      </c>
      <c r="M41" s="26">
        <f ca="1">'Workings '!M77</f>
        <v>65642.821499999962</v>
      </c>
      <c r="N41" s="26">
        <f ca="1">'Workings '!N77</f>
        <v>341237.6432856</v>
      </c>
    </row>
    <row r="42" spans="1:14" x14ac:dyDescent="0.35">
      <c r="E42" t="s">
        <v>65</v>
      </c>
      <c r="J42" s="26">
        <f ca="1">'Workings '!J78</f>
        <v>160000</v>
      </c>
      <c r="K42" s="26">
        <f ca="1">'Workings '!K78</f>
        <v>80000</v>
      </c>
      <c r="L42" s="26">
        <f ca="1">'Workings '!L78</f>
        <v>420114.0576</v>
      </c>
      <c r="M42" s="26">
        <f ca="1">'Workings '!M78</f>
        <v>210057.02879999997</v>
      </c>
      <c r="N42" s="26">
        <f ca="1">'Workings '!N78</f>
        <v>0</v>
      </c>
    </row>
    <row r="43" spans="1:14" x14ac:dyDescent="0.35">
      <c r="D43" s="12" t="s">
        <v>112</v>
      </c>
      <c r="J43" s="27">
        <f ca="1">SUM(J40:J42)</f>
        <v>628000</v>
      </c>
      <c r="K43" s="27">
        <f ca="1">SUM(K40:K42)</f>
        <v>406000</v>
      </c>
      <c r="L43" s="27">
        <f ca="1">SUM(L40:L42)</f>
        <v>735399.70059999998</v>
      </c>
      <c r="M43" s="27">
        <f ca="1">SUM(M40:M42)</f>
        <v>367699.85029999993</v>
      </c>
      <c r="N43" s="27">
        <f ca="1">SUM(N40:N42)</f>
        <v>969114.90693110402</v>
      </c>
    </row>
    <row r="44" spans="1:14" x14ac:dyDescent="0.35">
      <c r="J44" s="26"/>
      <c r="K44" s="26"/>
      <c r="L44" s="26"/>
      <c r="M44" s="26"/>
      <c r="N44" s="26"/>
    </row>
    <row r="45" spans="1:14" x14ac:dyDescent="0.35">
      <c r="D45" s="12" t="s">
        <v>166</v>
      </c>
      <c r="J45" s="26"/>
      <c r="K45" s="26"/>
      <c r="L45" s="26"/>
      <c r="M45" s="26"/>
      <c r="N45" s="26"/>
    </row>
    <row r="46" spans="1:14" x14ac:dyDescent="0.35">
      <c r="E46" t="s">
        <v>14</v>
      </c>
      <c r="J46" s="31">
        <f>'Workings '!J33</f>
        <v>8386354.0800000001</v>
      </c>
      <c r="K46" s="31">
        <f>'Workings '!K33</f>
        <v>13426238.208000001</v>
      </c>
      <c r="L46" s="31">
        <f>'Workings '!L33</f>
        <v>12267945.4848</v>
      </c>
      <c r="M46" s="31">
        <f>'Workings '!M33</f>
        <v>16411357.056</v>
      </c>
      <c r="N46" s="31">
        <f>'Workings '!N33</f>
        <v>15691610.784000002</v>
      </c>
    </row>
    <row r="47" spans="1:14" x14ac:dyDescent="0.35">
      <c r="E47" t="s">
        <v>113</v>
      </c>
      <c r="J47" s="31">
        <f>'Workings '!J98</f>
        <v>3628000</v>
      </c>
      <c r="K47" s="31">
        <f>'Workings '!K98</f>
        <v>5776960</v>
      </c>
      <c r="L47" s="31">
        <f>'Workings '!L98</f>
        <v>5288200</v>
      </c>
      <c r="M47" s="31">
        <f>'Workings '!M98</f>
        <v>7048750</v>
      </c>
      <c r="N47" s="31">
        <f>'Workings '!N98</f>
        <v>6731330</v>
      </c>
    </row>
    <row r="48" spans="1:14" x14ac:dyDescent="0.35">
      <c r="E48" t="s">
        <v>114</v>
      </c>
      <c r="J48" s="31">
        <f ca="1">J107</f>
        <v>101045570.14</v>
      </c>
      <c r="K48" s="31">
        <f t="shared" ref="K48:N48" ca="1" si="0">K107</f>
        <v>104763777.72740002</v>
      </c>
      <c r="L48" s="31">
        <f t="shared" ca="1" si="0"/>
        <v>111760179.07547</v>
      </c>
      <c r="M48" s="31">
        <f t="shared" ca="1" si="0"/>
        <v>98953543.394681841</v>
      </c>
      <c r="N48" s="31">
        <f t="shared" ca="1" si="0"/>
        <v>107668822.59033696</v>
      </c>
    </row>
    <row r="49" spans="3:14" x14ac:dyDescent="0.35">
      <c r="D49" s="12" t="s">
        <v>115</v>
      </c>
      <c r="J49" s="26">
        <f ca="1">SUM(J46:J48)</f>
        <v>113059924.22</v>
      </c>
      <c r="K49" s="26">
        <f t="shared" ref="K49:N49" ca="1" si="1">SUM(K46:K48)</f>
        <v>123966975.93540002</v>
      </c>
      <c r="L49" s="26">
        <f t="shared" ca="1" si="1"/>
        <v>129316324.56027</v>
      </c>
      <c r="M49" s="26">
        <f t="shared" ca="1" si="1"/>
        <v>122413650.45068184</v>
      </c>
      <c r="N49" s="26">
        <f t="shared" ca="1" si="1"/>
        <v>130091763.37433696</v>
      </c>
    </row>
    <row r="50" spans="3:14" x14ac:dyDescent="0.35">
      <c r="J50" s="26"/>
      <c r="K50" s="26"/>
      <c r="L50" s="26"/>
      <c r="M50" s="26"/>
      <c r="N50" s="26"/>
    </row>
    <row r="51" spans="3:14" ht="15" thickBot="1" x14ac:dyDescent="0.4">
      <c r="D51" s="12" t="s">
        <v>167</v>
      </c>
      <c r="J51" s="33">
        <f ca="1">SUM(J43+J49)</f>
        <v>113687924.22</v>
      </c>
      <c r="K51" s="33">
        <f ca="1">SUM(K43+K49)</f>
        <v>124372975.93540002</v>
      </c>
      <c r="L51" s="33">
        <f ca="1">SUM(L43+L49)</f>
        <v>130051724.26086999</v>
      </c>
      <c r="M51" s="33">
        <f ca="1">SUM(M43+M49)</f>
        <v>122781350.30098183</v>
      </c>
      <c r="N51" s="33">
        <f ca="1">SUM(N43+N49)</f>
        <v>131060878.28126806</v>
      </c>
    </row>
    <row r="52" spans="3:14" ht="15" thickTop="1" x14ac:dyDescent="0.35">
      <c r="J52" s="26"/>
      <c r="K52" s="26"/>
      <c r="L52" s="26"/>
      <c r="M52" s="26"/>
      <c r="N52" s="26"/>
    </row>
    <row r="53" spans="3:14" x14ac:dyDescent="0.35">
      <c r="C53" s="12" t="s">
        <v>168</v>
      </c>
      <c r="J53" s="26"/>
      <c r="K53" s="26"/>
      <c r="L53" s="26"/>
      <c r="M53" s="26"/>
      <c r="N53" s="26"/>
    </row>
    <row r="54" spans="3:14" x14ac:dyDescent="0.35">
      <c r="D54" s="12" t="s">
        <v>116</v>
      </c>
      <c r="J54" s="26"/>
      <c r="K54" s="26"/>
      <c r="L54" s="26"/>
      <c r="M54" s="26"/>
      <c r="N54" s="26"/>
    </row>
    <row r="55" spans="3:14" x14ac:dyDescent="0.35">
      <c r="E55" t="s">
        <v>169</v>
      </c>
      <c r="J55" s="31">
        <f>'Workings '!$J$91</f>
        <v>85607940.800000012</v>
      </c>
      <c r="K55" s="31">
        <f>'Workings '!$J$91</f>
        <v>85607940.800000012</v>
      </c>
      <c r="L55" s="31">
        <f>'Workings '!$J$91</f>
        <v>85607940.800000012</v>
      </c>
      <c r="M55" s="31">
        <f>'Workings '!$J$91</f>
        <v>85607940.800000012</v>
      </c>
      <c r="N55" s="31">
        <f>'Workings '!$J$91</f>
        <v>85607940.800000012</v>
      </c>
    </row>
    <row r="56" spans="3:14" x14ac:dyDescent="0.35">
      <c r="E56" t="s">
        <v>170</v>
      </c>
      <c r="J56" s="26">
        <f ca="1">J33</f>
        <v>5268706.2864000006</v>
      </c>
      <c r="K56" s="26">
        <f ca="1">K33</f>
        <v>14911811.586480014</v>
      </c>
      <c r="L56" s="26">
        <f ca="1">L33</f>
        <v>22515874.059687208</v>
      </c>
      <c r="M56" s="26">
        <f ca="1">M33</f>
        <v>32482998.159767568</v>
      </c>
      <c r="N56" s="26">
        <f ca="1">N33</f>
        <v>41302556.898387924</v>
      </c>
    </row>
    <row r="57" spans="3:14" x14ac:dyDescent="0.35">
      <c r="D57" s="12" t="s">
        <v>117</v>
      </c>
      <c r="J57" s="27">
        <f ca="1">SUM(J55:J56)</f>
        <v>90876647.086400017</v>
      </c>
      <c r="K57" s="27">
        <f ca="1">SUM(K55:K56)</f>
        <v>100519752.38648003</v>
      </c>
      <c r="L57" s="27">
        <f ca="1">SUM(L55:L56)</f>
        <v>108123814.85968722</v>
      </c>
      <c r="M57" s="27">
        <f ca="1">SUM(M55:M56)</f>
        <v>118090938.95976758</v>
      </c>
      <c r="N57" s="27">
        <f ca="1">SUM(N55:N56)</f>
        <v>126910497.69838794</v>
      </c>
    </row>
    <row r="58" spans="3:14" x14ac:dyDescent="0.35">
      <c r="J58" s="26"/>
      <c r="K58" s="26"/>
      <c r="L58" s="26"/>
      <c r="M58" s="26"/>
      <c r="N58" s="26"/>
    </row>
    <row r="59" spans="3:14" x14ac:dyDescent="0.35">
      <c r="D59" s="12" t="s">
        <v>171</v>
      </c>
      <c r="J59" s="26"/>
      <c r="K59" s="26"/>
      <c r="L59" s="26"/>
      <c r="M59" s="26"/>
      <c r="N59" s="26"/>
    </row>
    <row r="60" spans="3:14" x14ac:dyDescent="0.35">
      <c r="E60" t="s">
        <v>172</v>
      </c>
      <c r="J60" s="31">
        <f>'Workings '!J108</f>
        <v>20331885.939999998</v>
      </c>
      <c r="K60" s="31">
        <f>'Workings '!K108</f>
        <v>19315291.642999999</v>
      </c>
      <c r="L60" s="31">
        <f>'Workings '!L108</f>
        <v>18349527.060849998</v>
      </c>
      <c r="M60" s="31">
        <f>'Workings '!M108</f>
        <v>0</v>
      </c>
      <c r="N60" s="31">
        <f>'Workings '!N108</f>
        <v>0</v>
      </c>
    </row>
    <row r="61" spans="3:14" x14ac:dyDescent="0.35">
      <c r="D61" s="12" t="s">
        <v>119</v>
      </c>
      <c r="J61" s="27">
        <f>SUM(J60)</f>
        <v>20331885.939999998</v>
      </c>
      <c r="K61" s="27">
        <f>SUM(K60)</f>
        <v>19315291.642999999</v>
      </c>
      <c r="L61" s="27">
        <f>SUM(L60)</f>
        <v>18349527.060849998</v>
      </c>
      <c r="M61" s="27">
        <f>SUM(M60)</f>
        <v>0</v>
      </c>
      <c r="N61" s="27">
        <f>SUM(N60)</f>
        <v>0</v>
      </c>
    </row>
    <row r="62" spans="3:14" x14ac:dyDescent="0.35">
      <c r="J62" s="26"/>
      <c r="K62" s="26"/>
      <c r="L62" s="26"/>
      <c r="M62" s="26"/>
      <c r="N62" s="26"/>
    </row>
    <row r="63" spans="3:14" x14ac:dyDescent="0.35">
      <c r="D63" s="12" t="s">
        <v>173</v>
      </c>
      <c r="J63" s="26"/>
      <c r="K63" s="26"/>
      <c r="L63" s="26"/>
      <c r="M63" s="26"/>
      <c r="N63" s="26"/>
    </row>
    <row r="64" spans="3:14" x14ac:dyDescent="0.35">
      <c r="E64" t="s">
        <v>175</v>
      </c>
      <c r="J64" s="31">
        <f>0</f>
        <v>0</v>
      </c>
      <c r="K64" s="31">
        <f>0</f>
        <v>0</v>
      </c>
      <c r="L64" s="31">
        <f>0</f>
        <v>0</v>
      </c>
      <c r="M64" s="31">
        <f>0</f>
        <v>0</v>
      </c>
      <c r="N64" s="31">
        <f>0</f>
        <v>0</v>
      </c>
    </row>
    <row r="65" spans="1:14" x14ac:dyDescent="0.35">
      <c r="E65" t="s">
        <v>174</v>
      </c>
      <c r="J65" s="31">
        <f ca="1">'Workings '!J132</f>
        <v>929771.69759999996</v>
      </c>
      <c r="K65" s="31">
        <f ca="1">'Workings '!K132</f>
        <v>1701724.4647200024</v>
      </c>
      <c r="L65" s="31">
        <f ca="1">'Workings '!L132</f>
        <v>1341893.3776247983</v>
      </c>
      <c r="M65" s="31">
        <f ca="1">'Workings '!M132</f>
        <v>1758904.2529553573</v>
      </c>
      <c r="N65" s="31">
        <f ca="1">'Workings '!N132</f>
        <v>1556392.7185800613</v>
      </c>
    </row>
    <row r="66" spans="1:14" x14ac:dyDescent="0.35">
      <c r="E66" t="s">
        <v>176</v>
      </c>
      <c r="J66" s="31">
        <f ca="1">'Workings '!J120</f>
        <v>1549619.4960000003</v>
      </c>
      <c r="K66" s="31">
        <f ca="1">'Workings '!K120</f>
        <v>2836207.4412000049</v>
      </c>
      <c r="L66" s="31">
        <f ca="1">'Workings '!L120</f>
        <v>2236488.9627079982</v>
      </c>
      <c r="M66" s="31">
        <f ca="1">'Workings '!M120</f>
        <v>2931507.0882589296</v>
      </c>
      <c r="N66" s="31">
        <f ca="1">'Workings '!N120</f>
        <v>2593987.8643001039</v>
      </c>
    </row>
    <row r="67" spans="1:14" x14ac:dyDescent="0.35">
      <c r="D67" s="12" t="s">
        <v>118</v>
      </c>
      <c r="J67" s="27">
        <f ca="1">SUM(J64:J66)</f>
        <v>2479391.1936000003</v>
      </c>
      <c r="K67" s="27">
        <f ca="1">SUM(K64:K66)</f>
        <v>4537931.9059200073</v>
      </c>
      <c r="L67" s="27">
        <f ca="1">SUM(L64:L66)</f>
        <v>3578382.3403327968</v>
      </c>
      <c r="M67" s="27">
        <f ca="1">SUM(M64:M66)</f>
        <v>4690411.3412142871</v>
      </c>
      <c r="N67" s="27">
        <f ca="1">SUM(N64:N66)</f>
        <v>4150380.5828801654</v>
      </c>
    </row>
    <row r="68" spans="1:14" x14ac:dyDescent="0.35">
      <c r="J68" s="26"/>
      <c r="K68" s="26"/>
      <c r="L68" s="26"/>
      <c r="M68" s="26"/>
      <c r="N68" s="26"/>
    </row>
    <row r="69" spans="1:14" x14ac:dyDescent="0.35">
      <c r="D69" s="12" t="s">
        <v>177</v>
      </c>
      <c r="J69" s="23">
        <f ca="1">J61+J67</f>
        <v>22811277.133599997</v>
      </c>
      <c r="K69" s="23">
        <f t="shared" ref="K69:N69" ca="1" si="2">K61+K67</f>
        <v>23853223.548920006</v>
      </c>
      <c r="L69" s="23">
        <f t="shared" ca="1" si="2"/>
        <v>21927909.401182793</v>
      </c>
      <c r="M69" s="23">
        <f t="shared" ca="1" si="2"/>
        <v>4690411.3412142871</v>
      </c>
      <c r="N69" s="23">
        <f t="shared" ca="1" si="2"/>
        <v>4150380.5828801654</v>
      </c>
    </row>
    <row r="70" spans="1:14" x14ac:dyDescent="0.35">
      <c r="J70" s="26"/>
      <c r="K70" s="26"/>
      <c r="L70" s="26"/>
      <c r="M70" s="26"/>
      <c r="N70" s="26"/>
    </row>
    <row r="71" spans="1:14" ht="15" thickBot="1" x14ac:dyDescent="0.4">
      <c r="D71" s="12" t="s">
        <v>178</v>
      </c>
      <c r="J71" s="33">
        <f ca="1">J69+J57</f>
        <v>113687924.22000001</v>
      </c>
      <c r="K71" s="33">
        <f ca="1">K69+K57</f>
        <v>124372975.93540004</v>
      </c>
      <c r="L71" s="33">
        <f ca="1">L69+L57</f>
        <v>130051724.26087001</v>
      </c>
      <c r="M71" s="33">
        <f ca="1">M69+M57</f>
        <v>122781350.30098186</v>
      </c>
      <c r="N71" s="33">
        <f ca="1">N69+N57</f>
        <v>131060878.2812681</v>
      </c>
    </row>
    <row r="72" spans="1:14" ht="15" thickTop="1" x14ac:dyDescent="0.35">
      <c r="J72" s="26"/>
      <c r="K72" s="26"/>
      <c r="L72" s="26"/>
      <c r="M72" s="26"/>
      <c r="N72" s="26"/>
    </row>
    <row r="73" spans="1:14" x14ac:dyDescent="0.35">
      <c r="J73" s="26" t="b">
        <f ca="1">J71=J51</f>
        <v>1</v>
      </c>
      <c r="K73" s="26" t="b">
        <f ca="1">K71=K51</f>
        <v>1</v>
      </c>
      <c r="L73" s="26" t="b">
        <f ca="1">L71=L51</f>
        <v>1</v>
      </c>
      <c r="M73" s="26" t="b">
        <f ca="1">M71=M51</f>
        <v>1</v>
      </c>
      <c r="N73" s="26" t="b">
        <f ca="1">N71=N51</f>
        <v>1</v>
      </c>
    </row>
    <row r="74" spans="1:14" x14ac:dyDescent="0.35">
      <c r="J74" s="26">
        <f ca="1">J71-J51</f>
        <v>0</v>
      </c>
      <c r="K74" s="26">
        <f t="shared" ref="K74:N74" ca="1" si="3">K71-K51</f>
        <v>0</v>
      </c>
      <c r="L74" s="26">
        <f t="shared" ca="1" si="3"/>
        <v>0</v>
      </c>
      <c r="M74" s="26">
        <f t="shared" ca="1" si="3"/>
        <v>0</v>
      </c>
      <c r="N74" s="26">
        <f t="shared" ca="1" si="3"/>
        <v>0</v>
      </c>
    </row>
    <row r="75" spans="1:14" x14ac:dyDescent="0.35">
      <c r="J75" s="26">
        <f ca="1">J74/2</f>
        <v>0</v>
      </c>
      <c r="K75" s="26">
        <f t="shared" ref="K75:N75" ca="1" si="4">K74/2</f>
        <v>0</v>
      </c>
      <c r="L75" s="26">
        <f t="shared" ca="1" si="4"/>
        <v>0</v>
      </c>
      <c r="M75" s="26">
        <f t="shared" ca="1" si="4"/>
        <v>0</v>
      </c>
      <c r="N75" s="26">
        <f t="shared" ca="1" si="4"/>
        <v>0</v>
      </c>
    </row>
    <row r="76" spans="1:14" s="5" customFormat="1" x14ac:dyDescent="0.35">
      <c r="A76" s="11" t="s">
        <v>138</v>
      </c>
      <c r="C76" s="11"/>
      <c r="D76" s="11"/>
    </row>
    <row r="77" spans="1:14" x14ac:dyDescent="0.35">
      <c r="J77" s="26"/>
      <c r="K77" s="26"/>
      <c r="L77" s="26"/>
      <c r="M77" s="26"/>
      <c r="N77" s="26"/>
    </row>
    <row r="78" spans="1:14" x14ac:dyDescent="0.35">
      <c r="C78" s="12" t="s">
        <v>139</v>
      </c>
      <c r="J78" s="26"/>
      <c r="K78" s="26"/>
      <c r="L78" s="26"/>
      <c r="M78" s="26"/>
      <c r="N78" s="26"/>
    </row>
    <row r="79" spans="1:14" x14ac:dyDescent="0.35">
      <c r="E79" t="s">
        <v>189</v>
      </c>
      <c r="J79" s="26">
        <f ca="1">J28</f>
        <v>6198477.9840000002</v>
      </c>
      <c r="K79" s="26">
        <f t="shared" ref="K79:N79" ca="1" si="5">K28</f>
        <v>11344829.764800018</v>
      </c>
      <c r="L79" s="26">
        <f t="shared" ca="1" si="5"/>
        <v>8945955.8508319929</v>
      </c>
      <c r="M79" s="26">
        <f t="shared" ca="1" si="5"/>
        <v>11726028.353035718</v>
      </c>
      <c r="N79" s="26">
        <f t="shared" ca="1" si="5"/>
        <v>10375951.457200414</v>
      </c>
    </row>
    <row r="80" spans="1:14" x14ac:dyDescent="0.35">
      <c r="E80" t="s">
        <v>190</v>
      </c>
      <c r="J80" s="26"/>
      <c r="K80" s="26"/>
      <c r="L80" s="26"/>
      <c r="M80" s="26"/>
      <c r="N80" s="26"/>
    </row>
    <row r="81" spans="3:14" x14ac:dyDescent="0.35">
      <c r="E81" s="37" t="s">
        <v>62</v>
      </c>
      <c r="J81" s="26">
        <f ca="1">-J17</f>
        <v>222000</v>
      </c>
      <c r="K81" s="26">
        <f t="shared" ref="K81:N81" ca="1" si="6">-K17</f>
        <v>222000</v>
      </c>
      <c r="L81" s="26">
        <f t="shared" ca="1" si="6"/>
        <v>497699.85030000005</v>
      </c>
      <c r="M81" s="26">
        <f t="shared" ca="1" si="6"/>
        <v>367699.85030000005</v>
      </c>
      <c r="N81" s="26">
        <f t="shared" ca="1" si="6"/>
        <v>695287.98785417597</v>
      </c>
    </row>
    <row r="82" spans="3:14" x14ac:dyDescent="0.35">
      <c r="E82" s="37" t="s">
        <v>108</v>
      </c>
      <c r="J82" s="26">
        <f ca="1">-J26</f>
        <v>1549619.4960000003</v>
      </c>
      <c r="K82" s="26">
        <f t="shared" ref="K82:N82" ca="1" si="7">-K26</f>
        <v>2836207.4412000049</v>
      </c>
      <c r="L82" s="26">
        <f t="shared" ca="1" si="7"/>
        <v>2236488.9627079982</v>
      </c>
      <c r="M82" s="26">
        <f t="shared" ca="1" si="7"/>
        <v>2931507.0882589296</v>
      </c>
      <c r="N82" s="26">
        <f t="shared" ca="1" si="7"/>
        <v>2593987.8643001039</v>
      </c>
    </row>
    <row r="83" spans="3:14" x14ac:dyDescent="0.35">
      <c r="E83" s="37" t="s">
        <v>191</v>
      </c>
      <c r="J83" s="26">
        <f>-J22</f>
        <v>2140198.5199999996</v>
      </c>
      <c r="K83" s="26">
        <f t="shared" ref="K83:N83" si="8">-K22</f>
        <v>2033188.5939999998</v>
      </c>
      <c r="L83" s="26">
        <f t="shared" si="8"/>
        <v>1931529.1643000001</v>
      </c>
      <c r="M83" s="26">
        <f t="shared" si="8"/>
        <v>1834952.706085</v>
      </c>
      <c r="N83" s="26">
        <f t="shared" si="8"/>
        <v>0</v>
      </c>
    </row>
    <row r="84" spans="3:14" x14ac:dyDescent="0.35">
      <c r="D84" s="12" t="s">
        <v>192</v>
      </c>
      <c r="J84" s="39">
        <f ca="1">SUM(J79:J83)</f>
        <v>10110296</v>
      </c>
      <c r="K84" s="39">
        <f t="shared" ref="K84:N84" ca="1" si="9">SUM(K79:K83)</f>
        <v>16436225.800000023</v>
      </c>
      <c r="L84" s="39">
        <f t="shared" ca="1" si="9"/>
        <v>13611673.828139991</v>
      </c>
      <c r="M84" s="39">
        <f t="shared" ca="1" si="9"/>
        <v>16860187.997679647</v>
      </c>
      <c r="N84" s="39">
        <f t="shared" ca="1" si="9"/>
        <v>13665227.309354693</v>
      </c>
    </row>
    <row r="85" spans="3:14" x14ac:dyDescent="0.35">
      <c r="E85" s="38" t="s">
        <v>193</v>
      </c>
      <c r="J85" s="26"/>
      <c r="K85" s="26"/>
      <c r="L85" s="26"/>
      <c r="M85" s="26"/>
      <c r="N85" s="26"/>
    </row>
    <row r="86" spans="3:14" x14ac:dyDescent="0.35">
      <c r="E86" s="37" t="s">
        <v>140</v>
      </c>
      <c r="J86" s="26">
        <f>I46-J46</f>
        <v>-8386354.0800000001</v>
      </c>
      <c r="K86" s="26">
        <f t="shared" ref="K86:N86" si="10">J46-K46</f>
        <v>-5039884.1280000005</v>
      </c>
      <c r="L86" s="26">
        <f t="shared" si="10"/>
        <v>1158292.7232000008</v>
      </c>
      <c r="M86" s="26">
        <f t="shared" si="10"/>
        <v>-4143411.5712000001</v>
      </c>
      <c r="N86" s="26">
        <f t="shared" si="10"/>
        <v>719746.27199999802</v>
      </c>
    </row>
    <row r="87" spans="3:14" x14ac:dyDescent="0.35">
      <c r="E87" s="37" t="s">
        <v>141</v>
      </c>
      <c r="J87" s="26">
        <f>I47-J47</f>
        <v>-3628000</v>
      </c>
      <c r="K87" s="26">
        <f t="shared" ref="K87:N87" si="11">J47-K47</f>
        <v>-2148960</v>
      </c>
      <c r="L87" s="26">
        <f t="shared" si="11"/>
        <v>488760</v>
      </c>
      <c r="M87" s="26">
        <f t="shared" si="11"/>
        <v>-1760550</v>
      </c>
      <c r="N87" s="26">
        <f t="shared" si="11"/>
        <v>317420</v>
      </c>
    </row>
    <row r="88" spans="3:14" x14ac:dyDescent="0.35">
      <c r="E88" s="37" t="s">
        <v>194</v>
      </c>
      <c r="J88" s="26">
        <v>0</v>
      </c>
      <c r="K88" s="26">
        <v>0</v>
      </c>
      <c r="L88" s="26">
        <v>0</v>
      </c>
      <c r="M88" s="26">
        <v>0</v>
      </c>
      <c r="N88" s="26">
        <v>0</v>
      </c>
    </row>
    <row r="89" spans="3:14" x14ac:dyDescent="0.35">
      <c r="D89" s="12" t="s">
        <v>195</v>
      </c>
      <c r="J89" s="39">
        <f ca="1">J84+J86+J87</f>
        <v>-1904058.08</v>
      </c>
      <c r="K89" s="39">
        <f t="shared" ref="K89:N89" ca="1" si="12">K84+K86+K87</f>
        <v>9247381.6720000226</v>
      </c>
      <c r="L89" s="39">
        <f t="shared" ca="1" si="12"/>
        <v>15258726.551339991</v>
      </c>
      <c r="M89" s="39">
        <f t="shared" ca="1" si="12"/>
        <v>10956226.426479647</v>
      </c>
      <c r="N89" s="39">
        <f t="shared" ca="1" si="12"/>
        <v>14702393.581354691</v>
      </c>
    </row>
    <row r="90" spans="3:14" x14ac:dyDescent="0.35">
      <c r="E90" s="37" t="s">
        <v>142</v>
      </c>
      <c r="J90" s="26">
        <f>'Workings '!J119</f>
        <v>0</v>
      </c>
      <c r="K90" s="26">
        <f ca="1">'Workings '!K119</f>
        <v>-1549619.4960000003</v>
      </c>
      <c r="L90" s="26">
        <f ca="1">'Workings '!L119</f>
        <v>-2836207.4412000049</v>
      </c>
      <c r="M90" s="26">
        <f ca="1">'Workings '!M119</f>
        <v>-2236488.9627079982</v>
      </c>
      <c r="N90" s="26">
        <f ca="1">'Workings '!N119</f>
        <v>-2931507.0882589296</v>
      </c>
    </row>
    <row r="91" spans="3:14" x14ac:dyDescent="0.35">
      <c r="C91" s="12" t="s">
        <v>196</v>
      </c>
      <c r="J91" s="27">
        <f ca="1">SUM(J89:J90)</f>
        <v>-1904058.08</v>
      </c>
      <c r="K91" s="27">
        <f t="shared" ref="K91:N91" ca="1" si="13">SUM(K89:K90)</f>
        <v>7697762.1760000223</v>
      </c>
      <c r="L91" s="27">
        <f t="shared" ca="1" si="13"/>
        <v>12422519.110139987</v>
      </c>
      <c r="M91" s="27">
        <f t="shared" ca="1" si="13"/>
        <v>8719737.4637716487</v>
      </c>
      <c r="N91" s="27">
        <f t="shared" ca="1" si="13"/>
        <v>11770886.493095761</v>
      </c>
    </row>
    <row r="92" spans="3:14" x14ac:dyDescent="0.35">
      <c r="J92" s="26"/>
      <c r="K92" s="26"/>
      <c r="L92" s="26"/>
      <c r="M92" s="26"/>
      <c r="N92" s="26"/>
    </row>
    <row r="93" spans="3:14" x14ac:dyDescent="0.35">
      <c r="C93" s="12" t="s">
        <v>197</v>
      </c>
      <c r="J93" s="26"/>
      <c r="K93" s="26"/>
      <c r="L93" s="26"/>
      <c r="M93" s="26"/>
      <c r="N93" s="26"/>
    </row>
    <row r="94" spans="3:14" x14ac:dyDescent="0.35">
      <c r="E94" t="s">
        <v>143</v>
      </c>
      <c r="J94" s="26">
        <f>-'Workings '!J67</f>
        <v>-850000</v>
      </c>
      <c r="K94" s="26">
        <f>-'Workings '!K67</f>
        <v>0</v>
      </c>
      <c r="L94" s="26">
        <f>-'Workings '!L67</f>
        <v>-827099.55090000003</v>
      </c>
      <c r="M94" s="26">
        <f>-'Workings '!M67</f>
        <v>0</v>
      </c>
      <c r="N94" s="26">
        <f>-'Workings '!N67</f>
        <v>-1296703.0444852801</v>
      </c>
    </row>
    <row r="95" spans="3:14" x14ac:dyDescent="0.35">
      <c r="C95" s="12" t="s">
        <v>198</v>
      </c>
      <c r="J95" s="27">
        <f>SUM(J94)</f>
        <v>-850000</v>
      </c>
      <c r="K95" s="27">
        <f t="shared" ref="K95:N95" si="14">SUM(K94)</f>
        <v>0</v>
      </c>
      <c r="L95" s="27">
        <f t="shared" si="14"/>
        <v>-827099.55090000003</v>
      </c>
      <c r="M95" s="27">
        <f t="shared" si="14"/>
        <v>0</v>
      </c>
      <c r="N95" s="27">
        <f t="shared" si="14"/>
        <v>-1296703.0444852801</v>
      </c>
    </row>
    <row r="96" spans="3:14" x14ac:dyDescent="0.35">
      <c r="J96" s="26"/>
      <c r="K96" s="26"/>
      <c r="L96" s="26"/>
      <c r="M96" s="26"/>
      <c r="N96" s="26"/>
    </row>
    <row r="97" spans="3:14" x14ac:dyDescent="0.35">
      <c r="C97" s="12" t="s">
        <v>199</v>
      </c>
      <c r="J97" s="26"/>
      <c r="K97" s="26"/>
      <c r="L97" s="26"/>
      <c r="M97" s="26"/>
      <c r="N97" s="26"/>
    </row>
    <row r="98" spans="3:14" x14ac:dyDescent="0.35">
      <c r="E98" t="s">
        <v>200</v>
      </c>
      <c r="J98" s="26">
        <f>'financial statement '!J55-'financial statement '!I55</f>
        <v>85607940.800000012</v>
      </c>
      <c r="K98" s="26">
        <f>'financial statement '!K55-'financial statement '!J55</f>
        <v>0</v>
      </c>
      <c r="L98" s="26">
        <f>'financial statement '!L55-'financial statement '!K55</f>
        <v>0</v>
      </c>
      <c r="M98" s="26">
        <f>'financial statement '!M55-'financial statement '!L55</f>
        <v>0</v>
      </c>
      <c r="N98" s="26">
        <f>'financial statement '!N55-'financial statement '!M55</f>
        <v>0</v>
      </c>
    </row>
    <row r="99" spans="3:14" x14ac:dyDescent="0.35">
      <c r="E99" t="s">
        <v>201</v>
      </c>
      <c r="J99" s="26">
        <f>'Workings '!J131</f>
        <v>0</v>
      </c>
      <c r="K99" s="26">
        <f ca="1">'Workings '!K131</f>
        <v>-929771.69759999996</v>
      </c>
      <c r="L99" s="26">
        <f ca="1">'Workings '!L131</f>
        <v>-1701724.4647200026</v>
      </c>
      <c r="M99" s="26">
        <f ca="1">'Workings '!M131</f>
        <v>-1341893.3776247988</v>
      </c>
      <c r="N99" s="26">
        <f ca="1">'Workings '!N131</f>
        <v>-1758904.2529553578</v>
      </c>
    </row>
    <row r="100" spans="3:14" x14ac:dyDescent="0.35">
      <c r="E100" t="s">
        <v>202</v>
      </c>
      <c r="J100" s="26">
        <f>'Workings '!J104</f>
        <v>21401985.199999996</v>
      </c>
      <c r="K100" s="26">
        <f>'Workings '!K104</f>
        <v>0</v>
      </c>
      <c r="L100" s="26">
        <f>'Workings '!L104</f>
        <v>0</v>
      </c>
      <c r="M100" s="26">
        <f>'Workings '!M104</f>
        <v>0</v>
      </c>
      <c r="N100" s="26">
        <f>'Workings '!N104</f>
        <v>0</v>
      </c>
    </row>
    <row r="101" spans="3:14" x14ac:dyDescent="0.35">
      <c r="E101" t="s">
        <v>182</v>
      </c>
      <c r="J101" s="26">
        <f>'Workings '!J106</f>
        <v>-3210297.7799999993</v>
      </c>
      <c r="K101" s="26">
        <f>'Workings '!K106</f>
        <v>-3049782.8909999994</v>
      </c>
      <c r="L101" s="26">
        <f>'Workings '!L106</f>
        <v>-2897293.74645</v>
      </c>
      <c r="M101" s="26">
        <f>'Workings '!M106</f>
        <v>-2752429.0591274998</v>
      </c>
      <c r="N101" s="26">
        <f>'Workings '!N106</f>
        <v>0</v>
      </c>
    </row>
    <row r="102" spans="3:14" x14ac:dyDescent="0.35">
      <c r="E102" t="s">
        <v>183</v>
      </c>
      <c r="J102" s="26">
        <f>'Workings '!J107</f>
        <v>0</v>
      </c>
      <c r="K102" s="26">
        <f>'Workings '!K107</f>
        <v>0</v>
      </c>
      <c r="L102" s="26">
        <f>'Workings '!L107</f>
        <v>0</v>
      </c>
      <c r="M102" s="26">
        <f>'Workings '!M107</f>
        <v>-17432050.7078075</v>
      </c>
      <c r="N102" s="26">
        <f>'Workings '!N107</f>
        <v>0</v>
      </c>
    </row>
    <row r="103" spans="3:14" x14ac:dyDescent="0.35">
      <c r="C103" s="12" t="s">
        <v>203</v>
      </c>
      <c r="J103" s="27">
        <f>SUM(J98:J102)</f>
        <v>103799628.22</v>
      </c>
      <c r="K103" s="27">
        <f t="shared" ref="K103:N103" ca="1" si="15">SUM(K98:K102)</f>
        <v>-3979554.5885999994</v>
      </c>
      <c r="L103" s="27">
        <f t="shared" ca="1" si="15"/>
        <v>-4599018.2111700028</v>
      </c>
      <c r="M103" s="27">
        <f t="shared" ca="1" si="15"/>
        <v>-21526373.144559801</v>
      </c>
      <c r="N103" s="27">
        <f t="shared" ca="1" si="15"/>
        <v>-1758904.2529553578</v>
      </c>
    </row>
    <row r="104" spans="3:14" x14ac:dyDescent="0.35">
      <c r="J104" s="26"/>
      <c r="K104" s="26"/>
      <c r="L104" s="26"/>
      <c r="M104" s="26"/>
      <c r="N104" s="26"/>
    </row>
    <row r="105" spans="3:14" x14ac:dyDescent="0.35">
      <c r="C105" s="12" t="s">
        <v>204</v>
      </c>
      <c r="J105" s="27">
        <f ca="1">SUM(J91,J95,J103)</f>
        <v>101045570.14</v>
      </c>
      <c r="K105" s="27">
        <f t="shared" ref="K105:N105" ca="1" si="16">SUM(K91,K95,K103)</f>
        <v>3718207.5874000229</v>
      </c>
      <c r="L105" s="27">
        <f t="shared" ca="1" si="16"/>
        <v>6996401.3480699845</v>
      </c>
      <c r="M105" s="27">
        <f t="shared" ca="1" si="16"/>
        <v>-12806635.680788152</v>
      </c>
      <c r="N105" s="27">
        <f t="shared" ca="1" si="16"/>
        <v>8715279.1956551224</v>
      </c>
    </row>
    <row r="106" spans="3:14" x14ac:dyDescent="0.35">
      <c r="C106" s="12" t="s">
        <v>205</v>
      </c>
      <c r="J106" s="27">
        <f>I107</f>
        <v>0</v>
      </c>
      <c r="K106" s="27">
        <f t="shared" ref="K106:N106" ca="1" si="17">J107</f>
        <v>101045570.14</v>
      </c>
      <c r="L106" s="27">
        <f t="shared" ca="1" si="17"/>
        <v>104763777.72740002</v>
      </c>
      <c r="M106" s="27">
        <f t="shared" ca="1" si="17"/>
        <v>111760179.07547</v>
      </c>
      <c r="N106" s="23">
        <f t="shared" ca="1" si="17"/>
        <v>98953543.394681841</v>
      </c>
    </row>
    <row r="107" spans="3:14" ht="15" thickBot="1" x14ac:dyDescent="0.4">
      <c r="C107" s="12" t="s">
        <v>206</v>
      </c>
      <c r="J107" s="33">
        <f ca="1">SUM(J105:J106)</f>
        <v>101045570.14</v>
      </c>
      <c r="K107" s="33">
        <f t="shared" ref="K107:N107" ca="1" si="18">SUM(K105:K106)</f>
        <v>104763777.72740002</v>
      </c>
      <c r="L107" s="33">
        <f t="shared" ca="1" si="18"/>
        <v>111760179.07547</v>
      </c>
      <c r="M107" s="33">
        <f t="shared" ca="1" si="18"/>
        <v>98953543.394681841</v>
      </c>
      <c r="N107" s="33">
        <f t="shared" ca="1" si="18"/>
        <v>107668822.59033696</v>
      </c>
    </row>
    <row r="108" spans="3:14" ht="15" thickTop="1" x14ac:dyDescent="0.35">
      <c r="J108" s="26"/>
      <c r="K108" s="26"/>
      <c r="L108" s="26"/>
      <c r="M108" s="26"/>
      <c r="N108" s="26"/>
    </row>
    <row r="109" spans="3:14" x14ac:dyDescent="0.35">
      <c r="J109" s="26"/>
      <c r="K109" s="26"/>
      <c r="L109" s="26"/>
      <c r="M109" s="26"/>
      <c r="N109" s="26"/>
    </row>
    <row r="110" spans="3:14" x14ac:dyDescent="0.35">
      <c r="J110" s="26"/>
      <c r="K110" s="26"/>
      <c r="L110" s="26"/>
      <c r="M110" s="26"/>
      <c r="N110" s="26"/>
    </row>
    <row r="111" spans="3:14" x14ac:dyDescent="0.35">
      <c r="J111" s="26"/>
      <c r="K111" s="26"/>
      <c r="L111" s="26"/>
      <c r="M111" s="26"/>
      <c r="N111" s="26"/>
    </row>
    <row r="112" spans="3:14" x14ac:dyDescent="0.35">
      <c r="J112" s="26"/>
      <c r="K112" s="26"/>
      <c r="L112" s="26"/>
      <c r="M112" s="26"/>
      <c r="N112" s="26"/>
    </row>
    <row r="113" spans="10:14" x14ac:dyDescent="0.35">
      <c r="J113" s="26"/>
      <c r="K113" s="26"/>
      <c r="L113" s="26"/>
      <c r="M113" s="26"/>
      <c r="N113" s="26"/>
    </row>
    <row r="114" spans="10:14" x14ac:dyDescent="0.35">
      <c r="J114" s="26"/>
      <c r="K114" s="26"/>
      <c r="L114" s="26"/>
      <c r="M114" s="26"/>
      <c r="N114" s="26"/>
    </row>
    <row r="115" spans="10:14" x14ac:dyDescent="0.35">
      <c r="J115" s="26"/>
      <c r="K115" s="26"/>
      <c r="L115" s="26"/>
      <c r="M115" s="26"/>
      <c r="N115" s="26"/>
    </row>
    <row r="116" spans="10:14" x14ac:dyDescent="0.35">
      <c r="J116" s="26"/>
      <c r="K116" s="26"/>
      <c r="L116" s="26"/>
      <c r="M116" s="26"/>
      <c r="N116" s="26"/>
    </row>
    <row r="117" spans="10:14" x14ac:dyDescent="0.35">
      <c r="J117" s="26"/>
      <c r="K117" s="26"/>
      <c r="L117" s="26"/>
      <c r="M117" s="26"/>
      <c r="N117" s="26"/>
    </row>
    <row r="118" spans="10:14" x14ac:dyDescent="0.35">
      <c r="J118" s="26"/>
      <c r="K118" s="26"/>
      <c r="L118" s="26"/>
      <c r="M118" s="26"/>
      <c r="N118" s="26"/>
    </row>
    <row r="119" spans="10:14" x14ac:dyDescent="0.35">
      <c r="J119" s="26"/>
      <c r="K119" s="26"/>
      <c r="L119" s="26"/>
      <c r="M119" s="26"/>
      <c r="N119" s="26"/>
    </row>
    <row r="120" spans="10:14" x14ac:dyDescent="0.35">
      <c r="J120" s="26"/>
      <c r="K120" s="26"/>
      <c r="L120" s="26"/>
      <c r="M120" s="26"/>
      <c r="N120" s="26"/>
    </row>
    <row r="121" spans="10:14" x14ac:dyDescent="0.35">
      <c r="J121" s="26"/>
      <c r="K121" s="26"/>
      <c r="L121" s="26"/>
      <c r="M121" s="26"/>
      <c r="N121" s="26"/>
    </row>
    <row r="122" spans="10:14" x14ac:dyDescent="0.35">
      <c r="J122" s="26"/>
      <c r="K122" s="26"/>
      <c r="L122" s="26"/>
      <c r="M122" s="26"/>
      <c r="N122" s="26"/>
    </row>
    <row r="123" spans="10:14" x14ac:dyDescent="0.35">
      <c r="J123" s="26"/>
      <c r="K123" s="26"/>
      <c r="L123" s="26"/>
      <c r="M123" s="26"/>
      <c r="N123" s="26"/>
    </row>
    <row r="124" spans="10:14" x14ac:dyDescent="0.35">
      <c r="J124" s="26"/>
      <c r="K124" s="26"/>
      <c r="L124" s="26"/>
      <c r="M124" s="26"/>
      <c r="N124" s="26"/>
    </row>
    <row r="125" spans="10:14" x14ac:dyDescent="0.35">
      <c r="J125" s="26"/>
      <c r="K125" s="26"/>
      <c r="L125" s="26"/>
      <c r="M125" s="26"/>
      <c r="N125" s="26"/>
    </row>
    <row r="126" spans="10:14" x14ac:dyDescent="0.35">
      <c r="J126" s="26"/>
      <c r="K126" s="26"/>
      <c r="L126" s="26"/>
      <c r="M126" s="26"/>
      <c r="N126" s="26"/>
    </row>
    <row r="127" spans="10:14" x14ac:dyDescent="0.35">
      <c r="J127" s="26"/>
      <c r="K127" s="26"/>
      <c r="L127" s="26"/>
      <c r="M127" s="26"/>
      <c r="N127" s="26"/>
    </row>
    <row r="128" spans="10:14" x14ac:dyDescent="0.35">
      <c r="J128" s="26"/>
      <c r="K128" s="26"/>
      <c r="L128" s="26"/>
      <c r="M128" s="26"/>
      <c r="N128" s="26"/>
    </row>
    <row r="129" spans="10:14" x14ac:dyDescent="0.35">
      <c r="J129" s="26"/>
      <c r="K129" s="26"/>
      <c r="L129" s="26"/>
      <c r="M129" s="26"/>
      <c r="N129" s="26"/>
    </row>
    <row r="130" spans="10:14" x14ac:dyDescent="0.35">
      <c r="J130" s="26"/>
      <c r="K130" s="26"/>
      <c r="L130" s="26"/>
      <c r="M130" s="26"/>
      <c r="N130" s="26"/>
    </row>
    <row r="131" spans="10:14" x14ac:dyDescent="0.35">
      <c r="J131" s="26"/>
      <c r="K131" s="26"/>
      <c r="L131" s="26"/>
      <c r="M131" s="26"/>
      <c r="N131" s="26"/>
    </row>
    <row r="132" spans="10:14" x14ac:dyDescent="0.35">
      <c r="J132" s="26"/>
      <c r="K132" s="26"/>
      <c r="L132" s="26"/>
      <c r="M132" s="26"/>
      <c r="N132" s="26"/>
    </row>
    <row r="133" spans="10:14" x14ac:dyDescent="0.35">
      <c r="J133" s="26"/>
      <c r="K133" s="26"/>
      <c r="L133" s="26"/>
      <c r="M133" s="26"/>
      <c r="N133" s="26"/>
    </row>
    <row r="134" spans="10:14" x14ac:dyDescent="0.35">
      <c r="J134" s="26"/>
      <c r="K134" s="26"/>
      <c r="L134" s="26"/>
      <c r="M134" s="26"/>
      <c r="N134" s="26"/>
    </row>
    <row r="135" spans="10:14" x14ac:dyDescent="0.35">
      <c r="J135" s="26"/>
      <c r="K135" s="26"/>
      <c r="L135" s="26"/>
      <c r="M135" s="26"/>
      <c r="N135" s="26"/>
    </row>
    <row r="136" spans="10:14" x14ac:dyDescent="0.35">
      <c r="J136" s="26"/>
      <c r="K136" s="26"/>
      <c r="L136" s="26"/>
      <c r="M136" s="26"/>
      <c r="N136" s="26"/>
    </row>
    <row r="137" spans="10:14" x14ac:dyDescent="0.35">
      <c r="J137" s="26"/>
      <c r="K137" s="26"/>
      <c r="L137" s="26"/>
      <c r="M137" s="26"/>
      <c r="N137" s="26"/>
    </row>
    <row r="138" spans="10:14" x14ac:dyDescent="0.35">
      <c r="J138" s="26"/>
      <c r="K138" s="26"/>
      <c r="L138" s="26"/>
      <c r="M138" s="26"/>
      <c r="N138" s="26"/>
    </row>
    <row r="139" spans="10:14" x14ac:dyDescent="0.35">
      <c r="J139" s="26"/>
      <c r="K139" s="26"/>
      <c r="L139" s="26"/>
      <c r="M139" s="26"/>
      <c r="N139" s="26"/>
    </row>
    <row r="140" spans="10:14" x14ac:dyDescent="0.35">
      <c r="J140" s="26"/>
      <c r="K140" s="26"/>
      <c r="L140" s="26"/>
      <c r="M140" s="26"/>
      <c r="N140" s="26"/>
    </row>
    <row r="141" spans="10:14" x14ac:dyDescent="0.35">
      <c r="J141" s="26"/>
      <c r="K141" s="26"/>
      <c r="L141" s="26"/>
      <c r="M141" s="26"/>
      <c r="N141" s="26"/>
    </row>
    <row r="142" spans="10:14" x14ac:dyDescent="0.35">
      <c r="J142" s="26"/>
      <c r="K142" s="26"/>
      <c r="L142" s="26"/>
      <c r="M142" s="26"/>
      <c r="N142" s="26"/>
    </row>
    <row r="143" spans="10:14" x14ac:dyDescent="0.35">
      <c r="J143" s="26"/>
      <c r="K143" s="26"/>
      <c r="L143" s="26"/>
      <c r="M143" s="26"/>
      <c r="N143" s="26"/>
    </row>
    <row r="144" spans="10:14" x14ac:dyDescent="0.35">
      <c r="J144" s="26"/>
      <c r="K144" s="26"/>
      <c r="L144" s="26"/>
      <c r="M144" s="26"/>
      <c r="N144" s="26"/>
    </row>
    <row r="145" spans="10:14" x14ac:dyDescent="0.35">
      <c r="J145" s="26"/>
      <c r="K145" s="26"/>
      <c r="L145" s="26"/>
      <c r="M145" s="26"/>
      <c r="N145" s="26"/>
    </row>
    <row r="146" spans="10:14" x14ac:dyDescent="0.35">
      <c r="J146" s="26"/>
      <c r="K146" s="26"/>
      <c r="L146" s="26"/>
      <c r="M146" s="26"/>
      <c r="N146" s="26"/>
    </row>
    <row r="147" spans="10:14" x14ac:dyDescent="0.35">
      <c r="J147" s="26"/>
      <c r="K147" s="26"/>
      <c r="L147" s="26"/>
      <c r="M147" s="26"/>
      <c r="N147" s="26"/>
    </row>
    <row r="148" spans="10:14" x14ac:dyDescent="0.35">
      <c r="J148" s="26"/>
      <c r="K148" s="26"/>
      <c r="L148" s="26"/>
      <c r="M148" s="26"/>
      <c r="N148" s="26"/>
    </row>
    <row r="149" spans="10:14" x14ac:dyDescent="0.35">
      <c r="J149" s="26"/>
      <c r="K149" s="26"/>
      <c r="L149" s="26"/>
      <c r="M149" s="26"/>
      <c r="N149" s="26"/>
    </row>
    <row r="150" spans="10:14" x14ac:dyDescent="0.35">
      <c r="J150" s="26"/>
      <c r="K150" s="26"/>
      <c r="L150" s="26"/>
      <c r="M150" s="26"/>
      <c r="N150" s="26"/>
    </row>
    <row r="151" spans="10:14" x14ac:dyDescent="0.35">
      <c r="J151" s="26"/>
      <c r="K151" s="26"/>
      <c r="L151" s="26"/>
      <c r="M151" s="26"/>
      <c r="N151" s="26"/>
    </row>
    <row r="152" spans="10:14" x14ac:dyDescent="0.35">
      <c r="J152" s="26"/>
      <c r="K152" s="26"/>
      <c r="L152" s="26"/>
      <c r="M152" s="26"/>
      <c r="N152" s="26"/>
    </row>
    <row r="153" spans="10:14" x14ac:dyDescent="0.35">
      <c r="J153" s="26"/>
      <c r="K153" s="26"/>
      <c r="L153" s="26"/>
      <c r="M153" s="26"/>
      <c r="N153" s="26"/>
    </row>
    <row r="154" spans="10:14" x14ac:dyDescent="0.35">
      <c r="J154" s="26"/>
      <c r="K154" s="26"/>
      <c r="L154" s="26"/>
      <c r="M154" s="26"/>
      <c r="N154" s="26"/>
    </row>
    <row r="155" spans="10:14" x14ac:dyDescent="0.35">
      <c r="J155" s="26"/>
      <c r="K155" s="26"/>
      <c r="L155" s="26"/>
      <c r="M155" s="26"/>
      <c r="N155" s="26"/>
    </row>
    <row r="156" spans="10:14" x14ac:dyDescent="0.35">
      <c r="J156" s="26"/>
      <c r="K156" s="26"/>
      <c r="L156" s="26"/>
      <c r="M156" s="26"/>
      <c r="N156" s="26"/>
    </row>
    <row r="157" spans="10:14" x14ac:dyDescent="0.35">
      <c r="J157" s="26"/>
      <c r="K157" s="26"/>
      <c r="L157" s="26"/>
      <c r="M157" s="26"/>
      <c r="N157" s="26"/>
    </row>
    <row r="158" spans="10:14" x14ac:dyDescent="0.35">
      <c r="J158" s="26"/>
      <c r="K158" s="26"/>
      <c r="L158" s="26"/>
      <c r="M158" s="26"/>
      <c r="N158" s="26"/>
    </row>
    <row r="159" spans="10:14" x14ac:dyDescent="0.35">
      <c r="J159" s="26"/>
      <c r="K159" s="26"/>
      <c r="L159" s="26"/>
      <c r="M159" s="26"/>
      <c r="N159" s="26"/>
    </row>
    <row r="160" spans="10:14" x14ac:dyDescent="0.35">
      <c r="J160" s="26"/>
      <c r="K160" s="26"/>
      <c r="L160" s="26"/>
      <c r="M160" s="26"/>
      <c r="N160" s="26"/>
    </row>
    <row r="161" spans="10:14" x14ac:dyDescent="0.35">
      <c r="J161" s="26"/>
      <c r="K161" s="26"/>
      <c r="L161" s="26"/>
      <c r="M161" s="26"/>
      <c r="N161" s="26"/>
    </row>
    <row r="162" spans="10:14" x14ac:dyDescent="0.35">
      <c r="J162" s="26"/>
      <c r="K162" s="26"/>
      <c r="L162" s="26"/>
      <c r="M162" s="26"/>
      <c r="N162" s="26"/>
    </row>
    <row r="163" spans="10:14" x14ac:dyDescent="0.35">
      <c r="J163" s="26"/>
      <c r="K163" s="26"/>
      <c r="L163" s="26"/>
      <c r="M163" s="26"/>
      <c r="N163" s="26"/>
    </row>
    <row r="164" spans="10:14" x14ac:dyDescent="0.35">
      <c r="J164" s="26"/>
      <c r="K164" s="26"/>
      <c r="L164" s="26"/>
      <c r="M164" s="26"/>
      <c r="N164" s="26"/>
    </row>
    <row r="165" spans="10:14" x14ac:dyDescent="0.35">
      <c r="J165" s="26"/>
      <c r="K165" s="26"/>
      <c r="L165" s="26"/>
      <c r="M165" s="26"/>
      <c r="N165" s="26"/>
    </row>
    <row r="166" spans="10:14" x14ac:dyDescent="0.35">
      <c r="J166" s="26"/>
      <c r="K166" s="26"/>
      <c r="L166" s="26"/>
      <c r="M166" s="26"/>
      <c r="N166" s="26"/>
    </row>
    <row r="167" spans="10:14" x14ac:dyDescent="0.35">
      <c r="J167" s="26"/>
      <c r="K167" s="26"/>
      <c r="L167" s="26"/>
      <c r="M167" s="26"/>
      <c r="N167" s="26"/>
    </row>
    <row r="168" spans="10:14" x14ac:dyDescent="0.35">
      <c r="J168" s="26"/>
      <c r="K168" s="26"/>
      <c r="L168" s="26"/>
      <c r="M168" s="26"/>
      <c r="N168" s="26"/>
    </row>
    <row r="169" spans="10:14" x14ac:dyDescent="0.35">
      <c r="J169" s="26"/>
      <c r="K169" s="26"/>
      <c r="L169" s="26"/>
      <c r="M169" s="26"/>
      <c r="N169" s="26"/>
    </row>
    <row r="170" spans="10:14" x14ac:dyDescent="0.35">
      <c r="J170" s="26"/>
      <c r="K170" s="26"/>
      <c r="L170" s="26"/>
      <c r="M170" s="26"/>
      <c r="N170" s="26"/>
    </row>
    <row r="171" spans="10:14" x14ac:dyDescent="0.35">
      <c r="J171" s="26"/>
      <c r="K171" s="26"/>
      <c r="L171" s="26"/>
      <c r="M171" s="26"/>
      <c r="N171" s="26"/>
    </row>
    <row r="172" spans="10:14" x14ac:dyDescent="0.35">
      <c r="J172" s="26"/>
      <c r="K172" s="26"/>
      <c r="L172" s="26"/>
      <c r="M172" s="26"/>
      <c r="N172" s="26"/>
    </row>
    <row r="173" spans="10:14" x14ac:dyDescent="0.35">
      <c r="J173" s="26"/>
      <c r="K173" s="26"/>
      <c r="L173" s="26"/>
      <c r="M173" s="26"/>
      <c r="N173" s="26"/>
    </row>
    <row r="174" spans="10:14" x14ac:dyDescent="0.35">
      <c r="J174" s="26"/>
      <c r="K174" s="26"/>
      <c r="L174" s="26"/>
      <c r="M174" s="26"/>
      <c r="N174" s="26"/>
    </row>
    <row r="175" spans="10:14" x14ac:dyDescent="0.35">
      <c r="J175" s="26"/>
      <c r="K175" s="26"/>
      <c r="L175" s="26"/>
      <c r="M175" s="26"/>
      <c r="N175" s="26"/>
    </row>
    <row r="176" spans="10:14" x14ac:dyDescent="0.35">
      <c r="J176" s="26"/>
      <c r="K176" s="26"/>
      <c r="L176" s="26"/>
      <c r="M176" s="26"/>
      <c r="N176" s="26"/>
    </row>
    <row r="177" spans="10:14" x14ac:dyDescent="0.35">
      <c r="J177" s="26"/>
      <c r="K177" s="26"/>
      <c r="L177" s="26"/>
      <c r="M177" s="26"/>
      <c r="N177" s="26"/>
    </row>
    <row r="178" spans="10:14" x14ac:dyDescent="0.35">
      <c r="J178" s="26"/>
      <c r="K178" s="26"/>
      <c r="L178" s="26"/>
      <c r="M178" s="26"/>
      <c r="N178" s="26"/>
    </row>
    <row r="179" spans="10:14" x14ac:dyDescent="0.35">
      <c r="J179" s="26"/>
      <c r="K179" s="26"/>
      <c r="L179" s="26"/>
      <c r="M179" s="26"/>
      <c r="N179" s="26"/>
    </row>
    <row r="180" spans="10:14" x14ac:dyDescent="0.35">
      <c r="J180" s="26"/>
      <c r="K180" s="26"/>
      <c r="L180" s="26"/>
      <c r="M180" s="26"/>
      <c r="N180" s="26"/>
    </row>
    <row r="181" spans="10:14" x14ac:dyDescent="0.35">
      <c r="J181" s="26"/>
      <c r="K181" s="26"/>
      <c r="L181" s="26"/>
      <c r="M181" s="26"/>
      <c r="N181" s="26"/>
    </row>
    <row r="182" spans="10:14" x14ac:dyDescent="0.35">
      <c r="J182" s="26"/>
      <c r="K182" s="26"/>
      <c r="L182" s="26"/>
      <c r="M182" s="26"/>
      <c r="N182" s="26"/>
    </row>
    <row r="183" spans="10:14" x14ac:dyDescent="0.35">
      <c r="J183" s="26"/>
      <c r="K183" s="26"/>
      <c r="L183" s="26"/>
      <c r="M183" s="26"/>
      <c r="N183" s="26"/>
    </row>
    <row r="184" spans="10:14" x14ac:dyDescent="0.35">
      <c r="J184" s="26"/>
      <c r="K184" s="26"/>
      <c r="L184" s="26"/>
      <c r="M184" s="26"/>
      <c r="N184" s="26"/>
    </row>
    <row r="185" spans="10:14" x14ac:dyDescent="0.35">
      <c r="J185" s="26"/>
      <c r="K185" s="26"/>
      <c r="L185" s="26"/>
      <c r="M185" s="26"/>
      <c r="N185" s="26"/>
    </row>
    <row r="186" spans="10:14" x14ac:dyDescent="0.35">
      <c r="J186" s="26"/>
      <c r="K186" s="26"/>
      <c r="L186" s="26"/>
      <c r="M186" s="26"/>
      <c r="N186" s="26"/>
    </row>
    <row r="187" spans="10:14" x14ac:dyDescent="0.35">
      <c r="J187" s="26"/>
      <c r="K187" s="26"/>
      <c r="L187" s="26"/>
      <c r="M187" s="26"/>
      <c r="N187" s="26"/>
    </row>
    <row r="188" spans="10:14" x14ac:dyDescent="0.35">
      <c r="J188" s="26"/>
      <c r="K188" s="26"/>
      <c r="L188" s="26"/>
      <c r="M188" s="26"/>
      <c r="N188" s="26"/>
    </row>
    <row r="189" spans="10:14" x14ac:dyDescent="0.35">
      <c r="J189" s="26"/>
      <c r="K189" s="26"/>
      <c r="L189" s="26"/>
      <c r="M189" s="26"/>
      <c r="N189" s="26"/>
    </row>
    <row r="190" spans="10:14" x14ac:dyDescent="0.35">
      <c r="J190" s="26"/>
      <c r="K190" s="26"/>
      <c r="L190" s="26"/>
      <c r="M190" s="26"/>
      <c r="N190" s="26"/>
    </row>
    <row r="191" spans="10:14" x14ac:dyDescent="0.35">
      <c r="J191" s="26"/>
      <c r="K191" s="26"/>
      <c r="L191" s="26"/>
      <c r="M191" s="26"/>
      <c r="N191" s="26"/>
    </row>
    <row r="192" spans="10:14" x14ac:dyDescent="0.35">
      <c r="J192" s="26"/>
      <c r="K192" s="26"/>
      <c r="L192" s="26"/>
      <c r="M192" s="26"/>
      <c r="N192" s="26"/>
    </row>
    <row r="193" spans="10:14" x14ac:dyDescent="0.35">
      <c r="J193" s="26"/>
      <c r="K193" s="26"/>
      <c r="L193" s="26"/>
      <c r="M193" s="26"/>
      <c r="N193" s="26"/>
    </row>
    <row r="194" spans="10:14" x14ac:dyDescent="0.35">
      <c r="J194" s="26"/>
      <c r="K194" s="26"/>
      <c r="L194" s="26"/>
      <c r="M194" s="26"/>
      <c r="N194" s="26"/>
    </row>
    <row r="195" spans="10:14" x14ac:dyDescent="0.35">
      <c r="J195" s="26"/>
      <c r="K195" s="26"/>
      <c r="L195" s="26"/>
      <c r="M195" s="26"/>
      <c r="N195" s="26"/>
    </row>
    <row r="196" spans="10:14" x14ac:dyDescent="0.35">
      <c r="J196" s="26"/>
      <c r="K196" s="26"/>
      <c r="L196" s="26"/>
      <c r="M196" s="26"/>
      <c r="N196" s="26"/>
    </row>
    <row r="197" spans="10:14" x14ac:dyDescent="0.35">
      <c r="J197" s="26"/>
      <c r="K197" s="26"/>
      <c r="L197" s="26"/>
      <c r="M197" s="26"/>
      <c r="N197" s="26"/>
    </row>
    <row r="198" spans="10:14" x14ac:dyDescent="0.35">
      <c r="J198" s="26"/>
      <c r="K198" s="26"/>
      <c r="L198" s="26"/>
      <c r="M198" s="26"/>
      <c r="N198" s="26"/>
    </row>
    <row r="199" spans="10:14" x14ac:dyDescent="0.35">
      <c r="J199" s="26"/>
      <c r="K199" s="26"/>
      <c r="L199" s="26"/>
      <c r="M199" s="26"/>
      <c r="N199" s="26"/>
    </row>
    <row r="200" spans="10:14" x14ac:dyDescent="0.35">
      <c r="J200" s="26"/>
      <c r="K200" s="26"/>
      <c r="L200" s="26"/>
      <c r="M200" s="26"/>
      <c r="N200" s="26"/>
    </row>
    <row r="201" spans="10:14" x14ac:dyDescent="0.35">
      <c r="J201" s="26"/>
      <c r="K201" s="26"/>
      <c r="L201" s="26"/>
      <c r="M201" s="26"/>
      <c r="N201" s="26"/>
    </row>
    <row r="202" spans="10:14" x14ac:dyDescent="0.35">
      <c r="J202" s="26"/>
      <c r="K202" s="26"/>
      <c r="L202" s="26"/>
      <c r="M202" s="26"/>
      <c r="N202" s="26"/>
    </row>
    <row r="203" spans="10:14" x14ac:dyDescent="0.35">
      <c r="J203" s="26"/>
      <c r="K203" s="26"/>
      <c r="L203" s="26"/>
      <c r="M203" s="26"/>
      <c r="N203" s="26"/>
    </row>
    <row r="204" spans="10:14" x14ac:dyDescent="0.35">
      <c r="J204" s="26"/>
      <c r="K204" s="26"/>
      <c r="L204" s="26"/>
      <c r="M204" s="26"/>
      <c r="N204" s="26"/>
    </row>
    <row r="205" spans="10:14" x14ac:dyDescent="0.35">
      <c r="J205" s="26"/>
      <c r="K205" s="26"/>
      <c r="L205" s="26"/>
      <c r="M205" s="26"/>
      <c r="N205" s="26"/>
    </row>
    <row r="206" spans="10:14" x14ac:dyDescent="0.35">
      <c r="J206" s="26"/>
      <c r="K206" s="26"/>
      <c r="L206" s="26"/>
      <c r="M206" s="26"/>
      <c r="N206" s="26"/>
    </row>
    <row r="207" spans="10:14" x14ac:dyDescent="0.35">
      <c r="J207" s="26"/>
      <c r="K207" s="26"/>
      <c r="L207" s="26"/>
      <c r="M207" s="26"/>
      <c r="N207" s="26"/>
    </row>
    <row r="208" spans="10:14" x14ac:dyDescent="0.35">
      <c r="J208" s="26"/>
      <c r="K208" s="26"/>
      <c r="L208" s="26"/>
      <c r="M208" s="26"/>
      <c r="N208" s="26"/>
    </row>
    <row r="209" spans="10:14" x14ac:dyDescent="0.35">
      <c r="J209" s="26"/>
      <c r="K209" s="26"/>
      <c r="L209" s="26"/>
      <c r="M209" s="26"/>
      <c r="N209" s="26"/>
    </row>
    <row r="210" spans="10:14" x14ac:dyDescent="0.35">
      <c r="J210" s="26"/>
      <c r="K210" s="26"/>
      <c r="L210" s="26"/>
      <c r="M210" s="26"/>
      <c r="N210" s="26"/>
    </row>
    <row r="211" spans="10:14" x14ac:dyDescent="0.35">
      <c r="J211" s="26"/>
      <c r="K211" s="26"/>
      <c r="L211" s="26"/>
      <c r="M211" s="26"/>
      <c r="N211" s="26"/>
    </row>
    <row r="212" spans="10:14" x14ac:dyDescent="0.35">
      <c r="J212" s="26"/>
      <c r="K212" s="26"/>
      <c r="L212" s="26"/>
      <c r="M212" s="26"/>
      <c r="N212" s="26"/>
    </row>
    <row r="213" spans="10:14" x14ac:dyDescent="0.35">
      <c r="J213" s="26"/>
      <c r="K213" s="26"/>
      <c r="L213" s="26"/>
      <c r="M213" s="26"/>
      <c r="N213" s="26"/>
    </row>
    <row r="214" spans="10:14" x14ac:dyDescent="0.35">
      <c r="J214" s="26"/>
      <c r="K214" s="26"/>
      <c r="L214" s="26"/>
      <c r="M214" s="26"/>
      <c r="N214" s="26"/>
    </row>
    <row r="215" spans="10:14" x14ac:dyDescent="0.35">
      <c r="J215" s="26"/>
      <c r="K215" s="26"/>
      <c r="L215" s="26"/>
      <c r="M215" s="26"/>
      <c r="N215" s="26"/>
    </row>
    <row r="216" spans="10:14" x14ac:dyDescent="0.35">
      <c r="J216" s="26"/>
      <c r="K216" s="26"/>
      <c r="L216" s="26"/>
      <c r="M216" s="26"/>
      <c r="N216" s="26"/>
    </row>
    <row r="217" spans="10:14" x14ac:dyDescent="0.35">
      <c r="J217" s="26"/>
      <c r="K217" s="26"/>
      <c r="L217" s="26"/>
      <c r="M217" s="26"/>
      <c r="N217" s="26"/>
    </row>
    <row r="218" spans="10:14" x14ac:dyDescent="0.35">
      <c r="J218" s="26"/>
      <c r="K218" s="26"/>
      <c r="L218" s="26"/>
      <c r="M218" s="26"/>
      <c r="N218" s="26"/>
    </row>
    <row r="219" spans="10:14" x14ac:dyDescent="0.35">
      <c r="J219" s="26"/>
      <c r="K219" s="26"/>
      <c r="L219" s="26"/>
      <c r="M219" s="26"/>
      <c r="N219" s="26"/>
    </row>
    <row r="220" spans="10:14" x14ac:dyDescent="0.35">
      <c r="J220" s="26"/>
      <c r="K220" s="26"/>
      <c r="L220" s="26"/>
      <c r="M220" s="26"/>
      <c r="N220" s="26"/>
    </row>
    <row r="221" spans="10:14" x14ac:dyDescent="0.35">
      <c r="J221" s="26"/>
      <c r="K221" s="26"/>
      <c r="L221" s="26"/>
      <c r="M221" s="26"/>
      <c r="N221" s="26"/>
    </row>
    <row r="222" spans="10:14" x14ac:dyDescent="0.35">
      <c r="J222" s="26"/>
      <c r="K222" s="26"/>
      <c r="L222" s="26"/>
      <c r="M222" s="26"/>
      <c r="N222" s="26"/>
    </row>
    <row r="223" spans="10:14" x14ac:dyDescent="0.35">
      <c r="J223" s="26"/>
      <c r="K223" s="26"/>
      <c r="L223" s="26"/>
      <c r="M223" s="26"/>
      <c r="N223" s="26"/>
    </row>
    <row r="224" spans="10:14" x14ac:dyDescent="0.35">
      <c r="J224" s="26"/>
      <c r="K224" s="26"/>
      <c r="L224" s="26"/>
      <c r="M224" s="26"/>
      <c r="N224" s="26"/>
    </row>
    <row r="225" spans="10:14" x14ac:dyDescent="0.35">
      <c r="J225" s="26"/>
      <c r="K225" s="26"/>
      <c r="L225" s="26"/>
      <c r="M225" s="26"/>
      <c r="N225" s="26"/>
    </row>
    <row r="226" spans="10:14" x14ac:dyDescent="0.35">
      <c r="J226" s="26"/>
      <c r="K226" s="26"/>
      <c r="L226" s="26"/>
      <c r="M226" s="26"/>
      <c r="N226" s="26"/>
    </row>
    <row r="227" spans="10:14" x14ac:dyDescent="0.35">
      <c r="J227" s="26"/>
      <c r="K227" s="26"/>
      <c r="L227" s="26"/>
      <c r="M227" s="26"/>
      <c r="N227" s="26"/>
    </row>
    <row r="228" spans="10:14" x14ac:dyDescent="0.35">
      <c r="J228" s="26"/>
      <c r="K228" s="26"/>
      <c r="L228" s="26"/>
      <c r="M228" s="26"/>
      <c r="N228" s="26"/>
    </row>
    <row r="229" spans="10:14" x14ac:dyDescent="0.35">
      <c r="J229" s="26"/>
      <c r="K229" s="26"/>
      <c r="L229" s="26"/>
      <c r="M229" s="26"/>
      <c r="N229" s="26"/>
    </row>
    <row r="230" spans="10:14" x14ac:dyDescent="0.35">
      <c r="J230" s="26"/>
      <c r="K230" s="26"/>
      <c r="L230" s="26"/>
      <c r="M230" s="26"/>
      <c r="N230" s="26"/>
    </row>
    <row r="231" spans="10:14" x14ac:dyDescent="0.35">
      <c r="J231" s="26"/>
      <c r="K231" s="26"/>
      <c r="L231" s="26"/>
      <c r="M231" s="26"/>
      <c r="N231" s="26"/>
    </row>
    <row r="232" spans="10:14" x14ac:dyDescent="0.35">
      <c r="J232" s="26"/>
      <c r="K232" s="26"/>
      <c r="L232" s="26"/>
      <c r="M232" s="26"/>
      <c r="N232" s="26"/>
    </row>
    <row r="233" spans="10:14" x14ac:dyDescent="0.35">
      <c r="J233" s="26"/>
      <c r="K233" s="26"/>
      <c r="L233" s="26"/>
      <c r="M233" s="26"/>
      <c r="N233" s="26"/>
    </row>
    <row r="234" spans="10:14" x14ac:dyDescent="0.35">
      <c r="J234" s="26"/>
      <c r="K234" s="26"/>
      <c r="L234" s="26"/>
      <c r="M234" s="26"/>
      <c r="N234" s="26"/>
    </row>
    <row r="235" spans="10:14" x14ac:dyDescent="0.35">
      <c r="J235" s="26"/>
      <c r="K235" s="26"/>
      <c r="L235" s="26"/>
      <c r="M235" s="26"/>
      <c r="N235" s="26"/>
    </row>
    <row r="236" spans="10:14" x14ac:dyDescent="0.35">
      <c r="J236" s="26"/>
      <c r="K236" s="26"/>
      <c r="L236" s="26"/>
      <c r="M236" s="26"/>
      <c r="N236" s="26"/>
    </row>
    <row r="237" spans="10:14" x14ac:dyDescent="0.35">
      <c r="J237" s="26"/>
      <c r="K237" s="26"/>
      <c r="L237" s="26"/>
      <c r="M237" s="26"/>
      <c r="N237" s="26"/>
    </row>
    <row r="238" spans="10:14" x14ac:dyDescent="0.35">
      <c r="J238" s="26"/>
      <c r="K238" s="26"/>
      <c r="L238" s="26"/>
      <c r="M238" s="26"/>
      <c r="N238" s="26"/>
    </row>
    <row r="239" spans="10:14" x14ac:dyDescent="0.35">
      <c r="J239" s="26"/>
      <c r="K239" s="26"/>
      <c r="L239" s="26"/>
      <c r="M239" s="26"/>
      <c r="N239" s="26"/>
    </row>
    <row r="240" spans="10:14" x14ac:dyDescent="0.35">
      <c r="J240" s="26"/>
      <c r="K240" s="26"/>
      <c r="L240" s="26"/>
      <c r="M240" s="26"/>
      <c r="N240" s="26"/>
    </row>
    <row r="241" spans="10:14" x14ac:dyDescent="0.35">
      <c r="J241" s="26"/>
      <c r="K241" s="26"/>
      <c r="L241" s="26"/>
      <c r="M241" s="26"/>
      <c r="N241" s="26"/>
    </row>
    <row r="242" spans="10:14" x14ac:dyDescent="0.35">
      <c r="J242" s="26"/>
      <c r="K242" s="26"/>
      <c r="L242" s="26"/>
      <c r="M242" s="26"/>
      <c r="N242" s="26"/>
    </row>
    <row r="243" spans="10:14" x14ac:dyDescent="0.35">
      <c r="J243" s="26"/>
      <c r="K243" s="26"/>
      <c r="L243" s="26"/>
      <c r="M243" s="26"/>
      <c r="N243" s="26"/>
    </row>
    <row r="244" spans="10:14" x14ac:dyDescent="0.35">
      <c r="J244" s="26"/>
      <c r="K244" s="26"/>
      <c r="L244" s="26"/>
      <c r="M244" s="26"/>
      <c r="N244" s="26"/>
    </row>
    <row r="245" spans="10:14" x14ac:dyDescent="0.35">
      <c r="J245" s="26"/>
      <c r="K245" s="26"/>
      <c r="L245" s="26"/>
      <c r="M245" s="26"/>
      <c r="N245" s="26"/>
    </row>
    <row r="246" spans="10:14" x14ac:dyDescent="0.35">
      <c r="J246" s="26"/>
      <c r="K246" s="26"/>
      <c r="L246" s="26"/>
      <c r="M246" s="26"/>
      <c r="N246" s="26"/>
    </row>
    <row r="247" spans="10:14" x14ac:dyDescent="0.35">
      <c r="J247" s="26"/>
      <c r="K247" s="26"/>
      <c r="L247" s="26"/>
      <c r="M247" s="26"/>
      <c r="N247" s="26"/>
    </row>
    <row r="248" spans="10:14" x14ac:dyDescent="0.35">
      <c r="J248" s="26"/>
      <c r="K248" s="26"/>
      <c r="L248" s="26"/>
      <c r="M248" s="26"/>
      <c r="N248" s="26"/>
    </row>
    <row r="249" spans="10:14" x14ac:dyDescent="0.35">
      <c r="J249" s="26"/>
      <c r="K249" s="26"/>
      <c r="L249" s="26"/>
      <c r="M249" s="26"/>
      <c r="N249" s="26"/>
    </row>
    <row r="250" spans="10:14" x14ac:dyDescent="0.35">
      <c r="J250" s="26"/>
      <c r="K250" s="26"/>
      <c r="L250" s="26"/>
      <c r="M250" s="26"/>
      <c r="N250" s="26"/>
    </row>
    <row r="251" spans="10:14" x14ac:dyDescent="0.35">
      <c r="J251" s="26"/>
      <c r="K251" s="26"/>
      <c r="L251" s="26"/>
      <c r="M251" s="26"/>
      <c r="N251" s="26"/>
    </row>
    <row r="252" spans="10:14" x14ac:dyDescent="0.35">
      <c r="J252" s="26"/>
      <c r="K252" s="26"/>
      <c r="L252" s="26"/>
      <c r="M252" s="26"/>
      <c r="N252" s="26"/>
    </row>
    <row r="253" spans="10:14" x14ac:dyDescent="0.35">
      <c r="J253" s="26"/>
      <c r="K253" s="26"/>
      <c r="L253" s="26"/>
      <c r="M253" s="26"/>
      <c r="N253" s="26"/>
    </row>
    <row r="254" spans="10:14" x14ac:dyDescent="0.35">
      <c r="J254" s="26"/>
      <c r="K254" s="26"/>
      <c r="L254" s="26"/>
      <c r="M254" s="26"/>
      <c r="N254" s="26"/>
    </row>
    <row r="255" spans="10:14" x14ac:dyDescent="0.35">
      <c r="J255" s="26"/>
      <c r="K255" s="26"/>
      <c r="L255" s="26"/>
      <c r="M255" s="26"/>
      <c r="N255" s="26"/>
    </row>
    <row r="256" spans="10:14" x14ac:dyDescent="0.35">
      <c r="J256" s="26"/>
      <c r="K256" s="26"/>
      <c r="L256" s="26"/>
      <c r="M256" s="26"/>
      <c r="N256" s="26"/>
    </row>
    <row r="257" spans="10:14" x14ac:dyDescent="0.35">
      <c r="J257" s="26"/>
      <c r="K257" s="26"/>
      <c r="L257" s="26"/>
      <c r="M257" s="26"/>
      <c r="N257" s="26"/>
    </row>
    <row r="258" spans="10:14" x14ac:dyDescent="0.35">
      <c r="J258" s="26"/>
      <c r="K258" s="26"/>
      <c r="L258" s="26"/>
      <c r="M258" s="26"/>
      <c r="N258" s="26"/>
    </row>
    <row r="259" spans="10:14" x14ac:dyDescent="0.35">
      <c r="J259" s="26"/>
      <c r="K259" s="26"/>
      <c r="L259" s="26"/>
      <c r="M259" s="26"/>
      <c r="N259" s="26"/>
    </row>
    <row r="260" spans="10:14" x14ac:dyDescent="0.35">
      <c r="J260" s="26"/>
      <c r="K260" s="26"/>
      <c r="L260" s="26"/>
      <c r="M260" s="26"/>
      <c r="N260" s="26"/>
    </row>
    <row r="261" spans="10:14" x14ac:dyDescent="0.35">
      <c r="J261" s="26"/>
      <c r="K261" s="26"/>
      <c r="L261" s="26"/>
      <c r="M261" s="26"/>
      <c r="N261" s="26"/>
    </row>
    <row r="262" spans="10:14" x14ac:dyDescent="0.35">
      <c r="J262" s="26"/>
      <c r="K262" s="26"/>
      <c r="L262" s="26"/>
      <c r="M262" s="26"/>
      <c r="N262" s="26"/>
    </row>
    <row r="263" spans="10:14" x14ac:dyDescent="0.35">
      <c r="J263" s="26"/>
      <c r="K263" s="26"/>
      <c r="L263" s="26"/>
      <c r="M263" s="26"/>
      <c r="N263" s="26"/>
    </row>
    <row r="264" spans="10:14" x14ac:dyDescent="0.35">
      <c r="J264" s="26"/>
      <c r="K264" s="26"/>
      <c r="L264" s="26"/>
      <c r="M264" s="26"/>
      <c r="N264" s="26"/>
    </row>
    <row r="265" spans="10:14" x14ac:dyDescent="0.35">
      <c r="J265" s="26"/>
      <c r="K265" s="26"/>
      <c r="L265" s="26"/>
      <c r="M265" s="26"/>
      <c r="N265" s="26"/>
    </row>
    <row r="266" spans="10:14" x14ac:dyDescent="0.35">
      <c r="J266" s="26"/>
      <c r="K266" s="26"/>
      <c r="L266" s="26"/>
      <c r="M266" s="26"/>
      <c r="N266" s="26"/>
    </row>
    <row r="267" spans="10:14" x14ac:dyDescent="0.35">
      <c r="J267" s="26"/>
      <c r="K267" s="26"/>
      <c r="L267" s="26"/>
      <c r="M267" s="26"/>
      <c r="N267" s="26"/>
    </row>
    <row r="268" spans="10:14" x14ac:dyDescent="0.35">
      <c r="J268" s="26"/>
      <c r="K268" s="26"/>
      <c r="L268" s="26"/>
      <c r="M268" s="26"/>
      <c r="N268" s="26"/>
    </row>
    <row r="269" spans="10:14" x14ac:dyDescent="0.35">
      <c r="J269" s="26"/>
      <c r="K269" s="26"/>
      <c r="L269" s="26"/>
      <c r="M269" s="26"/>
      <c r="N269" s="26"/>
    </row>
    <row r="270" spans="10:14" x14ac:dyDescent="0.35">
      <c r="J270" s="26"/>
      <c r="K270" s="26"/>
      <c r="L270" s="26"/>
      <c r="M270" s="26"/>
      <c r="N270" s="26"/>
    </row>
    <row r="271" spans="10:14" x14ac:dyDescent="0.35">
      <c r="J271" s="26"/>
      <c r="K271" s="26"/>
      <c r="L271" s="26"/>
      <c r="M271" s="26"/>
      <c r="N271" s="26"/>
    </row>
    <row r="272" spans="10:14" x14ac:dyDescent="0.35">
      <c r="J272" s="26"/>
      <c r="K272" s="26"/>
      <c r="L272" s="26"/>
      <c r="M272" s="26"/>
      <c r="N272" s="26"/>
    </row>
    <row r="273" spans="10:14" x14ac:dyDescent="0.35">
      <c r="J273" s="26"/>
      <c r="K273" s="26"/>
      <c r="L273" s="26"/>
      <c r="M273" s="26"/>
      <c r="N273" s="26"/>
    </row>
    <row r="274" spans="10:14" x14ac:dyDescent="0.35">
      <c r="J274" s="26"/>
      <c r="K274" s="26"/>
      <c r="L274" s="26"/>
      <c r="M274" s="26"/>
      <c r="N274" s="26"/>
    </row>
    <row r="275" spans="10:14" x14ac:dyDescent="0.35">
      <c r="J275" s="26"/>
      <c r="K275" s="26"/>
      <c r="L275" s="26"/>
      <c r="M275" s="26"/>
      <c r="N275" s="26"/>
    </row>
    <row r="276" spans="10:14" x14ac:dyDescent="0.35">
      <c r="J276" s="26"/>
      <c r="K276" s="26"/>
      <c r="L276" s="26"/>
      <c r="M276" s="26"/>
      <c r="N276" s="26"/>
    </row>
    <row r="277" spans="10:14" x14ac:dyDescent="0.35">
      <c r="J277" s="26"/>
      <c r="K277" s="26"/>
      <c r="L277" s="26"/>
      <c r="M277" s="26"/>
      <c r="N277" s="26"/>
    </row>
    <row r="278" spans="10:14" x14ac:dyDescent="0.35">
      <c r="J278" s="26"/>
      <c r="K278" s="26"/>
      <c r="L278" s="26"/>
      <c r="M278" s="26"/>
      <c r="N278" s="26"/>
    </row>
    <row r="279" spans="10:14" x14ac:dyDescent="0.35">
      <c r="J279" s="26"/>
      <c r="K279" s="26"/>
      <c r="L279" s="26"/>
      <c r="M279" s="26"/>
      <c r="N279" s="26"/>
    </row>
    <row r="280" spans="10:14" x14ac:dyDescent="0.35">
      <c r="J280" s="26"/>
      <c r="K280" s="26"/>
      <c r="L280" s="26"/>
      <c r="M280" s="26"/>
      <c r="N280" s="26"/>
    </row>
    <row r="281" spans="10:14" x14ac:dyDescent="0.35">
      <c r="J281" s="26"/>
      <c r="K281" s="26"/>
      <c r="L281" s="26"/>
      <c r="M281" s="26"/>
      <c r="N281" s="26"/>
    </row>
    <row r="282" spans="10:14" x14ac:dyDescent="0.35">
      <c r="J282" s="26"/>
      <c r="K282" s="26"/>
      <c r="L282" s="26"/>
      <c r="M282" s="26"/>
      <c r="N282" s="26"/>
    </row>
    <row r="283" spans="10:14" x14ac:dyDescent="0.35">
      <c r="J283" s="26"/>
      <c r="K283" s="26"/>
      <c r="L283" s="26"/>
      <c r="M283" s="26"/>
      <c r="N283" s="26"/>
    </row>
    <row r="284" spans="10:14" x14ac:dyDescent="0.35">
      <c r="J284" s="26"/>
      <c r="K284" s="26"/>
      <c r="L284" s="26"/>
      <c r="M284" s="26"/>
      <c r="N284" s="26"/>
    </row>
    <row r="285" spans="10:14" x14ac:dyDescent="0.35">
      <c r="J285" s="26"/>
      <c r="K285" s="26"/>
      <c r="L285" s="26"/>
      <c r="M285" s="26"/>
      <c r="N285" s="26"/>
    </row>
    <row r="286" spans="10:14" x14ac:dyDescent="0.35">
      <c r="J286" s="26"/>
      <c r="K286" s="26"/>
      <c r="L286" s="26"/>
      <c r="M286" s="26"/>
      <c r="N286" s="26"/>
    </row>
    <row r="287" spans="10:14" x14ac:dyDescent="0.35">
      <c r="J287" s="26"/>
      <c r="K287" s="26"/>
      <c r="L287" s="26"/>
      <c r="M287" s="26"/>
      <c r="N287" s="26"/>
    </row>
    <row r="288" spans="10:14" x14ac:dyDescent="0.35">
      <c r="J288" s="26"/>
      <c r="K288" s="26"/>
      <c r="L288" s="26"/>
      <c r="M288" s="26"/>
      <c r="N288" s="26"/>
    </row>
    <row r="289" spans="10:14" x14ac:dyDescent="0.35">
      <c r="J289" s="26"/>
      <c r="K289" s="26"/>
      <c r="L289" s="26"/>
      <c r="M289" s="26"/>
      <c r="N289" s="26"/>
    </row>
    <row r="290" spans="10:14" x14ac:dyDescent="0.35">
      <c r="J290" s="26"/>
      <c r="K290" s="26"/>
      <c r="L290" s="26"/>
      <c r="M290" s="26"/>
      <c r="N290" s="26"/>
    </row>
    <row r="291" spans="10:14" x14ac:dyDescent="0.35">
      <c r="J291" s="26"/>
      <c r="K291" s="26"/>
      <c r="L291" s="26"/>
      <c r="M291" s="26"/>
      <c r="N291" s="26"/>
    </row>
    <row r="292" spans="10:14" x14ac:dyDescent="0.35">
      <c r="J292" s="26"/>
      <c r="K292" s="26"/>
      <c r="L292" s="26"/>
      <c r="M292" s="26"/>
      <c r="N292" s="26"/>
    </row>
    <row r="293" spans="10:14" x14ac:dyDescent="0.35">
      <c r="J293" s="26"/>
      <c r="K293" s="26"/>
      <c r="L293" s="26"/>
      <c r="M293" s="26"/>
      <c r="N293" s="26"/>
    </row>
    <row r="294" spans="10:14" x14ac:dyDescent="0.35">
      <c r="J294" s="26"/>
      <c r="K294" s="26"/>
      <c r="L294" s="26"/>
      <c r="M294" s="26"/>
      <c r="N294" s="26"/>
    </row>
    <row r="295" spans="10:14" x14ac:dyDescent="0.35">
      <c r="J295" s="26"/>
      <c r="K295" s="26"/>
      <c r="L295" s="26"/>
      <c r="M295" s="26"/>
      <c r="N295" s="26"/>
    </row>
    <row r="296" spans="10:14" x14ac:dyDescent="0.35">
      <c r="J296" s="26"/>
      <c r="K296" s="26"/>
      <c r="L296" s="26"/>
      <c r="M296" s="26"/>
      <c r="N296" s="26"/>
    </row>
    <row r="297" spans="10:14" x14ac:dyDescent="0.35">
      <c r="J297" s="26"/>
      <c r="K297" s="26"/>
      <c r="L297" s="26"/>
      <c r="M297" s="26"/>
      <c r="N297" s="26"/>
    </row>
    <row r="298" spans="10:14" x14ac:dyDescent="0.35">
      <c r="J298" s="26"/>
      <c r="K298" s="26"/>
      <c r="L298" s="26"/>
      <c r="M298" s="26"/>
      <c r="N298" s="26"/>
    </row>
    <row r="299" spans="10:14" x14ac:dyDescent="0.35">
      <c r="J299" s="26"/>
      <c r="K299" s="26"/>
      <c r="L299" s="26"/>
      <c r="M299" s="26"/>
      <c r="N299" s="26"/>
    </row>
    <row r="300" spans="10:14" x14ac:dyDescent="0.35">
      <c r="J300" s="26"/>
      <c r="K300" s="26"/>
      <c r="L300" s="26"/>
      <c r="M300" s="26"/>
      <c r="N300" s="26"/>
    </row>
    <row r="301" spans="10:14" x14ac:dyDescent="0.35">
      <c r="J301" s="26"/>
      <c r="K301" s="26"/>
      <c r="L301" s="26"/>
      <c r="M301" s="26"/>
      <c r="N301" s="26"/>
    </row>
    <row r="302" spans="10:14" x14ac:dyDescent="0.35">
      <c r="J302" s="26"/>
      <c r="K302" s="26"/>
      <c r="L302" s="26"/>
      <c r="M302" s="26"/>
      <c r="N302" s="26"/>
    </row>
    <row r="303" spans="10:14" x14ac:dyDescent="0.35">
      <c r="J303" s="26"/>
      <c r="K303" s="26"/>
      <c r="L303" s="26"/>
      <c r="M303" s="26"/>
      <c r="N303" s="26"/>
    </row>
    <row r="304" spans="10:14" x14ac:dyDescent="0.35">
      <c r="J304" s="26"/>
      <c r="K304" s="26"/>
      <c r="L304" s="26"/>
      <c r="M304" s="26"/>
      <c r="N304" s="26"/>
    </row>
    <row r="305" spans="10:14" x14ac:dyDescent="0.35">
      <c r="J305" s="26"/>
      <c r="K305" s="26"/>
      <c r="L305" s="26"/>
      <c r="M305" s="26"/>
      <c r="N305" s="26"/>
    </row>
    <row r="306" spans="10:14" x14ac:dyDescent="0.35">
      <c r="J306" s="26"/>
      <c r="K306" s="26"/>
      <c r="L306" s="26"/>
      <c r="M306" s="26"/>
      <c r="N306" s="26"/>
    </row>
    <row r="307" spans="10:14" x14ac:dyDescent="0.35">
      <c r="J307" s="26"/>
      <c r="K307" s="26"/>
      <c r="L307" s="26"/>
      <c r="M307" s="26"/>
      <c r="N307" s="26"/>
    </row>
    <row r="308" spans="10:14" x14ac:dyDescent="0.35">
      <c r="J308" s="26"/>
      <c r="K308" s="26"/>
      <c r="L308" s="26"/>
      <c r="M308" s="26"/>
      <c r="N308" s="26"/>
    </row>
    <row r="309" spans="10:14" x14ac:dyDescent="0.35">
      <c r="J309" s="26"/>
      <c r="K309" s="26"/>
      <c r="L309" s="26"/>
      <c r="M309" s="26"/>
      <c r="N309" s="26"/>
    </row>
    <row r="310" spans="10:14" x14ac:dyDescent="0.35">
      <c r="J310" s="26"/>
      <c r="K310" s="26"/>
      <c r="L310" s="26"/>
      <c r="M310" s="26"/>
      <c r="N310" s="26"/>
    </row>
    <row r="311" spans="10:14" x14ac:dyDescent="0.35">
      <c r="J311" s="26"/>
      <c r="K311" s="26"/>
      <c r="L311" s="26"/>
      <c r="M311" s="26"/>
      <c r="N311" s="26"/>
    </row>
    <row r="312" spans="10:14" x14ac:dyDescent="0.35">
      <c r="J312" s="26"/>
      <c r="K312" s="26"/>
      <c r="L312" s="26"/>
      <c r="M312" s="26"/>
      <c r="N312" s="26"/>
    </row>
    <row r="313" spans="10:14" x14ac:dyDescent="0.35">
      <c r="J313" s="26"/>
      <c r="K313" s="26"/>
      <c r="L313" s="26"/>
      <c r="M313" s="26"/>
      <c r="N313" s="26"/>
    </row>
    <row r="314" spans="10:14" x14ac:dyDescent="0.35">
      <c r="J314" s="26"/>
      <c r="K314" s="26"/>
      <c r="L314" s="26"/>
      <c r="M314" s="26"/>
      <c r="N314" s="26"/>
    </row>
    <row r="315" spans="10:14" x14ac:dyDescent="0.35">
      <c r="J315" s="26"/>
      <c r="K315" s="26"/>
      <c r="L315" s="26"/>
      <c r="M315" s="26"/>
      <c r="N315" s="26"/>
    </row>
    <row r="316" spans="10:14" x14ac:dyDescent="0.35">
      <c r="J316" s="26"/>
      <c r="K316" s="26"/>
      <c r="L316" s="26"/>
      <c r="M316" s="26"/>
      <c r="N316" s="26"/>
    </row>
    <row r="317" spans="10:14" x14ac:dyDescent="0.35">
      <c r="J317" s="26"/>
      <c r="K317" s="26"/>
      <c r="L317" s="26"/>
      <c r="M317" s="26"/>
      <c r="N317" s="26"/>
    </row>
    <row r="318" spans="10:14" x14ac:dyDescent="0.35">
      <c r="J318" s="26"/>
      <c r="K318" s="26"/>
      <c r="L318" s="26"/>
      <c r="M318" s="26"/>
      <c r="N318" s="26"/>
    </row>
    <row r="319" spans="10:14" x14ac:dyDescent="0.35">
      <c r="J319" s="26"/>
      <c r="K319" s="26"/>
      <c r="L319" s="26"/>
      <c r="M319" s="26"/>
      <c r="N319" s="26"/>
    </row>
    <row r="320" spans="10:14" x14ac:dyDescent="0.35">
      <c r="J320" s="26"/>
      <c r="K320" s="26"/>
      <c r="L320" s="26"/>
      <c r="M320" s="26"/>
      <c r="N320" s="26"/>
    </row>
    <row r="321" spans="10:14" x14ac:dyDescent="0.35">
      <c r="J321" s="26"/>
      <c r="K321" s="26"/>
      <c r="L321" s="26"/>
      <c r="M321" s="26"/>
      <c r="N321" s="26"/>
    </row>
    <row r="322" spans="10:14" x14ac:dyDescent="0.35">
      <c r="J322" s="26"/>
      <c r="K322" s="26"/>
      <c r="L322" s="26"/>
      <c r="M322" s="26"/>
      <c r="N322" s="26"/>
    </row>
    <row r="323" spans="10:14" x14ac:dyDescent="0.35">
      <c r="J323" s="26"/>
      <c r="K323" s="26"/>
      <c r="L323" s="26"/>
      <c r="M323" s="26"/>
      <c r="N323" s="26"/>
    </row>
    <row r="324" spans="10:14" x14ac:dyDescent="0.35">
      <c r="J324" s="26"/>
      <c r="K324" s="26"/>
      <c r="L324" s="26"/>
      <c r="M324" s="26"/>
      <c r="N324" s="26"/>
    </row>
    <row r="325" spans="10:14" x14ac:dyDescent="0.35">
      <c r="J325" s="26"/>
      <c r="K325" s="26"/>
      <c r="L325" s="26"/>
      <c r="M325" s="26"/>
      <c r="N325" s="26"/>
    </row>
    <row r="326" spans="10:14" x14ac:dyDescent="0.35">
      <c r="J326" s="26"/>
      <c r="K326" s="26"/>
      <c r="L326" s="26"/>
      <c r="M326" s="26"/>
      <c r="N326" s="26"/>
    </row>
    <row r="327" spans="10:14" x14ac:dyDescent="0.35">
      <c r="J327" s="26"/>
      <c r="K327" s="26"/>
      <c r="L327" s="26"/>
      <c r="M327" s="26"/>
      <c r="N327" s="26"/>
    </row>
    <row r="328" spans="10:14" x14ac:dyDescent="0.35">
      <c r="J328" s="26"/>
      <c r="K328" s="26"/>
      <c r="L328" s="26"/>
      <c r="M328" s="26"/>
      <c r="N328" s="26"/>
    </row>
    <row r="329" spans="10:14" x14ac:dyDescent="0.35">
      <c r="J329" s="26"/>
      <c r="K329" s="26"/>
      <c r="L329" s="26"/>
      <c r="M329" s="26"/>
      <c r="N329" s="26"/>
    </row>
    <row r="330" spans="10:14" x14ac:dyDescent="0.35">
      <c r="J330" s="26"/>
      <c r="K330" s="26"/>
      <c r="L330" s="26"/>
      <c r="M330" s="26"/>
      <c r="N330" s="26"/>
    </row>
    <row r="331" spans="10:14" x14ac:dyDescent="0.35">
      <c r="J331" s="26"/>
      <c r="K331" s="26"/>
      <c r="L331" s="26"/>
      <c r="M331" s="26"/>
      <c r="N331" s="26"/>
    </row>
    <row r="332" spans="10:14" x14ac:dyDescent="0.35">
      <c r="J332" s="26"/>
      <c r="K332" s="26"/>
      <c r="L332" s="26"/>
      <c r="M332" s="26"/>
      <c r="N332" s="26"/>
    </row>
    <row r="333" spans="10:14" x14ac:dyDescent="0.35">
      <c r="J333" s="26"/>
      <c r="K333" s="26"/>
      <c r="L333" s="26"/>
      <c r="M333" s="26"/>
      <c r="N333" s="26"/>
    </row>
    <row r="334" spans="10:14" x14ac:dyDescent="0.35">
      <c r="J334" s="26"/>
      <c r="K334" s="26"/>
      <c r="L334" s="26"/>
      <c r="M334" s="26"/>
      <c r="N334" s="26"/>
    </row>
    <row r="335" spans="10:14" x14ac:dyDescent="0.35">
      <c r="J335" s="26"/>
      <c r="K335" s="26"/>
      <c r="L335" s="26"/>
      <c r="M335" s="26"/>
      <c r="N335" s="26"/>
    </row>
    <row r="336" spans="10:14" x14ac:dyDescent="0.35">
      <c r="J336" s="26"/>
      <c r="K336" s="26"/>
      <c r="L336" s="26"/>
      <c r="M336" s="26"/>
      <c r="N336" s="26"/>
    </row>
    <row r="337" spans="10:14" x14ac:dyDescent="0.35">
      <c r="J337" s="26"/>
      <c r="K337" s="26"/>
      <c r="L337" s="26"/>
      <c r="M337" s="26"/>
      <c r="N337" s="26"/>
    </row>
    <row r="338" spans="10:14" x14ac:dyDescent="0.35">
      <c r="J338" s="26"/>
      <c r="K338" s="26"/>
      <c r="L338" s="26"/>
      <c r="M338" s="26"/>
      <c r="N338" s="26"/>
    </row>
    <row r="339" spans="10:14" x14ac:dyDescent="0.35">
      <c r="J339" s="26"/>
      <c r="K339" s="26"/>
      <c r="L339" s="26"/>
      <c r="M339" s="26"/>
      <c r="N339" s="26"/>
    </row>
    <row r="340" spans="10:14" x14ac:dyDescent="0.35">
      <c r="J340" s="26"/>
      <c r="K340" s="26"/>
      <c r="L340" s="26"/>
      <c r="M340" s="26"/>
      <c r="N340" s="26"/>
    </row>
    <row r="341" spans="10:14" x14ac:dyDescent="0.35">
      <c r="J341" s="26"/>
      <c r="K341" s="26"/>
      <c r="L341" s="26"/>
      <c r="M341" s="26"/>
      <c r="N341" s="26"/>
    </row>
    <row r="342" spans="10:14" x14ac:dyDescent="0.35">
      <c r="J342" s="26"/>
      <c r="K342" s="26"/>
      <c r="L342" s="26"/>
      <c r="M342" s="26"/>
      <c r="N342" s="26"/>
    </row>
    <row r="343" spans="10:14" x14ac:dyDescent="0.35">
      <c r="J343" s="26"/>
      <c r="K343" s="26"/>
      <c r="L343" s="26"/>
      <c r="M343" s="26"/>
      <c r="N343" s="26"/>
    </row>
    <row r="344" spans="10:14" x14ac:dyDescent="0.35">
      <c r="J344" s="26"/>
      <c r="K344" s="26"/>
      <c r="L344" s="26"/>
      <c r="M344" s="26"/>
      <c r="N344" s="26"/>
    </row>
    <row r="345" spans="10:14" x14ac:dyDescent="0.35">
      <c r="J345" s="26"/>
      <c r="K345" s="26"/>
      <c r="L345" s="26"/>
      <c r="M345" s="26"/>
      <c r="N345" s="26"/>
    </row>
    <row r="346" spans="10:14" x14ac:dyDescent="0.35">
      <c r="J346" s="26"/>
      <c r="K346" s="26"/>
      <c r="L346" s="26"/>
      <c r="M346" s="26"/>
      <c r="N346" s="26"/>
    </row>
    <row r="347" spans="10:14" x14ac:dyDescent="0.35">
      <c r="J347" s="26"/>
      <c r="K347" s="26"/>
      <c r="L347" s="26"/>
      <c r="M347" s="26"/>
      <c r="N347" s="26"/>
    </row>
    <row r="348" spans="10:14" x14ac:dyDescent="0.35">
      <c r="J348" s="26"/>
      <c r="K348" s="26"/>
      <c r="L348" s="26"/>
      <c r="M348" s="26"/>
      <c r="N348" s="26"/>
    </row>
    <row r="349" spans="10:14" x14ac:dyDescent="0.35">
      <c r="J349" s="26"/>
      <c r="K349" s="26"/>
      <c r="L349" s="26"/>
      <c r="M349" s="26"/>
      <c r="N349" s="26"/>
    </row>
    <row r="350" spans="10:14" x14ac:dyDescent="0.35">
      <c r="J350" s="26"/>
      <c r="K350" s="26"/>
      <c r="L350" s="26"/>
      <c r="M350" s="26"/>
      <c r="N350" s="26"/>
    </row>
    <row r="351" spans="10:14" x14ac:dyDescent="0.35">
      <c r="J351" s="26"/>
      <c r="K351" s="26"/>
      <c r="L351" s="26"/>
      <c r="M351" s="26"/>
      <c r="N351" s="26"/>
    </row>
    <row r="352" spans="10:14" x14ac:dyDescent="0.35">
      <c r="J352" s="26"/>
      <c r="K352" s="26"/>
      <c r="L352" s="26"/>
      <c r="M352" s="26"/>
      <c r="N352" s="26"/>
    </row>
    <row r="353" spans="10:14" x14ac:dyDescent="0.35">
      <c r="J353" s="26"/>
      <c r="K353" s="26"/>
      <c r="L353" s="26"/>
      <c r="M353" s="26"/>
      <c r="N353" s="26"/>
    </row>
    <row r="354" spans="10:14" x14ac:dyDescent="0.35">
      <c r="J354" s="26"/>
      <c r="K354" s="26"/>
      <c r="L354" s="26"/>
      <c r="M354" s="26"/>
      <c r="N354" s="26"/>
    </row>
    <row r="355" spans="10:14" x14ac:dyDescent="0.35">
      <c r="J355" s="26"/>
      <c r="K355" s="26"/>
      <c r="L355" s="26"/>
      <c r="M355" s="26"/>
      <c r="N355" s="26"/>
    </row>
    <row r="356" spans="10:14" x14ac:dyDescent="0.35">
      <c r="J356" s="26"/>
      <c r="K356" s="26"/>
      <c r="L356" s="26"/>
      <c r="M356" s="26"/>
      <c r="N356" s="26"/>
    </row>
    <row r="357" spans="10:14" x14ac:dyDescent="0.35">
      <c r="J357" s="26"/>
      <c r="K357" s="26"/>
      <c r="L357" s="26"/>
      <c r="M357" s="26"/>
      <c r="N357" s="26"/>
    </row>
    <row r="358" spans="10:14" x14ac:dyDescent="0.35">
      <c r="J358" s="26"/>
      <c r="K358" s="26"/>
      <c r="L358" s="26"/>
      <c r="M358" s="26"/>
      <c r="N358" s="26"/>
    </row>
    <row r="359" spans="10:14" x14ac:dyDescent="0.35">
      <c r="J359" s="26"/>
      <c r="K359" s="26"/>
      <c r="L359" s="26"/>
      <c r="M359" s="26"/>
      <c r="N359" s="26"/>
    </row>
    <row r="360" spans="10:14" x14ac:dyDescent="0.35">
      <c r="J360" s="26"/>
      <c r="K360" s="26"/>
      <c r="L360" s="26"/>
      <c r="M360" s="26"/>
      <c r="N360" s="26"/>
    </row>
    <row r="361" spans="10:14" x14ac:dyDescent="0.35">
      <c r="J361" s="26"/>
      <c r="K361" s="26"/>
      <c r="L361" s="26"/>
      <c r="M361" s="26"/>
      <c r="N361" s="26"/>
    </row>
    <row r="362" spans="10:14" x14ac:dyDescent="0.35">
      <c r="J362" s="26"/>
      <c r="K362" s="26"/>
      <c r="L362" s="26"/>
      <c r="M362" s="26"/>
      <c r="N362" s="26"/>
    </row>
    <row r="363" spans="10:14" x14ac:dyDescent="0.35">
      <c r="J363" s="26"/>
      <c r="K363" s="26"/>
      <c r="L363" s="26"/>
      <c r="M363" s="26"/>
      <c r="N363" s="26"/>
    </row>
    <row r="364" spans="10:14" x14ac:dyDescent="0.35">
      <c r="J364" s="26"/>
      <c r="K364" s="26"/>
      <c r="L364" s="26"/>
      <c r="M364" s="26"/>
      <c r="N364" s="26"/>
    </row>
    <row r="365" spans="10:14" x14ac:dyDescent="0.35">
      <c r="J365" s="26"/>
      <c r="K365" s="26"/>
      <c r="L365" s="26"/>
      <c r="M365" s="26"/>
      <c r="N365" s="26"/>
    </row>
    <row r="366" spans="10:14" x14ac:dyDescent="0.35">
      <c r="J366" s="26"/>
      <c r="K366" s="26"/>
      <c r="L366" s="26"/>
      <c r="M366" s="26"/>
      <c r="N366" s="26"/>
    </row>
    <row r="367" spans="10:14" x14ac:dyDescent="0.35">
      <c r="J367" s="26"/>
      <c r="K367" s="26"/>
      <c r="L367" s="26"/>
      <c r="M367" s="26"/>
      <c r="N367" s="26"/>
    </row>
    <row r="368" spans="10:14" x14ac:dyDescent="0.35">
      <c r="J368" s="26"/>
      <c r="K368" s="26"/>
      <c r="L368" s="26"/>
      <c r="M368" s="26"/>
      <c r="N368" s="26"/>
    </row>
    <row r="369" spans="10:14" x14ac:dyDescent="0.35">
      <c r="J369" s="26"/>
      <c r="K369" s="26"/>
      <c r="L369" s="26"/>
      <c r="M369" s="26"/>
      <c r="N369" s="26"/>
    </row>
    <row r="370" spans="10:14" x14ac:dyDescent="0.35">
      <c r="J370" s="26"/>
      <c r="K370" s="26"/>
      <c r="L370" s="26"/>
      <c r="M370" s="26"/>
      <c r="N370" s="26"/>
    </row>
    <row r="371" spans="10:14" x14ac:dyDescent="0.35">
      <c r="J371" s="26"/>
      <c r="K371" s="26"/>
      <c r="L371" s="26"/>
      <c r="M371" s="26"/>
      <c r="N371" s="26"/>
    </row>
    <row r="372" spans="10:14" x14ac:dyDescent="0.35">
      <c r="J372" s="26"/>
      <c r="K372" s="26"/>
      <c r="L372" s="26"/>
      <c r="M372" s="26"/>
      <c r="N372" s="26"/>
    </row>
    <row r="373" spans="10:14" x14ac:dyDescent="0.35">
      <c r="J373" s="26"/>
      <c r="K373" s="26"/>
      <c r="L373" s="26"/>
      <c r="M373" s="26"/>
      <c r="N373" s="26"/>
    </row>
    <row r="374" spans="10:14" x14ac:dyDescent="0.35">
      <c r="J374" s="26"/>
      <c r="K374" s="26"/>
      <c r="L374" s="26"/>
      <c r="M374" s="26"/>
      <c r="N374" s="26"/>
    </row>
    <row r="375" spans="10:14" x14ac:dyDescent="0.35">
      <c r="J375" s="26"/>
      <c r="K375" s="26"/>
      <c r="L375" s="26"/>
      <c r="M375" s="26"/>
      <c r="N375" s="26"/>
    </row>
    <row r="376" spans="10:14" x14ac:dyDescent="0.35">
      <c r="J376" s="26"/>
      <c r="K376" s="26"/>
      <c r="L376" s="26"/>
      <c r="M376" s="26"/>
      <c r="N376" s="26"/>
    </row>
    <row r="377" spans="10:14" x14ac:dyDescent="0.35">
      <c r="J377" s="26"/>
      <c r="K377" s="26"/>
      <c r="L377" s="26"/>
      <c r="M377" s="26"/>
      <c r="N377" s="26"/>
    </row>
    <row r="378" spans="10:14" x14ac:dyDescent="0.35">
      <c r="J378" s="26"/>
      <c r="K378" s="26"/>
      <c r="L378" s="26"/>
      <c r="M378" s="26"/>
      <c r="N378" s="26"/>
    </row>
    <row r="379" spans="10:14" x14ac:dyDescent="0.35">
      <c r="J379" s="26"/>
      <c r="K379" s="26"/>
      <c r="L379" s="26"/>
      <c r="M379" s="26"/>
      <c r="N379" s="26"/>
    </row>
    <row r="380" spans="10:14" x14ac:dyDescent="0.35">
      <c r="J380" s="26"/>
      <c r="K380" s="26"/>
      <c r="L380" s="26"/>
      <c r="M380" s="26"/>
      <c r="N380" s="26"/>
    </row>
    <row r="381" spans="10:14" x14ac:dyDescent="0.35">
      <c r="J381" s="26"/>
      <c r="K381" s="26"/>
      <c r="L381" s="26"/>
      <c r="M381" s="26"/>
      <c r="N381" s="26"/>
    </row>
    <row r="382" spans="10:14" x14ac:dyDescent="0.35">
      <c r="J382" s="26"/>
      <c r="K382" s="26"/>
      <c r="L382" s="26"/>
      <c r="M382" s="26"/>
      <c r="N382" s="26"/>
    </row>
    <row r="383" spans="10:14" x14ac:dyDescent="0.35">
      <c r="J383" s="26"/>
      <c r="K383" s="26"/>
      <c r="L383" s="26"/>
      <c r="M383" s="26"/>
      <c r="N383" s="26"/>
    </row>
    <row r="384" spans="10:14" x14ac:dyDescent="0.35">
      <c r="J384" s="26"/>
      <c r="K384" s="26"/>
      <c r="L384" s="26"/>
      <c r="M384" s="26"/>
      <c r="N384" s="26"/>
    </row>
    <row r="385" spans="10:14" x14ac:dyDescent="0.35">
      <c r="J385" s="26"/>
      <c r="K385" s="26"/>
      <c r="L385" s="26"/>
      <c r="M385" s="26"/>
      <c r="N385" s="26"/>
    </row>
    <row r="386" spans="10:14" x14ac:dyDescent="0.35">
      <c r="J386" s="26"/>
      <c r="K386" s="26"/>
      <c r="L386" s="26"/>
      <c r="M386" s="26"/>
      <c r="N386" s="26"/>
    </row>
    <row r="387" spans="10:14" x14ac:dyDescent="0.35">
      <c r="J387" s="26"/>
      <c r="K387" s="26"/>
      <c r="L387" s="26"/>
      <c r="M387" s="26"/>
      <c r="N387" s="26"/>
    </row>
    <row r="388" spans="10:14" x14ac:dyDescent="0.35">
      <c r="J388" s="26"/>
      <c r="K388" s="26"/>
      <c r="L388" s="26"/>
      <c r="M388" s="26"/>
      <c r="N388" s="26"/>
    </row>
    <row r="389" spans="10:14" x14ac:dyDescent="0.35">
      <c r="J389" s="26"/>
      <c r="K389" s="26"/>
      <c r="L389" s="26"/>
      <c r="M389" s="26"/>
      <c r="N389" s="26"/>
    </row>
    <row r="390" spans="10:14" x14ac:dyDescent="0.35">
      <c r="J390" s="26"/>
      <c r="K390" s="26"/>
      <c r="L390" s="26"/>
      <c r="M390" s="26"/>
      <c r="N390" s="26"/>
    </row>
    <row r="391" spans="10:14" x14ac:dyDescent="0.35">
      <c r="J391" s="26"/>
      <c r="K391" s="26"/>
      <c r="L391" s="26"/>
      <c r="M391" s="26"/>
      <c r="N391" s="26"/>
    </row>
    <row r="392" spans="10:14" x14ac:dyDescent="0.35">
      <c r="J392" s="26"/>
      <c r="K392" s="26"/>
      <c r="L392" s="26"/>
      <c r="M392" s="26"/>
      <c r="N392" s="26"/>
    </row>
    <row r="393" spans="10:14" x14ac:dyDescent="0.35">
      <c r="J393" s="26"/>
      <c r="K393" s="26"/>
      <c r="L393" s="26"/>
      <c r="M393" s="26"/>
      <c r="N393" s="26"/>
    </row>
    <row r="394" spans="10:14" x14ac:dyDescent="0.35">
      <c r="J394" s="26"/>
      <c r="K394" s="26"/>
      <c r="L394" s="26"/>
      <c r="M394" s="26"/>
      <c r="N394" s="26"/>
    </row>
    <row r="395" spans="10:14" x14ac:dyDescent="0.35">
      <c r="J395" s="26"/>
      <c r="K395" s="26"/>
      <c r="L395" s="26"/>
      <c r="M395" s="26"/>
      <c r="N395" s="26"/>
    </row>
    <row r="396" spans="10:14" x14ac:dyDescent="0.35">
      <c r="J396" s="26"/>
      <c r="K396" s="26"/>
      <c r="L396" s="26"/>
      <c r="M396" s="26"/>
      <c r="N396" s="26"/>
    </row>
    <row r="397" spans="10:14" x14ac:dyDescent="0.35">
      <c r="J397" s="26"/>
      <c r="K397" s="26"/>
      <c r="L397" s="26"/>
      <c r="M397" s="26"/>
      <c r="N397" s="26"/>
    </row>
    <row r="398" spans="10:14" x14ac:dyDescent="0.35">
      <c r="J398" s="26"/>
      <c r="K398" s="26"/>
      <c r="L398" s="26"/>
      <c r="M398" s="26"/>
      <c r="N398" s="26"/>
    </row>
    <row r="399" spans="10:14" x14ac:dyDescent="0.35">
      <c r="J399" s="26"/>
      <c r="K399" s="26"/>
      <c r="L399" s="26"/>
      <c r="M399" s="26"/>
      <c r="N399" s="26"/>
    </row>
    <row r="400" spans="10:14" x14ac:dyDescent="0.35">
      <c r="J400" s="26"/>
      <c r="K400" s="26"/>
      <c r="L400" s="26"/>
      <c r="M400" s="26"/>
      <c r="N400" s="26"/>
    </row>
    <row r="401" spans="10:14" x14ac:dyDescent="0.35">
      <c r="J401" s="26"/>
      <c r="K401" s="26"/>
      <c r="L401" s="26"/>
      <c r="M401" s="26"/>
      <c r="N401" s="26"/>
    </row>
    <row r="402" spans="10:14" x14ac:dyDescent="0.35">
      <c r="J402" s="26"/>
      <c r="K402" s="26"/>
      <c r="L402" s="26"/>
      <c r="M402" s="26"/>
      <c r="N402" s="26"/>
    </row>
    <row r="403" spans="10:14" x14ac:dyDescent="0.35">
      <c r="J403" s="26"/>
      <c r="K403" s="26"/>
      <c r="L403" s="26"/>
      <c r="M403" s="26"/>
      <c r="N403" s="26"/>
    </row>
    <row r="404" spans="10:14" x14ac:dyDescent="0.35">
      <c r="J404" s="26"/>
      <c r="K404" s="26"/>
      <c r="L404" s="26"/>
      <c r="M404" s="26"/>
      <c r="N404" s="26"/>
    </row>
    <row r="405" spans="10:14" x14ac:dyDescent="0.35">
      <c r="J405" s="26"/>
      <c r="K405" s="26"/>
      <c r="L405" s="26"/>
      <c r="M405" s="26"/>
      <c r="N405" s="26"/>
    </row>
    <row r="406" spans="10:14" x14ac:dyDescent="0.35">
      <c r="J406" s="26"/>
      <c r="K406" s="26"/>
      <c r="L406" s="26"/>
      <c r="M406" s="26"/>
      <c r="N406" s="26"/>
    </row>
    <row r="407" spans="10:14" x14ac:dyDescent="0.35">
      <c r="J407" s="26"/>
      <c r="K407" s="26"/>
      <c r="L407" s="26"/>
      <c r="M407" s="26"/>
      <c r="N407" s="26"/>
    </row>
    <row r="408" spans="10:14" x14ac:dyDescent="0.35">
      <c r="J408" s="26"/>
      <c r="K408" s="26"/>
      <c r="L408" s="26"/>
      <c r="M408" s="26"/>
      <c r="N408" s="26"/>
    </row>
    <row r="409" spans="10:14" x14ac:dyDescent="0.35">
      <c r="J409" s="26"/>
      <c r="K409" s="26"/>
      <c r="L409" s="26"/>
      <c r="M409" s="26"/>
      <c r="N409" s="26"/>
    </row>
    <row r="410" spans="10:14" x14ac:dyDescent="0.35">
      <c r="J410" s="26"/>
      <c r="K410" s="26"/>
      <c r="L410" s="26"/>
      <c r="M410" s="26"/>
      <c r="N410" s="26"/>
    </row>
    <row r="411" spans="10:14" x14ac:dyDescent="0.35">
      <c r="J411" s="26"/>
      <c r="K411" s="26"/>
      <c r="L411" s="26"/>
      <c r="M411" s="26"/>
      <c r="N411" s="26"/>
    </row>
    <row r="412" spans="10:14" x14ac:dyDescent="0.35">
      <c r="J412" s="26"/>
      <c r="K412" s="26"/>
      <c r="L412" s="26"/>
      <c r="M412" s="26"/>
      <c r="N412" s="26"/>
    </row>
    <row r="413" spans="10:14" x14ac:dyDescent="0.35">
      <c r="J413" s="26"/>
      <c r="K413" s="26"/>
      <c r="L413" s="26"/>
      <c r="M413" s="26"/>
      <c r="N413" s="26"/>
    </row>
    <row r="414" spans="10:14" x14ac:dyDescent="0.35">
      <c r="J414" s="26"/>
      <c r="K414" s="26"/>
      <c r="L414" s="26"/>
      <c r="M414" s="26"/>
      <c r="N414" s="26"/>
    </row>
    <row r="415" spans="10:14" x14ac:dyDescent="0.35">
      <c r="J415" s="26"/>
      <c r="K415" s="26"/>
      <c r="L415" s="26"/>
      <c r="M415" s="26"/>
      <c r="N415" s="26"/>
    </row>
    <row r="416" spans="10:14" x14ac:dyDescent="0.35">
      <c r="J416" s="26"/>
      <c r="K416" s="26"/>
      <c r="L416" s="26"/>
      <c r="M416" s="26"/>
      <c r="N416" s="26"/>
    </row>
    <row r="417" spans="10:14" x14ac:dyDescent="0.35">
      <c r="J417" s="26"/>
      <c r="K417" s="26"/>
      <c r="L417" s="26"/>
      <c r="M417" s="26"/>
      <c r="N417" s="26"/>
    </row>
    <row r="418" spans="10:14" x14ac:dyDescent="0.35">
      <c r="J418" s="26"/>
      <c r="K418" s="26"/>
      <c r="L418" s="26"/>
      <c r="M418" s="26"/>
      <c r="N418" s="26"/>
    </row>
    <row r="419" spans="10:14" x14ac:dyDescent="0.35">
      <c r="J419" s="26"/>
      <c r="K419" s="26"/>
      <c r="L419" s="26"/>
      <c r="M419" s="26"/>
      <c r="N419" s="26"/>
    </row>
    <row r="420" spans="10:14" x14ac:dyDescent="0.35">
      <c r="J420" s="26"/>
      <c r="K420" s="26"/>
      <c r="L420" s="26"/>
      <c r="M420" s="26"/>
      <c r="N420" s="26"/>
    </row>
    <row r="421" spans="10:14" x14ac:dyDescent="0.35">
      <c r="J421" s="26"/>
      <c r="K421" s="26"/>
      <c r="L421" s="26"/>
      <c r="M421" s="26"/>
      <c r="N421" s="26"/>
    </row>
    <row r="422" spans="10:14" x14ac:dyDescent="0.35">
      <c r="J422" s="26"/>
      <c r="K422" s="26"/>
      <c r="L422" s="26"/>
      <c r="M422" s="26"/>
      <c r="N422" s="26"/>
    </row>
    <row r="423" spans="10:14" x14ac:dyDescent="0.35">
      <c r="J423" s="26"/>
      <c r="K423" s="26"/>
      <c r="L423" s="26"/>
      <c r="M423" s="26"/>
      <c r="N423" s="26"/>
    </row>
    <row r="424" spans="10:14" x14ac:dyDescent="0.35">
      <c r="J424" s="26"/>
      <c r="K424" s="26"/>
      <c r="L424" s="26"/>
      <c r="M424" s="26"/>
      <c r="N424" s="26"/>
    </row>
    <row r="425" spans="10:14" x14ac:dyDescent="0.35">
      <c r="J425" s="26"/>
      <c r="K425" s="26"/>
      <c r="L425" s="26"/>
      <c r="M425" s="26"/>
      <c r="N425" s="26"/>
    </row>
    <row r="426" spans="10:14" x14ac:dyDescent="0.35">
      <c r="J426" s="26"/>
      <c r="K426" s="26"/>
      <c r="L426" s="26"/>
      <c r="M426" s="26"/>
      <c r="N426" s="26"/>
    </row>
    <row r="427" spans="10:14" x14ac:dyDescent="0.35">
      <c r="J427" s="26"/>
      <c r="K427" s="26"/>
      <c r="L427" s="26"/>
      <c r="M427" s="26"/>
      <c r="N427" s="26"/>
    </row>
    <row r="428" spans="10:14" x14ac:dyDescent="0.35">
      <c r="J428" s="26"/>
      <c r="K428" s="26"/>
      <c r="L428" s="26"/>
      <c r="M428" s="26"/>
      <c r="N428" s="26"/>
    </row>
    <row r="429" spans="10:14" x14ac:dyDescent="0.35">
      <c r="J429" s="26"/>
      <c r="K429" s="26"/>
      <c r="L429" s="26"/>
      <c r="M429" s="26"/>
      <c r="N429" s="26"/>
    </row>
    <row r="430" spans="10:14" x14ac:dyDescent="0.35">
      <c r="J430" s="26"/>
      <c r="K430" s="26"/>
      <c r="L430" s="26"/>
      <c r="M430" s="26"/>
      <c r="N430" s="26"/>
    </row>
    <row r="431" spans="10:14" x14ac:dyDescent="0.35">
      <c r="J431" s="26"/>
      <c r="K431" s="26"/>
      <c r="L431" s="26"/>
      <c r="M431" s="26"/>
      <c r="N431" s="26"/>
    </row>
    <row r="432" spans="10:14" x14ac:dyDescent="0.35">
      <c r="J432" s="26"/>
      <c r="K432" s="26"/>
      <c r="L432" s="26"/>
      <c r="M432" s="26"/>
      <c r="N432" s="26"/>
    </row>
    <row r="433" spans="10:14" x14ac:dyDescent="0.35">
      <c r="J433" s="26"/>
      <c r="K433" s="26"/>
      <c r="L433" s="26"/>
      <c r="M433" s="26"/>
      <c r="N433" s="26"/>
    </row>
    <row r="434" spans="10:14" x14ac:dyDescent="0.35">
      <c r="J434" s="26"/>
      <c r="K434" s="26"/>
      <c r="L434" s="26"/>
      <c r="M434" s="26"/>
      <c r="N434" s="26"/>
    </row>
    <row r="435" spans="10:14" x14ac:dyDescent="0.35">
      <c r="J435" s="26"/>
      <c r="K435" s="26"/>
      <c r="L435" s="26"/>
      <c r="M435" s="26"/>
      <c r="N435" s="26"/>
    </row>
    <row r="436" spans="10:14" x14ac:dyDescent="0.35">
      <c r="J436" s="26"/>
      <c r="K436" s="26"/>
      <c r="L436" s="26"/>
      <c r="M436" s="26"/>
      <c r="N436" s="26"/>
    </row>
    <row r="437" spans="10:14" x14ac:dyDescent="0.35">
      <c r="J437" s="26"/>
      <c r="K437" s="26"/>
      <c r="L437" s="26"/>
      <c r="M437" s="26"/>
      <c r="N437" s="26"/>
    </row>
    <row r="438" spans="10:14" x14ac:dyDescent="0.35">
      <c r="J438" s="26"/>
      <c r="K438" s="26"/>
      <c r="L438" s="26"/>
      <c r="M438" s="26"/>
      <c r="N438" s="26"/>
    </row>
    <row r="439" spans="10:14" x14ac:dyDescent="0.35">
      <c r="J439" s="26"/>
      <c r="K439" s="26"/>
      <c r="L439" s="26"/>
      <c r="M439" s="26"/>
      <c r="N439" s="26"/>
    </row>
    <row r="440" spans="10:14" x14ac:dyDescent="0.35">
      <c r="J440" s="26"/>
      <c r="K440" s="26"/>
      <c r="L440" s="26"/>
      <c r="M440" s="26"/>
      <c r="N440" s="26"/>
    </row>
    <row r="441" spans="10:14" x14ac:dyDescent="0.35">
      <c r="J441" s="26"/>
      <c r="K441" s="26"/>
      <c r="L441" s="26"/>
      <c r="M441" s="26"/>
      <c r="N441" s="26"/>
    </row>
    <row r="442" spans="10:14" x14ac:dyDescent="0.35">
      <c r="J442" s="26"/>
      <c r="K442" s="26"/>
      <c r="L442" s="26"/>
      <c r="M442" s="26"/>
      <c r="N442" s="26"/>
    </row>
    <row r="443" spans="10:14" x14ac:dyDescent="0.35">
      <c r="J443" s="26"/>
      <c r="K443" s="26"/>
      <c r="L443" s="26"/>
      <c r="M443" s="26"/>
      <c r="N443" s="26"/>
    </row>
    <row r="444" spans="10:14" x14ac:dyDescent="0.35">
      <c r="J444" s="26"/>
      <c r="K444" s="26"/>
      <c r="L444" s="26"/>
      <c r="M444" s="26"/>
      <c r="N444" s="26"/>
    </row>
    <row r="445" spans="10:14" x14ac:dyDescent="0.35">
      <c r="J445" s="26"/>
      <c r="K445" s="26"/>
      <c r="L445" s="26"/>
      <c r="M445" s="26"/>
      <c r="N445" s="26"/>
    </row>
    <row r="446" spans="10:14" x14ac:dyDescent="0.35">
      <c r="J446" s="26"/>
      <c r="K446" s="26"/>
      <c r="L446" s="26"/>
      <c r="M446" s="26"/>
      <c r="N446" s="26"/>
    </row>
    <row r="447" spans="10:14" x14ac:dyDescent="0.35">
      <c r="J447" s="26"/>
      <c r="K447" s="26"/>
      <c r="L447" s="26"/>
      <c r="M447" s="26"/>
      <c r="N447" s="26"/>
    </row>
    <row r="448" spans="10:14" x14ac:dyDescent="0.35">
      <c r="J448" s="26"/>
      <c r="K448" s="26"/>
      <c r="L448" s="26"/>
      <c r="M448" s="26"/>
      <c r="N448" s="26"/>
    </row>
    <row r="449" spans="10:14" x14ac:dyDescent="0.35">
      <c r="J449" s="26"/>
      <c r="K449" s="26"/>
      <c r="L449" s="26"/>
      <c r="M449" s="26"/>
      <c r="N449" s="26"/>
    </row>
    <row r="450" spans="10:14" x14ac:dyDescent="0.35">
      <c r="J450" s="26"/>
      <c r="K450" s="26"/>
      <c r="L450" s="26"/>
      <c r="M450" s="26"/>
      <c r="N450" s="26"/>
    </row>
    <row r="451" spans="10:14" x14ac:dyDescent="0.35">
      <c r="J451" s="26"/>
      <c r="K451" s="26"/>
      <c r="L451" s="26"/>
      <c r="M451" s="26"/>
      <c r="N451" s="26"/>
    </row>
    <row r="452" spans="10:14" x14ac:dyDescent="0.35">
      <c r="J452" s="26"/>
      <c r="K452" s="26"/>
      <c r="L452" s="26"/>
      <c r="M452" s="26"/>
      <c r="N452" s="26"/>
    </row>
    <row r="453" spans="10:14" x14ac:dyDescent="0.35">
      <c r="J453" s="26"/>
      <c r="K453" s="26"/>
      <c r="L453" s="26"/>
      <c r="M453" s="26"/>
      <c r="N453" s="26"/>
    </row>
    <row r="454" spans="10:14" x14ac:dyDescent="0.35">
      <c r="J454" s="26"/>
      <c r="K454" s="26"/>
      <c r="L454" s="26"/>
      <c r="M454" s="26"/>
      <c r="N454" s="26"/>
    </row>
    <row r="455" spans="10:14" x14ac:dyDescent="0.35">
      <c r="J455" s="26"/>
      <c r="K455" s="26"/>
      <c r="L455" s="26"/>
      <c r="M455" s="26"/>
      <c r="N455" s="26"/>
    </row>
    <row r="456" spans="10:14" x14ac:dyDescent="0.35">
      <c r="J456" s="26"/>
      <c r="K456" s="26"/>
      <c r="L456" s="26"/>
      <c r="M456" s="26"/>
      <c r="N456" s="26"/>
    </row>
    <row r="457" spans="10:14" x14ac:dyDescent="0.35">
      <c r="J457" s="26"/>
      <c r="K457" s="26"/>
      <c r="L457" s="26"/>
      <c r="M457" s="26"/>
      <c r="N457" s="26"/>
    </row>
    <row r="458" spans="10:14" x14ac:dyDescent="0.35">
      <c r="J458" s="26"/>
      <c r="K458" s="26"/>
      <c r="L458" s="26"/>
      <c r="M458" s="26"/>
      <c r="N458" s="26"/>
    </row>
    <row r="459" spans="10:14" x14ac:dyDescent="0.35">
      <c r="J459" s="26"/>
      <c r="K459" s="26"/>
      <c r="L459" s="26"/>
      <c r="M459" s="26"/>
      <c r="N459" s="26"/>
    </row>
    <row r="460" spans="10:14" x14ac:dyDescent="0.35">
      <c r="J460" s="26"/>
      <c r="K460" s="26"/>
      <c r="L460" s="26"/>
      <c r="M460" s="26"/>
      <c r="N460" s="26"/>
    </row>
    <row r="461" spans="10:14" x14ac:dyDescent="0.35">
      <c r="J461" s="26"/>
      <c r="K461" s="26"/>
      <c r="L461" s="26"/>
      <c r="M461" s="26"/>
      <c r="N461" s="26"/>
    </row>
    <row r="462" spans="10:14" x14ac:dyDescent="0.35">
      <c r="J462" s="26"/>
      <c r="K462" s="26"/>
      <c r="L462" s="26"/>
      <c r="M462" s="26"/>
      <c r="N462" s="26"/>
    </row>
    <row r="463" spans="10:14" x14ac:dyDescent="0.35">
      <c r="J463" s="26"/>
      <c r="K463" s="26"/>
      <c r="L463" s="26"/>
      <c r="M463" s="26"/>
      <c r="N463" s="26"/>
    </row>
    <row r="464" spans="10:14" x14ac:dyDescent="0.35">
      <c r="J464" s="26"/>
      <c r="K464" s="26"/>
      <c r="L464" s="26"/>
      <c r="M464" s="26"/>
      <c r="N464" s="26"/>
    </row>
    <row r="465" spans="10:14" x14ac:dyDescent="0.35">
      <c r="J465" s="26"/>
      <c r="K465" s="26"/>
      <c r="L465" s="26"/>
      <c r="M465" s="26"/>
      <c r="N465" s="26"/>
    </row>
    <row r="466" spans="10:14" x14ac:dyDescent="0.35">
      <c r="J466" s="26"/>
      <c r="K466" s="26"/>
      <c r="L466" s="26"/>
      <c r="M466" s="26"/>
      <c r="N466" s="26"/>
    </row>
    <row r="467" spans="10:14" x14ac:dyDescent="0.35">
      <c r="J467" s="26"/>
      <c r="K467" s="26"/>
      <c r="L467" s="26"/>
      <c r="M467" s="26"/>
      <c r="N467" s="26"/>
    </row>
    <row r="468" spans="10:14" x14ac:dyDescent="0.35">
      <c r="J468" s="26"/>
      <c r="K468" s="26"/>
      <c r="L468" s="26"/>
      <c r="M468" s="26"/>
      <c r="N468" s="26"/>
    </row>
    <row r="469" spans="10:14" x14ac:dyDescent="0.35">
      <c r="J469" s="26"/>
      <c r="K469" s="26"/>
      <c r="L469" s="26"/>
      <c r="M469" s="26"/>
      <c r="N469" s="26"/>
    </row>
    <row r="470" spans="10:14" x14ac:dyDescent="0.35">
      <c r="J470" s="26"/>
      <c r="K470" s="26"/>
      <c r="L470" s="26"/>
      <c r="M470" s="26"/>
      <c r="N470" s="26"/>
    </row>
    <row r="471" spans="10:14" x14ac:dyDescent="0.35">
      <c r="J471" s="26"/>
      <c r="K471" s="26"/>
      <c r="L471" s="26"/>
      <c r="M471" s="26"/>
      <c r="N471" s="26"/>
    </row>
    <row r="472" spans="10:14" x14ac:dyDescent="0.35">
      <c r="J472" s="26"/>
      <c r="K472" s="26"/>
      <c r="L472" s="26"/>
      <c r="M472" s="26"/>
      <c r="N472" s="26"/>
    </row>
    <row r="473" spans="10:14" x14ac:dyDescent="0.35">
      <c r="J473" s="26"/>
      <c r="K473" s="26"/>
      <c r="L473" s="26"/>
      <c r="M473" s="26"/>
      <c r="N473" s="26"/>
    </row>
    <row r="474" spans="10:14" x14ac:dyDescent="0.35">
      <c r="J474" s="26"/>
      <c r="K474" s="26"/>
      <c r="L474" s="26"/>
      <c r="M474" s="26"/>
      <c r="N474" s="26"/>
    </row>
    <row r="475" spans="10:14" x14ac:dyDescent="0.35">
      <c r="J475" s="26"/>
      <c r="K475" s="26"/>
      <c r="L475" s="26"/>
      <c r="M475" s="26"/>
      <c r="N475" s="26"/>
    </row>
    <row r="476" spans="10:14" x14ac:dyDescent="0.35">
      <c r="J476" s="26"/>
      <c r="K476" s="26"/>
      <c r="L476" s="26"/>
      <c r="M476" s="26"/>
      <c r="N476" s="26"/>
    </row>
    <row r="477" spans="10:14" x14ac:dyDescent="0.35">
      <c r="J477" s="26"/>
      <c r="K477" s="26"/>
      <c r="L477" s="26"/>
      <c r="M477" s="26"/>
      <c r="N477" s="26"/>
    </row>
    <row r="478" spans="10:14" x14ac:dyDescent="0.35">
      <c r="J478" s="26"/>
      <c r="K478" s="26"/>
      <c r="L478" s="26"/>
      <c r="M478" s="26"/>
      <c r="N478" s="26"/>
    </row>
    <row r="479" spans="10:14" x14ac:dyDescent="0.35">
      <c r="J479" s="26"/>
      <c r="K479" s="26"/>
      <c r="L479" s="26"/>
      <c r="M479" s="26"/>
      <c r="N479" s="26"/>
    </row>
    <row r="480" spans="10:14" x14ac:dyDescent="0.35">
      <c r="J480" s="26"/>
      <c r="K480" s="26"/>
      <c r="L480" s="26"/>
      <c r="M480" s="26"/>
      <c r="N480" s="26"/>
    </row>
    <row r="481" spans="10:14" x14ac:dyDescent="0.35">
      <c r="J481" s="26"/>
      <c r="K481" s="26"/>
      <c r="L481" s="26"/>
      <c r="M481" s="26"/>
      <c r="N481" s="26"/>
    </row>
    <row r="482" spans="10:14" x14ac:dyDescent="0.35">
      <c r="J482" s="26"/>
      <c r="K482" s="26"/>
      <c r="L482" s="26"/>
      <c r="M482" s="26"/>
      <c r="N482" s="26"/>
    </row>
    <row r="483" spans="10:14" x14ac:dyDescent="0.35">
      <c r="J483" s="26"/>
      <c r="K483" s="26"/>
      <c r="L483" s="26"/>
      <c r="M483" s="26"/>
      <c r="N483" s="26"/>
    </row>
    <row r="484" spans="10:14" x14ac:dyDescent="0.35">
      <c r="J484" s="26"/>
      <c r="K484" s="26"/>
      <c r="L484" s="26"/>
      <c r="M484" s="26"/>
      <c r="N484" s="26"/>
    </row>
    <row r="485" spans="10:14" x14ac:dyDescent="0.35">
      <c r="J485" s="26"/>
      <c r="K485" s="26"/>
      <c r="L485" s="26"/>
      <c r="M485" s="26"/>
      <c r="N485" s="26"/>
    </row>
    <row r="486" spans="10:14" x14ac:dyDescent="0.35">
      <c r="J486" s="26"/>
      <c r="K486" s="26"/>
      <c r="L486" s="26"/>
      <c r="M486" s="26"/>
      <c r="N486" s="26"/>
    </row>
    <row r="487" spans="10:14" x14ac:dyDescent="0.35">
      <c r="J487" s="26"/>
      <c r="K487" s="26"/>
      <c r="L487" s="26"/>
      <c r="M487" s="26"/>
      <c r="N487" s="26"/>
    </row>
    <row r="488" spans="10:14" x14ac:dyDescent="0.35">
      <c r="J488" s="26"/>
      <c r="K488" s="26"/>
      <c r="L488" s="26"/>
      <c r="M488" s="26"/>
      <c r="N488" s="26"/>
    </row>
    <row r="489" spans="10:14" x14ac:dyDescent="0.35">
      <c r="J489" s="26"/>
      <c r="K489" s="26"/>
      <c r="L489" s="26"/>
      <c r="M489" s="26"/>
      <c r="N489" s="26"/>
    </row>
    <row r="490" spans="10:14" x14ac:dyDescent="0.35">
      <c r="J490" s="26"/>
      <c r="K490" s="26"/>
      <c r="L490" s="26"/>
      <c r="M490" s="26"/>
      <c r="N490" s="26"/>
    </row>
    <row r="491" spans="10:14" x14ac:dyDescent="0.35">
      <c r="J491" s="26"/>
      <c r="K491" s="26"/>
      <c r="L491" s="26"/>
      <c r="M491" s="26"/>
      <c r="N491" s="26"/>
    </row>
    <row r="492" spans="10:14" x14ac:dyDescent="0.35">
      <c r="J492" s="26"/>
      <c r="K492" s="26"/>
      <c r="L492" s="26"/>
      <c r="M492" s="26"/>
      <c r="N492" s="26"/>
    </row>
    <row r="493" spans="10:14" x14ac:dyDescent="0.35">
      <c r="J493" s="26"/>
      <c r="K493" s="26"/>
      <c r="L493" s="26"/>
      <c r="M493" s="26"/>
      <c r="N493" s="26"/>
    </row>
    <row r="494" spans="10:14" x14ac:dyDescent="0.35">
      <c r="J494" s="26"/>
      <c r="K494" s="26"/>
      <c r="L494" s="26"/>
      <c r="M494" s="26"/>
      <c r="N494" s="26"/>
    </row>
    <row r="495" spans="10:14" x14ac:dyDescent="0.35">
      <c r="J495" s="26"/>
      <c r="K495" s="26"/>
      <c r="L495" s="26"/>
      <c r="M495" s="26"/>
      <c r="N495" s="26"/>
    </row>
    <row r="496" spans="10:14" x14ac:dyDescent="0.35">
      <c r="J496" s="26"/>
      <c r="K496" s="26"/>
      <c r="L496" s="26"/>
      <c r="M496" s="26"/>
      <c r="N496" s="26"/>
    </row>
    <row r="497" spans="10:14" x14ac:dyDescent="0.35">
      <c r="J497" s="26"/>
      <c r="K497" s="26"/>
      <c r="L497" s="26"/>
      <c r="M497" s="26"/>
      <c r="N497" s="26"/>
    </row>
    <row r="498" spans="10:14" x14ac:dyDescent="0.35">
      <c r="J498" s="26"/>
      <c r="K498" s="26"/>
      <c r="L498" s="26"/>
      <c r="M498" s="26"/>
      <c r="N498" s="26"/>
    </row>
    <row r="499" spans="10:14" x14ac:dyDescent="0.35">
      <c r="J499" s="26"/>
      <c r="K499" s="26"/>
      <c r="L499" s="26"/>
      <c r="M499" s="26"/>
      <c r="N499" s="26"/>
    </row>
    <row r="500" spans="10:14" x14ac:dyDescent="0.35">
      <c r="J500" s="26"/>
      <c r="K500" s="26"/>
      <c r="L500" s="26"/>
      <c r="M500" s="26"/>
      <c r="N500" s="26"/>
    </row>
    <row r="501" spans="10:14" x14ac:dyDescent="0.35">
      <c r="J501" s="26"/>
      <c r="K501" s="26"/>
      <c r="L501" s="26"/>
      <c r="M501" s="26"/>
      <c r="N501" s="26"/>
    </row>
    <row r="502" spans="10:14" x14ac:dyDescent="0.35">
      <c r="J502" s="26"/>
      <c r="K502" s="26"/>
      <c r="L502" s="26"/>
      <c r="M502" s="26"/>
      <c r="N502" s="26"/>
    </row>
    <row r="503" spans="10:14" x14ac:dyDescent="0.35">
      <c r="J503" s="26"/>
      <c r="K503" s="26"/>
      <c r="L503" s="26"/>
      <c r="M503" s="26"/>
      <c r="N503" s="26"/>
    </row>
    <row r="504" spans="10:14" x14ac:dyDescent="0.35">
      <c r="J504" s="26"/>
      <c r="K504" s="26"/>
      <c r="L504" s="26"/>
      <c r="M504" s="26"/>
      <c r="N504" s="26"/>
    </row>
    <row r="505" spans="10:14" x14ac:dyDescent="0.35">
      <c r="J505" s="26"/>
      <c r="K505" s="26"/>
      <c r="L505" s="26"/>
      <c r="M505" s="26"/>
      <c r="N505" s="26"/>
    </row>
    <row r="506" spans="10:14" x14ac:dyDescent="0.35">
      <c r="J506" s="26"/>
      <c r="K506" s="26"/>
      <c r="L506" s="26"/>
      <c r="M506" s="26"/>
      <c r="N506" s="2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Drop Down 1">
              <controlPr defaultSize="0" autoLine="0" autoPict="0">
                <anchor moveWithCells="1">
                  <from>
                    <xdr:col>4</xdr:col>
                    <xdr:colOff>1746250</xdr:colOff>
                    <xdr:row>2</xdr:row>
                    <xdr:rowOff>107950</xdr:rowOff>
                  </from>
                  <to>
                    <xdr:col>9</xdr:col>
                    <xdr:colOff>133350</xdr:colOff>
                    <xdr:row>4</xdr:row>
                    <xdr:rowOff>50800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C326-4AD3-47CB-9652-2648E2FF2EFC}">
  <sheetPr>
    <tabColor theme="3" tint="0.249977111117893"/>
  </sheetPr>
  <dimension ref="A1:N90"/>
  <sheetViews>
    <sheetView workbookViewId="0"/>
  </sheetViews>
  <sheetFormatPr defaultRowHeight="14.5" x14ac:dyDescent="0.35"/>
  <cols>
    <col min="1" max="4" width="4.453125" customWidth="1"/>
    <col min="5" max="5" width="27.81640625" customWidth="1"/>
    <col min="6" max="9" width="6.453125" customWidth="1"/>
    <col min="10" max="14" width="12.08984375" customWidth="1"/>
    <col min="15" max="16" width="8.81640625" customWidth="1"/>
  </cols>
  <sheetData>
    <row r="1" spans="1:14" s="1" customFormat="1" ht="15.5" x14ac:dyDescent="0.35">
      <c r="A1" s="2" t="s">
        <v>0</v>
      </c>
    </row>
    <row r="2" spans="1:14" s="1" customFormat="1" x14ac:dyDescent="0.35">
      <c r="A2" s="48" t="s">
        <v>40</v>
      </c>
      <c r="B2" s="22"/>
      <c r="C2" s="22"/>
      <c r="D2" s="22"/>
      <c r="E2" s="22"/>
    </row>
    <row r="3" spans="1:14" s="1" customFormat="1" x14ac:dyDescent="0.35">
      <c r="A3" s="15" t="s">
        <v>213</v>
      </c>
      <c r="B3" s="15"/>
      <c r="C3" s="15"/>
      <c r="D3" s="15"/>
    </row>
    <row r="4" spans="1:14" s="1" customFormat="1" x14ac:dyDescent="0.35">
      <c r="J4" s="57">
        <v>1</v>
      </c>
      <c r="K4" s="57">
        <f>J4+1</f>
        <v>2</v>
      </c>
      <c r="L4" s="57">
        <f t="shared" ref="L4:N4" si="0">K4+1</f>
        <v>3</v>
      </c>
      <c r="M4" s="57">
        <f t="shared" si="0"/>
        <v>4</v>
      </c>
      <c r="N4" s="57">
        <f t="shared" si="0"/>
        <v>5</v>
      </c>
    </row>
    <row r="5" spans="1:14" s="1" customFormat="1" x14ac:dyDescent="0.35">
      <c r="A5" s="15" t="s">
        <v>2</v>
      </c>
      <c r="J5" s="15">
        <v>2024</v>
      </c>
      <c r="K5" s="15">
        <f>J5+1</f>
        <v>2025</v>
      </c>
      <c r="L5" s="15">
        <f>K5+1</f>
        <v>2026</v>
      </c>
      <c r="M5" s="15">
        <f>L5+1</f>
        <v>2027</v>
      </c>
      <c r="N5" s="15">
        <v>2028</v>
      </c>
    </row>
    <row r="7" spans="1:14" s="5" customFormat="1" x14ac:dyDescent="0.35">
      <c r="A7" s="11" t="s">
        <v>214</v>
      </c>
    </row>
    <row r="9" spans="1:14" x14ac:dyDescent="0.35">
      <c r="E9" t="s">
        <v>215</v>
      </c>
      <c r="J9" s="26">
        <f ca="1">'financial statement '!J91</f>
        <v>-1904058.08</v>
      </c>
      <c r="K9" s="26">
        <f ca="1">'financial statement '!K91</f>
        <v>7697762.1760000223</v>
      </c>
      <c r="L9" s="26">
        <f ca="1">'financial statement '!L91</f>
        <v>12422519.110139987</v>
      </c>
      <c r="M9" s="26">
        <f ca="1">'financial statement '!M91</f>
        <v>8719737.4637716487</v>
      </c>
      <c r="N9" s="26">
        <f ca="1">'financial statement '!N91</f>
        <v>11770886.493095761</v>
      </c>
    </row>
    <row r="10" spans="1:14" x14ac:dyDescent="0.35">
      <c r="E10" t="s">
        <v>191</v>
      </c>
      <c r="J10" s="26">
        <f>-'financial statement '!J22</f>
        <v>2140198.5199999996</v>
      </c>
      <c r="K10" s="26">
        <f>-'financial statement '!K22</f>
        <v>2033188.5939999998</v>
      </c>
      <c r="L10" s="26">
        <f>-'financial statement '!L22</f>
        <v>1931529.1643000001</v>
      </c>
      <c r="M10" s="26">
        <f>-'financial statement '!M22</f>
        <v>1834952.706085</v>
      </c>
      <c r="N10" s="26">
        <f>-'financial statement '!N22</f>
        <v>0</v>
      </c>
    </row>
    <row r="11" spans="1:14" x14ac:dyDescent="0.35">
      <c r="E11" t="s">
        <v>216</v>
      </c>
      <c r="J11" s="26">
        <f>-Assumptions!$I$16*J10</f>
        <v>-428039.70399999991</v>
      </c>
      <c r="K11" s="26">
        <f>-Assumptions!$I$16*K10</f>
        <v>-406637.71879999997</v>
      </c>
      <c r="L11" s="26">
        <f>-Assumptions!$I$16*L10</f>
        <v>-386305.83286000002</v>
      </c>
      <c r="M11" s="26">
        <f>-Assumptions!$I$16*M10</f>
        <v>-366990.54121699999</v>
      </c>
      <c r="N11" s="26">
        <f>-Assumptions!$I$16*N10</f>
        <v>0</v>
      </c>
    </row>
    <row r="12" spans="1:14" x14ac:dyDescent="0.35">
      <c r="J12" s="50">
        <f ca="1">SUM(J9:J11)</f>
        <v>-191899.26400000043</v>
      </c>
      <c r="K12" s="50">
        <f t="shared" ref="K12:N12" ca="1" si="1">SUM(K9:K11)</f>
        <v>9324313.0512000211</v>
      </c>
      <c r="L12" s="50">
        <f t="shared" ca="1" si="1"/>
        <v>13967742.441579986</v>
      </c>
      <c r="M12" s="50">
        <f t="shared" ca="1" si="1"/>
        <v>10187699.62863965</v>
      </c>
      <c r="N12" s="50">
        <f t="shared" ca="1" si="1"/>
        <v>11770886.493095761</v>
      </c>
    </row>
    <row r="13" spans="1:14" x14ac:dyDescent="0.35">
      <c r="E13" t="s">
        <v>121</v>
      </c>
      <c r="J13" s="26">
        <f>'financial statement '!J94</f>
        <v>-850000</v>
      </c>
      <c r="K13" s="26">
        <f>'financial statement '!K94</f>
        <v>0</v>
      </c>
      <c r="L13" s="26">
        <f>'financial statement '!L94</f>
        <v>-827099.55090000003</v>
      </c>
      <c r="M13" s="26">
        <f>'financial statement '!M94</f>
        <v>0</v>
      </c>
      <c r="N13" s="26">
        <f>'financial statement '!N94</f>
        <v>-1296703.0444852801</v>
      </c>
    </row>
    <row r="14" spans="1:14" x14ac:dyDescent="0.35">
      <c r="E14" s="12" t="s">
        <v>217</v>
      </c>
      <c r="J14" s="49">
        <f ca="1">SUM(J12:J13)</f>
        <v>-1041899.2640000004</v>
      </c>
      <c r="K14" s="49">
        <f t="shared" ref="K14:N14" ca="1" si="2">SUM(K12:K13)</f>
        <v>9324313.0512000211</v>
      </c>
      <c r="L14" s="49">
        <f t="shared" ca="1" si="2"/>
        <v>13140642.890679987</v>
      </c>
      <c r="M14" s="49">
        <f t="shared" ca="1" si="2"/>
        <v>10187699.62863965</v>
      </c>
      <c r="N14" s="49">
        <f t="shared" ca="1" si="2"/>
        <v>10474183.448610481</v>
      </c>
    </row>
    <row r="15" spans="1:14" x14ac:dyDescent="0.35">
      <c r="E15" s="12" t="s">
        <v>218</v>
      </c>
      <c r="J15" s="26">
        <f ca="1">J14*J21</f>
        <v>-917164.84507042298</v>
      </c>
      <c r="K15" s="26">
        <f t="shared" ref="K15:N15" ca="1" si="3">K14*K21</f>
        <v>7225371.5247470904</v>
      </c>
      <c r="L15" s="26">
        <f t="shared" ca="1" si="3"/>
        <v>8963582.4778573997</v>
      </c>
      <c r="M15" s="26">
        <f t="shared" ca="1" si="3"/>
        <v>6117342.6372510362</v>
      </c>
      <c r="N15" s="26">
        <f t="shared" ca="1" si="3"/>
        <v>5536413.5023803096</v>
      </c>
    </row>
    <row r="16" spans="1:14" x14ac:dyDescent="0.35">
      <c r="E16" s="12" t="s">
        <v>228</v>
      </c>
      <c r="I16" s="56">
        <f ca="1">N16/J18</f>
        <v>0.71513777629951225</v>
      </c>
      <c r="J16" s="26"/>
      <c r="K16" s="26"/>
      <c r="L16" s="26"/>
      <c r="M16" s="26"/>
      <c r="N16" s="26">
        <f ca="1">(N15*(1+I22)/(I20-I22))</f>
        <v>67595746.249992162</v>
      </c>
    </row>
    <row r="17" spans="5:14" x14ac:dyDescent="0.35">
      <c r="E17" s="12"/>
      <c r="J17" s="26"/>
      <c r="K17" s="26"/>
      <c r="L17" s="26"/>
      <c r="M17" s="26"/>
      <c r="N17" s="26"/>
    </row>
    <row r="18" spans="5:14" ht="15" thickBot="1" x14ac:dyDescent="0.4">
      <c r="E18" s="12" t="s">
        <v>231</v>
      </c>
      <c r="J18" s="60">
        <f ca="1">SUM(J15:N15,N16)</f>
        <v>94521291.547157586</v>
      </c>
      <c r="K18" s="26"/>
      <c r="L18" s="26"/>
      <c r="M18" s="26"/>
      <c r="N18" s="26"/>
    </row>
    <row r="19" spans="5:14" ht="15" thickTop="1" x14ac:dyDescent="0.35">
      <c r="J19" s="26"/>
      <c r="K19" s="26"/>
      <c r="L19" s="26"/>
      <c r="M19" s="26"/>
      <c r="N19" s="26"/>
    </row>
    <row r="20" spans="5:14" x14ac:dyDescent="0.35">
      <c r="E20" t="s">
        <v>226</v>
      </c>
      <c r="I20" s="56">
        <f>'Workings '!J147</f>
        <v>0.13599999999999998</v>
      </c>
      <c r="K20" s="26"/>
      <c r="L20" s="26"/>
      <c r="M20" s="26"/>
      <c r="N20" s="26"/>
    </row>
    <row r="21" spans="5:14" x14ac:dyDescent="0.35">
      <c r="E21" t="s">
        <v>227</v>
      </c>
      <c r="J21" s="58">
        <f>(1+$I$20)^-J4</f>
        <v>0.88028169014084512</v>
      </c>
      <c r="K21" s="58">
        <f t="shared" ref="K21:N21" si="4">(1+$I$20)^-K4</f>
        <v>0.77489585399722283</v>
      </c>
      <c r="L21" s="58">
        <f t="shared" si="4"/>
        <v>0.68212663203980894</v>
      </c>
      <c r="M21" s="58">
        <f t="shared" si="4"/>
        <v>0.60046358454208537</v>
      </c>
      <c r="N21" s="58">
        <f t="shared" si="4"/>
        <v>0.52857709906873718</v>
      </c>
    </row>
    <row r="22" spans="5:14" x14ac:dyDescent="0.35">
      <c r="E22" t="s">
        <v>230</v>
      </c>
      <c r="I22" s="10">
        <f>Assumptions!H17</f>
        <v>0.05</v>
      </c>
      <c r="J22" s="26"/>
      <c r="K22" s="26"/>
      <c r="L22" s="26"/>
      <c r="M22" s="26"/>
      <c r="N22" s="26"/>
    </row>
    <row r="23" spans="5:14" x14ac:dyDescent="0.35">
      <c r="J23" s="26"/>
      <c r="K23" s="26"/>
      <c r="L23" s="26"/>
      <c r="M23" s="26"/>
      <c r="N23" s="26"/>
    </row>
    <row r="24" spans="5:14" x14ac:dyDescent="0.35">
      <c r="J24" s="26"/>
      <c r="K24" s="26"/>
      <c r="L24" s="26"/>
      <c r="M24" s="26"/>
      <c r="N24" s="26"/>
    </row>
    <row r="25" spans="5:14" x14ac:dyDescent="0.35">
      <c r="J25" s="26"/>
      <c r="K25" s="26"/>
      <c r="L25" s="26"/>
      <c r="M25" s="26"/>
      <c r="N25" s="26"/>
    </row>
    <row r="26" spans="5:14" x14ac:dyDescent="0.35">
      <c r="J26" s="26"/>
      <c r="K26" s="26"/>
      <c r="L26" s="26"/>
      <c r="M26" s="26"/>
      <c r="N26" s="26"/>
    </row>
    <row r="27" spans="5:14" x14ac:dyDescent="0.35">
      <c r="J27" s="26"/>
      <c r="K27" s="26"/>
      <c r="L27" s="26"/>
      <c r="M27" s="26"/>
      <c r="N27" s="26"/>
    </row>
    <row r="28" spans="5:14" x14ac:dyDescent="0.35">
      <c r="J28" s="26"/>
      <c r="K28" s="26"/>
      <c r="L28" s="26"/>
      <c r="M28" s="26"/>
      <c r="N28" s="26"/>
    </row>
    <row r="29" spans="5:14" x14ac:dyDescent="0.35">
      <c r="J29" s="26"/>
      <c r="K29" s="26"/>
      <c r="L29" s="26"/>
      <c r="M29" s="26"/>
      <c r="N29" s="26"/>
    </row>
    <row r="30" spans="5:14" x14ac:dyDescent="0.35">
      <c r="J30" s="26"/>
      <c r="K30" s="26"/>
      <c r="L30" s="26"/>
      <c r="M30" s="26"/>
      <c r="N30" s="26"/>
    </row>
    <row r="31" spans="5:14" x14ac:dyDescent="0.35">
      <c r="J31" s="26"/>
      <c r="K31" s="26"/>
      <c r="L31" s="26"/>
      <c r="M31" s="26"/>
      <c r="N31" s="26"/>
    </row>
    <row r="32" spans="5:14" x14ac:dyDescent="0.35">
      <c r="J32" s="26"/>
      <c r="K32" s="26"/>
      <c r="L32" s="26"/>
      <c r="M32" s="26"/>
      <c r="N32" s="26"/>
    </row>
    <row r="33" spans="10:14" x14ac:dyDescent="0.35">
      <c r="J33" s="26"/>
      <c r="K33" s="26"/>
      <c r="L33" s="26"/>
      <c r="M33" s="26"/>
      <c r="N33" s="26"/>
    </row>
    <row r="34" spans="10:14" x14ac:dyDescent="0.35">
      <c r="J34" s="26"/>
      <c r="K34" s="26"/>
      <c r="L34" s="26"/>
      <c r="M34" s="26"/>
      <c r="N34" s="26"/>
    </row>
    <row r="35" spans="10:14" x14ac:dyDescent="0.35">
      <c r="J35" s="26"/>
      <c r="K35" s="26"/>
      <c r="L35" s="26"/>
      <c r="M35" s="26"/>
      <c r="N35" s="26"/>
    </row>
    <row r="36" spans="10:14" x14ac:dyDescent="0.35">
      <c r="J36" s="26"/>
      <c r="K36" s="26"/>
      <c r="L36" s="26"/>
      <c r="M36" s="26"/>
      <c r="N36" s="26"/>
    </row>
    <row r="37" spans="10:14" x14ac:dyDescent="0.35">
      <c r="J37" s="26"/>
      <c r="K37" s="26"/>
      <c r="L37" s="26"/>
      <c r="M37" s="26"/>
      <c r="N37" s="26"/>
    </row>
    <row r="38" spans="10:14" x14ac:dyDescent="0.35">
      <c r="J38" s="26"/>
      <c r="K38" s="26"/>
      <c r="L38" s="26"/>
      <c r="M38" s="26"/>
      <c r="N38" s="26"/>
    </row>
    <row r="39" spans="10:14" x14ac:dyDescent="0.35">
      <c r="J39" s="26"/>
      <c r="K39" s="26"/>
      <c r="L39" s="26"/>
      <c r="M39" s="26"/>
      <c r="N39" s="26"/>
    </row>
    <row r="40" spans="10:14" x14ac:dyDescent="0.35">
      <c r="J40" s="26"/>
      <c r="K40" s="26"/>
      <c r="L40" s="26"/>
      <c r="M40" s="26"/>
      <c r="N40" s="26"/>
    </row>
    <row r="41" spans="10:14" x14ac:dyDescent="0.35">
      <c r="J41" s="26"/>
      <c r="K41" s="26"/>
      <c r="L41" s="26"/>
      <c r="M41" s="26"/>
      <c r="N41" s="26"/>
    </row>
    <row r="42" spans="10:14" x14ac:dyDescent="0.35">
      <c r="J42" s="26"/>
      <c r="K42" s="26"/>
      <c r="L42" s="26"/>
      <c r="M42" s="26"/>
      <c r="N42" s="26"/>
    </row>
    <row r="43" spans="10:14" x14ac:dyDescent="0.35">
      <c r="J43" s="26"/>
      <c r="K43" s="26"/>
      <c r="L43" s="26"/>
      <c r="M43" s="26"/>
      <c r="N43" s="26"/>
    </row>
    <row r="44" spans="10:14" x14ac:dyDescent="0.35">
      <c r="J44" s="26"/>
      <c r="K44" s="26"/>
      <c r="L44" s="26"/>
      <c r="M44" s="26"/>
      <c r="N44" s="26"/>
    </row>
    <row r="45" spans="10:14" x14ac:dyDescent="0.35">
      <c r="J45" s="26"/>
      <c r="K45" s="26"/>
      <c r="L45" s="26"/>
      <c r="M45" s="26"/>
      <c r="N45" s="26"/>
    </row>
    <row r="46" spans="10:14" x14ac:dyDescent="0.35">
      <c r="J46" s="26"/>
      <c r="K46" s="26"/>
      <c r="L46" s="26"/>
      <c r="M46" s="26"/>
      <c r="N46" s="26"/>
    </row>
    <row r="47" spans="10:14" x14ac:dyDescent="0.35">
      <c r="J47" s="26"/>
      <c r="K47" s="26"/>
      <c r="L47" s="26"/>
      <c r="M47" s="26"/>
      <c r="N47" s="26"/>
    </row>
    <row r="48" spans="10:14" x14ac:dyDescent="0.35">
      <c r="J48" s="26"/>
      <c r="K48" s="26"/>
      <c r="L48" s="26"/>
      <c r="M48" s="26"/>
      <c r="N48" s="26"/>
    </row>
    <row r="49" spans="10:14" x14ac:dyDescent="0.35">
      <c r="J49" s="26"/>
      <c r="K49" s="26"/>
      <c r="L49" s="26"/>
      <c r="M49" s="26"/>
      <c r="N49" s="26"/>
    </row>
    <row r="50" spans="10:14" x14ac:dyDescent="0.35">
      <c r="J50" s="26"/>
      <c r="K50" s="26"/>
      <c r="L50" s="26"/>
      <c r="M50" s="26"/>
      <c r="N50" s="26"/>
    </row>
    <row r="51" spans="10:14" x14ac:dyDescent="0.35">
      <c r="J51" s="26"/>
      <c r="K51" s="26"/>
      <c r="L51" s="26"/>
      <c r="M51" s="26"/>
      <c r="N51" s="26"/>
    </row>
    <row r="52" spans="10:14" x14ac:dyDescent="0.35">
      <c r="J52" s="26"/>
      <c r="K52" s="26"/>
      <c r="L52" s="26"/>
      <c r="M52" s="26"/>
      <c r="N52" s="26"/>
    </row>
    <row r="53" spans="10:14" x14ac:dyDescent="0.35">
      <c r="J53" s="26"/>
      <c r="K53" s="26"/>
      <c r="L53" s="26"/>
      <c r="M53" s="26"/>
      <c r="N53" s="26"/>
    </row>
    <row r="54" spans="10:14" x14ac:dyDescent="0.35">
      <c r="J54" s="26"/>
      <c r="K54" s="26"/>
      <c r="L54" s="26"/>
      <c r="M54" s="26"/>
      <c r="N54" s="26"/>
    </row>
    <row r="55" spans="10:14" x14ac:dyDescent="0.35">
      <c r="J55" s="26"/>
      <c r="K55" s="26"/>
      <c r="L55" s="26"/>
      <c r="M55" s="26"/>
      <c r="N55" s="26"/>
    </row>
    <row r="56" spans="10:14" x14ac:dyDescent="0.35">
      <c r="J56" s="26"/>
      <c r="K56" s="26"/>
      <c r="L56" s="26"/>
      <c r="M56" s="26"/>
      <c r="N56" s="26"/>
    </row>
    <row r="57" spans="10:14" x14ac:dyDescent="0.35">
      <c r="J57" s="26"/>
      <c r="K57" s="26"/>
      <c r="L57" s="26"/>
      <c r="M57" s="26"/>
      <c r="N57" s="26"/>
    </row>
    <row r="58" spans="10:14" x14ac:dyDescent="0.35">
      <c r="J58" s="26"/>
      <c r="K58" s="26"/>
      <c r="L58" s="26"/>
      <c r="M58" s="26"/>
      <c r="N58" s="26"/>
    </row>
    <row r="59" spans="10:14" x14ac:dyDescent="0.35">
      <c r="J59" s="26"/>
      <c r="K59" s="26"/>
      <c r="L59" s="26"/>
      <c r="M59" s="26"/>
      <c r="N59" s="26"/>
    </row>
    <row r="60" spans="10:14" x14ac:dyDescent="0.35">
      <c r="J60" s="26"/>
      <c r="K60" s="26"/>
      <c r="L60" s="26"/>
      <c r="M60" s="26"/>
      <c r="N60" s="26"/>
    </row>
    <row r="61" spans="10:14" x14ac:dyDescent="0.35">
      <c r="J61" s="26"/>
      <c r="K61" s="26"/>
      <c r="L61" s="26"/>
      <c r="M61" s="26"/>
      <c r="N61" s="26"/>
    </row>
    <row r="62" spans="10:14" x14ac:dyDescent="0.35">
      <c r="J62" s="26"/>
      <c r="K62" s="26"/>
      <c r="L62" s="26"/>
      <c r="M62" s="26"/>
      <c r="N62" s="26"/>
    </row>
    <row r="63" spans="10:14" x14ac:dyDescent="0.35">
      <c r="J63" s="26"/>
      <c r="K63" s="26"/>
      <c r="L63" s="26"/>
      <c r="M63" s="26"/>
      <c r="N63" s="26"/>
    </row>
    <row r="64" spans="10:14" x14ac:dyDescent="0.35">
      <c r="J64" s="26"/>
      <c r="K64" s="26"/>
      <c r="L64" s="26"/>
      <c r="M64" s="26"/>
      <c r="N64" s="26"/>
    </row>
    <row r="65" spans="10:14" x14ac:dyDescent="0.35">
      <c r="J65" s="26"/>
      <c r="K65" s="26"/>
      <c r="L65" s="26"/>
      <c r="M65" s="26"/>
      <c r="N65" s="26"/>
    </row>
    <row r="66" spans="10:14" x14ac:dyDescent="0.35">
      <c r="J66" s="26"/>
      <c r="K66" s="26"/>
      <c r="L66" s="26"/>
      <c r="M66" s="26"/>
      <c r="N66" s="26"/>
    </row>
    <row r="67" spans="10:14" x14ac:dyDescent="0.35">
      <c r="J67" s="26"/>
      <c r="K67" s="26"/>
      <c r="L67" s="26"/>
      <c r="M67" s="26"/>
      <c r="N67" s="26"/>
    </row>
    <row r="68" spans="10:14" x14ac:dyDescent="0.35">
      <c r="J68" s="26"/>
      <c r="K68" s="26"/>
      <c r="L68" s="26"/>
      <c r="M68" s="26"/>
      <c r="N68" s="26"/>
    </row>
    <row r="69" spans="10:14" x14ac:dyDescent="0.35">
      <c r="J69" s="26"/>
      <c r="K69" s="26"/>
      <c r="L69" s="26"/>
      <c r="M69" s="26"/>
      <c r="N69" s="26"/>
    </row>
    <row r="70" spans="10:14" x14ac:dyDescent="0.35">
      <c r="J70" s="26"/>
      <c r="K70" s="26"/>
      <c r="L70" s="26"/>
      <c r="M70" s="26"/>
      <c r="N70" s="26"/>
    </row>
    <row r="71" spans="10:14" x14ac:dyDescent="0.35">
      <c r="J71" s="26"/>
      <c r="K71" s="26"/>
      <c r="L71" s="26"/>
      <c r="M71" s="26"/>
      <c r="N71" s="26"/>
    </row>
    <row r="72" spans="10:14" x14ac:dyDescent="0.35">
      <c r="J72" s="26"/>
      <c r="K72" s="26"/>
      <c r="L72" s="26"/>
      <c r="M72" s="26"/>
      <c r="N72" s="26"/>
    </row>
    <row r="73" spans="10:14" x14ac:dyDescent="0.35">
      <c r="J73" s="26"/>
      <c r="K73" s="26"/>
      <c r="L73" s="26"/>
      <c r="M73" s="26"/>
      <c r="N73" s="26"/>
    </row>
    <row r="74" spans="10:14" x14ac:dyDescent="0.35">
      <c r="J74" s="26"/>
      <c r="K74" s="26"/>
      <c r="L74" s="26"/>
      <c r="M74" s="26"/>
      <c r="N74" s="26"/>
    </row>
    <row r="75" spans="10:14" x14ac:dyDescent="0.35">
      <c r="J75" s="26"/>
      <c r="K75" s="26"/>
      <c r="L75" s="26"/>
      <c r="M75" s="26"/>
      <c r="N75" s="26"/>
    </row>
    <row r="76" spans="10:14" x14ac:dyDescent="0.35">
      <c r="J76" s="26"/>
      <c r="K76" s="26"/>
      <c r="L76" s="26"/>
      <c r="M76" s="26"/>
      <c r="N76" s="26"/>
    </row>
    <row r="77" spans="10:14" x14ac:dyDescent="0.35">
      <c r="J77" s="26"/>
      <c r="K77" s="26"/>
      <c r="L77" s="26"/>
      <c r="M77" s="26"/>
      <c r="N77" s="26"/>
    </row>
    <row r="78" spans="10:14" x14ac:dyDescent="0.35">
      <c r="J78" s="26"/>
      <c r="K78" s="26"/>
      <c r="L78" s="26"/>
      <c r="M78" s="26"/>
      <c r="N78" s="26"/>
    </row>
    <row r="79" spans="10:14" x14ac:dyDescent="0.35">
      <c r="J79" s="26"/>
      <c r="K79" s="26"/>
      <c r="L79" s="26"/>
      <c r="M79" s="26"/>
      <c r="N79" s="26"/>
    </row>
    <row r="80" spans="10:14" x14ac:dyDescent="0.35">
      <c r="J80" s="26"/>
      <c r="K80" s="26"/>
      <c r="L80" s="26"/>
      <c r="M80" s="26"/>
      <c r="N80" s="26"/>
    </row>
    <row r="81" spans="10:14" x14ac:dyDescent="0.35">
      <c r="J81" s="26"/>
      <c r="K81" s="26"/>
      <c r="L81" s="26"/>
      <c r="M81" s="26"/>
      <c r="N81" s="26"/>
    </row>
    <row r="82" spans="10:14" x14ac:dyDescent="0.35">
      <c r="J82" s="26"/>
      <c r="K82" s="26"/>
      <c r="L82" s="26"/>
      <c r="M82" s="26"/>
      <c r="N82" s="26"/>
    </row>
    <row r="83" spans="10:14" x14ac:dyDescent="0.35">
      <c r="J83" s="26"/>
      <c r="K83" s="26"/>
      <c r="L83" s="26"/>
      <c r="M83" s="26"/>
      <c r="N83" s="26"/>
    </row>
    <row r="84" spans="10:14" x14ac:dyDescent="0.35">
      <c r="J84" s="26"/>
      <c r="K84" s="26"/>
      <c r="L84" s="26"/>
      <c r="M84" s="26"/>
      <c r="N84" s="26"/>
    </row>
    <row r="85" spans="10:14" x14ac:dyDescent="0.35">
      <c r="J85" s="26"/>
      <c r="K85" s="26"/>
      <c r="L85" s="26"/>
      <c r="M85" s="26"/>
      <c r="N85" s="26"/>
    </row>
    <row r="86" spans="10:14" x14ac:dyDescent="0.35">
      <c r="J86" s="26"/>
      <c r="K86" s="26"/>
      <c r="L86" s="26"/>
      <c r="M86" s="26"/>
      <c r="N86" s="26"/>
    </row>
    <row r="87" spans="10:14" x14ac:dyDescent="0.35">
      <c r="J87" s="26"/>
      <c r="K87" s="26"/>
      <c r="L87" s="26"/>
      <c r="M87" s="26"/>
      <c r="N87" s="26"/>
    </row>
    <row r="88" spans="10:14" x14ac:dyDescent="0.35">
      <c r="J88" s="26"/>
      <c r="K88" s="26"/>
      <c r="L88" s="26"/>
      <c r="M88" s="26"/>
      <c r="N88" s="26"/>
    </row>
    <row r="89" spans="10:14" x14ac:dyDescent="0.35">
      <c r="J89" s="26"/>
      <c r="K89" s="26"/>
      <c r="L89" s="26"/>
      <c r="M89" s="26"/>
      <c r="N89" s="26"/>
    </row>
    <row r="90" spans="10:14" x14ac:dyDescent="0.35">
      <c r="J90" s="26"/>
      <c r="K90" s="26"/>
      <c r="L90" s="26"/>
      <c r="M90" s="26"/>
      <c r="N90" s="2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Drop Down 1">
              <controlPr defaultSize="0" autoLine="0" autoPict="0">
                <anchor moveWithCells="1">
                  <from>
                    <xdr:col>4</xdr:col>
                    <xdr:colOff>584200</xdr:colOff>
                    <xdr:row>3</xdr:row>
                    <xdr:rowOff>44450</xdr:rowOff>
                  </from>
                  <to>
                    <xdr:col>5</xdr:col>
                    <xdr:colOff>38100</xdr:colOff>
                    <xdr:row>4</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6698-1DD3-400F-9A5F-11286A6CEBF9}">
  <sheetPr>
    <tabColor rgb="FFFFFF00"/>
  </sheetPr>
  <dimension ref="A1:N124"/>
  <sheetViews>
    <sheetView tabSelected="1" workbookViewId="0"/>
  </sheetViews>
  <sheetFormatPr defaultRowHeight="14.5" x14ac:dyDescent="0.35"/>
  <cols>
    <col min="1" max="4" width="4.453125" customWidth="1"/>
    <col min="5" max="5" width="27.81640625" customWidth="1"/>
    <col min="6" max="6" width="14.81640625" bestFit="1" customWidth="1"/>
    <col min="8" max="8" width="12" customWidth="1"/>
    <col min="10" max="14" width="15.26953125" customWidth="1"/>
    <col min="15" max="16" width="8.81640625" customWidth="1"/>
  </cols>
  <sheetData>
    <row r="1" spans="1:14" s="1" customFormat="1" x14ac:dyDescent="0.35">
      <c r="A1" s="15" t="s">
        <v>0</v>
      </c>
      <c r="B1" s="22"/>
      <c r="C1" s="22"/>
      <c r="D1" s="22"/>
      <c r="E1" s="22"/>
    </row>
    <row r="2" spans="1:14" s="1" customFormat="1" x14ac:dyDescent="0.35">
      <c r="A2" s="15" t="s">
        <v>40</v>
      </c>
      <c r="B2" s="22"/>
      <c r="C2" s="22"/>
      <c r="D2" s="22"/>
      <c r="E2" s="22"/>
    </row>
    <row r="3" spans="1:14" s="1" customFormat="1" x14ac:dyDescent="0.35">
      <c r="A3" s="15" t="s">
        <v>3</v>
      </c>
      <c r="B3" s="22"/>
      <c r="C3" s="22"/>
      <c r="D3" s="22"/>
      <c r="E3" s="22"/>
    </row>
    <row r="4" spans="1:14" s="1" customFormat="1" x14ac:dyDescent="0.35">
      <c r="A4" s="22"/>
      <c r="B4" s="22"/>
      <c r="C4" s="22"/>
      <c r="D4" s="22"/>
      <c r="E4" s="22"/>
    </row>
    <row r="5" spans="1:14" s="1" customFormat="1" x14ac:dyDescent="0.35">
      <c r="A5" s="15" t="s">
        <v>2</v>
      </c>
      <c r="B5" s="22"/>
      <c r="C5" s="22"/>
      <c r="D5" s="22"/>
      <c r="E5" s="22"/>
      <c r="G5" s="3">
        <v>2</v>
      </c>
      <c r="J5" s="15">
        <v>2024</v>
      </c>
      <c r="K5" s="15">
        <f>J5+1</f>
        <v>2025</v>
      </c>
      <c r="L5" s="15">
        <f>K5+1</f>
        <v>2026</v>
      </c>
      <c r="M5" s="15">
        <f>L5+1</f>
        <v>2027</v>
      </c>
      <c r="N5" s="15">
        <f>M5+1</f>
        <v>2028</v>
      </c>
    </row>
    <row r="6" spans="1:14" x14ac:dyDescent="0.35">
      <c r="F6" t="s">
        <v>6</v>
      </c>
      <c r="G6" t="s">
        <v>7</v>
      </c>
    </row>
    <row r="7" spans="1:14" s="5" customFormat="1" x14ac:dyDescent="0.35">
      <c r="A7" s="11" t="s">
        <v>16</v>
      </c>
    </row>
    <row r="9" spans="1:14" x14ac:dyDescent="0.35">
      <c r="E9" t="s">
        <v>8</v>
      </c>
      <c r="J9" s="6">
        <v>6</v>
      </c>
      <c r="K9" s="6">
        <v>6</v>
      </c>
      <c r="L9" s="6">
        <v>6</v>
      </c>
      <c r="M9" s="6">
        <v>6</v>
      </c>
      <c r="N9" s="6">
        <v>6</v>
      </c>
    </row>
    <row r="10" spans="1:14" x14ac:dyDescent="0.35">
      <c r="E10" t="s">
        <v>9</v>
      </c>
      <c r="J10" s="6">
        <v>4</v>
      </c>
      <c r="K10" s="6">
        <v>4</v>
      </c>
      <c r="L10" s="6">
        <v>4</v>
      </c>
      <c r="M10" s="6">
        <v>4</v>
      </c>
      <c r="N10" s="6">
        <v>4</v>
      </c>
    </row>
    <row r="11" spans="1:14" x14ac:dyDescent="0.35">
      <c r="E11" t="s">
        <v>10</v>
      </c>
      <c r="I11" s="6">
        <v>12</v>
      </c>
      <c r="J11" s="6">
        <v>12</v>
      </c>
      <c r="K11" s="6">
        <v>12</v>
      </c>
      <c r="L11" s="6">
        <v>12</v>
      </c>
      <c r="M11" s="6">
        <v>12</v>
      </c>
      <c r="N11" s="6">
        <v>12</v>
      </c>
    </row>
    <row r="12" spans="1:14" x14ac:dyDescent="0.35">
      <c r="E12" t="s">
        <v>11</v>
      </c>
      <c r="I12" s="6">
        <v>4</v>
      </c>
      <c r="J12" s="7">
        <f>J11/$I$11*$I$12</f>
        <v>4</v>
      </c>
      <c r="K12" s="7">
        <f>K11/$I$11*$I$12</f>
        <v>4</v>
      </c>
      <c r="L12" s="7">
        <f>L11/$I$11*$I$12</f>
        <v>4</v>
      </c>
      <c r="M12" s="7">
        <f>M11/$I$11*$I$12</f>
        <v>4</v>
      </c>
      <c r="N12" s="7">
        <f>N11/$I$11*$I$12</f>
        <v>4</v>
      </c>
    </row>
    <row r="13" spans="1:14" x14ac:dyDescent="0.35">
      <c r="E13" t="s">
        <v>12</v>
      </c>
      <c r="J13" s="16">
        <v>0.158</v>
      </c>
      <c r="K13" s="8">
        <v>0.1469</v>
      </c>
      <c r="L13" s="8">
        <v>0.1447</v>
      </c>
      <c r="M13" s="9">
        <v>0.14000000000000001</v>
      </c>
      <c r="N13" s="9">
        <v>0.14000000000000001</v>
      </c>
    </row>
    <row r="14" spans="1:14" x14ac:dyDescent="0.35">
      <c r="E14" t="s">
        <v>13</v>
      </c>
      <c r="I14" s="10">
        <v>0.1</v>
      </c>
    </row>
    <row r="15" spans="1:14" x14ac:dyDescent="0.35">
      <c r="E15" t="s">
        <v>14</v>
      </c>
      <c r="I15" s="10">
        <v>0.02</v>
      </c>
    </row>
    <row r="16" spans="1:14" x14ac:dyDescent="0.35">
      <c r="E16" t="s">
        <v>128</v>
      </c>
      <c r="I16" s="10">
        <v>0.2</v>
      </c>
    </row>
    <row r="17" spans="1:14" x14ac:dyDescent="0.35">
      <c r="E17" s="40" t="s">
        <v>229</v>
      </c>
      <c r="H17" s="44">
        <v>0.05</v>
      </c>
      <c r="I17" s="59"/>
    </row>
    <row r="18" spans="1:14" x14ac:dyDescent="0.35">
      <c r="E18" t="s">
        <v>209</v>
      </c>
      <c r="I18" s="42"/>
    </row>
    <row r="19" spans="1:14" x14ac:dyDescent="0.35">
      <c r="E19" s="41" t="s">
        <v>210</v>
      </c>
      <c r="H19" s="43"/>
      <c r="I19" s="46">
        <f>I20+H20</f>
        <v>1.2</v>
      </c>
    </row>
    <row r="20" spans="1:14" x14ac:dyDescent="0.35">
      <c r="E20" s="41" t="s">
        <v>211</v>
      </c>
      <c r="H20" s="44">
        <v>0.2</v>
      </c>
      <c r="I20" s="45">
        <v>1</v>
      </c>
    </row>
    <row r="21" spans="1:14" x14ac:dyDescent="0.35">
      <c r="E21" s="41" t="s">
        <v>212</v>
      </c>
      <c r="I21" s="47">
        <f>I20-H20</f>
        <v>0.8</v>
      </c>
    </row>
    <row r="22" spans="1:14" x14ac:dyDescent="0.35">
      <c r="E22" s="41"/>
      <c r="I22" s="59"/>
    </row>
    <row r="24" spans="1:14" s="5" customFormat="1" x14ac:dyDescent="0.35">
      <c r="A24" s="11" t="s">
        <v>15</v>
      </c>
    </row>
    <row r="26" spans="1:14" x14ac:dyDescent="0.35">
      <c r="D26" s="12" t="s">
        <v>17</v>
      </c>
    </row>
    <row r="27" spans="1:14" x14ac:dyDescent="0.35">
      <c r="D27" s="12"/>
      <c r="E27" t="s">
        <v>18</v>
      </c>
      <c r="F27" t="s">
        <v>28</v>
      </c>
      <c r="G27" t="s">
        <v>30</v>
      </c>
      <c r="J27" s="13">
        <v>6</v>
      </c>
      <c r="K27" s="13">
        <v>4</v>
      </c>
      <c r="L27" s="13">
        <v>4</v>
      </c>
      <c r="M27" s="13">
        <v>4</v>
      </c>
      <c r="N27" s="13">
        <v>3</v>
      </c>
    </row>
    <row r="28" spans="1:14" x14ac:dyDescent="0.35">
      <c r="D28" s="12"/>
      <c r="E28" t="s">
        <v>19</v>
      </c>
      <c r="F28" t="s">
        <v>2</v>
      </c>
      <c r="J28" s="13">
        <v>220000</v>
      </c>
      <c r="K28" s="13">
        <v>204500</v>
      </c>
      <c r="L28" s="13">
        <v>201500</v>
      </c>
      <c r="M28" s="13">
        <v>195000</v>
      </c>
      <c r="N28" s="13">
        <v>195000</v>
      </c>
    </row>
    <row r="29" spans="1:14" x14ac:dyDescent="0.35">
      <c r="D29" s="12"/>
    </row>
    <row r="30" spans="1:14" x14ac:dyDescent="0.35">
      <c r="D30" s="12" t="s">
        <v>20</v>
      </c>
    </row>
    <row r="31" spans="1:14" x14ac:dyDescent="0.35">
      <c r="D31" s="12"/>
      <c r="E31" t="s">
        <v>18</v>
      </c>
      <c r="F31" t="s">
        <v>28</v>
      </c>
      <c r="G31" t="s">
        <v>30</v>
      </c>
      <c r="J31" s="13">
        <v>3</v>
      </c>
      <c r="K31" s="13">
        <v>4</v>
      </c>
      <c r="L31" s="13">
        <v>5</v>
      </c>
      <c r="M31" s="13">
        <v>4</v>
      </c>
      <c r="N31" s="13">
        <v>3</v>
      </c>
    </row>
    <row r="32" spans="1:14" x14ac:dyDescent="0.35">
      <c r="D32" s="12"/>
      <c r="E32" t="s">
        <v>19</v>
      </c>
      <c r="F32" t="s">
        <v>29</v>
      </c>
      <c r="J32" s="13">
        <v>375000</v>
      </c>
      <c r="K32" s="13">
        <v>349000</v>
      </c>
      <c r="L32" s="13">
        <v>344000</v>
      </c>
      <c r="M32" s="13">
        <v>333000</v>
      </c>
      <c r="N32" s="13">
        <v>333000</v>
      </c>
    </row>
    <row r="33" spans="4:14" x14ac:dyDescent="0.35">
      <c r="D33" s="12"/>
    </row>
    <row r="34" spans="4:14" x14ac:dyDescent="0.35">
      <c r="D34" s="12" t="s">
        <v>21</v>
      </c>
    </row>
    <row r="35" spans="4:14" x14ac:dyDescent="0.35">
      <c r="D35" s="12"/>
      <c r="E35" t="s">
        <v>18</v>
      </c>
      <c r="F35" t="s">
        <v>28</v>
      </c>
      <c r="G35" t="s">
        <v>30</v>
      </c>
      <c r="J35" s="13">
        <v>2</v>
      </c>
      <c r="K35" s="13">
        <v>6</v>
      </c>
      <c r="L35" s="13">
        <v>4</v>
      </c>
      <c r="M35" s="13">
        <v>5</v>
      </c>
      <c r="N35" s="13">
        <v>6</v>
      </c>
    </row>
    <row r="36" spans="4:14" x14ac:dyDescent="0.35">
      <c r="D36" s="12"/>
      <c r="E36" t="s">
        <v>22</v>
      </c>
      <c r="F36" t="s">
        <v>2</v>
      </c>
      <c r="J36" s="13">
        <v>500000</v>
      </c>
      <c r="K36" s="13">
        <v>465000</v>
      </c>
      <c r="L36" s="13">
        <v>458000</v>
      </c>
      <c r="M36" s="13">
        <v>443000</v>
      </c>
      <c r="N36" s="13">
        <v>443000</v>
      </c>
    </row>
    <row r="37" spans="4:14" x14ac:dyDescent="0.35">
      <c r="D37" s="12"/>
    </row>
    <row r="38" spans="4:14" x14ac:dyDescent="0.35">
      <c r="D38" s="12" t="s">
        <v>23</v>
      </c>
    </row>
    <row r="39" spans="4:14" x14ac:dyDescent="0.35">
      <c r="D39" s="12"/>
      <c r="E39" t="s">
        <v>24</v>
      </c>
      <c r="F39" t="s">
        <v>28</v>
      </c>
      <c r="G39" t="s">
        <v>31</v>
      </c>
      <c r="J39" s="13">
        <v>1</v>
      </c>
      <c r="K39" s="13">
        <v>2</v>
      </c>
      <c r="L39" s="13">
        <v>3</v>
      </c>
      <c r="M39" s="13">
        <v>4</v>
      </c>
      <c r="N39" s="13">
        <v>4</v>
      </c>
    </row>
    <row r="40" spans="4:14" x14ac:dyDescent="0.35">
      <c r="D40" s="12"/>
      <c r="E40" t="s">
        <v>19</v>
      </c>
      <c r="F40" t="s">
        <v>2</v>
      </c>
      <c r="J40" s="13">
        <v>625000</v>
      </c>
      <c r="K40" s="13">
        <v>581000</v>
      </c>
      <c r="L40" s="13">
        <v>572500</v>
      </c>
      <c r="M40" s="13">
        <v>554000</v>
      </c>
      <c r="N40" s="13">
        <v>554000</v>
      </c>
    </row>
    <row r="41" spans="4:14" x14ac:dyDescent="0.35">
      <c r="D41" s="12"/>
      <c r="J41" s="14"/>
      <c r="K41" s="14"/>
      <c r="L41" s="14"/>
      <c r="M41" s="14"/>
      <c r="N41" s="14"/>
    </row>
    <row r="42" spans="4:14" x14ac:dyDescent="0.35">
      <c r="D42" s="12" t="s">
        <v>25</v>
      </c>
    </row>
    <row r="43" spans="4:14" x14ac:dyDescent="0.35">
      <c r="D43" s="12"/>
      <c r="E43" t="s">
        <v>24</v>
      </c>
      <c r="F43" t="s">
        <v>28</v>
      </c>
      <c r="G43" t="s">
        <v>30</v>
      </c>
      <c r="J43" s="13">
        <v>2</v>
      </c>
      <c r="K43" s="13">
        <v>3</v>
      </c>
      <c r="L43" s="13">
        <v>2</v>
      </c>
      <c r="M43" s="13">
        <v>5</v>
      </c>
      <c r="N43" s="13">
        <v>3</v>
      </c>
    </row>
    <row r="44" spans="4:14" x14ac:dyDescent="0.35">
      <c r="D44" s="12"/>
      <c r="E44" t="s">
        <v>19</v>
      </c>
      <c r="F44" t="s">
        <v>2</v>
      </c>
      <c r="J44" s="13">
        <v>1100000</v>
      </c>
      <c r="K44" s="13">
        <v>1022800</v>
      </c>
      <c r="L44" s="13">
        <v>1007500</v>
      </c>
      <c r="M44" s="13">
        <v>974775</v>
      </c>
      <c r="N44" s="13">
        <v>974775</v>
      </c>
    </row>
    <row r="45" spans="4:14" x14ac:dyDescent="0.35">
      <c r="D45" s="12"/>
    </row>
    <row r="46" spans="4:14" x14ac:dyDescent="0.35">
      <c r="D46" s="12" t="s">
        <v>26</v>
      </c>
    </row>
    <row r="47" spans="4:14" x14ac:dyDescent="0.35">
      <c r="D47" s="12"/>
      <c r="E47" t="s">
        <v>27</v>
      </c>
      <c r="F47" t="s">
        <v>28</v>
      </c>
      <c r="G47" t="s">
        <v>30</v>
      </c>
      <c r="J47" s="13">
        <v>2</v>
      </c>
      <c r="K47" s="13">
        <v>4</v>
      </c>
      <c r="L47" s="13">
        <v>4</v>
      </c>
      <c r="M47" s="13">
        <v>5</v>
      </c>
      <c r="N47" s="13">
        <v>6</v>
      </c>
    </row>
    <row r="48" spans="4:14" x14ac:dyDescent="0.35">
      <c r="D48" s="12"/>
      <c r="E48" t="s">
        <v>19</v>
      </c>
      <c r="F48" t="s">
        <v>2</v>
      </c>
      <c r="J48" s="13">
        <v>1400000</v>
      </c>
      <c r="K48" s="13">
        <v>1302000</v>
      </c>
      <c r="L48" s="13">
        <v>1282500</v>
      </c>
      <c r="M48" s="13">
        <v>1241000</v>
      </c>
      <c r="N48" s="13">
        <v>1241000</v>
      </c>
    </row>
    <row r="51" spans="1:14" s="5" customFormat="1" x14ac:dyDescent="0.35">
      <c r="A51" s="11" t="s">
        <v>32</v>
      </c>
    </row>
    <row r="53" spans="1:14" x14ac:dyDescent="0.35">
      <c r="D53" s="12" t="s">
        <v>33</v>
      </c>
    </row>
    <row r="54" spans="1:14" x14ac:dyDescent="0.35">
      <c r="E54" t="s">
        <v>34</v>
      </c>
      <c r="J54" s="10">
        <v>0.88890000000000002</v>
      </c>
      <c r="K54" s="17">
        <v>0.9032</v>
      </c>
      <c r="L54" s="10">
        <v>0.9</v>
      </c>
      <c r="M54" s="18">
        <v>0.89359999999999995</v>
      </c>
      <c r="N54" s="18">
        <v>0.9</v>
      </c>
    </row>
    <row r="55" spans="1:14" x14ac:dyDescent="0.35">
      <c r="E55" t="s">
        <v>35</v>
      </c>
      <c r="J55" s="17">
        <v>0.94669999999999999</v>
      </c>
      <c r="K55" s="18">
        <v>0.94299999999999995</v>
      </c>
      <c r="L55" s="18">
        <v>0.94199999999999995</v>
      </c>
      <c r="M55" s="17">
        <v>0.93979999999999997</v>
      </c>
      <c r="N55" s="10">
        <v>0.94</v>
      </c>
    </row>
    <row r="56" spans="1:14" x14ac:dyDescent="0.35">
      <c r="E56" t="s">
        <v>36</v>
      </c>
      <c r="J56" s="10">
        <v>0.96</v>
      </c>
      <c r="K56" s="18">
        <v>0.95699999999999996</v>
      </c>
      <c r="L56" s="17">
        <v>0.95633999999999997</v>
      </c>
      <c r="M56" s="18">
        <v>0.95499999999999996</v>
      </c>
      <c r="N56" s="18">
        <v>0.95499999999999996</v>
      </c>
    </row>
    <row r="57" spans="1:14" x14ac:dyDescent="0.35">
      <c r="E57" t="s">
        <v>37</v>
      </c>
      <c r="J57" s="18">
        <v>0.96799999999999997</v>
      </c>
      <c r="K57" s="18">
        <v>0.96599999999999997</v>
      </c>
      <c r="L57" s="18">
        <v>0.96499999999999997</v>
      </c>
      <c r="M57" s="10">
        <v>0.97</v>
      </c>
      <c r="N57" s="10">
        <v>0.97</v>
      </c>
    </row>
    <row r="58" spans="1:14" x14ac:dyDescent="0.35">
      <c r="E58" t="s">
        <v>38</v>
      </c>
      <c r="J58" s="17">
        <v>0.98199999999999998</v>
      </c>
      <c r="K58" s="17">
        <v>0.98099999999999998</v>
      </c>
      <c r="L58" s="17">
        <v>0.97970000000000002</v>
      </c>
      <c r="M58" s="10">
        <v>0.98</v>
      </c>
      <c r="N58" s="10">
        <v>0.98</v>
      </c>
    </row>
    <row r="59" spans="1:14" x14ac:dyDescent="0.35">
      <c r="E59" t="s">
        <v>39</v>
      </c>
      <c r="J59" s="10">
        <v>0.99</v>
      </c>
      <c r="K59" s="17">
        <v>0.98460000000000003</v>
      </c>
      <c r="L59" s="17">
        <v>0.98440000000000005</v>
      </c>
      <c r="M59" s="17">
        <v>0.9839</v>
      </c>
      <c r="N59" s="17">
        <v>0.9839</v>
      </c>
    </row>
    <row r="61" spans="1:14" s="5" customFormat="1" x14ac:dyDescent="0.35">
      <c r="A61" s="11" t="s">
        <v>41</v>
      </c>
      <c r="C61" s="11"/>
      <c r="D61" s="11"/>
    </row>
    <row r="63" spans="1:14" x14ac:dyDescent="0.35">
      <c r="E63" t="s">
        <v>70</v>
      </c>
      <c r="F63" t="s">
        <v>2</v>
      </c>
      <c r="G63" t="s">
        <v>44</v>
      </c>
      <c r="J63" s="13">
        <v>40000</v>
      </c>
      <c r="K63" s="13">
        <f>J63*(1+K$13)</f>
        <v>45876</v>
      </c>
      <c r="L63" s="13">
        <f>K63*(1+L$13)</f>
        <v>52514.2572</v>
      </c>
      <c r="M63" s="13">
        <f>L63*(1+M$13)</f>
        <v>59866.253208000009</v>
      </c>
      <c r="N63" s="26">
        <f>M63*(1+N$13)</f>
        <v>68247.528657120012</v>
      </c>
    </row>
    <row r="64" spans="1:14" x14ac:dyDescent="0.35">
      <c r="E64" t="s">
        <v>46</v>
      </c>
      <c r="F64" t="s">
        <v>2</v>
      </c>
      <c r="G64" t="s">
        <v>45</v>
      </c>
      <c r="J64" s="13">
        <v>350000</v>
      </c>
      <c r="K64" s="13">
        <f>J64*(1+K$13)</f>
        <v>401415</v>
      </c>
      <c r="L64" s="13">
        <f>K64*(1+L$13)</f>
        <v>459499.75050000002</v>
      </c>
      <c r="M64" s="13">
        <f t="shared" ref="L64:N67" si="0">L64*(1+M$13)</f>
        <v>523829.71557000006</v>
      </c>
      <c r="N64" s="13">
        <f t="shared" si="0"/>
        <v>597165.87574980012</v>
      </c>
    </row>
    <row r="65" spans="1:14" x14ac:dyDescent="0.35">
      <c r="E65" t="s">
        <v>84</v>
      </c>
      <c r="F65" t="s">
        <v>29</v>
      </c>
      <c r="G65" t="s">
        <v>44</v>
      </c>
      <c r="J65" s="13">
        <v>6000</v>
      </c>
      <c r="K65" s="13">
        <f>J65*(1+K$13)</f>
        <v>6881.4000000000005</v>
      </c>
      <c r="L65" s="13">
        <f>K65*(1+L$13)</f>
        <v>7877.1385800000007</v>
      </c>
      <c r="M65" s="13">
        <f t="shared" si="0"/>
        <v>8979.9379812000025</v>
      </c>
      <c r="N65" s="13">
        <f t="shared" si="0"/>
        <v>10237.129298568005</v>
      </c>
    </row>
    <row r="66" spans="1:14" x14ac:dyDescent="0.35">
      <c r="E66" t="s">
        <v>42</v>
      </c>
      <c r="F66" t="s">
        <v>2</v>
      </c>
      <c r="G66" t="s">
        <v>45</v>
      </c>
      <c r="J66" s="13">
        <v>700000</v>
      </c>
      <c r="K66" s="13">
        <v>700000</v>
      </c>
      <c r="L66" s="13">
        <v>1200000</v>
      </c>
      <c r="M66" s="13">
        <v>1200000</v>
      </c>
      <c r="N66" s="13">
        <v>1600000</v>
      </c>
    </row>
    <row r="67" spans="1:14" x14ac:dyDescent="0.35">
      <c r="E67" t="s">
        <v>43</v>
      </c>
      <c r="F67" t="s">
        <v>2</v>
      </c>
      <c r="G67" t="s">
        <v>30</v>
      </c>
      <c r="J67" s="13">
        <v>50000</v>
      </c>
      <c r="K67" s="13">
        <f>J67*(1+K$13)</f>
        <v>57345</v>
      </c>
      <c r="L67" s="13">
        <f t="shared" si="0"/>
        <v>65642.821500000005</v>
      </c>
      <c r="M67" s="13">
        <f t="shared" si="0"/>
        <v>74832.816510000019</v>
      </c>
      <c r="N67" s="13">
        <f t="shared" si="0"/>
        <v>85309.41082140003</v>
      </c>
    </row>
    <row r="70" spans="1:14" s="5" customFormat="1" x14ac:dyDescent="0.35">
      <c r="A70" s="11" t="s">
        <v>47</v>
      </c>
      <c r="C70" s="11"/>
      <c r="D70" s="11"/>
    </row>
    <row r="72" spans="1:14" x14ac:dyDescent="0.35">
      <c r="D72" s="12" t="s">
        <v>48</v>
      </c>
    </row>
    <row r="73" spans="1:14" x14ac:dyDescent="0.35">
      <c r="D73" s="12"/>
      <c r="E73" t="s">
        <v>49</v>
      </c>
      <c r="J73" s="13">
        <v>1</v>
      </c>
      <c r="K73" s="13">
        <v>1</v>
      </c>
      <c r="L73" s="13">
        <v>2</v>
      </c>
      <c r="M73" s="13">
        <v>2</v>
      </c>
      <c r="N73" s="13">
        <v>2</v>
      </c>
    </row>
    <row r="74" spans="1:14" x14ac:dyDescent="0.35">
      <c r="D74" s="12"/>
      <c r="E74" t="s">
        <v>50</v>
      </c>
      <c r="J74" s="13">
        <v>1</v>
      </c>
      <c r="K74" s="13">
        <v>1</v>
      </c>
      <c r="L74" s="13">
        <v>1</v>
      </c>
      <c r="M74" s="13">
        <v>1</v>
      </c>
      <c r="N74" s="13">
        <v>1</v>
      </c>
    </row>
    <row r="75" spans="1:14" x14ac:dyDescent="0.35">
      <c r="D75" s="12"/>
    </row>
    <row r="76" spans="1:14" x14ac:dyDescent="0.35">
      <c r="D76" s="12"/>
    </row>
    <row r="77" spans="1:14" x14ac:dyDescent="0.35">
      <c r="D77" s="12" t="s">
        <v>51</v>
      </c>
    </row>
    <row r="78" spans="1:14" x14ac:dyDescent="0.35">
      <c r="D78" s="12"/>
      <c r="E78" t="s">
        <v>49</v>
      </c>
      <c r="F78" t="s">
        <v>2</v>
      </c>
      <c r="G78" t="s">
        <v>44</v>
      </c>
      <c r="J78" s="13">
        <v>50000</v>
      </c>
      <c r="K78" s="13">
        <v>50000</v>
      </c>
      <c r="L78" s="13">
        <v>60000</v>
      </c>
      <c r="M78" s="13">
        <v>70000</v>
      </c>
      <c r="N78" s="13">
        <v>70000</v>
      </c>
    </row>
    <row r="79" spans="1:14" x14ac:dyDescent="0.35">
      <c r="D79" s="12"/>
      <c r="E79" t="s">
        <v>50</v>
      </c>
      <c r="F79" t="s">
        <v>2</v>
      </c>
      <c r="G79" t="s">
        <v>52</v>
      </c>
      <c r="J79" s="13">
        <v>100000</v>
      </c>
      <c r="K79" s="13">
        <v>100000</v>
      </c>
      <c r="L79" s="13">
        <v>150000</v>
      </c>
      <c r="M79" s="13">
        <v>150000</v>
      </c>
      <c r="N79" s="13">
        <v>150000</v>
      </c>
    </row>
    <row r="80" spans="1:14" x14ac:dyDescent="0.35">
      <c r="D80" s="12"/>
    </row>
    <row r="81" spans="1:14" x14ac:dyDescent="0.35">
      <c r="D81" s="12"/>
    </row>
    <row r="82" spans="1:14" s="5" customFormat="1" x14ac:dyDescent="0.35">
      <c r="A82" s="11" t="s">
        <v>53</v>
      </c>
      <c r="C82" s="11"/>
      <c r="D82" s="11"/>
    </row>
    <row r="84" spans="1:14" x14ac:dyDescent="0.35">
      <c r="C84" s="12" t="s">
        <v>54</v>
      </c>
      <c r="D84" s="12"/>
    </row>
    <row r="85" spans="1:14" x14ac:dyDescent="0.35">
      <c r="C85" s="12"/>
      <c r="D85" s="12" t="s">
        <v>55</v>
      </c>
    </row>
    <row r="86" spans="1:14" x14ac:dyDescent="0.35">
      <c r="C86" s="12"/>
      <c r="D86" s="12"/>
      <c r="E86" t="s">
        <v>56</v>
      </c>
      <c r="J86" s="13">
        <v>1</v>
      </c>
      <c r="K86" s="13"/>
      <c r="L86" s="13"/>
      <c r="M86" s="13"/>
      <c r="N86" s="13">
        <v>1</v>
      </c>
    </row>
    <row r="87" spans="1:14" x14ac:dyDescent="0.35">
      <c r="C87" s="12"/>
      <c r="D87" s="12"/>
      <c r="E87" t="s">
        <v>57</v>
      </c>
      <c r="J87" s="13">
        <v>460000</v>
      </c>
      <c r="K87" s="13">
        <f>J87*(1+K$13)</f>
        <v>527574</v>
      </c>
      <c r="L87" s="13">
        <f>K87*(1+L$13)</f>
        <v>603913.95779999997</v>
      </c>
      <c r="M87" s="13">
        <f>L87*(1+M$13)</f>
        <v>688461.911892</v>
      </c>
      <c r="N87" s="13">
        <f>M87*(1+N$13)</f>
        <v>784846.57955688005</v>
      </c>
    </row>
    <row r="88" spans="1:14" x14ac:dyDescent="0.35">
      <c r="C88" s="12"/>
      <c r="D88" s="12"/>
    </row>
    <row r="89" spans="1:14" x14ac:dyDescent="0.35">
      <c r="C89" s="12"/>
      <c r="D89" s="12" t="s">
        <v>58</v>
      </c>
    </row>
    <row r="90" spans="1:14" x14ac:dyDescent="0.35">
      <c r="C90" s="12"/>
      <c r="D90" s="12"/>
      <c r="E90" t="s">
        <v>59</v>
      </c>
      <c r="J90" s="13">
        <v>1</v>
      </c>
      <c r="K90" s="13"/>
      <c r="L90" s="13">
        <v>1</v>
      </c>
      <c r="M90" s="13"/>
      <c r="N90" s="13">
        <v>2</v>
      </c>
    </row>
    <row r="91" spans="1:14" x14ac:dyDescent="0.35">
      <c r="C91" s="12"/>
      <c r="D91" s="12"/>
      <c r="E91" t="s">
        <v>60</v>
      </c>
      <c r="J91" s="13">
        <v>150000</v>
      </c>
      <c r="K91" s="13">
        <f>J91*(1+K$13)</f>
        <v>172035</v>
      </c>
      <c r="L91" s="13">
        <f>K91*(1+L$13)</f>
        <v>196928.4645</v>
      </c>
      <c r="M91" s="13">
        <f>L91*(1+M$13)</f>
        <v>224498.44953000001</v>
      </c>
      <c r="N91" s="13">
        <f>M91*(1+N$13)</f>
        <v>255928.23246420003</v>
      </c>
    </row>
    <row r="92" spans="1:14" x14ac:dyDescent="0.35">
      <c r="C92" s="12"/>
      <c r="D92" s="12"/>
    </row>
    <row r="93" spans="1:14" x14ac:dyDescent="0.35">
      <c r="C93" s="12"/>
      <c r="D93" s="12" t="s">
        <v>61</v>
      </c>
    </row>
    <row r="94" spans="1:14" x14ac:dyDescent="0.35">
      <c r="C94" s="12"/>
      <c r="D94" s="12"/>
      <c r="E94" t="s">
        <v>59</v>
      </c>
      <c r="J94" s="13">
        <v>1</v>
      </c>
      <c r="K94" s="13"/>
      <c r="L94" s="13">
        <v>2</v>
      </c>
      <c r="M94" s="13"/>
      <c r="N94" s="13"/>
    </row>
    <row r="95" spans="1:14" x14ac:dyDescent="0.35">
      <c r="C95" s="12"/>
      <c r="D95" s="12"/>
      <c r="E95" t="s">
        <v>57</v>
      </c>
      <c r="J95" s="13">
        <v>240000</v>
      </c>
      <c r="K95" s="13">
        <f>J95*(1+K$13)</f>
        <v>275256</v>
      </c>
      <c r="L95" s="13">
        <f>K95*(1+L$13)</f>
        <v>315085.54320000001</v>
      </c>
      <c r="M95" s="13">
        <f>L95*(1+M$13)</f>
        <v>359197.51924800006</v>
      </c>
      <c r="N95" s="13">
        <f>M95*(1+N$13)</f>
        <v>409485.17194272013</v>
      </c>
    </row>
    <row r="96" spans="1:14" x14ac:dyDescent="0.35">
      <c r="C96" s="12"/>
      <c r="D96" s="12"/>
    </row>
    <row r="97" spans="1:8" x14ac:dyDescent="0.35">
      <c r="C97" s="12"/>
      <c r="D97" s="12"/>
    </row>
    <row r="98" spans="1:8" x14ac:dyDescent="0.35">
      <c r="C98" s="12"/>
      <c r="D98" s="12" t="s">
        <v>62</v>
      </c>
      <c r="F98" s="19" t="s">
        <v>66</v>
      </c>
    </row>
    <row r="99" spans="1:8" x14ac:dyDescent="0.35">
      <c r="C99" s="12"/>
      <c r="D99" s="12"/>
      <c r="E99" t="s">
        <v>63</v>
      </c>
      <c r="F99" s="13">
        <v>5</v>
      </c>
      <c r="G99" s="20">
        <v>0.2</v>
      </c>
    </row>
    <row r="100" spans="1:8" x14ac:dyDescent="0.35">
      <c r="C100" s="12"/>
      <c r="D100" s="12"/>
      <c r="E100" t="s">
        <v>64</v>
      </c>
      <c r="F100" s="13">
        <v>3</v>
      </c>
      <c r="G100" s="20">
        <v>0.33</v>
      </c>
    </row>
    <row r="101" spans="1:8" x14ac:dyDescent="0.35">
      <c r="C101" s="12"/>
      <c r="D101" s="12"/>
      <c r="E101" t="s">
        <v>65</v>
      </c>
      <c r="F101" s="13">
        <v>3</v>
      </c>
      <c r="G101" s="20">
        <v>0.33</v>
      </c>
    </row>
    <row r="104" spans="1:8" s="5" customFormat="1" x14ac:dyDescent="0.35">
      <c r="A104" s="11" t="s">
        <v>67</v>
      </c>
      <c r="C104" s="11"/>
      <c r="D104" s="11"/>
    </row>
    <row r="106" spans="1:8" x14ac:dyDescent="0.35">
      <c r="E106" t="s">
        <v>68</v>
      </c>
      <c r="H106" s="13">
        <v>20000</v>
      </c>
    </row>
    <row r="107" spans="1:8" x14ac:dyDescent="0.35">
      <c r="E107" t="s">
        <v>69</v>
      </c>
      <c r="H107" s="13">
        <v>80000</v>
      </c>
    </row>
    <row r="108" spans="1:8" x14ac:dyDescent="0.35">
      <c r="E108" t="s">
        <v>70</v>
      </c>
      <c r="H108" s="13">
        <v>30000</v>
      </c>
    </row>
    <row r="109" spans="1:8" x14ac:dyDescent="0.35">
      <c r="E109" t="s">
        <v>42</v>
      </c>
      <c r="H109" s="13">
        <v>700000</v>
      </c>
    </row>
    <row r="110" spans="1:8" x14ac:dyDescent="0.35">
      <c r="E110" t="s">
        <v>71</v>
      </c>
      <c r="H110" s="13">
        <v>100000</v>
      </c>
    </row>
    <row r="111" spans="1:8" x14ac:dyDescent="0.35">
      <c r="H111" s="21">
        <f>SUM(H106:H110)</f>
        <v>930000</v>
      </c>
    </row>
    <row r="112" spans="1:8" x14ac:dyDescent="0.35">
      <c r="E112" t="s">
        <v>83</v>
      </c>
    </row>
    <row r="114" spans="1:8" s="5" customFormat="1" x14ac:dyDescent="0.35">
      <c r="A114" s="11" t="s">
        <v>126</v>
      </c>
      <c r="C114" s="11"/>
      <c r="D114" s="11"/>
    </row>
    <row r="116" spans="1:8" x14ac:dyDescent="0.35">
      <c r="E116" t="s">
        <v>127</v>
      </c>
      <c r="F116" s="26">
        <f>'Workings '!J89</f>
        <v>107009926</v>
      </c>
      <c r="H116" s="30"/>
    </row>
    <row r="117" spans="1:8" x14ac:dyDescent="0.35">
      <c r="E117" t="s">
        <v>116</v>
      </c>
      <c r="F117" s="10">
        <v>0.8</v>
      </c>
      <c r="H117" s="10"/>
    </row>
    <row r="118" spans="1:8" x14ac:dyDescent="0.35">
      <c r="E118" t="s">
        <v>144</v>
      </c>
      <c r="F118" s="10">
        <f>1-F117</f>
        <v>0.19999999999999996</v>
      </c>
    </row>
    <row r="119" spans="1:8" x14ac:dyDescent="0.35">
      <c r="E119" t="s">
        <v>145</v>
      </c>
      <c r="F119" s="10">
        <v>0.15</v>
      </c>
    </row>
    <row r="120" spans="1:8" x14ac:dyDescent="0.35">
      <c r="E120" t="s">
        <v>146</v>
      </c>
      <c r="F120" s="30">
        <v>5000000</v>
      </c>
    </row>
    <row r="121" spans="1:8" x14ac:dyDescent="0.35">
      <c r="E121" t="s">
        <v>147</v>
      </c>
      <c r="F121" s="10">
        <v>0.1</v>
      </c>
    </row>
    <row r="122" spans="1:8" x14ac:dyDescent="0.35">
      <c r="E122" t="s">
        <v>148</v>
      </c>
      <c r="F122" s="10">
        <v>0.15</v>
      </c>
    </row>
    <row r="123" spans="1:8" x14ac:dyDescent="0.35">
      <c r="E123" t="s">
        <v>149</v>
      </c>
      <c r="F123" s="32" t="s">
        <v>151</v>
      </c>
    </row>
    <row r="124" spans="1:8" x14ac:dyDescent="0.35">
      <c r="E124" t="s">
        <v>150</v>
      </c>
      <c r="F124" s="36">
        <v>2027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7</xdr:col>
                    <xdr:colOff>285750</xdr:colOff>
                    <xdr:row>2</xdr:row>
                    <xdr:rowOff>146050</xdr:rowOff>
                  </from>
                  <to>
                    <xdr:col>9</xdr:col>
                    <xdr:colOff>196850</xdr:colOff>
                    <xdr:row>4</xdr:row>
                    <xdr:rowOff>88900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22E7C-B0DF-4B95-9A3D-5BB3E7E246A6}">
  <sheetPr>
    <tabColor rgb="FFFFC000"/>
  </sheetPr>
  <dimension ref="A1:N147"/>
  <sheetViews>
    <sheetView workbookViewId="0"/>
  </sheetViews>
  <sheetFormatPr defaultRowHeight="14.5" x14ac:dyDescent="0.35"/>
  <cols>
    <col min="1" max="2" width="4.453125" customWidth="1"/>
    <col min="3" max="3" width="4.453125" style="12" customWidth="1"/>
    <col min="4" max="4" width="4.453125" customWidth="1"/>
    <col min="5" max="5" width="27.81640625" customWidth="1"/>
    <col min="6" max="6" width="4.1796875" customWidth="1"/>
    <col min="7" max="7" width="1.81640625" customWidth="1"/>
    <col min="8" max="8" width="10.7265625" customWidth="1"/>
    <col min="9" max="9" width="4.1796875" customWidth="1"/>
    <col min="10" max="14" width="15.26953125" style="12" customWidth="1"/>
    <col min="15" max="16" width="8.81640625" customWidth="1"/>
  </cols>
  <sheetData>
    <row r="1" spans="1:14" s="1" customFormat="1" x14ac:dyDescent="0.35">
      <c r="A1" s="15" t="s">
        <v>0</v>
      </c>
      <c r="C1" s="22"/>
      <c r="J1" s="22"/>
      <c r="K1" s="22"/>
      <c r="L1" s="22"/>
      <c r="M1" s="22"/>
      <c r="N1" s="22"/>
    </row>
    <row r="2" spans="1:14" s="1" customFormat="1" x14ac:dyDescent="0.35">
      <c r="A2" s="15" t="s">
        <v>40</v>
      </c>
      <c r="C2" s="22"/>
      <c r="J2" s="22"/>
      <c r="K2" s="22"/>
      <c r="L2" s="22"/>
      <c r="M2" s="22"/>
      <c r="N2" s="22"/>
    </row>
    <row r="3" spans="1:14" s="1" customFormat="1" x14ac:dyDescent="0.35">
      <c r="A3" s="15" t="s">
        <v>4</v>
      </c>
      <c r="C3" s="22"/>
      <c r="J3" s="22"/>
      <c r="K3" s="22"/>
      <c r="L3" s="22"/>
      <c r="M3" s="22"/>
      <c r="N3" s="22"/>
    </row>
    <row r="4" spans="1:14" s="1" customFormat="1" x14ac:dyDescent="0.35">
      <c r="C4" s="22"/>
      <c r="J4" s="22"/>
      <c r="K4" s="22"/>
      <c r="L4" s="22"/>
      <c r="M4" s="22"/>
      <c r="N4" s="22"/>
    </row>
    <row r="5" spans="1:14" s="1" customFormat="1" x14ac:dyDescent="0.35">
      <c r="A5" s="15" t="s">
        <v>2</v>
      </c>
      <c r="C5" s="22"/>
      <c r="J5" s="15">
        <v>2024</v>
      </c>
      <c r="K5" s="15">
        <f>J5+1</f>
        <v>2025</v>
      </c>
      <c r="L5" s="15">
        <f>K5+1</f>
        <v>2026</v>
      </c>
      <c r="M5" s="15">
        <f>L5+1</f>
        <v>2027</v>
      </c>
      <c r="N5" s="15">
        <f>M5+1</f>
        <v>2028</v>
      </c>
    </row>
    <row r="8" spans="1:14" s="5" customFormat="1" x14ac:dyDescent="0.35">
      <c r="A8" s="11" t="s">
        <v>72</v>
      </c>
      <c r="C8" s="11"/>
    </row>
    <row r="10" spans="1:14" x14ac:dyDescent="0.35">
      <c r="E10" t="s">
        <v>17</v>
      </c>
      <c r="J10" s="24" cm="1">
        <f t="array" ref="J10">INDEX(Assumptions!$I$19:$I$21,Assumptions!$G$5)*(Assumptions!J27*Assumptions!J10*Assumptions!J11*Assumptions!J28)</f>
        <v>63360000</v>
      </c>
      <c r="K10" s="24" cm="1">
        <f t="array" ref="K10">INDEX(Assumptions!$I$19:$I$21,Assumptions!$G$5)*(Assumptions!K27*Assumptions!K10*Assumptions!K11*Assumptions!K28)</f>
        <v>39264000</v>
      </c>
      <c r="L10" s="24" cm="1">
        <f t="array" ref="L10">INDEX(Assumptions!$I$19:$I$21,Assumptions!$G$5)*(Assumptions!L27*Assumptions!L10*Assumptions!L11*Assumptions!L28)</f>
        <v>38688000</v>
      </c>
      <c r="M10" s="24" cm="1">
        <f t="array" ref="M10">INDEX(Assumptions!$I$19:$I$21,Assumptions!$G$5)*(Assumptions!M27*Assumptions!M10*Assumptions!M11*Assumptions!M28)</f>
        <v>37440000</v>
      </c>
      <c r="N10" s="24" cm="1">
        <f t="array" ref="N10">INDEX(Assumptions!$I$19:$I$21,Assumptions!$G$5)*(Assumptions!N27*Assumptions!N10*Assumptions!N11*Assumptions!N28)</f>
        <v>28080000</v>
      </c>
    </row>
    <row r="11" spans="1:14" x14ac:dyDescent="0.35">
      <c r="E11" t="s">
        <v>20</v>
      </c>
      <c r="J11" s="24" cm="1">
        <f t="array" ref="J11">(INDEX(Assumptions!$I$19:$I$21,Assumptions!$G$5)*Assumptions!J31*Assumptions!J10*Assumptions!J11*Assumptions!J32)</f>
        <v>54000000</v>
      </c>
      <c r="K11" s="24" cm="1">
        <f t="array" ref="K11">(INDEX(Assumptions!$I$19:$I$21,Assumptions!$G$5)*Assumptions!K31*Assumptions!K10*Assumptions!K11*Assumptions!K32)</f>
        <v>67008000</v>
      </c>
      <c r="L11" s="24" cm="1">
        <f t="array" ref="L11">(INDEX(Assumptions!$I$19:$I$21,Assumptions!$G$5)*Assumptions!L31*Assumptions!L10*Assumptions!L11*Assumptions!L32)</f>
        <v>82560000</v>
      </c>
      <c r="M11" s="24" cm="1">
        <f t="array" ref="M11">(INDEX(Assumptions!$I$19:$I$21,Assumptions!$G$5)*Assumptions!M31*Assumptions!M10*Assumptions!M11*Assumptions!M32)</f>
        <v>63936000</v>
      </c>
      <c r="N11" s="24" cm="1">
        <f t="array" ref="N11">(INDEX(Assumptions!$I$19:$I$21,Assumptions!$G$5)*Assumptions!N31*Assumptions!N10*Assumptions!N11*Assumptions!N32)</f>
        <v>47952000</v>
      </c>
    </row>
    <row r="12" spans="1:14" x14ac:dyDescent="0.35">
      <c r="E12" t="s">
        <v>21</v>
      </c>
      <c r="J12" s="24" cm="1">
        <f t="array" ref="J12">(INDEX(Assumptions!$I$19:$I$21,Assumptions!$G$5)*(Assumptions!J35*Assumptions!J10*Assumptions!J11*Assumptions!J36))</f>
        <v>48000000</v>
      </c>
      <c r="K12" s="24" cm="1">
        <f t="array" ref="K12">(INDEX(Assumptions!$I$19:$I$21,Assumptions!$G$5)*(Assumptions!K35*Assumptions!K10*Assumptions!K11*Assumptions!K36))</f>
        <v>133920000</v>
      </c>
      <c r="L12" s="24" cm="1">
        <f t="array" ref="L12">(INDEX(Assumptions!$I$19:$I$21,Assumptions!$G$5)*(Assumptions!L35*Assumptions!L10*Assumptions!L11*Assumptions!L36))</f>
        <v>87936000</v>
      </c>
      <c r="M12" s="24" cm="1">
        <f t="array" ref="M12">(INDEX(Assumptions!$I$19:$I$21,Assumptions!$G$5)*(Assumptions!M35*Assumptions!M10*Assumptions!M11*Assumptions!M36))</f>
        <v>106320000</v>
      </c>
      <c r="N12" s="24" cm="1">
        <f t="array" ref="N12">(INDEX(Assumptions!$I$19:$I$21,Assumptions!$G$5)*(Assumptions!N35*Assumptions!N10*Assumptions!N11*Assumptions!N36))</f>
        <v>127584000</v>
      </c>
    </row>
    <row r="13" spans="1:14" x14ac:dyDescent="0.35">
      <c r="E13" t="s">
        <v>23</v>
      </c>
      <c r="J13" s="24" cm="1">
        <f t="array" ref="J13">(INDEX(Assumptions!$I$19:$I$21,Assumptions!$G$5)*(Assumptions!J39*Assumptions!J10*Assumptions!J11*Assumptions!J40))</f>
        <v>30000000</v>
      </c>
      <c r="K13" s="24" cm="1">
        <f t="array" ref="K13">(INDEX(Assumptions!$I$19:$I$21,Assumptions!$G$5)*(Assumptions!K39*Assumptions!K10*Assumptions!K11*Assumptions!K40))</f>
        <v>55776000</v>
      </c>
      <c r="L13" s="24" cm="1">
        <f t="array" ref="L13">(INDEX(Assumptions!$I$19:$I$21,Assumptions!$G$5)*(Assumptions!L39*Assumptions!L10*Assumptions!L11*Assumptions!L40))</f>
        <v>82440000</v>
      </c>
      <c r="M13" s="24" cm="1">
        <f t="array" ref="M13">(INDEX(Assumptions!$I$19:$I$21,Assumptions!$G$5)*(Assumptions!M39*Assumptions!M10*Assumptions!M11*Assumptions!M40))</f>
        <v>106368000</v>
      </c>
      <c r="N13" s="24" cm="1">
        <f t="array" ref="N13">(INDEX(Assumptions!$I$19:$I$21,Assumptions!$G$5)*(Assumptions!N39*Assumptions!N10*Assumptions!N11*Assumptions!N40))</f>
        <v>106368000</v>
      </c>
    </row>
    <row r="14" spans="1:14" x14ac:dyDescent="0.35">
      <c r="E14" t="s">
        <v>25</v>
      </c>
      <c r="J14" s="24" cm="1">
        <f t="array" ref="J14">(INDEX(Assumptions!$I$19:$I$21,Assumptions!$G$5)*Assumptions!J43*Assumptions!J10*Assumptions!J11*Assumptions!J44)</f>
        <v>105600000</v>
      </c>
      <c r="K14" s="24" cm="1">
        <f t="array" ref="K14">(INDEX(Assumptions!$I$19:$I$21,Assumptions!$G$5)*Assumptions!K43*Assumptions!K10*Assumptions!K11*Assumptions!K44)</f>
        <v>147283200</v>
      </c>
      <c r="L14" s="24" cm="1">
        <f t="array" ref="L14">(INDEX(Assumptions!$I$19:$I$21,Assumptions!$G$5)*Assumptions!L43*Assumptions!L10*Assumptions!L11*Assumptions!L44)</f>
        <v>96720000</v>
      </c>
      <c r="M14" s="24" cm="1">
        <f t="array" ref="M14">(INDEX(Assumptions!$I$19:$I$21,Assumptions!$G$5)*Assumptions!M43*Assumptions!M10*Assumptions!M11*Assumptions!M44)</f>
        <v>233946000</v>
      </c>
      <c r="N14" s="24" cm="1">
        <f t="array" ref="N14">(INDEX(Assumptions!$I$19:$I$21,Assumptions!$G$5)*Assumptions!N43*Assumptions!N10*Assumptions!N11*Assumptions!N44)</f>
        <v>140367600</v>
      </c>
    </row>
    <row r="15" spans="1:14" x14ac:dyDescent="0.35">
      <c r="E15" t="s">
        <v>73</v>
      </c>
      <c r="J15" s="24" cm="1">
        <f t="array" ref="J15">(INDEX(Assumptions!$I$19:$I$21,Assumptions!$G$5)*(Assumptions!J47*Assumptions!J10*Assumptions!J11*Assumptions!J48))</f>
        <v>134400000</v>
      </c>
      <c r="K15" s="24" cm="1">
        <f t="array" ref="K15">(INDEX(Assumptions!$I$19:$I$21,Assumptions!$G$5)*(Assumptions!K47*Assumptions!K10*Assumptions!K11*Assumptions!K48))</f>
        <v>249984000</v>
      </c>
      <c r="L15" s="24" cm="1">
        <f t="array" ref="L15">(INDEX(Assumptions!$I$19:$I$21,Assumptions!$G$5)*(Assumptions!L47*Assumptions!L10*Assumptions!L11*Assumptions!L48))</f>
        <v>246240000</v>
      </c>
      <c r="M15" s="24" cm="1">
        <f t="array" ref="M15">(INDEX(Assumptions!$I$19:$I$21,Assumptions!$G$5)*(Assumptions!M47*Assumptions!M10*Assumptions!M11*Assumptions!M48))</f>
        <v>297840000</v>
      </c>
      <c r="N15" s="24" cm="1">
        <f t="array" ref="N15">(INDEX(Assumptions!$I$19:$I$21,Assumptions!$G$5)*(Assumptions!N47*Assumptions!N10*Assumptions!N11*Assumptions!N48))</f>
        <v>357408000</v>
      </c>
    </row>
    <row r="16" spans="1:14" x14ac:dyDescent="0.35">
      <c r="J16" s="25">
        <f>SUM(J10:J15)</f>
        <v>435360000</v>
      </c>
      <c r="K16" s="25">
        <f>SUM(K10:K15)</f>
        <v>693235200</v>
      </c>
      <c r="L16" s="25">
        <f>SUM(L10:L15)</f>
        <v>634584000</v>
      </c>
      <c r="M16" s="25">
        <f>SUM(M10:M15)</f>
        <v>845850000</v>
      </c>
      <c r="N16" s="25">
        <f>SUM(N10:N15)</f>
        <v>807759600</v>
      </c>
    </row>
    <row r="17" spans="1:14" x14ac:dyDescent="0.35">
      <c r="J17" s="24"/>
      <c r="K17" s="24"/>
      <c r="L17" s="24"/>
      <c r="M17" s="24"/>
      <c r="N17" s="24"/>
    </row>
    <row r="18" spans="1:14" x14ac:dyDescent="0.35">
      <c r="E18" t="s">
        <v>74</v>
      </c>
      <c r="J18" s="24">
        <f>J16*Assumptions!$I$14</f>
        <v>43536000</v>
      </c>
      <c r="K18" s="24">
        <f>K16*Assumptions!$I$14</f>
        <v>69323520</v>
      </c>
      <c r="L18" s="24">
        <f>L16*Assumptions!$I$14</f>
        <v>63458400</v>
      </c>
      <c r="M18" s="24">
        <f>M16*Assumptions!$I$14</f>
        <v>84585000</v>
      </c>
      <c r="N18" s="24">
        <f>N16*Assumptions!$I$14</f>
        <v>80775960</v>
      </c>
    </row>
    <row r="19" spans="1:14" x14ac:dyDescent="0.35">
      <c r="E19" t="s">
        <v>75</v>
      </c>
      <c r="J19" s="24">
        <f>J16-J18</f>
        <v>391824000</v>
      </c>
      <c r="K19" s="24">
        <f>K16-K18</f>
        <v>623911680</v>
      </c>
      <c r="L19" s="24">
        <f>L16-L18</f>
        <v>571125600</v>
      </c>
      <c r="M19" s="24">
        <f>M16-M18</f>
        <v>761265000</v>
      </c>
      <c r="N19" s="24">
        <f>N16-N18</f>
        <v>726983640</v>
      </c>
    </row>
    <row r="20" spans="1:14" x14ac:dyDescent="0.35">
      <c r="J20" s="24"/>
      <c r="K20" s="24"/>
      <c r="L20" s="24"/>
      <c r="M20" s="24"/>
      <c r="N20" s="24"/>
    </row>
    <row r="21" spans="1:14" x14ac:dyDescent="0.35">
      <c r="J21" s="24"/>
      <c r="K21" s="24"/>
      <c r="L21" s="24"/>
      <c r="M21" s="26" t="s">
        <v>83</v>
      </c>
      <c r="N21" s="24"/>
    </row>
    <row r="22" spans="1:14" s="5" customFormat="1" x14ac:dyDescent="0.35">
      <c r="A22" s="11" t="s">
        <v>76</v>
      </c>
      <c r="C22" s="11"/>
    </row>
    <row r="23" spans="1:14" x14ac:dyDescent="0.35">
      <c r="J23" s="24"/>
      <c r="K23" s="24"/>
      <c r="L23" s="24"/>
      <c r="M23" s="24"/>
      <c r="N23" s="24"/>
    </row>
    <row r="24" spans="1:14" x14ac:dyDescent="0.35">
      <c r="D24" s="12" t="s">
        <v>33</v>
      </c>
      <c r="J24" s="24"/>
      <c r="K24" s="24"/>
      <c r="L24" s="24"/>
      <c r="M24" s="24"/>
      <c r="N24" s="24"/>
    </row>
    <row r="25" spans="1:14" x14ac:dyDescent="0.35">
      <c r="E25" t="s">
        <v>34</v>
      </c>
      <c r="J25" s="24">
        <f>Assumptions!J54*J10</f>
        <v>56320704</v>
      </c>
      <c r="K25" s="24">
        <f>Assumptions!K54*K10</f>
        <v>35463244.799999997</v>
      </c>
      <c r="L25" s="24">
        <f>Assumptions!L54*L10</f>
        <v>34819200</v>
      </c>
      <c r="M25" s="24">
        <f>Assumptions!M54*M10</f>
        <v>33456383.999999996</v>
      </c>
      <c r="N25" s="24">
        <f>Assumptions!N54*N10</f>
        <v>25272000</v>
      </c>
    </row>
    <row r="26" spans="1:14" x14ac:dyDescent="0.35">
      <c r="E26" t="s">
        <v>35</v>
      </c>
      <c r="J26" s="24">
        <f>Assumptions!J55*J11</f>
        <v>51121800</v>
      </c>
      <c r="K26" s="24">
        <f>Assumptions!K55*K11</f>
        <v>63188544</v>
      </c>
      <c r="L26" s="24">
        <f>Assumptions!L55*L11</f>
        <v>77771520</v>
      </c>
      <c r="M26" s="24">
        <f>Assumptions!M55*M11</f>
        <v>60087052.799999997</v>
      </c>
      <c r="N26" s="24">
        <f>Assumptions!N55*N11</f>
        <v>45074880</v>
      </c>
    </row>
    <row r="27" spans="1:14" x14ac:dyDescent="0.35">
      <c r="E27" t="s">
        <v>36</v>
      </c>
      <c r="J27" s="24">
        <f>Assumptions!J56*J12</f>
        <v>46080000</v>
      </c>
      <c r="K27" s="24">
        <f>Assumptions!K56*K12</f>
        <v>128161440</v>
      </c>
      <c r="L27" s="24">
        <f>Assumptions!L56*L12</f>
        <v>84096714.239999995</v>
      </c>
      <c r="M27" s="24">
        <f>Assumptions!M56*M12</f>
        <v>101535600</v>
      </c>
      <c r="N27" s="24">
        <f>Assumptions!N56*N12</f>
        <v>121842720</v>
      </c>
    </row>
    <row r="28" spans="1:14" x14ac:dyDescent="0.35">
      <c r="E28" t="s">
        <v>37</v>
      </c>
      <c r="J28" s="24">
        <f>Assumptions!J57*J13</f>
        <v>29040000</v>
      </c>
      <c r="K28" s="24">
        <f>Assumptions!K57*K13</f>
        <v>53879616</v>
      </c>
      <c r="L28" s="24">
        <f>Assumptions!L57*L13</f>
        <v>79554600</v>
      </c>
      <c r="M28" s="24">
        <f>Assumptions!M57*M13</f>
        <v>103176960</v>
      </c>
      <c r="N28" s="24">
        <f>Assumptions!N57*N13</f>
        <v>103176960</v>
      </c>
    </row>
    <row r="29" spans="1:14" x14ac:dyDescent="0.35">
      <c r="E29" t="s">
        <v>38</v>
      </c>
      <c r="J29" s="24">
        <f>Assumptions!J58*J14</f>
        <v>103699200</v>
      </c>
      <c r="K29" s="24">
        <f>Assumptions!K58*K14</f>
        <v>144484819.19999999</v>
      </c>
      <c r="L29" s="24">
        <f>Assumptions!L58*L14</f>
        <v>94756584</v>
      </c>
      <c r="M29" s="24">
        <f>Assumptions!M58*M14</f>
        <v>229267080</v>
      </c>
      <c r="N29" s="24">
        <f>Assumptions!N58*N14</f>
        <v>137560248</v>
      </c>
    </row>
    <row r="30" spans="1:14" x14ac:dyDescent="0.35">
      <c r="E30" t="s">
        <v>39</v>
      </c>
      <c r="J30" s="24">
        <f>Assumptions!J59*J15</f>
        <v>133056000</v>
      </c>
      <c r="K30" s="24">
        <f>Assumptions!K59*K15</f>
        <v>246134246.40000001</v>
      </c>
      <c r="L30" s="24">
        <f>Assumptions!L59*L15</f>
        <v>242398656</v>
      </c>
      <c r="M30" s="24">
        <f>Assumptions!M59*M15</f>
        <v>293044776</v>
      </c>
      <c r="N30" s="24">
        <f>Assumptions!N59*N15</f>
        <v>351653731.19999999</v>
      </c>
    </row>
    <row r="31" spans="1:14" x14ac:dyDescent="0.35">
      <c r="J31" s="25">
        <f>SUM(J25:J30)</f>
        <v>419317704</v>
      </c>
      <c r="K31" s="25">
        <f>SUM(K25:K30)</f>
        <v>671311910.39999998</v>
      </c>
      <c r="L31" s="25">
        <f>SUM(L25:L30)</f>
        <v>613397274.24000001</v>
      </c>
      <c r="M31" s="25">
        <f>SUM(M25:M30)</f>
        <v>820567852.79999995</v>
      </c>
      <c r="N31" s="25">
        <f>SUM(N25:N30)</f>
        <v>784580539.20000005</v>
      </c>
    </row>
    <row r="32" spans="1:14" x14ac:dyDescent="0.35">
      <c r="J32" s="24"/>
      <c r="K32" s="24"/>
      <c r="L32" s="24"/>
      <c r="M32" s="24"/>
      <c r="N32" s="24"/>
    </row>
    <row r="33" spans="1:14" x14ac:dyDescent="0.35">
      <c r="E33" t="s">
        <v>77</v>
      </c>
      <c r="J33" s="24">
        <f>Assumptions!$I$15*J31</f>
        <v>8386354.0800000001</v>
      </c>
      <c r="K33" s="24">
        <f>Assumptions!$I$15*K31</f>
        <v>13426238.208000001</v>
      </c>
      <c r="L33" s="24">
        <f>Assumptions!$I$15*L31</f>
        <v>12267945.4848</v>
      </c>
      <c r="M33" s="24">
        <f>Assumptions!$I$15*M31</f>
        <v>16411357.056</v>
      </c>
      <c r="N33" s="24">
        <f>Assumptions!$I$15*N31</f>
        <v>15691610.784000002</v>
      </c>
    </row>
    <row r="34" spans="1:14" x14ac:dyDescent="0.35">
      <c r="J34" s="24"/>
      <c r="K34" s="24"/>
      <c r="L34" s="24"/>
      <c r="M34" s="24"/>
      <c r="N34" s="24"/>
    </row>
    <row r="35" spans="1:14" x14ac:dyDescent="0.35">
      <c r="E35" s="12" t="s">
        <v>78</v>
      </c>
      <c r="J35" s="23">
        <f>J33+J31</f>
        <v>427704058.07999998</v>
      </c>
      <c r="K35" s="23">
        <f>K33+K31</f>
        <v>684738148.60799992</v>
      </c>
      <c r="L35" s="23">
        <f>L33+L31</f>
        <v>625665219.72479999</v>
      </c>
      <c r="M35" s="23">
        <f>M33+M31</f>
        <v>836979209.85599995</v>
      </c>
      <c r="N35" s="23">
        <f>N33+N31</f>
        <v>800272149.98400009</v>
      </c>
    </row>
    <row r="36" spans="1:14" x14ac:dyDescent="0.35">
      <c r="J36" s="24"/>
      <c r="K36" s="24"/>
      <c r="L36" s="24"/>
      <c r="M36" s="24"/>
      <c r="N36" s="24"/>
    </row>
    <row r="37" spans="1:14" x14ac:dyDescent="0.35">
      <c r="E37" t="s">
        <v>79</v>
      </c>
      <c r="J37" s="24">
        <v>427704058</v>
      </c>
      <c r="K37" s="24">
        <v>684974439</v>
      </c>
      <c r="L37" s="24">
        <v>625710063</v>
      </c>
      <c r="M37" s="24">
        <v>839173127</v>
      </c>
      <c r="N37" s="24">
        <v>801724499</v>
      </c>
    </row>
    <row r="38" spans="1:14" x14ac:dyDescent="0.35">
      <c r="J38" s="24"/>
      <c r="K38" s="24"/>
      <c r="L38" s="24"/>
      <c r="M38" s="24"/>
      <c r="N38" s="24"/>
    </row>
    <row r="39" spans="1:14" x14ac:dyDescent="0.35">
      <c r="J39" s="24"/>
      <c r="K39" s="24"/>
      <c r="L39" s="24"/>
      <c r="M39" s="24"/>
      <c r="N39" s="24"/>
    </row>
    <row r="40" spans="1:14" s="5" customFormat="1" x14ac:dyDescent="0.35">
      <c r="A40" s="11" t="s">
        <v>80</v>
      </c>
      <c r="C40" s="11"/>
    </row>
    <row r="41" spans="1:14" x14ac:dyDescent="0.35">
      <c r="J41" s="24"/>
      <c r="K41" s="24"/>
      <c r="L41" s="24"/>
      <c r="M41" s="24"/>
      <c r="N41" s="24"/>
    </row>
    <row r="42" spans="1:14" x14ac:dyDescent="0.35">
      <c r="E42" t="s">
        <v>49</v>
      </c>
      <c r="J42" s="24">
        <f>Assumptions!J73*Assumptions!J78*Assumptions!J11</f>
        <v>600000</v>
      </c>
      <c r="K42" s="24">
        <f>Assumptions!K73*Assumptions!K78*Assumptions!K11</f>
        <v>600000</v>
      </c>
      <c r="L42" s="24">
        <f>Assumptions!L73*Assumptions!L78*Assumptions!L11</f>
        <v>1440000</v>
      </c>
      <c r="M42" s="24">
        <f>Assumptions!M73*Assumptions!M78*Assumptions!M11</f>
        <v>1680000</v>
      </c>
      <c r="N42" s="24">
        <f>Assumptions!N73*Assumptions!N78*Assumptions!N11</f>
        <v>1680000</v>
      </c>
    </row>
    <row r="43" spans="1:14" x14ac:dyDescent="0.35">
      <c r="E43" t="s">
        <v>50</v>
      </c>
      <c r="J43" s="24">
        <f>Assumptions!J74*Assumptions!J79*Assumptions!J12</f>
        <v>400000</v>
      </c>
      <c r="K43" s="24">
        <f>Assumptions!K74*Assumptions!K79*Assumptions!K12</f>
        <v>400000</v>
      </c>
      <c r="L43" s="24">
        <f>Assumptions!L74*Assumptions!L79*Assumptions!L12</f>
        <v>600000</v>
      </c>
      <c r="M43" s="24">
        <f>Assumptions!M74*Assumptions!M79*Assumptions!M12</f>
        <v>600000</v>
      </c>
      <c r="N43" s="24">
        <f>Assumptions!N74*Assumptions!N79*Assumptions!N12</f>
        <v>600000</v>
      </c>
    </row>
    <row r="44" spans="1:14" x14ac:dyDescent="0.35">
      <c r="E44" t="s">
        <v>81</v>
      </c>
      <c r="J44" s="25">
        <f>SUM(J42:J43)</f>
        <v>1000000</v>
      </c>
      <c r="K44" s="25">
        <f>SUM(K42:K43)</f>
        <v>1000000</v>
      </c>
      <c r="L44" s="25">
        <f>SUM(L42:L43)</f>
        <v>2040000</v>
      </c>
      <c r="M44" s="25">
        <f>SUM(M42:M43)</f>
        <v>2280000</v>
      </c>
      <c r="N44" s="25">
        <f>SUM(N42:N43)</f>
        <v>2280000</v>
      </c>
    </row>
    <row r="45" spans="1:14" x14ac:dyDescent="0.35">
      <c r="J45" s="24"/>
      <c r="K45" s="24"/>
      <c r="L45" s="24"/>
      <c r="M45" s="24"/>
      <c r="N45" s="24"/>
    </row>
    <row r="46" spans="1:14" x14ac:dyDescent="0.35">
      <c r="J46" s="24"/>
      <c r="K46" s="24"/>
      <c r="L46" s="24"/>
      <c r="M46" s="24"/>
      <c r="N46" s="24"/>
    </row>
    <row r="47" spans="1:14" s="5" customFormat="1" x14ac:dyDescent="0.35">
      <c r="A47" s="11" t="s">
        <v>82</v>
      </c>
      <c r="C47" s="11"/>
    </row>
    <row r="48" spans="1:14" x14ac:dyDescent="0.35">
      <c r="J48" s="24"/>
      <c r="K48" s="24"/>
      <c r="L48" s="24"/>
      <c r="M48" s="24"/>
      <c r="N48" s="24"/>
    </row>
    <row r="49" spans="1:14" x14ac:dyDescent="0.35">
      <c r="E49" t="s">
        <v>87</v>
      </c>
      <c r="J49" s="26">
        <f>Assumptions!J63*Assumptions!J11</f>
        <v>480000</v>
      </c>
      <c r="K49" s="26">
        <f>Assumptions!K63*Assumptions!K11</f>
        <v>550512</v>
      </c>
      <c r="L49" s="26">
        <f>Assumptions!L63*Assumptions!L11</f>
        <v>630171.08640000003</v>
      </c>
      <c r="M49" s="26">
        <f>Assumptions!M63*Assumptions!M11</f>
        <v>718395.03849600011</v>
      </c>
      <c r="N49" s="26">
        <f>Assumptions!N63*Assumptions!N11</f>
        <v>818970.34388544015</v>
      </c>
    </row>
    <row r="50" spans="1:14" x14ac:dyDescent="0.35">
      <c r="E50" t="s">
        <v>46</v>
      </c>
      <c r="J50" s="24">
        <f>Assumptions!J64</f>
        <v>350000</v>
      </c>
      <c r="K50" s="24">
        <f>Assumptions!K64</f>
        <v>401415</v>
      </c>
      <c r="L50" s="24">
        <f>Assumptions!L64</f>
        <v>459499.75050000002</v>
      </c>
      <c r="M50" s="24">
        <f>Assumptions!M64</f>
        <v>523829.71557000006</v>
      </c>
      <c r="N50" s="24">
        <f>Assumptions!N64</f>
        <v>597165.87574980012</v>
      </c>
    </row>
    <row r="51" spans="1:14" x14ac:dyDescent="0.35">
      <c r="E51" t="s">
        <v>84</v>
      </c>
      <c r="J51" s="24">
        <f>Assumptions!J65*Assumptions!J11</f>
        <v>72000</v>
      </c>
      <c r="K51" s="24">
        <f>Assumptions!K65*Assumptions!K11</f>
        <v>82576.800000000003</v>
      </c>
      <c r="L51" s="24">
        <f>Assumptions!L65*Assumptions!L11</f>
        <v>94525.662960000016</v>
      </c>
      <c r="M51" s="24">
        <f>Assumptions!M65*Assumptions!M11</f>
        <v>107759.25577440002</v>
      </c>
      <c r="N51" s="24">
        <f>Assumptions!N65*Assumptions!N11</f>
        <v>122845.55158281606</v>
      </c>
    </row>
    <row r="52" spans="1:14" x14ac:dyDescent="0.35">
      <c r="E52" t="s">
        <v>42</v>
      </c>
      <c r="J52" s="24">
        <f>Assumptions!J66</f>
        <v>700000</v>
      </c>
      <c r="K52" s="24">
        <f>Assumptions!K66</f>
        <v>700000</v>
      </c>
      <c r="L52" s="24">
        <f>Assumptions!L66</f>
        <v>1200000</v>
      </c>
      <c r="M52" s="24">
        <f>Assumptions!M66</f>
        <v>1200000</v>
      </c>
      <c r="N52" s="24">
        <f>Assumptions!N66</f>
        <v>1600000</v>
      </c>
    </row>
    <row r="53" spans="1:14" x14ac:dyDescent="0.35">
      <c r="E53" t="s">
        <v>43</v>
      </c>
      <c r="J53" s="24" cm="1">
        <f t="array" ref="J53">INDEX(Assumptions!$I$19:$I$21,Assumptions!$G$5)*Assumptions!J67*Assumptions!J10*Assumptions!J11</f>
        <v>2400000</v>
      </c>
      <c r="K53" s="24" cm="1">
        <f t="array" ref="K53">INDEX(Assumptions!$I$19:$I$21,Assumptions!$G$5)*Assumptions!K67*Assumptions!K10*Assumptions!K11</f>
        <v>2752560</v>
      </c>
      <c r="L53" s="24" cm="1">
        <f t="array" ref="L53">INDEX(Assumptions!$I$19:$I$21,Assumptions!$G$5)*Assumptions!L67*Assumptions!L10*Assumptions!L11</f>
        <v>3150855.432</v>
      </c>
      <c r="M53" s="24" cm="1">
        <f t="array" ref="M53">INDEX(Assumptions!$I$19:$I$21,Assumptions!$G$5)*Assumptions!M67*Assumptions!M10*Assumptions!M11</f>
        <v>3591975.1924800007</v>
      </c>
      <c r="N53" s="24" cm="1">
        <f t="array" ref="N53">INDEX(Assumptions!$I$19:$I$21,Assumptions!$G$5)*Assumptions!N67*Assumptions!N10*Assumptions!N11</f>
        <v>4094851.7194272014</v>
      </c>
    </row>
    <row r="54" spans="1:14" x14ac:dyDescent="0.35">
      <c r="J54" s="27">
        <f>SUM(J49:J53)</f>
        <v>4002000</v>
      </c>
      <c r="K54" s="27">
        <f>SUM(K49:K53)</f>
        <v>4487063.8</v>
      </c>
      <c r="L54" s="27">
        <f>SUM(L49:L53)</f>
        <v>5535051.9318599999</v>
      </c>
      <c r="M54" s="27">
        <f>SUM(M49:M53)</f>
        <v>6141959.2023204006</v>
      </c>
      <c r="N54" s="27">
        <f>SUM(N49:N53)</f>
        <v>7233833.4906452578</v>
      </c>
    </row>
    <row r="55" spans="1:14" x14ac:dyDescent="0.35">
      <c r="J55" s="24"/>
      <c r="K55" s="24"/>
      <c r="L55" s="24"/>
      <c r="M55" s="24"/>
      <c r="N55" s="24"/>
    </row>
    <row r="56" spans="1:14" x14ac:dyDescent="0.35">
      <c r="E56" t="s">
        <v>85</v>
      </c>
      <c r="J56" s="24">
        <f>Assumptions!H111</f>
        <v>930000</v>
      </c>
      <c r="K56" s="24"/>
      <c r="L56" s="24"/>
      <c r="M56" s="24"/>
      <c r="N56" s="24"/>
    </row>
    <row r="57" spans="1:14" x14ac:dyDescent="0.35">
      <c r="J57" s="24"/>
      <c r="K57" s="24"/>
      <c r="L57" s="24"/>
      <c r="M57" s="24"/>
      <c r="N57" s="24"/>
    </row>
    <row r="58" spans="1:14" x14ac:dyDescent="0.35">
      <c r="E58" t="s">
        <v>86</v>
      </c>
      <c r="J58" s="25">
        <f>J54+J56</f>
        <v>4932000</v>
      </c>
      <c r="K58" s="25">
        <f>K54+K56</f>
        <v>4487063.8</v>
      </c>
      <c r="L58" s="25">
        <f>L54+L56</f>
        <v>5535051.9318599999</v>
      </c>
      <c r="M58" s="25">
        <f>M54+M56</f>
        <v>6141959.2023204006</v>
      </c>
      <c r="N58" s="25">
        <f>N54+N56</f>
        <v>7233833.4906452578</v>
      </c>
    </row>
    <row r="59" spans="1:14" x14ac:dyDescent="0.35">
      <c r="J59" s="24"/>
      <c r="K59" s="24"/>
      <c r="L59" s="24"/>
      <c r="M59" s="24"/>
      <c r="N59" s="24"/>
    </row>
    <row r="60" spans="1:14" x14ac:dyDescent="0.35">
      <c r="J60" s="24"/>
      <c r="K60" s="24"/>
      <c r="L60" s="24"/>
      <c r="M60" s="24"/>
      <c r="N60" s="24"/>
    </row>
    <row r="61" spans="1:14" s="5" customFormat="1" x14ac:dyDescent="0.35">
      <c r="A61" s="11" t="s">
        <v>88</v>
      </c>
      <c r="C61" s="11"/>
    </row>
    <row r="62" spans="1:14" x14ac:dyDescent="0.35">
      <c r="J62" s="24"/>
      <c r="K62" s="24"/>
      <c r="L62" s="24"/>
      <c r="M62" s="24"/>
      <c r="N62" s="24"/>
    </row>
    <row r="63" spans="1:14" x14ac:dyDescent="0.35">
      <c r="C63" s="12" t="s">
        <v>104</v>
      </c>
      <c r="J63" s="24"/>
      <c r="K63" s="24"/>
      <c r="L63" s="24"/>
      <c r="M63" s="24"/>
      <c r="N63" s="24"/>
    </row>
    <row r="64" spans="1:14" x14ac:dyDescent="0.35">
      <c r="E64" t="s">
        <v>63</v>
      </c>
      <c r="J64" s="13">
        <f>CAPEX!J42</f>
        <v>460000</v>
      </c>
      <c r="K64" s="13">
        <f>CAPEX!K42</f>
        <v>0</v>
      </c>
      <c r="L64" s="13">
        <f>CAPEX!L42</f>
        <v>0</v>
      </c>
      <c r="M64" s="13">
        <f>CAPEX!M42</f>
        <v>0</v>
      </c>
      <c r="N64" s="13">
        <f>CAPEX!N42</f>
        <v>784846.57955688005</v>
      </c>
    </row>
    <row r="65" spans="3:14" x14ac:dyDescent="0.35">
      <c r="E65" t="s">
        <v>64</v>
      </c>
      <c r="J65" s="13">
        <f>CAPEX!J43</f>
        <v>150000</v>
      </c>
      <c r="K65" s="13">
        <f>CAPEX!K43</f>
        <v>0</v>
      </c>
      <c r="L65" s="13">
        <f>CAPEX!L43</f>
        <v>196928.4645</v>
      </c>
      <c r="M65" s="13">
        <f>CAPEX!M43</f>
        <v>0</v>
      </c>
      <c r="N65" s="13">
        <f>CAPEX!N43</f>
        <v>511856.46492840006</v>
      </c>
    </row>
    <row r="66" spans="3:14" x14ac:dyDescent="0.35">
      <c r="E66" t="s">
        <v>65</v>
      </c>
      <c r="J66" s="13">
        <f>CAPEX!J44</f>
        <v>240000</v>
      </c>
      <c r="K66" s="13">
        <f>CAPEX!K44</f>
        <v>0</v>
      </c>
      <c r="L66" s="13">
        <f>CAPEX!L44</f>
        <v>630171.08640000003</v>
      </c>
      <c r="M66" s="13">
        <f>CAPEX!M44</f>
        <v>0</v>
      </c>
      <c r="N66" s="13">
        <f>CAPEX!N44</f>
        <v>0</v>
      </c>
    </row>
    <row r="67" spans="3:14" x14ac:dyDescent="0.35">
      <c r="J67" s="25">
        <f>SUM(J64:J66)</f>
        <v>850000</v>
      </c>
      <c r="K67" s="25">
        <f>SUM(K64:K66)</f>
        <v>0</v>
      </c>
      <c r="L67" s="25">
        <f>SUM(L64:L66)</f>
        <v>827099.55090000003</v>
      </c>
      <c r="M67" s="25">
        <f>SUM(M64:M66)</f>
        <v>0</v>
      </c>
      <c r="N67" s="25">
        <f>SUM(N64:N66)</f>
        <v>1296703.0444852801</v>
      </c>
    </row>
    <row r="68" spans="3:14" x14ac:dyDescent="0.35">
      <c r="J68" s="24"/>
      <c r="K68" s="24"/>
      <c r="L68" s="24"/>
      <c r="M68" s="24"/>
      <c r="N68" s="24"/>
    </row>
    <row r="69" spans="3:14" x14ac:dyDescent="0.35">
      <c r="C69" s="12" t="s">
        <v>101</v>
      </c>
      <c r="J69" s="24"/>
      <c r="K69" s="24"/>
      <c r="L69" s="24"/>
      <c r="M69" s="24"/>
      <c r="N69" s="24"/>
    </row>
    <row r="70" spans="3:14" x14ac:dyDescent="0.35">
      <c r="E70" t="s">
        <v>63</v>
      </c>
      <c r="J70" s="13">
        <f ca="1">CAPEX!J61</f>
        <v>92000</v>
      </c>
      <c r="K70" s="13">
        <f ca="1">CAPEX!K61</f>
        <v>92000</v>
      </c>
      <c r="L70" s="13">
        <f ca="1">CAPEX!L61</f>
        <v>92000</v>
      </c>
      <c r="M70" s="13">
        <f ca="1">CAPEX!M61</f>
        <v>92000</v>
      </c>
      <c r="N70" s="13">
        <f ca="1">CAPEX!N61</f>
        <v>248969.315911376</v>
      </c>
    </row>
    <row r="71" spans="3:14" x14ac:dyDescent="0.35">
      <c r="E71" t="s">
        <v>64</v>
      </c>
      <c r="J71" s="13">
        <f ca="1">CAPEX!J62</f>
        <v>50000</v>
      </c>
      <c r="K71" s="13">
        <f ca="1">CAPEX!K62</f>
        <v>50000</v>
      </c>
      <c r="L71" s="13">
        <f ca="1">CAPEX!L62</f>
        <v>115642.82150000001</v>
      </c>
      <c r="M71" s="13">
        <f ca="1">CAPEX!M62</f>
        <v>65642.821500000005</v>
      </c>
      <c r="N71" s="13">
        <f ca="1">CAPEX!N62</f>
        <v>236261.64314279999</v>
      </c>
    </row>
    <row r="72" spans="3:14" x14ac:dyDescent="0.35">
      <c r="E72" t="s">
        <v>65</v>
      </c>
      <c r="J72" s="13">
        <f ca="1">CAPEX!J63</f>
        <v>80000</v>
      </c>
      <c r="K72" s="13">
        <f ca="1">CAPEX!K63</f>
        <v>80000</v>
      </c>
      <c r="L72" s="13">
        <f ca="1">CAPEX!L63</f>
        <v>290057.02880000003</v>
      </c>
      <c r="M72" s="13">
        <f ca="1">CAPEX!M63</f>
        <v>210057.0288</v>
      </c>
      <c r="N72" s="13">
        <f ca="1">CAPEX!N63</f>
        <v>210057.0288</v>
      </c>
    </row>
    <row r="73" spans="3:14" x14ac:dyDescent="0.35">
      <c r="J73" s="25">
        <f ca="1">SUM(J70:J72)</f>
        <v>222000</v>
      </c>
      <c r="K73" s="25">
        <f ca="1">SUM(K70:K72)</f>
        <v>222000</v>
      </c>
      <c r="L73" s="25">
        <f ca="1">SUM(L70:L72)</f>
        <v>497699.85030000005</v>
      </c>
      <c r="M73" s="25">
        <f ca="1">SUM(M70:M72)</f>
        <v>367699.85030000005</v>
      </c>
      <c r="N73" s="25">
        <f ca="1">SUM(N70:N72)</f>
        <v>695287.98785417597</v>
      </c>
    </row>
    <row r="74" spans="3:14" x14ac:dyDescent="0.35">
      <c r="J74" s="24"/>
      <c r="K74" s="24"/>
      <c r="L74" s="24"/>
      <c r="M74" s="24"/>
      <c r="N74" s="24"/>
    </row>
    <row r="75" spans="3:14" x14ac:dyDescent="0.35">
      <c r="C75" s="12" t="s">
        <v>105</v>
      </c>
      <c r="J75" s="24"/>
      <c r="K75" s="24"/>
      <c r="L75" s="24"/>
      <c r="M75" s="24"/>
      <c r="N75" s="24"/>
    </row>
    <row r="76" spans="3:14" x14ac:dyDescent="0.35">
      <c r="E76" t="s">
        <v>63</v>
      </c>
      <c r="J76" s="13">
        <f ca="1">CAPEX!J74</f>
        <v>368000</v>
      </c>
      <c r="K76" s="13">
        <f ca="1">CAPEX!K74</f>
        <v>276000</v>
      </c>
      <c r="L76" s="13">
        <f ca="1">CAPEX!L74</f>
        <v>184000</v>
      </c>
      <c r="M76" s="13">
        <f ca="1">CAPEX!M74</f>
        <v>92000</v>
      </c>
      <c r="N76" s="13">
        <f ca="1">CAPEX!N74</f>
        <v>627877.26364550402</v>
      </c>
    </row>
    <row r="77" spans="3:14" x14ac:dyDescent="0.35">
      <c r="E77" t="s">
        <v>64</v>
      </c>
      <c r="J77" s="13">
        <f ca="1">CAPEX!J75</f>
        <v>100000</v>
      </c>
      <c r="K77" s="13">
        <f ca="1">CAPEX!K75</f>
        <v>50000</v>
      </c>
      <c r="L77" s="13">
        <f ca="1">CAPEX!L75</f>
        <v>131285.64299999998</v>
      </c>
      <c r="M77" s="13">
        <f ca="1">CAPEX!M75</f>
        <v>65642.821499999962</v>
      </c>
      <c r="N77" s="13">
        <f ca="1">CAPEX!N75</f>
        <v>341237.6432856</v>
      </c>
    </row>
    <row r="78" spans="3:14" x14ac:dyDescent="0.35">
      <c r="E78" t="s">
        <v>65</v>
      </c>
      <c r="J78" s="13">
        <f ca="1">CAPEX!J76</f>
        <v>160000</v>
      </c>
      <c r="K78" s="13">
        <f ca="1">CAPEX!K76</f>
        <v>80000</v>
      </c>
      <c r="L78" s="13">
        <f ca="1">CAPEX!L76</f>
        <v>420114.0576</v>
      </c>
      <c r="M78" s="13">
        <f ca="1">CAPEX!M76</f>
        <v>210057.02879999997</v>
      </c>
      <c r="N78" s="13">
        <f ca="1">CAPEX!N76</f>
        <v>0</v>
      </c>
    </row>
    <row r="79" spans="3:14" x14ac:dyDescent="0.35">
      <c r="J79" s="25">
        <f ca="1">SUM(J76:J78)</f>
        <v>628000</v>
      </c>
      <c r="K79" s="25">
        <f ca="1">SUM(K76:K78)</f>
        <v>406000</v>
      </c>
      <c r="L79" s="25">
        <f ca="1">SUM(L76:L78)</f>
        <v>735399.70059999998</v>
      </c>
      <c r="M79" s="25">
        <f ca="1">SUM(M76:M78)</f>
        <v>367699.85029999993</v>
      </c>
      <c r="N79" s="25">
        <f ca="1">SUM(N76:N78)</f>
        <v>969114.90693110402</v>
      </c>
    </row>
    <row r="80" spans="3:14" x14ac:dyDescent="0.35">
      <c r="J80" s="24"/>
      <c r="K80" s="24"/>
      <c r="L80" s="24"/>
      <c r="M80" s="24"/>
      <c r="N80" s="24"/>
    </row>
    <row r="81" spans="1:14" s="5" customFormat="1" x14ac:dyDescent="0.35">
      <c r="A81" s="11" t="s">
        <v>120</v>
      </c>
      <c r="C81" s="11"/>
    </row>
    <row r="82" spans="1:14" x14ac:dyDescent="0.35">
      <c r="J82" s="24"/>
      <c r="K82" s="24"/>
      <c r="L82" s="24"/>
      <c r="M82" s="24"/>
      <c r="N82" s="24"/>
    </row>
    <row r="83" spans="1:14" x14ac:dyDescent="0.35">
      <c r="E83" t="s">
        <v>121</v>
      </c>
      <c r="J83" s="13">
        <f>J67</f>
        <v>850000</v>
      </c>
      <c r="K83" s="24"/>
      <c r="L83" s="24"/>
      <c r="M83" s="24"/>
      <c r="N83" s="24"/>
    </row>
    <row r="84" spans="1:14" x14ac:dyDescent="0.35">
      <c r="E84" t="s">
        <v>122</v>
      </c>
      <c r="J84" s="24"/>
      <c r="K84" s="24"/>
      <c r="L84" s="24"/>
      <c r="M84" s="24"/>
      <c r="N84" s="24"/>
    </row>
    <row r="85" spans="1:14" x14ac:dyDescent="0.35">
      <c r="E85" t="s">
        <v>123</v>
      </c>
      <c r="J85" s="13">
        <f>J56</f>
        <v>930000</v>
      </c>
      <c r="K85" s="24"/>
      <c r="L85" s="24"/>
      <c r="M85" s="24"/>
      <c r="N85" s="24"/>
    </row>
    <row r="86" spans="1:14" x14ac:dyDescent="0.35">
      <c r="E86" t="s">
        <v>124</v>
      </c>
      <c r="H86" s="29">
        <v>3</v>
      </c>
      <c r="J86" s="13">
        <f>J44*H86/Assumptions!J11</f>
        <v>250000</v>
      </c>
      <c r="K86" s="24"/>
      <c r="L86" s="24"/>
      <c r="M86" s="24"/>
      <c r="N86" s="24"/>
    </row>
    <row r="87" spans="1:14" x14ac:dyDescent="0.35">
      <c r="E87" t="s">
        <v>107</v>
      </c>
      <c r="H87" s="29">
        <v>3</v>
      </c>
      <c r="J87" s="13">
        <f>J31*H87/Assumptions!J11</f>
        <v>104829426</v>
      </c>
      <c r="K87" s="24"/>
      <c r="L87" s="24"/>
      <c r="M87" s="24"/>
      <c r="N87" s="24"/>
    </row>
    <row r="88" spans="1:14" x14ac:dyDescent="0.35">
      <c r="E88" t="s">
        <v>125</v>
      </c>
      <c r="H88" s="29">
        <v>3</v>
      </c>
      <c r="J88" s="13">
        <f>J54*H88/Assumptions!J11</f>
        <v>1000500</v>
      </c>
      <c r="K88" s="24"/>
      <c r="L88" s="24"/>
      <c r="M88" s="24"/>
      <c r="N88" s="24"/>
    </row>
    <row r="89" spans="1:14" x14ac:dyDescent="0.35">
      <c r="J89" s="24">
        <f>SUM(J85:J88)</f>
        <v>107009926</v>
      </c>
      <c r="K89" s="24"/>
      <c r="L89" s="24"/>
      <c r="M89" s="24"/>
      <c r="N89" s="24"/>
    </row>
    <row r="90" spans="1:14" x14ac:dyDescent="0.35">
      <c r="J90" s="24"/>
      <c r="K90" s="24"/>
      <c r="L90" s="24"/>
      <c r="M90" s="24"/>
      <c r="N90" s="24"/>
    </row>
    <row r="91" spans="1:14" x14ac:dyDescent="0.35">
      <c r="E91" t="s">
        <v>116</v>
      </c>
      <c r="J91" s="21">
        <f>Assumptions!F117*J89</f>
        <v>85607940.800000012</v>
      </c>
      <c r="K91" s="24"/>
      <c r="L91" s="24"/>
      <c r="M91" s="24"/>
      <c r="N91" s="24"/>
    </row>
    <row r="92" spans="1:14" x14ac:dyDescent="0.35">
      <c r="E92" t="s">
        <v>152</v>
      </c>
      <c r="J92" s="24">
        <f>Assumptions!F118*J89</f>
        <v>21401985.199999996</v>
      </c>
      <c r="K92" s="24"/>
      <c r="L92" s="24"/>
      <c r="M92" s="24"/>
      <c r="N92" s="24"/>
    </row>
    <row r="93" spans="1:14" x14ac:dyDescent="0.35">
      <c r="J93" s="24"/>
      <c r="K93" s="24"/>
      <c r="L93" s="24"/>
      <c r="M93" s="24"/>
      <c r="N93" s="24"/>
    </row>
    <row r="94" spans="1:14" x14ac:dyDescent="0.35">
      <c r="J94" s="24"/>
      <c r="K94" s="24"/>
      <c r="L94" s="24"/>
      <c r="M94" s="24"/>
      <c r="N94" s="24"/>
    </row>
    <row r="95" spans="1:14" x14ac:dyDescent="0.35">
      <c r="J95" s="24"/>
      <c r="K95" s="24"/>
      <c r="L95" s="24"/>
      <c r="M95" s="24"/>
      <c r="N95" s="24"/>
    </row>
    <row r="96" spans="1:14" s="5" customFormat="1" x14ac:dyDescent="0.35">
      <c r="A96" s="11" t="s">
        <v>136</v>
      </c>
      <c r="C96" s="11"/>
    </row>
    <row r="97" spans="1:14" x14ac:dyDescent="0.35">
      <c r="J97" s="24"/>
      <c r="K97" s="24"/>
      <c r="L97" s="24"/>
      <c r="M97" s="24"/>
      <c r="N97" s="24"/>
    </row>
    <row r="98" spans="1:14" x14ac:dyDescent="0.35">
      <c r="E98" t="s">
        <v>137</v>
      </c>
      <c r="J98" s="13">
        <f>J18/Assumptions!J11</f>
        <v>3628000</v>
      </c>
      <c r="K98" s="13">
        <f>K18/Assumptions!K11</f>
        <v>5776960</v>
      </c>
      <c r="L98" s="13">
        <f>L18/Assumptions!L11</f>
        <v>5288200</v>
      </c>
      <c r="M98" s="13">
        <f>M18/Assumptions!M11</f>
        <v>7048750</v>
      </c>
      <c r="N98" s="13">
        <f>N18/Assumptions!N11</f>
        <v>6731330</v>
      </c>
    </row>
    <row r="99" spans="1:14" x14ac:dyDescent="0.35">
      <c r="J99" s="24"/>
      <c r="K99" s="24"/>
      <c r="L99" s="24"/>
      <c r="M99" s="24"/>
      <c r="N99" s="24"/>
    </row>
    <row r="100" spans="1:14" x14ac:dyDescent="0.35">
      <c r="J100" s="24"/>
      <c r="K100" s="24"/>
      <c r="L100" s="24"/>
      <c r="M100" s="24"/>
      <c r="N100" s="24"/>
    </row>
    <row r="101" spans="1:14" s="5" customFormat="1" x14ac:dyDescent="0.35">
      <c r="A101" s="11" t="s">
        <v>179</v>
      </c>
      <c r="C101" s="11"/>
    </row>
    <row r="102" spans="1:14" x14ac:dyDescent="0.35">
      <c r="J102" s="24"/>
      <c r="K102" s="24"/>
      <c r="L102" s="24"/>
      <c r="M102" s="24"/>
      <c r="N102" s="24"/>
    </row>
    <row r="103" spans="1:14" x14ac:dyDescent="0.35">
      <c r="E103" t="s">
        <v>98</v>
      </c>
      <c r="J103" s="35">
        <f>I108</f>
        <v>0</v>
      </c>
      <c r="K103" s="35">
        <f t="shared" ref="K103:N103" si="0">J108</f>
        <v>20331885.939999998</v>
      </c>
      <c r="L103" s="35">
        <f t="shared" si="0"/>
        <v>19315291.642999999</v>
      </c>
      <c r="M103" s="35">
        <f t="shared" si="0"/>
        <v>18349527.060849998</v>
      </c>
      <c r="N103" s="35">
        <f t="shared" si="0"/>
        <v>0</v>
      </c>
    </row>
    <row r="104" spans="1:14" x14ac:dyDescent="0.35">
      <c r="E104" t="s">
        <v>180</v>
      </c>
      <c r="J104" s="35">
        <f>J92</f>
        <v>21401985.199999996</v>
      </c>
      <c r="K104" s="35">
        <f>K92</f>
        <v>0</v>
      </c>
      <c r="L104" s="35">
        <f>L92</f>
        <v>0</v>
      </c>
      <c r="M104" s="35">
        <f>M92</f>
        <v>0</v>
      </c>
      <c r="N104" s="35">
        <f>N92</f>
        <v>0</v>
      </c>
    </row>
    <row r="105" spans="1:14" x14ac:dyDescent="0.35">
      <c r="E105" t="s">
        <v>181</v>
      </c>
      <c r="J105" s="35">
        <f>SUM(J103:J104)*Assumptions!$F$121</f>
        <v>2140198.5199999996</v>
      </c>
      <c r="K105" s="35">
        <f>SUM(K103:K104)*Assumptions!$F$121</f>
        <v>2033188.5939999998</v>
      </c>
      <c r="L105" s="35">
        <f>SUM(L103:L104)*Assumptions!$F$121</f>
        <v>1931529.1643000001</v>
      </c>
      <c r="M105" s="35">
        <f>SUM(M103:M104)*Assumptions!$F$121</f>
        <v>1834952.706085</v>
      </c>
      <c r="N105" s="35">
        <f>SUM(N103:N104)*Assumptions!$F$121</f>
        <v>0</v>
      </c>
    </row>
    <row r="106" spans="1:14" x14ac:dyDescent="0.35">
      <c r="E106" t="s">
        <v>182</v>
      </c>
      <c r="J106" s="35">
        <f>-SUM(J103:J104)*Assumptions!$F$122</f>
        <v>-3210297.7799999993</v>
      </c>
      <c r="K106" s="35">
        <f>-SUM(K103:K104)*Assumptions!$F$122</f>
        <v>-3049782.8909999994</v>
      </c>
      <c r="L106" s="35">
        <f>-SUM(L103:L104)*Assumptions!$F$122</f>
        <v>-2897293.74645</v>
      </c>
      <c r="M106" s="35">
        <f>-SUM(M103:M104)*Assumptions!$F$122</f>
        <v>-2752429.0591274998</v>
      </c>
      <c r="N106" s="35">
        <f>-SUM(N103:N104)*Assumptions!$F$122</f>
        <v>0</v>
      </c>
    </row>
    <row r="107" spans="1:14" x14ac:dyDescent="0.35">
      <c r="E107" t="s">
        <v>183</v>
      </c>
      <c r="J107" s="35">
        <f>IF(Assumptions!$F$124=Assumptions!J5,-SUM(J103:J106),0)</f>
        <v>0</v>
      </c>
      <c r="K107" s="35">
        <f>IF(Assumptions!$F$124=Assumptions!K5,-SUM(K103:K106),0)</f>
        <v>0</v>
      </c>
      <c r="L107" s="35">
        <f>IF(Assumptions!$F$124=Assumptions!L5,-SUM(L103:L106),0)</f>
        <v>0</v>
      </c>
      <c r="M107" s="35">
        <f>IF(Assumptions!$F$124=Assumptions!M5,-SUM(M103:M106),0)</f>
        <v>-17432050.7078075</v>
      </c>
      <c r="N107" s="35">
        <f>IF(Assumptions!$F$124=Assumptions!N5,-SUM(N103:N106),0)</f>
        <v>0</v>
      </c>
    </row>
    <row r="108" spans="1:14" x14ac:dyDescent="0.35">
      <c r="E108" t="s">
        <v>133</v>
      </c>
      <c r="J108" s="35">
        <f>SUM(J103:J107)</f>
        <v>20331885.939999998</v>
      </c>
      <c r="K108" s="35">
        <f t="shared" ref="K108:N108" si="1">SUM(K103:K107)</f>
        <v>19315291.642999999</v>
      </c>
      <c r="L108" s="35">
        <f t="shared" si="1"/>
        <v>18349527.060849998</v>
      </c>
      <c r="M108" s="35">
        <f t="shared" si="1"/>
        <v>0</v>
      </c>
      <c r="N108" s="35">
        <f t="shared" si="1"/>
        <v>0</v>
      </c>
    </row>
    <row r="109" spans="1:14" x14ac:dyDescent="0.35">
      <c r="J109" s="24"/>
      <c r="K109" s="24"/>
      <c r="L109" s="24"/>
      <c r="M109" s="24"/>
      <c r="N109" s="24"/>
    </row>
    <row r="110" spans="1:14" x14ac:dyDescent="0.35">
      <c r="J110" s="24"/>
      <c r="K110" s="24"/>
      <c r="L110" s="24"/>
      <c r="M110" s="24"/>
      <c r="N110" s="24"/>
    </row>
    <row r="111" spans="1:14" s="5" customFormat="1" x14ac:dyDescent="0.35">
      <c r="A111" s="11" t="s">
        <v>134</v>
      </c>
      <c r="C111" s="11"/>
    </row>
    <row r="112" spans="1:14" x14ac:dyDescent="0.35">
      <c r="J112" s="24"/>
      <c r="K112" s="24"/>
      <c r="L112" s="24"/>
      <c r="M112" s="24"/>
      <c r="N112" s="24"/>
    </row>
    <row r="113" spans="1:14" x14ac:dyDescent="0.35">
      <c r="E113" t="s">
        <v>129</v>
      </c>
      <c r="J113" s="24">
        <f ca="1">'financial statement '!J24</f>
        <v>7748097.4800000004</v>
      </c>
      <c r="K113" s="24">
        <f ca="1">'financial statement '!K24</f>
        <v>14181037.206000023</v>
      </c>
      <c r="L113" s="24">
        <f ca="1">'financial statement '!L24</f>
        <v>11182444.813539991</v>
      </c>
      <c r="M113" s="24">
        <f ca="1">'financial statement '!M24</f>
        <v>14657535.441294648</v>
      </c>
      <c r="N113" s="24">
        <f ca="1">'financial statement '!N24</f>
        <v>12969939.321500517</v>
      </c>
    </row>
    <row r="114" spans="1:14" x14ac:dyDescent="0.35">
      <c r="J114" s="24"/>
      <c r="K114" s="24"/>
      <c r="L114" s="24"/>
      <c r="M114" s="24"/>
      <c r="N114" s="24"/>
    </row>
    <row r="115" spans="1:14" x14ac:dyDescent="0.35">
      <c r="E115" t="s">
        <v>135</v>
      </c>
      <c r="J115" s="24" t="b">
        <f ca="1">J113&gt;0</f>
        <v>1</v>
      </c>
      <c r="K115" s="24" t="b">
        <f t="shared" ref="K115:N115" ca="1" si="2">K113&gt;0</f>
        <v>1</v>
      </c>
      <c r="L115" s="24" t="b">
        <f t="shared" ca="1" si="2"/>
        <v>1</v>
      </c>
      <c r="M115" s="24" t="b">
        <f t="shared" ca="1" si="2"/>
        <v>1</v>
      </c>
      <c r="N115" s="24" t="b">
        <f t="shared" ca="1" si="2"/>
        <v>1</v>
      </c>
    </row>
    <row r="116" spans="1:14" x14ac:dyDescent="0.35">
      <c r="J116" s="24"/>
      <c r="K116" s="24"/>
      <c r="L116" s="24"/>
      <c r="M116" s="24"/>
      <c r="N116" s="24"/>
    </row>
    <row r="117" spans="1:14" x14ac:dyDescent="0.35">
      <c r="E117" t="s">
        <v>130</v>
      </c>
      <c r="J117" s="35">
        <f>I120</f>
        <v>0</v>
      </c>
      <c r="K117" s="35">
        <f t="shared" ref="K117:N117" ca="1" si="3">J120</f>
        <v>1549619.4960000003</v>
      </c>
      <c r="L117" s="35">
        <f t="shared" ca="1" si="3"/>
        <v>2836207.4412000049</v>
      </c>
      <c r="M117" s="35">
        <f t="shared" ca="1" si="3"/>
        <v>2236488.9627079982</v>
      </c>
      <c r="N117" s="35">
        <f t="shared" ca="1" si="3"/>
        <v>2931507.0882589296</v>
      </c>
    </row>
    <row r="118" spans="1:14" x14ac:dyDescent="0.35">
      <c r="E118" t="s">
        <v>131</v>
      </c>
      <c r="J118" s="35">
        <f ca="1">IF(J115=TRUE,J113*Assumptions!$I$16,0)</f>
        <v>1549619.4960000003</v>
      </c>
      <c r="K118" s="35">
        <f ca="1">IF(K115=TRUE,K113*Assumptions!$I$16,0)</f>
        <v>2836207.4412000049</v>
      </c>
      <c r="L118" s="35">
        <f ca="1">IF(L115=TRUE,L113*Assumptions!$I$16,0)</f>
        <v>2236488.9627079982</v>
      </c>
      <c r="M118" s="35">
        <f ca="1">IF(M115=TRUE,M113*Assumptions!$I$16,0)</f>
        <v>2931507.0882589296</v>
      </c>
      <c r="N118" s="35">
        <f ca="1">IF(N115=TRUE,N113*Assumptions!$I$16,0)</f>
        <v>2593987.8643001039</v>
      </c>
    </row>
    <row r="119" spans="1:14" x14ac:dyDescent="0.35">
      <c r="E119" t="s">
        <v>132</v>
      </c>
      <c r="J119" s="35">
        <f>-I118</f>
        <v>0</v>
      </c>
      <c r="K119" s="35">
        <f t="shared" ref="K119:N119" ca="1" si="4">-J118</f>
        <v>-1549619.4960000003</v>
      </c>
      <c r="L119" s="35">
        <f t="shared" ca="1" si="4"/>
        <v>-2836207.4412000049</v>
      </c>
      <c r="M119" s="35">
        <f t="shared" ca="1" si="4"/>
        <v>-2236488.9627079982</v>
      </c>
      <c r="N119" s="35">
        <f t="shared" ca="1" si="4"/>
        <v>-2931507.0882589296</v>
      </c>
    </row>
    <row r="120" spans="1:14" x14ac:dyDescent="0.35">
      <c r="E120" t="s">
        <v>133</v>
      </c>
      <c r="J120" s="35">
        <f ca="1">SUM(J117:J119)</f>
        <v>1549619.4960000003</v>
      </c>
      <c r="K120" s="35">
        <f t="shared" ref="K120:N120" ca="1" si="5">SUM(K117:K119)</f>
        <v>2836207.4412000049</v>
      </c>
      <c r="L120" s="35">
        <f t="shared" ca="1" si="5"/>
        <v>2236488.9627079982</v>
      </c>
      <c r="M120" s="35">
        <f t="shared" ca="1" si="5"/>
        <v>2931507.0882589296</v>
      </c>
      <c r="N120" s="35">
        <f t="shared" ca="1" si="5"/>
        <v>2593987.8643001039</v>
      </c>
    </row>
    <row r="121" spans="1:14" x14ac:dyDescent="0.35">
      <c r="J121" s="24"/>
      <c r="K121" s="24"/>
      <c r="L121" s="24"/>
      <c r="M121" s="24"/>
      <c r="N121" s="24"/>
    </row>
    <row r="122" spans="1:14" x14ac:dyDescent="0.35">
      <c r="J122" s="24"/>
      <c r="K122" s="24"/>
      <c r="L122" s="24"/>
      <c r="M122" s="24"/>
      <c r="N122" s="24"/>
    </row>
    <row r="123" spans="1:14" s="5" customFormat="1" x14ac:dyDescent="0.35">
      <c r="A123" s="11" t="s">
        <v>184</v>
      </c>
      <c r="C123" s="11"/>
    </row>
    <row r="124" spans="1:14" x14ac:dyDescent="0.35">
      <c r="J124" s="24"/>
      <c r="K124" s="24"/>
      <c r="L124" s="24"/>
      <c r="M124" s="24"/>
      <c r="N124" s="24"/>
    </row>
    <row r="125" spans="1:14" x14ac:dyDescent="0.35">
      <c r="E125" t="s">
        <v>185</v>
      </c>
      <c r="J125" s="24">
        <f ca="1">'financial statement '!J28</f>
        <v>6198477.9840000002</v>
      </c>
      <c r="K125" s="24">
        <f ca="1">'financial statement '!K28</f>
        <v>11344829.764800018</v>
      </c>
      <c r="L125" s="24">
        <f ca="1">'financial statement '!L28</f>
        <v>8945955.8508319929</v>
      </c>
      <c r="M125" s="24">
        <f ca="1">'financial statement '!M28</f>
        <v>11726028.353035718</v>
      </c>
      <c r="N125" s="24">
        <f ca="1">'financial statement '!N28</f>
        <v>10375951.457200414</v>
      </c>
    </row>
    <row r="126" spans="1:14" x14ac:dyDescent="0.35">
      <c r="J126" s="24"/>
      <c r="K126" s="24"/>
      <c r="L126" s="24"/>
      <c r="M126" s="24"/>
      <c r="N126" s="24"/>
    </row>
    <row r="127" spans="1:14" x14ac:dyDescent="0.35">
      <c r="E127" t="s">
        <v>186</v>
      </c>
      <c r="J127" s="24" t="b">
        <f ca="1">J125&gt;=Assumptions!F120</f>
        <v>1</v>
      </c>
      <c r="K127" s="24" t="b">
        <f ca="1">K125&gt;=Assumptions!G120</f>
        <v>1</v>
      </c>
      <c r="L127" s="24" t="b">
        <f ca="1">L125&gt;=Assumptions!H120</f>
        <v>1</v>
      </c>
      <c r="M127" s="24" t="b">
        <f ca="1">M125&gt;=Assumptions!I120</f>
        <v>1</v>
      </c>
      <c r="N127" s="24" t="b">
        <f ca="1">N125&gt;=Assumptions!J120</f>
        <v>1</v>
      </c>
    </row>
    <row r="128" spans="1:14" x14ac:dyDescent="0.35">
      <c r="J128" s="24"/>
      <c r="K128" s="24"/>
      <c r="L128" s="24"/>
      <c r="M128" s="24"/>
      <c r="N128" s="24"/>
    </row>
    <row r="129" spans="1:14" x14ac:dyDescent="0.35">
      <c r="E129" t="s">
        <v>130</v>
      </c>
      <c r="J129" s="35">
        <f>I132</f>
        <v>0</v>
      </c>
      <c r="K129" s="35">
        <f t="shared" ref="K129:N129" ca="1" si="6">J132</f>
        <v>929771.69759999996</v>
      </c>
      <c r="L129" s="35">
        <f t="shared" ca="1" si="6"/>
        <v>1701724.4647200024</v>
      </c>
      <c r="M129" s="35">
        <f t="shared" ca="1" si="6"/>
        <v>1341893.3776247983</v>
      </c>
      <c r="N129" s="35">
        <f t="shared" ca="1" si="6"/>
        <v>1758904.2529553573</v>
      </c>
    </row>
    <row r="130" spans="1:14" x14ac:dyDescent="0.35">
      <c r="E130" t="s">
        <v>187</v>
      </c>
      <c r="J130" s="35">
        <f ca="1">IF(J127=TRUE,Assumptions!$F$119*J125,0)</f>
        <v>929771.69759999996</v>
      </c>
      <c r="K130" s="35">
        <f ca="1">IF(K127=TRUE,Assumptions!$F$119*K125,0)</f>
        <v>1701724.4647200026</v>
      </c>
      <c r="L130" s="35">
        <f ca="1">IF(L127=TRUE,Assumptions!$F$119*L125,0)</f>
        <v>1341893.3776247988</v>
      </c>
      <c r="M130" s="35">
        <f ca="1">IF(M127=TRUE,Assumptions!$F$119*M125,0)</f>
        <v>1758904.2529553578</v>
      </c>
      <c r="N130" s="35">
        <f ca="1">IF(N127=TRUE,Assumptions!$F$119*N125,0)</f>
        <v>1556392.718580062</v>
      </c>
    </row>
    <row r="131" spans="1:14" x14ac:dyDescent="0.35">
      <c r="E131" t="s">
        <v>188</v>
      </c>
      <c r="J131" s="35">
        <f>-I130</f>
        <v>0</v>
      </c>
      <c r="K131" s="35">
        <f t="shared" ref="K131:N131" ca="1" si="7">-J130</f>
        <v>-929771.69759999996</v>
      </c>
      <c r="L131" s="35">
        <f t="shared" ca="1" si="7"/>
        <v>-1701724.4647200026</v>
      </c>
      <c r="M131" s="35">
        <f t="shared" ca="1" si="7"/>
        <v>-1341893.3776247988</v>
      </c>
      <c r="N131" s="35">
        <f t="shared" ca="1" si="7"/>
        <v>-1758904.2529553578</v>
      </c>
    </row>
    <row r="132" spans="1:14" x14ac:dyDescent="0.35">
      <c r="E132" t="s">
        <v>133</v>
      </c>
      <c r="J132" s="35">
        <f ca="1">SUM(J129:J131)</f>
        <v>929771.69759999996</v>
      </c>
      <c r="K132" s="35">
        <f t="shared" ref="K132:N132" ca="1" si="8">SUM(K129:K131)</f>
        <v>1701724.4647200024</v>
      </c>
      <c r="L132" s="35">
        <f t="shared" ca="1" si="8"/>
        <v>1341893.3776247983</v>
      </c>
      <c r="M132" s="35">
        <f t="shared" ca="1" si="8"/>
        <v>1758904.2529553573</v>
      </c>
      <c r="N132" s="35">
        <f t="shared" ca="1" si="8"/>
        <v>1556392.7185800613</v>
      </c>
    </row>
    <row r="133" spans="1:14" x14ac:dyDescent="0.35">
      <c r="J133" s="24"/>
      <c r="K133" s="24"/>
      <c r="L133" s="24"/>
      <c r="M133" s="24"/>
      <c r="N133" s="24"/>
    </row>
    <row r="134" spans="1:14" x14ac:dyDescent="0.35">
      <c r="J134" s="24"/>
      <c r="K134" s="24"/>
      <c r="L134" s="24"/>
      <c r="M134" s="24"/>
      <c r="N134" s="24"/>
    </row>
    <row r="135" spans="1:14" s="5" customFormat="1" x14ac:dyDescent="0.35">
      <c r="A135" s="11" t="s">
        <v>219</v>
      </c>
      <c r="C135" s="11"/>
    </row>
    <row r="136" spans="1:14" x14ac:dyDescent="0.35">
      <c r="J136" s="24"/>
      <c r="K136" s="24"/>
      <c r="L136" s="24"/>
      <c r="M136" s="24"/>
      <c r="N136" s="24"/>
    </row>
    <row r="137" spans="1:14" x14ac:dyDescent="0.35">
      <c r="E137" t="s">
        <v>220</v>
      </c>
      <c r="J137" s="52">
        <f>Assumptions!F119</f>
        <v>0.15</v>
      </c>
      <c r="K137" s="24"/>
      <c r="L137" s="24"/>
      <c r="M137" s="24"/>
      <c r="N137" s="24"/>
    </row>
    <row r="138" spans="1:14" x14ac:dyDescent="0.35">
      <c r="E138" t="s">
        <v>224</v>
      </c>
      <c r="J138" s="52">
        <f>Assumptions!F117</f>
        <v>0.8</v>
      </c>
      <c r="K138" s="24"/>
      <c r="L138" s="24"/>
      <c r="M138" s="24"/>
      <c r="N138" s="24"/>
    </row>
    <row r="139" spans="1:14" x14ac:dyDescent="0.35">
      <c r="J139" s="51"/>
      <c r="K139" s="24"/>
      <c r="L139" s="24"/>
      <c r="M139" s="24"/>
      <c r="N139" s="24"/>
    </row>
    <row r="140" spans="1:14" x14ac:dyDescent="0.35">
      <c r="J140" s="51"/>
      <c r="K140" s="24"/>
      <c r="L140" s="24"/>
      <c r="M140" s="24"/>
      <c r="N140" s="24"/>
    </row>
    <row r="141" spans="1:14" x14ac:dyDescent="0.35">
      <c r="E141" t="s">
        <v>221</v>
      </c>
      <c r="J141" s="53">
        <f>Assumptions!F121</f>
        <v>0.1</v>
      </c>
      <c r="K141" s="24"/>
      <c r="L141" s="24"/>
      <c r="M141" s="24"/>
      <c r="N141" s="24"/>
    </row>
    <row r="142" spans="1:14" x14ac:dyDescent="0.35">
      <c r="E142" t="s">
        <v>225</v>
      </c>
      <c r="J142" s="53">
        <f>Assumptions!I16*J141</f>
        <v>2.0000000000000004E-2</v>
      </c>
      <c r="K142" s="24"/>
      <c r="L142" s="24"/>
      <c r="M142" s="24"/>
      <c r="N142" s="24"/>
    </row>
    <row r="143" spans="1:14" x14ac:dyDescent="0.35">
      <c r="E143" t="s">
        <v>222</v>
      </c>
      <c r="J143" s="54">
        <f>J141-J142</f>
        <v>0.08</v>
      </c>
      <c r="K143" s="24"/>
      <c r="L143" s="24"/>
      <c r="M143" s="24"/>
      <c r="N143" s="24"/>
    </row>
    <row r="144" spans="1:14" x14ac:dyDescent="0.35">
      <c r="E144" t="s">
        <v>223</v>
      </c>
      <c r="J144" s="54">
        <f>Assumptions!F118</f>
        <v>0.19999999999999996</v>
      </c>
      <c r="K144" s="23"/>
      <c r="L144" s="23"/>
      <c r="M144" s="23"/>
      <c r="N144" s="23"/>
    </row>
    <row r="145" spans="5:10" x14ac:dyDescent="0.35">
      <c r="J145" s="52"/>
    </row>
    <row r="147" spans="5:10" x14ac:dyDescent="0.35">
      <c r="E147" s="12" t="s">
        <v>226</v>
      </c>
      <c r="J147" s="55">
        <f>(J138*J137)+(J144*J143)</f>
        <v>0.13599999999999998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Drop Down 1">
              <controlPr defaultSize="0" autoLine="0" autoPict="0">
                <anchor moveWithCells="1">
                  <from>
                    <xdr:col>4</xdr:col>
                    <xdr:colOff>654050</xdr:colOff>
                    <xdr:row>3</xdr:row>
                    <xdr:rowOff>44450</xdr:rowOff>
                  </from>
                  <to>
                    <xdr:col>5</xdr:col>
                    <xdr:colOff>50800</xdr:colOff>
                    <xdr:row>4</xdr:row>
                    <xdr:rowOff>152400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A1684-B50D-4B5E-AF25-5095A03C7561}">
  <sheetPr>
    <tabColor rgb="FFFFC000"/>
  </sheetPr>
  <dimension ref="A1:O317"/>
  <sheetViews>
    <sheetView workbookViewId="0"/>
  </sheetViews>
  <sheetFormatPr defaultRowHeight="14.5" x14ac:dyDescent="0.35"/>
  <cols>
    <col min="1" max="2" width="4.453125" customWidth="1"/>
    <col min="3" max="4" width="4.453125" style="12" customWidth="1"/>
    <col min="5" max="5" width="27.81640625" customWidth="1"/>
    <col min="10" max="14" width="15.26953125" customWidth="1"/>
    <col min="15" max="16" width="8.81640625" customWidth="1"/>
  </cols>
  <sheetData>
    <row r="1" spans="1:15" s="1" customFormat="1" x14ac:dyDescent="0.35">
      <c r="A1" s="15" t="s">
        <v>0</v>
      </c>
      <c r="B1" s="22"/>
      <c r="C1" s="22"/>
      <c r="D1" s="22"/>
      <c r="E1" s="22"/>
    </row>
    <row r="2" spans="1:15" s="1" customFormat="1" x14ac:dyDescent="0.35">
      <c r="A2" s="15" t="s">
        <v>1</v>
      </c>
      <c r="B2" s="22"/>
      <c r="C2" s="22"/>
      <c r="D2" s="22"/>
      <c r="E2" s="22"/>
    </row>
    <row r="3" spans="1:15" s="1" customFormat="1" x14ac:dyDescent="0.35">
      <c r="A3" s="15" t="s">
        <v>5</v>
      </c>
      <c r="B3" s="22"/>
      <c r="C3" s="22"/>
      <c r="D3" s="22"/>
      <c r="E3" s="22"/>
    </row>
    <row r="4" spans="1:15" s="1" customFormat="1" x14ac:dyDescent="0.35">
      <c r="A4" s="22"/>
      <c r="B4" s="22"/>
      <c r="C4" s="22"/>
      <c r="D4" s="22"/>
      <c r="E4" s="22"/>
    </row>
    <row r="5" spans="1:15" s="1" customFormat="1" x14ac:dyDescent="0.35">
      <c r="A5" s="15" t="s">
        <v>2</v>
      </c>
      <c r="B5" s="22"/>
      <c r="C5" s="22"/>
      <c r="D5" s="22"/>
      <c r="E5" s="22"/>
      <c r="J5" s="15">
        <v>2024</v>
      </c>
      <c r="K5" s="15">
        <f>J5+1</f>
        <v>2025</v>
      </c>
      <c r="L5" s="15">
        <f>K5+1</f>
        <v>2026</v>
      </c>
      <c r="M5" s="15">
        <f>L5+1</f>
        <v>2027</v>
      </c>
      <c r="N5" s="15">
        <v>2028</v>
      </c>
    </row>
    <row r="8" spans="1:15" s="5" customFormat="1" x14ac:dyDescent="0.35">
      <c r="A8" s="11" t="s">
        <v>89</v>
      </c>
      <c r="C8" s="11"/>
      <c r="D8" s="11"/>
    </row>
    <row r="10" spans="1:15" x14ac:dyDescent="0.35">
      <c r="E10" t="s">
        <v>90</v>
      </c>
      <c r="J10" s="13">
        <f>Assumptions!J86*Assumptions!J87</f>
        <v>460000</v>
      </c>
      <c r="K10" s="13">
        <f>Assumptions!K86*Assumptions!K87</f>
        <v>0</v>
      </c>
      <c r="L10" s="13">
        <f>Assumptions!L86*Assumptions!L87</f>
        <v>0</v>
      </c>
      <c r="M10" s="13">
        <f>Assumptions!M86*Assumptions!M87</f>
        <v>0</v>
      </c>
      <c r="N10" s="13">
        <f>Assumptions!N86*Assumptions!N87</f>
        <v>784846.57955688005</v>
      </c>
      <c r="O10" s="26"/>
    </row>
    <row r="11" spans="1:15" x14ac:dyDescent="0.35">
      <c r="E11" t="s">
        <v>91</v>
      </c>
      <c r="I11">
        <f>Assumptions!F99</f>
        <v>5</v>
      </c>
      <c r="J11" s="13"/>
      <c r="K11" s="13"/>
      <c r="L11" s="13"/>
      <c r="M11" s="13"/>
      <c r="N11" s="13"/>
      <c r="O11" s="26"/>
    </row>
    <row r="12" spans="1:15" x14ac:dyDescent="0.35">
      <c r="E12" t="s">
        <v>92</v>
      </c>
      <c r="J12" s="13">
        <f ca="1">OFFSET(J10,0,-$I$11+1,1,$I$11)/$I$11</f>
        <v>92000</v>
      </c>
      <c r="K12" s="13">
        <f ca="1">OFFSET(K10,0,-$I$11+1,1,$I$11)/$I$11</f>
        <v>0</v>
      </c>
      <c r="L12" s="13">
        <f ca="1">OFFSET(L10,0,-$I$11+1,1,$I$11)/$I$11</f>
        <v>0</v>
      </c>
      <c r="M12" s="13">
        <f ca="1">OFFSET(M10,0,-$I$11+1,1,$I$11)/$I$11</f>
        <v>0</v>
      </c>
      <c r="N12" s="13">
        <f ca="1">OFFSET(N10,0,-$I$11+1,1,$I$11)/$I$11</f>
        <v>156969.315911376</v>
      </c>
      <c r="O12" s="26"/>
    </row>
    <row r="13" spans="1:15" x14ac:dyDescent="0.35">
      <c r="E13" t="s">
        <v>93</v>
      </c>
      <c r="J13" s="28">
        <f ca="1">SUM(OFFSET(J10,0,-$I$11+1,1,$I$11))/$I$11</f>
        <v>92000</v>
      </c>
      <c r="K13" s="28">
        <f ca="1">SUM(OFFSET(K10,0,-$I$11+1,1,$I$11))/$I$11</f>
        <v>92000</v>
      </c>
      <c r="L13" s="28">
        <f ca="1">SUM(OFFSET(L10,0,-$I$11+1,1,$I$11))/$I$11</f>
        <v>92000</v>
      </c>
      <c r="M13" s="28">
        <f ca="1">SUM(OFFSET(M10,0,-$I$11+1,1,$I$11))/$I$11</f>
        <v>92000</v>
      </c>
      <c r="N13" s="28">
        <f ca="1">SUM(OFFSET(N10,0,-$I$11+1,1,$I$11))/$I$11</f>
        <v>248969.315911376</v>
      </c>
      <c r="O13" s="26"/>
    </row>
    <row r="14" spans="1:15" x14ac:dyDescent="0.35">
      <c r="J14" s="26"/>
      <c r="K14" s="26"/>
      <c r="L14" s="26"/>
      <c r="M14" s="26"/>
      <c r="N14" s="26"/>
      <c r="O14" s="26"/>
    </row>
    <row r="15" spans="1:15" x14ac:dyDescent="0.35">
      <c r="J15" s="26"/>
      <c r="K15" s="26"/>
      <c r="L15" s="26"/>
      <c r="M15" s="26"/>
      <c r="N15" s="26"/>
      <c r="O15" s="26"/>
    </row>
    <row r="16" spans="1:15" s="5" customFormat="1" x14ac:dyDescent="0.35">
      <c r="A16" s="11" t="s">
        <v>94</v>
      </c>
      <c r="C16" s="11"/>
      <c r="D16" s="11"/>
    </row>
    <row r="18" spans="1:15" x14ac:dyDescent="0.35">
      <c r="E18" t="s">
        <v>90</v>
      </c>
      <c r="J18" s="13">
        <f>Assumptions!J90*Assumptions!J91</f>
        <v>150000</v>
      </c>
      <c r="K18" s="13">
        <f>Assumptions!K90*Assumptions!K91</f>
        <v>0</v>
      </c>
      <c r="L18" s="13">
        <f>Assumptions!L90*Assumptions!L91</f>
        <v>196928.4645</v>
      </c>
      <c r="M18" s="13">
        <f>Assumptions!M90*Assumptions!M91</f>
        <v>0</v>
      </c>
      <c r="N18" s="13">
        <f>Assumptions!N90*Assumptions!N91</f>
        <v>511856.46492840006</v>
      </c>
      <c r="O18" s="26"/>
    </row>
    <row r="19" spans="1:15" x14ac:dyDescent="0.35">
      <c r="E19" t="s">
        <v>91</v>
      </c>
      <c r="I19">
        <f>Assumptions!F100</f>
        <v>3</v>
      </c>
      <c r="J19" s="13"/>
      <c r="K19" s="13"/>
      <c r="L19" s="13"/>
      <c r="M19" s="13"/>
      <c r="N19" s="13"/>
      <c r="O19" s="26"/>
    </row>
    <row r="20" spans="1:15" x14ac:dyDescent="0.35">
      <c r="E20" t="s">
        <v>92</v>
      </c>
      <c r="J20" s="13">
        <f ca="1">OFFSET(J18,0,-$I19+1,1,$I19)/$I19</f>
        <v>50000</v>
      </c>
      <c r="K20" s="13">
        <f ca="1">OFFSET(K18,0,-$I19+1,1,$I19)/$I19</f>
        <v>0</v>
      </c>
      <c r="L20" s="13">
        <f ca="1">OFFSET(L18,0,-$I19+1,1,$I19)/$I19</f>
        <v>65642.821500000005</v>
      </c>
      <c r="M20" s="13">
        <f ca="1">OFFSET(M18,0,-$I19+1,1,$I19)/$I19</f>
        <v>0</v>
      </c>
      <c r="N20" s="13">
        <f ca="1">OFFSET(N18,0,-$I19+1,1,$I19)/$I19</f>
        <v>170618.82164280003</v>
      </c>
      <c r="O20" s="26"/>
    </row>
    <row r="21" spans="1:15" x14ac:dyDescent="0.35">
      <c r="E21" t="s">
        <v>93</v>
      </c>
      <c r="J21" s="28">
        <f ca="1">SUM(OFFSET(J18,0,-$I19+1,1,$I19))/$I19</f>
        <v>50000</v>
      </c>
      <c r="K21" s="28">
        <f ca="1">SUM(OFFSET(K18,0,-$I19+1,1,$I19))/$I19</f>
        <v>50000</v>
      </c>
      <c r="L21" s="28">
        <f ca="1">SUM(OFFSET(L18,0,-$I19+1,1,$I19))/$I19</f>
        <v>115642.82150000001</v>
      </c>
      <c r="M21" s="28">
        <f ca="1">SUM(OFFSET(M18,0,-$I19+1,1,$I19))/$I19</f>
        <v>65642.821500000005</v>
      </c>
      <c r="N21" s="28">
        <f ca="1">SUM(OFFSET(N18,0,-$I19+1,1,$I19))/$I19</f>
        <v>236261.64314279999</v>
      </c>
      <c r="O21" s="26"/>
    </row>
    <row r="22" spans="1:15" x14ac:dyDescent="0.35">
      <c r="J22" s="26"/>
      <c r="K22" s="26"/>
      <c r="L22" s="26"/>
      <c r="M22" s="26"/>
      <c r="N22" s="26"/>
      <c r="O22" s="26"/>
    </row>
    <row r="23" spans="1:15" x14ac:dyDescent="0.35">
      <c r="J23" s="26"/>
      <c r="K23" s="26"/>
      <c r="L23" s="26"/>
      <c r="M23" s="26"/>
      <c r="N23" s="26"/>
      <c r="O23" s="26"/>
    </row>
    <row r="24" spans="1:15" s="5" customFormat="1" x14ac:dyDescent="0.35">
      <c r="A24" s="11" t="s">
        <v>95</v>
      </c>
      <c r="C24" s="11"/>
      <c r="D24" s="11"/>
    </row>
    <row r="26" spans="1:15" x14ac:dyDescent="0.35">
      <c r="E26" t="s">
        <v>90</v>
      </c>
      <c r="J26" s="13">
        <f>Assumptions!J94*Assumptions!J95</f>
        <v>240000</v>
      </c>
      <c r="K26" s="13">
        <f>Assumptions!K94*Assumptions!K95</f>
        <v>0</v>
      </c>
      <c r="L26" s="13">
        <f>Assumptions!L94*Assumptions!L95</f>
        <v>630171.08640000003</v>
      </c>
      <c r="M26" s="13">
        <f>Assumptions!M94*Assumptions!M95</f>
        <v>0</v>
      </c>
      <c r="N26" s="13">
        <f>Assumptions!N94*Assumptions!N95</f>
        <v>0</v>
      </c>
      <c r="O26" s="26"/>
    </row>
    <row r="27" spans="1:15" x14ac:dyDescent="0.35">
      <c r="E27" t="s">
        <v>91</v>
      </c>
      <c r="I27">
        <f>Assumptions!F101</f>
        <v>3</v>
      </c>
      <c r="J27" s="13"/>
      <c r="K27" s="13"/>
      <c r="L27" s="13"/>
      <c r="M27" s="13"/>
      <c r="N27" s="13"/>
      <c r="O27" s="26"/>
    </row>
    <row r="28" spans="1:15" x14ac:dyDescent="0.35">
      <c r="E28" t="s">
        <v>92</v>
      </c>
      <c r="J28" s="13">
        <f ca="1">OFFSET(J26,0,-$I27+1,1,$I27)/$I27</f>
        <v>80000</v>
      </c>
      <c r="K28" s="13">
        <f ca="1">OFFSET(K26,0,-$I27+1,1,$I27)/$I27</f>
        <v>0</v>
      </c>
      <c r="L28" s="13">
        <f ca="1">OFFSET(L26,0,-$I27+1,1,$I27)/$I27</f>
        <v>210057.0288</v>
      </c>
      <c r="M28" s="13">
        <f ca="1">OFFSET(M26,0,-$I27+1,1,$I27)/$I27</f>
        <v>0</v>
      </c>
      <c r="N28" s="13">
        <f ca="1">OFFSET(N26,0,-$I27+1,1,$I27)/$I27</f>
        <v>0</v>
      </c>
      <c r="O28" s="26"/>
    </row>
    <row r="29" spans="1:15" x14ac:dyDescent="0.35">
      <c r="E29" t="s">
        <v>93</v>
      </c>
      <c r="J29" s="28">
        <f ca="1">SUM(OFFSET(J26,0,-$I27+1,1,$I27))/$I27</f>
        <v>80000</v>
      </c>
      <c r="K29" s="28">
        <f ca="1">SUM(OFFSET(K26,0,-$I27+1,1,$I27))/$I27</f>
        <v>80000</v>
      </c>
      <c r="L29" s="28">
        <f ca="1">SUM(OFFSET(L26,0,-$I27+1,1,$I27))/$I27</f>
        <v>290057.02880000003</v>
      </c>
      <c r="M29" s="28">
        <f ca="1">SUM(OFFSET(M26,0,-$I27+1,1,$I27))/$I27</f>
        <v>210057.0288</v>
      </c>
      <c r="N29" s="28">
        <f ca="1">SUM(OFFSET(N26,0,-$I27+1,1,$I27))/$I27</f>
        <v>210057.0288</v>
      </c>
      <c r="O29" s="26"/>
    </row>
    <row r="30" spans="1:15" x14ac:dyDescent="0.35">
      <c r="J30" s="26"/>
      <c r="K30" s="26"/>
      <c r="L30" s="26"/>
      <c r="M30" s="26"/>
      <c r="N30" s="26"/>
      <c r="O30" s="26"/>
    </row>
    <row r="31" spans="1:15" x14ac:dyDescent="0.35">
      <c r="J31" s="26"/>
      <c r="K31" s="26"/>
      <c r="L31" s="26"/>
      <c r="M31" s="26"/>
      <c r="N31" s="26"/>
      <c r="O31" s="26"/>
    </row>
    <row r="32" spans="1:15" s="5" customFormat="1" x14ac:dyDescent="0.35">
      <c r="A32" s="11" t="s">
        <v>96</v>
      </c>
      <c r="C32" s="11"/>
      <c r="D32" s="11"/>
    </row>
    <row r="33" spans="3:15" x14ac:dyDescent="0.35">
      <c r="J33" s="26"/>
      <c r="K33" s="26"/>
      <c r="L33" s="26"/>
      <c r="M33" s="26"/>
      <c r="N33" s="26"/>
      <c r="O33" s="26"/>
    </row>
    <row r="34" spans="3:15" x14ac:dyDescent="0.35">
      <c r="C34" s="12" t="s">
        <v>97</v>
      </c>
      <c r="J34" s="26"/>
      <c r="K34" s="26"/>
      <c r="L34" s="26"/>
      <c r="M34" s="26"/>
      <c r="N34" s="26"/>
      <c r="O34" s="26"/>
    </row>
    <row r="35" spans="3:15" x14ac:dyDescent="0.35">
      <c r="D35" s="12" t="s">
        <v>98</v>
      </c>
      <c r="J35" s="26"/>
      <c r="K35" s="26"/>
      <c r="L35" s="26"/>
      <c r="M35" s="26"/>
      <c r="N35" s="26"/>
      <c r="O35" s="26"/>
    </row>
    <row r="36" spans="3:15" x14ac:dyDescent="0.35">
      <c r="E36" t="s">
        <v>63</v>
      </c>
      <c r="J36" s="13">
        <f>I48</f>
        <v>0</v>
      </c>
      <c r="K36" s="13">
        <f>J48</f>
        <v>460000</v>
      </c>
      <c r="L36" s="13">
        <f>K48</f>
        <v>460000</v>
      </c>
      <c r="M36" s="13">
        <f>L48</f>
        <v>460000</v>
      </c>
      <c r="N36" s="13">
        <f>M48</f>
        <v>460000</v>
      </c>
      <c r="O36" s="26"/>
    </row>
    <row r="37" spans="3:15" x14ac:dyDescent="0.35">
      <c r="E37" t="s">
        <v>64</v>
      </c>
      <c r="J37" s="13">
        <f t="shared" ref="J37:N38" si="0">I49</f>
        <v>0</v>
      </c>
      <c r="K37" s="13">
        <f t="shared" si="0"/>
        <v>150000</v>
      </c>
      <c r="L37" s="13">
        <f t="shared" si="0"/>
        <v>150000</v>
      </c>
      <c r="M37" s="13">
        <f t="shared" si="0"/>
        <v>346928.4645</v>
      </c>
      <c r="N37" s="13">
        <f t="shared" si="0"/>
        <v>346928.4645</v>
      </c>
      <c r="O37" s="26"/>
    </row>
    <row r="38" spans="3:15" x14ac:dyDescent="0.35">
      <c r="E38" t="s">
        <v>65</v>
      </c>
      <c r="J38" s="13">
        <f t="shared" si="0"/>
        <v>0</v>
      </c>
      <c r="K38" s="13">
        <f t="shared" si="0"/>
        <v>240000</v>
      </c>
      <c r="L38" s="13">
        <f t="shared" si="0"/>
        <v>240000</v>
      </c>
      <c r="M38" s="13">
        <f t="shared" si="0"/>
        <v>870171.08640000003</v>
      </c>
      <c r="N38" s="13">
        <f t="shared" si="0"/>
        <v>870171.08640000003</v>
      </c>
      <c r="O38" s="26"/>
    </row>
    <row r="39" spans="3:15" x14ac:dyDescent="0.35">
      <c r="J39" s="26"/>
      <c r="K39" s="26"/>
      <c r="L39" s="26"/>
      <c r="M39" s="26"/>
      <c r="N39" s="26"/>
      <c r="O39" s="26"/>
    </row>
    <row r="40" spans="3:15" x14ac:dyDescent="0.35">
      <c r="J40" s="26"/>
      <c r="K40" s="26"/>
      <c r="L40" s="26"/>
      <c r="M40" s="26"/>
      <c r="N40" s="26"/>
      <c r="O40" s="26"/>
    </row>
    <row r="41" spans="3:15" x14ac:dyDescent="0.35">
      <c r="D41" s="12" t="s">
        <v>99</v>
      </c>
      <c r="J41" s="26"/>
      <c r="K41" s="26"/>
      <c r="L41" s="26"/>
      <c r="M41" s="26"/>
      <c r="N41" s="26"/>
      <c r="O41" s="26"/>
    </row>
    <row r="42" spans="3:15" x14ac:dyDescent="0.35">
      <c r="E42" t="s">
        <v>63</v>
      </c>
      <c r="J42" s="13">
        <f>J10</f>
        <v>460000</v>
      </c>
      <c r="K42" s="13">
        <f>K10</f>
        <v>0</v>
      </c>
      <c r="L42" s="13">
        <f>L10</f>
        <v>0</v>
      </c>
      <c r="M42" s="13">
        <f>M10</f>
        <v>0</v>
      </c>
      <c r="N42" s="13">
        <f>N10</f>
        <v>784846.57955688005</v>
      </c>
      <c r="O42" s="26"/>
    </row>
    <row r="43" spans="3:15" x14ac:dyDescent="0.35">
      <c r="E43" t="s">
        <v>64</v>
      </c>
      <c r="J43" s="13">
        <f>J18</f>
        <v>150000</v>
      </c>
      <c r="K43" s="13">
        <f>K18</f>
        <v>0</v>
      </c>
      <c r="L43" s="13">
        <f>L18</f>
        <v>196928.4645</v>
      </c>
      <c r="M43" s="13">
        <f>M18</f>
        <v>0</v>
      </c>
      <c r="N43" s="13">
        <f>N18</f>
        <v>511856.46492840006</v>
      </c>
      <c r="O43" s="26"/>
    </row>
    <row r="44" spans="3:15" x14ac:dyDescent="0.35">
      <c r="E44" t="s">
        <v>65</v>
      </c>
      <c r="J44" s="13">
        <f>J26</f>
        <v>240000</v>
      </c>
      <c r="K44" s="13">
        <f>K26</f>
        <v>0</v>
      </c>
      <c r="L44" s="13">
        <f>L26</f>
        <v>630171.08640000003</v>
      </c>
      <c r="M44" s="13">
        <f>M26</f>
        <v>0</v>
      </c>
      <c r="N44" s="13">
        <f>N26</f>
        <v>0</v>
      </c>
      <c r="O44" s="26"/>
    </row>
    <row r="45" spans="3:15" x14ac:dyDescent="0.35">
      <c r="J45" s="26"/>
      <c r="K45" s="26"/>
      <c r="L45" s="26"/>
      <c r="M45" s="26"/>
      <c r="N45" s="26"/>
      <c r="O45" s="26"/>
    </row>
    <row r="46" spans="3:15" x14ac:dyDescent="0.35">
      <c r="J46" s="26"/>
      <c r="K46" s="26"/>
      <c r="L46" s="26"/>
      <c r="M46" s="26"/>
      <c r="N46" s="26"/>
      <c r="O46" s="26"/>
    </row>
    <row r="47" spans="3:15" x14ac:dyDescent="0.35">
      <c r="D47" s="12" t="s">
        <v>100</v>
      </c>
      <c r="J47" s="26"/>
      <c r="K47" s="26"/>
      <c r="L47" s="26"/>
      <c r="M47" s="26"/>
      <c r="N47" s="26"/>
      <c r="O47" s="26"/>
    </row>
    <row r="48" spans="3:15" x14ac:dyDescent="0.35">
      <c r="E48" t="s">
        <v>63</v>
      </c>
      <c r="J48" s="13">
        <f>J36+J42</f>
        <v>460000</v>
      </c>
      <c r="K48" s="13">
        <f>K36+K42</f>
        <v>460000</v>
      </c>
      <c r="L48" s="13">
        <f>L36+L42</f>
        <v>460000</v>
      </c>
      <c r="M48" s="13">
        <f>M36+M42</f>
        <v>460000</v>
      </c>
      <c r="N48" s="13">
        <f>N36+N42</f>
        <v>1244846.5795568801</v>
      </c>
      <c r="O48" s="26"/>
    </row>
    <row r="49" spans="3:15" x14ac:dyDescent="0.35">
      <c r="E49" t="s">
        <v>64</v>
      </c>
      <c r="J49" s="13">
        <f t="shared" ref="J49:N50" si="1">J37+J43</f>
        <v>150000</v>
      </c>
      <c r="K49" s="13">
        <f t="shared" si="1"/>
        <v>150000</v>
      </c>
      <c r="L49" s="13">
        <f t="shared" si="1"/>
        <v>346928.4645</v>
      </c>
      <c r="M49" s="13">
        <f t="shared" si="1"/>
        <v>346928.4645</v>
      </c>
      <c r="N49" s="13">
        <f t="shared" si="1"/>
        <v>858784.92942840001</v>
      </c>
      <c r="O49" s="26"/>
    </row>
    <row r="50" spans="3:15" x14ac:dyDescent="0.35">
      <c r="E50" t="s">
        <v>65</v>
      </c>
      <c r="J50" s="13">
        <f t="shared" si="1"/>
        <v>240000</v>
      </c>
      <c r="K50" s="13">
        <f t="shared" si="1"/>
        <v>240000</v>
      </c>
      <c r="L50" s="13">
        <f t="shared" si="1"/>
        <v>870171.08640000003</v>
      </c>
      <c r="M50" s="13">
        <f t="shared" si="1"/>
        <v>870171.08640000003</v>
      </c>
      <c r="N50" s="13">
        <f t="shared" si="1"/>
        <v>870171.08640000003</v>
      </c>
      <c r="O50" s="26"/>
    </row>
    <row r="51" spans="3:15" x14ac:dyDescent="0.35">
      <c r="J51" s="26"/>
      <c r="K51" s="26"/>
      <c r="L51" s="26"/>
      <c r="M51" s="26"/>
      <c r="N51" s="26"/>
      <c r="O51" s="26"/>
    </row>
    <row r="52" spans="3:15" x14ac:dyDescent="0.35">
      <c r="J52" s="26"/>
      <c r="K52" s="26"/>
      <c r="L52" s="26"/>
      <c r="M52" s="26"/>
      <c r="N52" s="26"/>
      <c r="O52" s="26"/>
    </row>
    <row r="53" spans="3:15" x14ac:dyDescent="0.35">
      <c r="C53" s="12" t="s">
        <v>62</v>
      </c>
      <c r="J53" s="26"/>
      <c r="K53" s="26"/>
      <c r="L53" s="26"/>
      <c r="M53" s="26"/>
      <c r="N53" s="26"/>
      <c r="O53" s="26"/>
    </row>
    <row r="54" spans="3:15" x14ac:dyDescent="0.35">
      <c r="D54" s="12" t="s">
        <v>98</v>
      </c>
      <c r="J54" s="26"/>
      <c r="K54" s="26"/>
      <c r="L54" s="26"/>
      <c r="M54" s="26"/>
      <c r="N54" s="26"/>
      <c r="O54" s="26"/>
    </row>
    <row r="55" spans="3:15" x14ac:dyDescent="0.35">
      <c r="E55" t="s">
        <v>63</v>
      </c>
      <c r="J55" s="13">
        <f t="shared" ref="J55:N57" si="2">I67</f>
        <v>0</v>
      </c>
      <c r="K55" s="13">
        <f t="shared" ca="1" si="2"/>
        <v>92000</v>
      </c>
      <c r="L55" s="13">
        <f t="shared" ca="1" si="2"/>
        <v>184000</v>
      </c>
      <c r="M55" s="13">
        <f t="shared" ca="1" si="2"/>
        <v>276000</v>
      </c>
      <c r="N55" s="13">
        <f t="shared" ca="1" si="2"/>
        <v>368000</v>
      </c>
      <c r="O55" s="26"/>
    </row>
    <row r="56" spans="3:15" x14ac:dyDescent="0.35">
      <c r="E56" t="s">
        <v>64</v>
      </c>
      <c r="J56" s="13">
        <f t="shared" si="2"/>
        <v>0</v>
      </c>
      <c r="K56" s="13">
        <f t="shared" ca="1" si="2"/>
        <v>50000</v>
      </c>
      <c r="L56" s="13">
        <f t="shared" ca="1" si="2"/>
        <v>100000</v>
      </c>
      <c r="M56" s="13">
        <f t="shared" ca="1" si="2"/>
        <v>215642.82150000002</v>
      </c>
      <c r="N56" s="13">
        <f t="shared" ca="1" si="2"/>
        <v>281285.64300000004</v>
      </c>
      <c r="O56" s="26"/>
    </row>
    <row r="57" spans="3:15" x14ac:dyDescent="0.35">
      <c r="E57" t="s">
        <v>65</v>
      </c>
      <c r="J57" s="13">
        <f t="shared" si="2"/>
        <v>0</v>
      </c>
      <c r="K57" s="13">
        <f t="shared" ca="1" si="2"/>
        <v>80000</v>
      </c>
      <c r="L57" s="13">
        <f t="shared" ca="1" si="2"/>
        <v>160000</v>
      </c>
      <c r="M57" s="13">
        <f t="shared" ca="1" si="2"/>
        <v>450057.02880000003</v>
      </c>
      <c r="N57" s="13">
        <f t="shared" ca="1" si="2"/>
        <v>660114.05760000006</v>
      </c>
      <c r="O57" s="26"/>
    </row>
    <row r="58" spans="3:15" x14ac:dyDescent="0.35">
      <c r="J58" s="26"/>
      <c r="K58" s="26"/>
      <c r="L58" s="26"/>
      <c r="M58" s="26"/>
      <c r="N58" s="26"/>
      <c r="O58" s="26"/>
    </row>
    <row r="59" spans="3:15" x14ac:dyDescent="0.35">
      <c r="J59" s="26"/>
      <c r="K59" s="26"/>
      <c r="L59" s="26"/>
      <c r="M59" s="26"/>
      <c r="N59" s="26"/>
      <c r="O59" s="26"/>
    </row>
    <row r="60" spans="3:15" x14ac:dyDescent="0.35">
      <c r="D60" s="12" t="s">
        <v>101</v>
      </c>
      <c r="J60" s="26"/>
      <c r="K60" s="26"/>
      <c r="L60" s="26"/>
      <c r="M60" s="26"/>
      <c r="N60" s="26"/>
      <c r="O60" s="26"/>
    </row>
    <row r="61" spans="3:15" x14ac:dyDescent="0.35">
      <c r="E61" t="s">
        <v>63</v>
      </c>
      <c r="J61" s="13">
        <f ca="1">J13</f>
        <v>92000</v>
      </c>
      <c r="K61" s="13">
        <f ca="1">K13</f>
        <v>92000</v>
      </c>
      <c r="L61" s="13">
        <f ca="1">L13</f>
        <v>92000</v>
      </c>
      <c r="M61" s="13">
        <f ca="1">M13</f>
        <v>92000</v>
      </c>
      <c r="N61" s="13">
        <f ca="1">N13</f>
        <v>248969.315911376</v>
      </c>
      <c r="O61" s="26"/>
    </row>
    <row r="62" spans="3:15" x14ac:dyDescent="0.35">
      <c r="E62" t="s">
        <v>64</v>
      </c>
      <c r="J62" s="13">
        <f ca="1">J21</f>
        <v>50000</v>
      </c>
      <c r="K62" s="13">
        <f ca="1">K21</f>
        <v>50000</v>
      </c>
      <c r="L62" s="13">
        <f ca="1">L21</f>
        <v>115642.82150000001</v>
      </c>
      <c r="M62" s="13">
        <f ca="1">M21</f>
        <v>65642.821500000005</v>
      </c>
      <c r="N62" s="13">
        <f ca="1">N21</f>
        <v>236261.64314279999</v>
      </c>
      <c r="O62" s="26"/>
    </row>
    <row r="63" spans="3:15" x14ac:dyDescent="0.35">
      <c r="E63" t="s">
        <v>65</v>
      </c>
      <c r="J63" s="13">
        <f ca="1">J29</f>
        <v>80000</v>
      </c>
      <c r="K63" s="13">
        <f ca="1">K29</f>
        <v>80000</v>
      </c>
      <c r="L63" s="13">
        <f ca="1">L29</f>
        <v>290057.02880000003</v>
      </c>
      <c r="M63" s="13">
        <f ca="1">M29</f>
        <v>210057.0288</v>
      </c>
      <c r="N63" s="13">
        <f ca="1">N29</f>
        <v>210057.0288</v>
      </c>
      <c r="O63" s="26"/>
    </row>
    <row r="64" spans="3:15" x14ac:dyDescent="0.35">
      <c r="J64" s="26"/>
      <c r="K64" s="26"/>
      <c r="L64" s="26"/>
      <c r="M64" s="26"/>
      <c r="N64" s="26"/>
      <c r="O64" s="26"/>
    </row>
    <row r="65" spans="3:15" x14ac:dyDescent="0.35">
      <c r="J65" s="26"/>
      <c r="K65" s="26"/>
      <c r="L65" s="26"/>
      <c r="M65" s="26"/>
      <c r="N65" s="26"/>
      <c r="O65" s="26"/>
    </row>
    <row r="66" spans="3:15" x14ac:dyDescent="0.35">
      <c r="D66" s="12" t="s">
        <v>100</v>
      </c>
      <c r="J66" s="26"/>
      <c r="K66" s="26"/>
      <c r="L66" s="26"/>
      <c r="M66" s="26"/>
      <c r="N66" s="26"/>
      <c r="O66" s="26"/>
    </row>
    <row r="67" spans="3:15" x14ac:dyDescent="0.35">
      <c r="E67" t="s">
        <v>63</v>
      </c>
      <c r="J67" s="13">
        <f t="shared" ref="J67:N69" ca="1" si="3">J55+J61</f>
        <v>92000</v>
      </c>
      <c r="K67" s="13">
        <f t="shared" ca="1" si="3"/>
        <v>184000</v>
      </c>
      <c r="L67" s="13">
        <f t="shared" ca="1" si="3"/>
        <v>276000</v>
      </c>
      <c r="M67" s="13">
        <f t="shared" ca="1" si="3"/>
        <v>368000</v>
      </c>
      <c r="N67" s="13">
        <f t="shared" ca="1" si="3"/>
        <v>616969.31591137603</v>
      </c>
      <c r="O67" s="26"/>
    </row>
    <row r="68" spans="3:15" x14ac:dyDescent="0.35">
      <c r="E68" t="s">
        <v>64</v>
      </c>
      <c r="J68" s="13">
        <f t="shared" ca="1" si="3"/>
        <v>50000</v>
      </c>
      <c r="K68" s="13">
        <f t="shared" ca="1" si="3"/>
        <v>100000</v>
      </c>
      <c r="L68" s="13">
        <f t="shared" ca="1" si="3"/>
        <v>215642.82150000002</v>
      </c>
      <c r="M68" s="13">
        <f t="shared" ca="1" si="3"/>
        <v>281285.64300000004</v>
      </c>
      <c r="N68" s="13">
        <f t="shared" ca="1" si="3"/>
        <v>517547.2861428</v>
      </c>
      <c r="O68" s="26"/>
    </row>
    <row r="69" spans="3:15" x14ac:dyDescent="0.35">
      <c r="E69" t="s">
        <v>65</v>
      </c>
      <c r="J69" s="13">
        <f t="shared" ca="1" si="3"/>
        <v>80000</v>
      </c>
      <c r="K69" s="13">
        <f t="shared" ca="1" si="3"/>
        <v>160000</v>
      </c>
      <c r="L69" s="13">
        <f t="shared" ca="1" si="3"/>
        <v>450057.02880000003</v>
      </c>
      <c r="M69" s="13">
        <f t="shared" ca="1" si="3"/>
        <v>660114.05760000006</v>
      </c>
      <c r="N69" s="13">
        <f t="shared" ca="1" si="3"/>
        <v>870171.08640000003</v>
      </c>
      <c r="O69" s="26"/>
    </row>
    <row r="70" spans="3:15" x14ac:dyDescent="0.35">
      <c r="J70" s="26"/>
      <c r="K70" s="26"/>
      <c r="L70" s="26"/>
      <c r="M70" s="26"/>
      <c r="N70" s="26"/>
      <c r="O70" s="26"/>
    </row>
    <row r="71" spans="3:15" x14ac:dyDescent="0.35">
      <c r="J71" s="26"/>
      <c r="K71" s="26"/>
      <c r="L71" s="26"/>
      <c r="M71" s="26"/>
      <c r="N71" s="26"/>
      <c r="O71" s="26"/>
    </row>
    <row r="72" spans="3:15" x14ac:dyDescent="0.35">
      <c r="C72" s="12" t="s">
        <v>102</v>
      </c>
      <c r="J72" s="26"/>
      <c r="K72" s="26"/>
      <c r="L72" s="26"/>
      <c r="M72" s="26"/>
      <c r="N72" s="26"/>
      <c r="O72" s="26"/>
    </row>
    <row r="73" spans="3:15" x14ac:dyDescent="0.35">
      <c r="D73" s="12" t="s">
        <v>103</v>
      </c>
      <c r="J73" s="26"/>
      <c r="K73" s="26"/>
      <c r="L73" s="26"/>
      <c r="M73" s="26"/>
      <c r="N73" s="26"/>
      <c r="O73" s="26"/>
    </row>
    <row r="74" spans="3:15" x14ac:dyDescent="0.35">
      <c r="E74" t="s">
        <v>63</v>
      </c>
      <c r="J74" s="13">
        <f ca="1">J48-J67</f>
        <v>368000</v>
      </c>
      <c r="K74" s="13">
        <f ca="1">K48-K67</f>
        <v>276000</v>
      </c>
      <c r="L74" s="13">
        <f ca="1">L48-L67</f>
        <v>184000</v>
      </c>
      <c r="M74" s="13">
        <f ca="1">M48-M67</f>
        <v>92000</v>
      </c>
      <c r="N74" s="13">
        <f ca="1">N48-N67</f>
        <v>627877.26364550402</v>
      </c>
      <c r="O74" s="26"/>
    </row>
    <row r="75" spans="3:15" x14ac:dyDescent="0.35">
      <c r="E75" t="s">
        <v>64</v>
      </c>
      <c r="J75" s="13">
        <f t="shared" ref="J75:N76" ca="1" si="4">J49-J68</f>
        <v>100000</v>
      </c>
      <c r="K75" s="13">
        <f t="shared" ca="1" si="4"/>
        <v>50000</v>
      </c>
      <c r="L75" s="13">
        <f t="shared" ca="1" si="4"/>
        <v>131285.64299999998</v>
      </c>
      <c r="M75" s="13">
        <f t="shared" ca="1" si="4"/>
        <v>65642.821499999962</v>
      </c>
      <c r="N75" s="13">
        <f t="shared" ca="1" si="4"/>
        <v>341237.6432856</v>
      </c>
      <c r="O75" s="26"/>
    </row>
    <row r="76" spans="3:15" x14ac:dyDescent="0.35">
      <c r="E76" t="s">
        <v>65</v>
      </c>
      <c r="J76" s="13">
        <f t="shared" ca="1" si="4"/>
        <v>160000</v>
      </c>
      <c r="K76" s="13">
        <f t="shared" ca="1" si="4"/>
        <v>80000</v>
      </c>
      <c r="L76" s="13">
        <f t="shared" ca="1" si="4"/>
        <v>420114.0576</v>
      </c>
      <c r="M76" s="13">
        <f t="shared" ca="1" si="4"/>
        <v>210057.02879999997</v>
      </c>
      <c r="N76" s="13">
        <f t="shared" ca="1" si="4"/>
        <v>0</v>
      </c>
      <c r="O76" s="26"/>
    </row>
    <row r="77" spans="3:15" x14ac:dyDescent="0.35">
      <c r="J77" s="26"/>
      <c r="K77" s="26"/>
      <c r="L77" s="26"/>
      <c r="M77" s="26"/>
      <c r="N77" s="26"/>
      <c r="O77" s="26"/>
    </row>
    <row r="78" spans="3:15" x14ac:dyDescent="0.35">
      <c r="J78" s="26"/>
      <c r="K78" s="26"/>
      <c r="L78" s="26"/>
      <c r="M78" s="26"/>
      <c r="N78" s="26"/>
      <c r="O78" s="26"/>
    </row>
    <row r="79" spans="3:15" x14ac:dyDescent="0.35">
      <c r="J79" s="26"/>
      <c r="K79" s="26"/>
      <c r="L79" s="26"/>
      <c r="M79" s="26"/>
      <c r="N79" s="26"/>
      <c r="O79" s="26"/>
    </row>
    <row r="80" spans="3:15" x14ac:dyDescent="0.35">
      <c r="J80" s="26"/>
      <c r="K80" s="26"/>
      <c r="L80" s="26"/>
      <c r="M80" s="26"/>
      <c r="N80" s="26"/>
      <c r="O80" s="26"/>
    </row>
    <row r="81" spans="10:15" x14ac:dyDescent="0.35">
      <c r="J81" s="26"/>
      <c r="K81" s="26"/>
      <c r="L81" s="26"/>
      <c r="M81" s="26"/>
      <c r="N81" s="26"/>
      <c r="O81" s="26"/>
    </row>
    <row r="82" spans="10:15" x14ac:dyDescent="0.35">
      <c r="J82" s="26"/>
      <c r="K82" s="26"/>
      <c r="L82" s="26"/>
      <c r="M82" s="26"/>
      <c r="N82" s="26"/>
      <c r="O82" s="26"/>
    </row>
    <row r="83" spans="10:15" x14ac:dyDescent="0.35">
      <c r="J83" s="26"/>
      <c r="K83" s="26"/>
      <c r="L83" s="26"/>
      <c r="M83" s="26"/>
      <c r="N83" s="26"/>
      <c r="O83" s="26"/>
    </row>
    <row r="84" spans="10:15" x14ac:dyDescent="0.35">
      <c r="J84" s="26"/>
      <c r="K84" s="26"/>
      <c r="L84" s="26"/>
      <c r="M84" s="26"/>
      <c r="N84" s="26"/>
      <c r="O84" s="26"/>
    </row>
    <row r="85" spans="10:15" x14ac:dyDescent="0.35">
      <c r="J85" s="26"/>
      <c r="K85" s="26"/>
      <c r="L85" s="26"/>
      <c r="M85" s="26"/>
      <c r="N85" s="26"/>
      <c r="O85" s="26"/>
    </row>
    <row r="86" spans="10:15" x14ac:dyDescent="0.35">
      <c r="J86" s="26"/>
      <c r="K86" s="26"/>
      <c r="L86" s="26"/>
      <c r="M86" s="26"/>
      <c r="N86" s="26"/>
      <c r="O86" s="26"/>
    </row>
    <row r="87" spans="10:15" x14ac:dyDescent="0.35">
      <c r="J87" s="26"/>
      <c r="K87" s="26"/>
      <c r="L87" s="26"/>
      <c r="M87" s="26"/>
      <c r="N87" s="26"/>
      <c r="O87" s="26"/>
    </row>
    <row r="88" spans="10:15" x14ac:dyDescent="0.35">
      <c r="J88" s="26"/>
      <c r="K88" s="26"/>
      <c r="L88" s="26"/>
      <c r="M88" s="26"/>
      <c r="N88" s="26"/>
      <c r="O88" s="26"/>
    </row>
    <row r="89" spans="10:15" x14ac:dyDescent="0.35">
      <c r="J89" s="26"/>
      <c r="K89" s="26"/>
      <c r="L89" s="26"/>
      <c r="M89" s="26"/>
      <c r="N89" s="26"/>
      <c r="O89" s="26"/>
    </row>
    <row r="90" spans="10:15" x14ac:dyDescent="0.35">
      <c r="J90" s="26"/>
      <c r="K90" s="26"/>
      <c r="L90" s="26"/>
      <c r="M90" s="26"/>
      <c r="N90" s="26"/>
      <c r="O90" s="26"/>
    </row>
    <row r="91" spans="10:15" x14ac:dyDescent="0.35">
      <c r="J91" s="26"/>
      <c r="K91" s="26"/>
      <c r="L91" s="26"/>
      <c r="M91" s="26"/>
      <c r="N91" s="26"/>
      <c r="O91" s="26"/>
    </row>
    <row r="92" spans="10:15" x14ac:dyDescent="0.35">
      <c r="J92" s="26"/>
      <c r="K92" s="26"/>
      <c r="L92" s="26"/>
      <c r="M92" s="26"/>
      <c r="N92" s="26"/>
      <c r="O92" s="26"/>
    </row>
    <row r="93" spans="10:15" x14ac:dyDescent="0.35">
      <c r="J93" s="26"/>
      <c r="K93" s="26"/>
      <c r="L93" s="26"/>
      <c r="M93" s="26"/>
      <c r="N93" s="26"/>
      <c r="O93" s="26"/>
    </row>
    <row r="94" spans="10:15" x14ac:dyDescent="0.35">
      <c r="J94" s="26"/>
      <c r="K94" s="26"/>
      <c r="L94" s="26"/>
      <c r="M94" s="26"/>
      <c r="N94" s="26"/>
      <c r="O94" s="26"/>
    </row>
    <row r="95" spans="10:15" x14ac:dyDescent="0.35">
      <c r="J95" s="26"/>
      <c r="K95" s="26"/>
      <c r="L95" s="26"/>
      <c r="M95" s="26"/>
      <c r="N95" s="26"/>
      <c r="O95" s="26"/>
    </row>
    <row r="96" spans="10:15" x14ac:dyDescent="0.35">
      <c r="J96" s="26"/>
      <c r="K96" s="26"/>
      <c r="L96" s="26"/>
      <c r="M96" s="26"/>
      <c r="N96" s="26"/>
      <c r="O96" s="26"/>
    </row>
    <row r="97" spans="10:15" x14ac:dyDescent="0.35">
      <c r="J97" s="26"/>
      <c r="K97" s="26"/>
      <c r="L97" s="26"/>
      <c r="M97" s="26"/>
      <c r="N97" s="26"/>
      <c r="O97" s="26"/>
    </row>
    <row r="98" spans="10:15" x14ac:dyDescent="0.35">
      <c r="J98" s="26"/>
      <c r="K98" s="26"/>
      <c r="L98" s="26"/>
      <c r="M98" s="26"/>
      <c r="N98" s="26"/>
      <c r="O98" s="26"/>
    </row>
    <row r="99" spans="10:15" x14ac:dyDescent="0.35">
      <c r="J99" s="26"/>
      <c r="K99" s="26"/>
      <c r="L99" s="26"/>
      <c r="M99" s="26"/>
      <c r="N99" s="26"/>
      <c r="O99" s="26"/>
    </row>
    <row r="100" spans="10:15" x14ac:dyDescent="0.35">
      <c r="J100" s="26"/>
      <c r="K100" s="26"/>
      <c r="L100" s="26"/>
      <c r="M100" s="26"/>
      <c r="N100" s="26"/>
      <c r="O100" s="26"/>
    </row>
    <row r="101" spans="10:15" x14ac:dyDescent="0.35">
      <c r="J101" s="26"/>
      <c r="K101" s="26"/>
      <c r="L101" s="26"/>
      <c r="M101" s="26"/>
      <c r="N101" s="26"/>
      <c r="O101" s="26"/>
    </row>
    <row r="102" spans="10:15" x14ac:dyDescent="0.35">
      <c r="J102" s="26"/>
      <c r="K102" s="26"/>
      <c r="L102" s="26"/>
      <c r="M102" s="26"/>
      <c r="N102" s="26"/>
      <c r="O102" s="26"/>
    </row>
    <row r="103" spans="10:15" x14ac:dyDescent="0.35">
      <c r="J103" s="26"/>
      <c r="K103" s="26"/>
      <c r="L103" s="26"/>
      <c r="M103" s="26"/>
      <c r="N103" s="26"/>
      <c r="O103" s="26"/>
    </row>
    <row r="104" spans="10:15" x14ac:dyDescent="0.35">
      <c r="J104" s="26"/>
      <c r="K104" s="26"/>
      <c r="L104" s="26"/>
      <c r="M104" s="26"/>
      <c r="N104" s="26"/>
      <c r="O104" s="26"/>
    </row>
    <row r="105" spans="10:15" x14ac:dyDescent="0.35">
      <c r="J105" s="26"/>
      <c r="K105" s="26"/>
      <c r="L105" s="26"/>
      <c r="M105" s="26"/>
      <c r="N105" s="26"/>
      <c r="O105" s="26"/>
    </row>
    <row r="106" spans="10:15" x14ac:dyDescent="0.35">
      <c r="J106" s="26"/>
      <c r="K106" s="26"/>
      <c r="L106" s="26"/>
      <c r="M106" s="26"/>
      <c r="N106" s="26"/>
      <c r="O106" s="26"/>
    </row>
    <row r="107" spans="10:15" x14ac:dyDescent="0.35">
      <c r="J107" s="26"/>
      <c r="K107" s="26"/>
      <c r="L107" s="26"/>
      <c r="M107" s="26"/>
      <c r="N107" s="26"/>
      <c r="O107" s="26"/>
    </row>
    <row r="108" spans="10:15" x14ac:dyDescent="0.35">
      <c r="J108" s="26"/>
      <c r="K108" s="26"/>
      <c r="L108" s="26"/>
      <c r="M108" s="26"/>
      <c r="N108" s="26"/>
      <c r="O108" s="26"/>
    </row>
    <row r="109" spans="10:15" x14ac:dyDescent="0.35">
      <c r="J109" s="26"/>
      <c r="K109" s="26"/>
      <c r="L109" s="26"/>
      <c r="M109" s="26"/>
      <c r="N109" s="26"/>
      <c r="O109" s="26"/>
    </row>
    <row r="110" spans="10:15" x14ac:dyDescent="0.35">
      <c r="J110" s="26"/>
      <c r="K110" s="26"/>
      <c r="L110" s="26"/>
      <c r="M110" s="26"/>
      <c r="N110" s="26"/>
      <c r="O110" s="26"/>
    </row>
    <row r="111" spans="10:15" x14ac:dyDescent="0.35">
      <c r="J111" s="26"/>
      <c r="K111" s="26"/>
      <c r="L111" s="26"/>
      <c r="M111" s="26"/>
      <c r="N111" s="26"/>
      <c r="O111" s="26"/>
    </row>
    <row r="112" spans="10:15" x14ac:dyDescent="0.35">
      <c r="J112" s="26"/>
      <c r="K112" s="26"/>
      <c r="L112" s="26"/>
      <c r="M112" s="26"/>
      <c r="N112" s="26"/>
      <c r="O112" s="26"/>
    </row>
    <row r="113" spans="10:15" x14ac:dyDescent="0.35">
      <c r="J113" s="26"/>
      <c r="K113" s="26"/>
      <c r="L113" s="26"/>
      <c r="M113" s="26"/>
      <c r="N113" s="26"/>
      <c r="O113" s="26"/>
    </row>
    <row r="114" spans="10:15" x14ac:dyDescent="0.35">
      <c r="J114" s="26"/>
      <c r="K114" s="26"/>
      <c r="L114" s="26"/>
      <c r="M114" s="26"/>
      <c r="N114" s="26"/>
      <c r="O114" s="26"/>
    </row>
    <row r="115" spans="10:15" x14ac:dyDescent="0.35">
      <c r="J115" s="26"/>
      <c r="K115" s="26"/>
      <c r="L115" s="26"/>
      <c r="M115" s="26"/>
      <c r="N115" s="26"/>
      <c r="O115" s="26"/>
    </row>
    <row r="116" spans="10:15" x14ac:dyDescent="0.35">
      <c r="J116" s="26"/>
      <c r="K116" s="26"/>
      <c r="L116" s="26"/>
      <c r="M116" s="26"/>
      <c r="N116" s="26"/>
      <c r="O116" s="26"/>
    </row>
    <row r="117" spans="10:15" x14ac:dyDescent="0.35">
      <c r="J117" s="26"/>
      <c r="K117" s="26"/>
      <c r="L117" s="26"/>
      <c r="M117" s="26"/>
      <c r="N117" s="26"/>
      <c r="O117" s="26"/>
    </row>
    <row r="118" spans="10:15" x14ac:dyDescent="0.35">
      <c r="J118" s="26"/>
      <c r="K118" s="26"/>
      <c r="L118" s="26"/>
      <c r="M118" s="26"/>
      <c r="N118" s="26"/>
      <c r="O118" s="26"/>
    </row>
    <row r="119" spans="10:15" x14ac:dyDescent="0.35">
      <c r="J119" s="26"/>
      <c r="K119" s="26"/>
      <c r="L119" s="26"/>
      <c r="M119" s="26"/>
      <c r="N119" s="26"/>
      <c r="O119" s="26"/>
    </row>
    <row r="120" spans="10:15" x14ac:dyDescent="0.35">
      <c r="J120" s="26"/>
      <c r="K120" s="26"/>
      <c r="L120" s="26"/>
      <c r="M120" s="26"/>
      <c r="N120" s="26"/>
      <c r="O120" s="26"/>
    </row>
    <row r="121" spans="10:15" x14ac:dyDescent="0.35">
      <c r="J121" s="26"/>
      <c r="K121" s="26"/>
      <c r="L121" s="26"/>
      <c r="M121" s="26"/>
      <c r="N121" s="26"/>
      <c r="O121" s="26"/>
    </row>
    <row r="122" spans="10:15" x14ac:dyDescent="0.35">
      <c r="J122" s="26"/>
      <c r="K122" s="26"/>
      <c r="L122" s="26"/>
      <c r="M122" s="26"/>
      <c r="N122" s="26"/>
      <c r="O122" s="26"/>
    </row>
    <row r="123" spans="10:15" x14ac:dyDescent="0.35">
      <c r="J123" s="26"/>
      <c r="K123" s="26"/>
      <c r="L123" s="26"/>
      <c r="M123" s="26"/>
      <c r="N123" s="26"/>
      <c r="O123" s="26"/>
    </row>
    <row r="124" spans="10:15" x14ac:dyDescent="0.35">
      <c r="J124" s="26"/>
      <c r="K124" s="26"/>
      <c r="L124" s="26"/>
      <c r="M124" s="26"/>
      <c r="N124" s="26"/>
      <c r="O124" s="26"/>
    </row>
    <row r="125" spans="10:15" x14ac:dyDescent="0.35">
      <c r="J125" s="26"/>
      <c r="K125" s="26"/>
      <c r="L125" s="26"/>
      <c r="M125" s="26"/>
      <c r="N125" s="26"/>
      <c r="O125" s="26"/>
    </row>
    <row r="126" spans="10:15" x14ac:dyDescent="0.35">
      <c r="J126" s="26"/>
      <c r="K126" s="26"/>
      <c r="L126" s="26"/>
      <c r="M126" s="26"/>
      <c r="N126" s="26"/>
      <c r="O126" s="26"/>
    </row>
    <row r="127" spans="10:15" x14ac:dyDescent="0.35">
      <c r="J127" s="26"/>
      <c r="K127" s="26"/>
      <c r="L127" s="26"/>
      <c r="M127" s="26"/>
      <c r="N127" s="26"/>
      <c r="O127" s="26"/>
    </row>
    <row r="128" spans="10:15" x14ac:dyDescent="0.35">
      <c r="J128" s="26"/>
      <c r="K128" s="26"/>
      <c r="L128" s="26"/>
      <c r="M128" s="26"/>
      <c r="N128" s="26"/>
      <c r="O128" s="26"/>
    </row>
    <row r="129" spans="10:15" x14ac:dyDescent="0.35">
      <c r="J129" s="26"/>
      <c r="K129" s="26"/>
      <c r="L129" s="26"/>
      <c r="M129" s="26"/>
      <c r="N129" s="26"/>
      <c r="O129" s="26"/>
    </row>
    <row r="130" spans="10:15" x14ac:dyDescent="0.35">
      <c r="J130" s="26"/>
      <c r="K130" s="26"/>
      <c r="L130" s="26"/>
      <c r="M130" s="26"/>
      <c r="N130" s="26"/>
      <c r="O130" s="26"/>
    </row>
    <row r="131" spans="10:15" x14ac:dyDescent="0.35">
      <c r="J131" s="26"/>
      <c r="K131" s="26"/>
      <c r="L131" s="26"/>
      <c r="M131" s="26"/>
      <c r="N131" s="26"/>
      <c r="O131" s="26"/>
    </row>
    <row r="132" spans="10:15" x14ac:dyDescent="0.35">
      <c r="J132" s="26"/>
      <c r="K132" s="26"/>
      <c r="L132" s="26"/>
      <c r="M132" s="26"/>
      <c r="N132" s="26"/>
      <c r="O132" s="26"/>
    </row>
    <row r="133" spans="10:15" x14ac:dyDescent="0.35">
      <c r="J133" s="26"/>
      <c r="K133" s="26"/>
      <c r="L133" s="26"/>
      <c r="M133" s="26"/>
      <c r="N133" s="26"/>
      <c r="O133" s="26"/>
    </row>
    <row r="134" spans="10:15" x14ac:dyDescent="0.35">
      <c r="J134" s="26"/>
      <c r="K134" s="26"/>
      <c r="L134" s="26"/>
      <c r="M134" s="26"/>
      <c r="N134" s="26"/>
      <c r="O134" s="26"/>
    </row>
    <row r="135" spans="10:15" x14ac:dyDescent="0.35">
      <c r="J135" s="26"/>
      <c r="K135" s="26"/>
      <c r="L135" s="26"/>
      <c r="M135" s="26"/>
      <c r="N135" s="26"/>
      <c r="O135" s="26"/>
    </row>
    <row r="136" spans="10:15" x14ac:dyDescent="0.35">
      <c r="J136" s="26"/>
      <c r="K136" s="26"/>
      <c r="L136" s="26"/>
      <c r="M136" s="26"/>
      <c r="N136" s="26"/>
      <c r="O136" s="26"/>
    </row>
    <row r="137" spans="10:15" x14ac:dyDescent="0.35">
      <c r="J137" s="26"/>
      <c r="K137" s="26"/>
      <c r="L137" s="26"/>
      <c r="M137" s="26"/>
      <c r="N137" s="26"/>
      <c r="O137" s="26"/>
    </row>
    <row r="138" spans="10:15" x14ac:dyDescent="0.35">
      <c r="J138" s="26"/>
      <c r="K138" s="26"/>
      <c r="L138" s="26"/>
      <c r="M138" s="26"/>
      <c r="N138" s="26"/>
      <c r="O138" s="26"/>
    </row>
    <row r="139" spans="10:15" x14ac:dyDescent="0.35">
      <c r="J139" s="26"/>
      <c r="K139" s="26"/>
      <c r="L139" s="26"/>
      <c r="M139" s="26"/>
      <c r="N139" s="26"/>
      <c r="O139" s="26"/>
    </row>
    <row r="140" spans="10:15" x14ac:dyDescent="0.35">
      <c r="J140" s="26"/>
      <c r="K140" s="26"/>
      <c r="L140" s="26"/>
      <c r="M140" s="26"/>
      <c r="N140" s="26"/>
      <c r="O140" s="26"/>
    </row>
    <row r="141" spans="10:15" x14ac:dyDescent="0.35">
      <c r="J141" s="26"/>
      <c r="K141" s="26"/>
      <c r="L141" s="26"/>
      <c r="M141" s="26"/>
      <c r="N141" s="26"/>
      <c r="O141" s="26"/>
    </row>
    <row r="142" spans="10:15" x14ac:dyDescent="0.35">
      <c r="J142" s="26"/>
      <c r="K142" s="26"/>
      <c r="L142" s="26"/>
      <c r="M142" s="26"/>
      <c r="N142" s="26"/>
      <c r="O142" s="26"/>
    </row>
    <row r="143" spans="10:15" x14ac:dyDescent="0.35">
      <c r="J143" s="26"/>
      <c r="K143" s="26"/>
      <c r="L143" s="26"/>
      <c r="M143" s="26"/>
      <c r="N143" s="26"/>
      <c r="O143" s="26"/>
    </row>
    <row r="144" spans="10:15" x14ac:dyDescent="0.35">
      <c r="J144" s="26"/>
      <c r="K144" s="26"/>
      <c r="L144" s="26"/>
      <c r="M144" s="26"/>
      <c r="N144" s="26"/>
      <c r="O144" s="26"/>
    </row>
    <row r="145" spans="10:15" x14ac:dyDescent="0.35">
      <c r="J145" s="26"/>
      <c r="K145" s="26"/>
      <c r="L145" s="26"/>
      <c r="M145" s="26"/>
      <c r="N145" s="26"/>
      <c r="O145" s="26"/>
    </row>
    <row r="146" spans="10:15" x14ac:dyDescent="0.35">
      <c r="J146" s="26"/>
      <c r="K146" s="26"/>
      <c r="L146" s="26"/>
      <c r="M146" s="26"/>
      <c r="N146" s="26"/>
      <c r="O146" s="26"/>
    </row>
    <row r="147" spans="10:15" x14ac:dyDescent="0.35">
      <c r="J147" s="26"/>
      <c r="K147" s="26"/>
      <c r="L147" s="26"/>
      <c r="M147" s="26"/>
      <c r="N147" s="26"/>
      <c r="O147" s="26"/>
    </row>
    <row r="148" spans="10:15" x14ac:dyDescent="0.35">
      <c r="J148" s="26"/>
      <c r="K148" s="26"/>
      <c r="L148" s="26"/>
      <c r="M148" s="26"/>
      <c r="N148" s="26"/>
      <c r="O148" s="26"/>
    </row>
    <row r="149" spans="10:15" x14ac:dyDescent="0.35">
      <c r="J149" s="26"/>
      <c r="K149" s="26"/>
      <c r="L149" s="26"/>
      <c r="M149" s="26"/>
      <c r="N149" s="26"/>
      <c r="O149" s="26"/>
    </row>
    <row r="150" spans="10:15" x14ac:dyDescent="0.35">
      <c r="J150" s="26"/>
      <c r="K150" s="26"/>
      <c r="L150" s="26"/>
      <c r="M150" s="26"/>
      <c r="N150" s="26"/>
      <c r="O150" s="26"/>
    </row>
    <row r="151" spans="10:15" x14ac:dyDescent="0.35">
      <c r="J151" s="26"/>
      <c r="K151" s="26"/>
      <c r="L151" s="26"/>
      <c r="M151" s="26"/>
      <c r="N151" s="26"/>
      <c r="O151" s="26"/>
    </row>
    <row r="152" spans="10:15" x14ac:dyDescent="0.35">
      <c r="J152" s="26"/>
      <c r="K152" s="26"/>
      <c r="L152" s="26"/>
      <c r="M152" s="26"/>
      <c r="N152" s="26"/>
      <c r="O152" s="26"/>
    </row>
    <row r="153" spans="10:15" x14ac:dyDescent="0.35">
      <c r="J153" s="26"/>
      <c r="K153" s="26"/>
      <c r="L153" s="26"/>
      <c r="M153" s="26"/>
      <c r="N153" s="26"/>
      <c r="O153" s="26"/>
    </row>
    <row r="154" spans="10:15" x14ac:dyDescent="0.35">
      <c r="J154" s="26"/>
      <c r="K154" s="26"/>
      <c r="L154" s="26"/>
      <c r="M154" s="26"/>
      <c r="N154" s="26"/>
      <c r="O154" s="26"/>
    </row>
    <row r="155" spans="10:15" x14ac:dyDescent="0.35">
      <c r="J155" s="26"/>
      <c r="K155" s="26"/>
      <c r="L155" s="26"/>
      <c r="M155" s="26"/>
      <c r="N155" s="26"/>
      <c r="O155" s="26"/>
    </row>
    <row r="156" spans="10:15" x14ac:dyDescent="0.35">
      <c r="J156" s="26"/>
      <c r="K156" s="26"/>
      <c r="L156" s="26"/>
      <c r="M156" s="26"/>
      <c r="N156" s="26"/>
      <c r="O156" s="26"/>
    </row>
    <row r="157" spans="10:15" x14ac:dyDescent="0.35">
      <c r="J157" s="26"/>
      <c r="K157" s="26"/>
      <c r="L157" s="26"/>
      <c r="M157" s="26"/>
      <c r="N157" s="26"/>
      <c r="O157" s="26"/>
    </row>
    <row r="158" spans="10:15" x14ac:dyDescent="0.35">
      <c r="J158" s="26"/>
      <c r="K158" s="26"/>
      <c r="L158" s="26"/>
      <c r="M158" s="26"/>
      <c r="N158" s="26"/>
      <c r="O158" s="26"/>
    </row>
    <row r="159" spans="10:15" x14ac:dyDescent="0.35">
      <c r="J159" s="26"/>
      <c r="K159" s="26"/>
      <c r="L159" s="26"/>
      <c r="M159" s="26"/>
      <c r="N159" s="26"/>
      <c r="O159" s="26"/>
    </row>
    <row r="160" spans="10:15" x14ac:dyDescent="0.35">
      <c r="J160" s="26"/>
      <c r="K160" s="26"/>
      <c r="L160" s="26"/>
      <c r="M160" s="26"/>
      <c r="N160" s="26"/>
      <c r="O160" s="26"/>
    </row>
    <row r="161" spans="10:15" x14ac:dyDescent="0.35">
      <c r="J161" s="26"/>
      <c r="K161" s="26"/>
      <c r="L161" s="26"/>
      <c r="M161" s="26"/>
      <c r="N161" s="26"/>
      <c r="O161" s="26"/>
    </row>
    <row r="162" spans="10:15" x14ac:dyDescent="0.35">
      <c r="J162" s="26"/>
      <c r="K162" s="26"/>
      <c r="L162" s="26"/>
      <c r="M162" s="26"/>
      <c r="N162" s="26"/>
      <c r="O162" s="26"/>
    </row>
    <row r="163" spans="10:15" x14ac:dyDescent="0.35">
      <c r="J163" s="26"/>
      <c r="K163" s="26"/>
      <c r="L163" s="26"/>
      <c r="M163" s="26"/>
      <c r="N163" s="26"/>
      <c r="O163" s="26"/>
    </row>
    <row r="164" spans="10:15" x14ac:dyDescent="0.35">
      <c r="J164" s="26"/>
      <c r="K164" s="26"/>
      <c r="L164" s="26"/>
      <c r="M164" s="26"/>
      <c r="N164" s="26"/>
      <c r="O164" s="26"/>
    </row>
    <row r="165" spans="10:15" x14ac:dyDescent="0.35">
      <c r="J165" s="26"/>
      <c r="K165" s="26"/>
      <c r="L165" s="26"/>
      <c r="M165" s="26"/>
      <c r="N165" s="26"/>
      <c r="O165" s="26"/>
    </row>
    <row r="166" spans="10:15" x14ac:dyDescent="0.35">
      <c r="J166" s="26"/>
      <c r="K166" s="26"/>
      <c r="L166" s="26"/>
      <c r="M166" s="26"/>
      <c r="N166" s="26"/>
      <c r="O166" s="26"/>
    </row>
    <row r="167" spans="10:15" x14ac:dyDescent="0.35">
      <c r="J167" s="26"/>
      <c r="K167" s="26"/>
      <c r="L167" s="26"/>
      <c r="M167" s="26"/>
      <c r="N167" s="26"/>
      <c r="O167" s="26"/>
    </row>
    <row r="168" spans="10:15" x14ac:dyDescent="0.35">
      <c r="J168" s="26"/>
      <c r="K168" s="26"/>
      <c r="L168" s="26"/>
      <c r="M168" s="26"/>
      <c r="N168" s="26"/>
      <c r="O168" s="26"/>
    </row>
    <row r="169" spans="10:15" x14ac:dyDescent="0.35">
      <c r="J169" s="26"/>
      <c r="K169" s="26"/>
      <c r="L169" s="26"/>
      <c r="M169" s="26"/>
      <c r="N169" s="26"/>
      <c r="O169" s="26"/>
    </row>
    <row r="170" spans="10:15" x14ac:dyDescent="0.35">
      <c r="J170" s="26"/>
      <c r="K170" s="26"/>
      <c r="L170" s="26"/>
      <c r="M170" s="26"/>
      <c r="N170" s="26"/>
      <c r="O170" s="26"/>
    </row>
    <row r="171" spans="10:15" x14ac:dyDescent="0.35">
      <c r="J171" s="26"/>
      <c r="K171" s="26"/>
      <c r="L171" s="26"/>
      <c r="M171" s="26"/>
      <c r="N171" s="26"/>
      <c r="O171" s="26"/>
    </row>
    <row r="172" spans="10:15" x14ac:dyDescent="0.35">
      <c r="J172" s="26"/>
      <c r="K172" s="26"/>
      <c r="L172" s="26"/>
      <c r="M172" s="26"/>
      <c r="N172" s="26"/>
      <c r="O172" s="26"/>
    </row>
    <row r="173" spans="10:15" x14ac:dyDescent="0.35">
      <c r="J173" s="26"/>
      <c r="K173" s="26"/>
      <c r="L173" s="26"/>
      <c r="M173" s="26"/>
      <c r="N173" s="26"/>
      <c r="O173" s="26"/>
    </row>
    <row r="174" spans="10:15" x14ac:dyDescent="0.35">
      <c r="J174" s="26"/>
      <c r="K174" s="26"/>
      <c r="L174" s="26"/>
      <c r="M174" s="26"/>
      <c r="N174" s="26"/>
      <c r="O174" s="26"/>
    </row>
    <row r="175" spans="10:15" x14ac:dyDescent="0.35">
      <c r="J175" s="26"/>
      <c r="K175" s="26"/>
      <c r="L175" s="26"/>
      <c r="M175" s="26"/>
      <c r="N175" s="26"/>
      <c r="O175" s="26"/>
    </row>
    <row r="176" spans="10:15" x14ac:dyDescent="0.35">
      <c r="J176" s="26"/>
      <c r="K176" s="26"/>
      <c r="L176" s="26"/>
      <c r="M176" s="26"/>
      <c r="N176" s="26"/>
      <c r="O176" s="26"/>
    </row>
    <row r="177" spans="10:15" x14ac:dyDescent="0.35">
      <c r="J177" s="26"/>
      <c r="K177" s="26"/>
      <c r="L177" s="26"/>
      <c r="M177" s="26"/>
      <c r="N177" s="26"/>
      <c r="O177" s="26"/>
    </row>
    <row r="178" spans="10:15" x14ac:dyDescent="0.35">
      <c r="J178" s="26"/>
      <c r="K178" s="26"/>
      <c r="L178" s="26"/>
      <c r="M178" s="26"/>
      <c r="N178" s="26"/>
      <c r="O178" s="26"/>
    </row>
    <row r="179" spans="10:15" x14ac:dyDescent="0.35">
      <c r="J179" s="26"/>
      <c r="K179" s="26"/>
      <c r="L179" s="26"/>
      <c r="M179" s="26"/>
      <c r="N179" s="26"/>
      <c r="O179" s="26"/>
    </row>
    <row r="180" spans="10:15" x14ac:dyDescent="0.35">
      <c r="J180" s="26"/>
      <c r="K180" s="26"/>
      <c r="L180" s="26"/>
      <c r="M180" s="26"/>
      <c r="N180" s="26"/>
      <c r="O180" s="26"/>
    </row>
    <row r="181" spans="10:15" x14ac:dyDescent="0.35">
      <c r="J181" s="26"/>
      <c r="K181" s="26"/>
      <c r="L181" s="26"/>
      <c r="M181" s="26"/>
      <c r="N181" s="26"/>
      <c r="O181" s="26"/>
    </row>
    <row r="182" spans="10:15" x14ac:dyDescent="0.35">
      <c r="J182" s="26"/>
      <c r="K182" s="26"/>
      <c r="L182" s="26"/>
      <c r="M182" s="26"/>
      <c r="N182" s="26"/>
      <c r="O182" s="26"/>
    </row>
    <row r="183" spans="10:15" x14ac:dyDescent="0.35">
      <c r="J183" s="26"/>
      <c r="K183" s="26"/>
      <c r="L183" s="26"/>
      <c r="M183" s="26"/>
      <c r="N183" s="26"/>
      <c r="O183" s="26"/>
    </row>
    <row r="184" spans="10:15" x14ac:dyDescent="0.35">
      <c r="J184" s="26"/>
      <c r="K184" s="26"/>
      <c r="L184" s="26"/>
      <c r="M184" s="26"/>
      <c r="N184" s="26"/>
      <c r="O184" s="26"/>
    </row>
    <row r="185" spans="10:15" x14ac:dyDescent="0.35">
      <c r="J185" s="26"/>
      <c r="K185" s="26"/>
      <c r="L185" s="26"/>
      <c r="M185" s="26"/>
      <c r="N185" s="26"/>
      <c r="O185" s="26"/>
    </row>
    <row r="186" spans="10:15" x14ac:dyDescent="0.35">
      <c r="J186" s="26"/>
      <c r="K186" s="26"/>
      <c r="L186" s="26"/>
      <c r="M186" s="26"/>
      <c r="N186" s="26"/>
      <c r="O186" s="26"/>
    </row>
    <row r="187" spans="10:15" x14ac:dyDescent="0.35">
      <c r="J187" s="26"/>
      <c r="K187" s="26"/>
      <c r="L187" s="26"/>
      <c r="M187" s="26"/>
      <c r="N187" s="26"/>
      <c r="O187" s="26"/>
    </row>
    <row r="188" spans="10:15" x14ac:dyDescent="0.35">
      <c r="J188" s="26"/>
      <c r="K188" s="26"/>
      <c r="L188" s="26"/>
      <c r="M188" s="26"/>
      <c r="N188" s="26"/>
      <c r="O188" s="26"/>
    </row>
    <row r="189" spans="10:15" x14ac:dyDescent="0.35">
      <c r="J189" s="26"/>
      <c r="K189" s="26"/>
      <c r="L189" s="26"/>
      <c r="M189" s="26"/>
      <c r="N189" s="26"/>
      <c r="O189" s="26"/>
    </row>
    <row r="190" spans="10:15" x14ac:dyDescent="0.35">
      <c r="J190" s="26"/>
      <c r="K190" s="26"/>
      <c r="L190" s="26"/>
      <c r="M190" s="26"/>
      <c r="N190" s="26"/>
      <c r="O190" s="26"/>
    </row>
    <row r="191" spans="10:15" x14ac:dyDescent="0.35">
      <c r="J191" s="26"/>
      <c r="K191" s="26"/>
      <c r="L191" s="26"/>
      <c r="M191" s="26"/>
      <c r="N191" s="26"/>
      <c r="O191" s="26"/>
    </row>
    <row r="192" spans="10:15" x14ac:dyDescent="0.35">
      <c r="J192" s="26"/>
      <c r="K192" s="26"/>
      <c r="L192" s="26"/>
      <c r="M192" s="26"/>
      <c r="N192" s="26"/>
      <c r="O192" s="26"/>
    </row>
    <row r="193" spans="10:15" x14ac:dyDescent="0.35">
      <c r="J193" s="26"/>
      <c r="K193" s="26"/>
      <c r="L193" s="26"/>
      <c r="M193" s="26"/>
      <c r="N193" s="26"/>
      <c r="O193" s="26"/>
    </row>
    <row r="194" spans="10:15" x14ac:dyDescent="0.35">
      <c r="J194" s="26"/>
      <c r="K194" s="26"/>
      <c r="L194" s="26"/>
      <c r="M194" s="26"/>
      <c r="N194" s="26"/>
      <c r="O194" s="26"/>
    </row>
    <row r="195" spans="10:15" x14ac:dyDescent="0.35">
      <c r="J195" s="26"/>
      <c r="K195" s="26"/>
      <c r="L195" s="26"/>
      <c r="M195" s="26"/>
      <c r="N195" s="26"/>
      <c r="O195" s="26"/>
    </row>
    <row r="196" spans="10:15" x14ac:dyDescent="0.35">
      <c r="J196" s="26"/>
      <c r="K196" s="26"/>
      <c r="L196" s="26"/>
      <c r="M196" s="26"/>
      <c r="N196" s="26"/>
      <c r="O196" s="26"/>
    </row>
    <row r="197" spans="10:15" x14ac:dyDescent="0.35">
      <c r="J197" s="26"/>
      <c r="K197" s="26"/>
      <c r="L197" s="26"/>
      <c r="M197" s="26"/>
      <c r="N197" s="26"/>
      <c r="O197" s="26"/>
    </row>
    <row r="198" spans="10:15" x14ac:dyDescent="0.35">
      <c r="J198" s="26"/>
      <c r="K198" s="26"/>
      <c r="L198" s="26"/>
      <c r="M198" s="26"/>
      <c r="N198" s="26"/>
      <c r="O198" s="26"/>
    </row>
    <row r="199" spans="10:15" x14ac:dyDescent="0.35">
      <c r="J199" s="26"/>
      <c r="K199" s="26"/>
      <c r="L199" s="26"/>
      <c r="M199" s="26"/>
      <c r="N199" s="26"/>
      <c r="O199" s="26"/>
    </row>
    <row r="200" spans="10:15" x14ac:dyDescent="0.35">
      <c r="J200" s="26"/>
      <c r="K200" s="26"/>
      <c r="L200" s="26"/>
      <c r="M200" s="26"/>
      <c r="N200" s="26"/>
      <c r="O200" s="26"/>
    </row>
    <row r="201" spans="10:15" x14ac:dyDescent="0.35">
      <c r="J201" s="26"/>
      <c r="K201" s="26"/>
      <c r="L201" s="26"/>
      <c r="M201" s="26"/>
      <c r="N201" s="26"/>
      <c r="O201" s="26"/>
    </row>
    <row r="202" spans="10:15" x14ac:dyDescent="0.35">
      <c r="J202" s="26"/>
      <c r="K202" s="26"/>
      <c r="L202" s="26"/>
      <c r="M202" s="26"/>
      <c r="N202" s="26"/>
      <c r="O202" s="26"/>
    </row>
    <row r="203" spans="10:15" x14ac:dyDescent="0.35">
      <c r="J203" s="26"/>
      <c r="K203" s="26"/>
      <c r="L203" s="26"/>
      <c r="M203" s="26"/>
      <c r="N203" s="26"/>
      <c r="O203" s="26"/>
    </row>
    <row r="204" spans="10:15" x14ac:dyDescent="0.35">
      <c r="J204" s="26"/>
      <c r="K204" s="26"/>
      <c r="L204" s="26"/>
      <c r="M204" s="26"/>
      <c r="N204" s="26"/>
      <c r="O204" s="26"/>
    </row>
    <row r="205" spans="10:15" x14ac:dyDescent="0.35">
      <c r="J205" s="26"/>
      <c r="K205" s="26"/>
      <c r="L205" s="26"/>
      <c r="M205" s="26"/>
      <c r="N205" s="26"/>
      <c r="O205" s="26"/>
    </row>
    <row r="206" spans="10:15" x14ac:dyDescent="0.35">
      <c r="J206" s="26"/>
      <c r="K206" s="26"/>
      <c r="L206" s="26"/>
      <c r="M206" s="26"/>
      <c r="N206" s="26"/>
      <c r="O206" s="26"/>
    </row>
    <row r="207" spans="10:15" x14ac:dyDescent="0.35">
      <c r="J207" s="26"/>
      <c r="K207" s="26"/>
      <c r="L207" s="26"/>
      <c r="M207" s="26"/>
      <c r="N207" s="26"/>
      <c r="O207" s="26"/>
    </row>
    <row r="208" spans="10:15" x14ac:dyDescent="0.35">
      <c r="J208" s="26"/>
      <c r="K208" s="26"/>
      <c r="L208" s="26"/>
      <c r="M208" s="26"/>
      <c r="N208" s="26"/>
      <c r="O208" s="26"/>
    </row>
    <row r="209" spans="10:15" x14ac:dyDescent="0.35">
      <c r="J209" s="26"/>
      <c r="K209" s="26"/>
      <c r="L209" s="26"/>
      <c r="M209" s="26"/>
      <c r="N209" s="26"/>
      <c r="O209" s="26"/>
    </row>
    <row r="210" spans="10:15" x14ac:dyDescent="0.35">
      <c r="J210" s="26"/>
      <c r="K210" s="26"/>
      <c r="L210" s="26"/>
      <c r="M210" s="26"/>
      <c r="N210" s="26"/>
      <c r="O210" s="26"/>
    </row>
    <row r="211" spans="10:15" x14ac:dyDescent="0.35">
      <c r="J211" s="26"/>
      <c r="K211" s="26"/>
      <c r="L211" s="26"/>
      <c r="M211" s="26"/>
      <c r="N211" s="26"/>
      <c r="O211" s="26"/>
    </row>
    <row r="212" spans="10:15" x14ac:dyDescent="0.35">
      <c r="J212" s="26"/>
      <c r="K212" s="26"/>
      <c r="L212" s="26"/>
      <c r="M212" s="26"/>
      <c r="N212" s="26"/>
      <c r="O212" s="26"/>
    </row>
    <row r="213" spans="10:15" x14ac:dyDescent="0.35">
      <c r="J213" s="26"/>
      <c r="K213" s="26"/>
      <c r="L213" s="26"/>
      <c r="M213" s="26"/>
      <c r="N213" s="26"/>
      <c r="O213" s="26"/>
    </row>
    <row r="214" spans="10:15" x14ac:dyDescent="0.35">
      <c r="J214" s="26"/>
      <c r="K214" s="26"/>
      <c r="L214" s="26"/>
      <c r="M214" s="26"/>
      <c r="N214" s="26"/>
      <c r="O214" s="26"/>
    </row>
    <row r="215" spans="10:15" x14ac:dyDescent="0.35">
      <c r="J215" s="26"/>
      <c r="K215" s="26"/>
      <c r="L215" s="26"/>
      <c r="M215" s="26"/>
      <c r="N215" s="26"/>
      <c r="O215" s="26"/>
    </row>
    <row r="216" spans="10:15" x14ac:dyDescent="0.35">
      <c r="J216" s="26"/>
      <c r="K216" s="26"/>
      <c r="L216" s="26"/>
      <c r="M216" s="26"/>
      <c r="N216" s="26"/>
      <c r="O216" s="26"/>
    </row>
    <row r="217" spans="10:15" x14ac:dyDescent="0.35">
      <c r="J217" s="26"/>
      <c r="K217" s="26"/>
      <c r="L217" s="26"/>
      <c r="M217" s="26"/>
      <c r="N217" s="26"/>
      <c r="O217" s="26"/>
    </row>
    <row r="218" spans="10:15" x14ac:dyDescent="0.35">
      <c r="J218" s="26"/>
      <c r="K218" s="26"/>
      <c r="L218" s="26"/>
      <c r="M218" s="26"/>
      <c r="N218" s="26"/>
      <c r="O218" s="26"/>
    </row>
    <row r="219" spans="10:15" x14ac:dyDescent="0.35">
      <c r="J219" s="26"/>
      <c r="K219" s="26"/>
      <c r="L219" s="26"/>
      <c r="M219" s="26"/>
      <c r="N219" s="26"/>
      <c r="O219" s="26"/>
    </row>
    <row r="220" spans="10:15" x14ac:dyDescent="0.35">
      <c r="J220" s="26"/>
      <c r="K220" s="26"/>
      <c r="L220" s="26"/>
      <c r="M220" s="26"/>
      <c r="N220" s="26"/>
      <c r="O220" s="26"/>
    </row>
    <row r="221" spans="10:15" x14ac:dyDescent="0.35">
      <c r="J221" s="26"/>
      <c r="K221" s="26"/>
      <c r="L221" s="26"/>
      <c r="M221" s="26"/>
      <c r="N221" s="26"/>
      <c r="O221" s="26"/>
    </row>
    <row r="222" spans="10:15" x14ac:dyDescent="0.35">
      <c r="J222" s="26"/>
      <c r="K222" s="26"/>
      <c r="L222" s="26"/>
      <c r="M222" s="26"/>
      <c r="N222" s="26"/>
      <c r="O222" s="26"/>
    </row>
    <row r="223" spans="10:15" x14ac:dyDescent="0.35">
      <c r="J223" s="26"/>
      <c r="K223" s="26"/>
      <c r="L223" s="26"/>
      <c r="M223" s="26"/>
      <c r="N223" s="26"/>
      <c r="O223" s="26"/>
    </row>
    <row r="224" spans="10:15" x14ac:dyDescent="0.35">
      <c r="J224" s="26"/>
      <c r="K224" s="26"/>
      <c r="L224" s="26"/>
      <c r="M224" s="26"/>
      <c r="N224" s="26"/>
      <c r="O224" s="26"/>
    </row>
    <row r="225" spans="10:15" x14ac:dyDescent="0.35">
      <c r="J225" s="26"/>
      <c r="K225" s="26"/>
      <c r="L225" s="26"/>
      <c r="M225" s="26"/>
      <c r="N225" s="26"/>
      <c r="O225" s="26"/>
    </row>
    <row r="226" spans="10:15" x14ac:dyDescent="0.35">
      <c r="J226" s="26"/>
      <c r="K226" s="26"/>
      <c r="L226" s="26"/>
      <c r="M226" s="26"/>
      <c r="N226" s="26"/>
      <c r="O226" s="26"/>
    </row>
    <row r="227" spans="10:15" x14ac:dyDescent="0.35">
      <c r="J227" s="26"/>
      <c r="K227" s="26"/>
      <c r="L227" s="26"/>
      <c r="M227" s="26"/>
      <c r="N227" s="26"/>
      <c r="O227" s="26"/>
    </row>
    <row r="228" spans="10:15" x14ac:dyDescent="0.35">
      <c r="J228" s="26"/>
      <c r="K228" s="26"/>
      <c r="L228" s="26"/>
      <c r="M228" s="26"/>
      <c r="N228" s="26"/>
      <c r="O228" s="26"/>
    </row>
    <row r="229" spans="10:15" x14ac:dyDescent="0.35">
      <c r="J229" s="26"/>
      <c r="K229" s="26"/>
      <c r="L229" s="26"/>
      <c r="M229" s="26"/>
      <c r="N229" s="26"/>
      <c r="O229" s="26"/>
    </row>
    <row r="230" spans="10:15" x14ac:dyDescent="0.35">
      <c r="J230" s="26"/>
      <c r="K230" s="26"/>
      <c r="L230" s="26"/>
      <c r="M230" s="26"/>
      <c r="N230" s="26"/>
      <c r="O230" s="26"/>
    </row>
    <row r="231" spans="10:15" x14ac:dyDescent="0.35">
      <c r="J231" s="26"/>
      <c r="K231" s="26"/>
      <c r="L231" s="26"/>
      <c r="M231" s="26"/>
      <c r="N231" s="26"/>
      <c r="O231" s="26"/>
    </row>
    <row r="232" spans="10:15" x14ac:dyDescent="0.35">
      <c r="J232" s="26"/>
      <c r="K232" s="26"/>
      <c r="L232" s="26"/>
      <c r="M232" s="26"/>
      <c r="N232" s="26"/>
      <c r="O232" s="26"/>
    </row>
    <row r="233" spans="10:15" x14ac:dyDescent="0.35">
      <c r="J233" s="26"/>
      <c r="K233" s="26"/>
      <c r="L233" s="26"/>
      <c r="M233" s="26"/>
      <c r="N233" s="26"/>
      <c r="O233" s="26"/>
    </row>
    <row r="234" spans="10:15" x14ac:dyDescent="0.35">
      <c r="J234" s="26"/>
      <c r="K234" s="26"/>
      <c r="L234" s="26"/>
      <c r="M234" s="26"/>
      <c r="N234" s="26"/>
      <c r="O234" s="26"/>
    </row>
    <row r="235" spans="10:15" x14ac:dyDescent="0.35">
      <c r="J235" s="26"/>
      <c r="K235" s="26"/>
      <c r="L235" s="26"/>
      <c r="M235" s="26"/>
      <c r="N235" s="26"/>
      <c r="O235" s="26"/>
    </row>
    <row r="236" spans="10:15" x14ac:dyDescent="0.35">
      <c r="J236" s="26"/>
      <c r="K236" s="26"/>
      <c r="L236" s="26"/>
      <c r="M236" s="26"/>
      <c r="N236" s="26"/>
      <c r="O236" s="26"/>
    </row>
    <row r="237" spans="10:15" x14ac:dyDescent="0.35">
      <c r="J237" s="26"/>
      <c r="K237" s="26"/>
      <c r="L237" s="26"/>
      <c r="M237" s="26"/>
      <c r="N237" s="26"/>
      <c r="O237" s="26"/>
    </row>
    <row r="238" spans="10:15" x14ac:dyDescent="0.35">
      <c r="J238" s="26"/>
      <c r="K238" s="26"/>
      <c r="L238" s="26"/>
      <c r="M238" s="26"/>
      <c r="N238" s="26"/>
      <c r="O238" s="26"/>
    </row>
    <row r="239" spans="10:15" x14ac:dyDescent="0.35">
      <c r="J239" s="26"/>
      <c r="K239" s="26"/>
      <c r="L239" s="26"/>
      <c r="M239" s="26"/>
      <c r="N239" s="26"/>
      <c r="O239" s="26"/>
    </row>
    <row r="240" spans="10:15" x14ac:dyDescent="0.35">
      <c r="J240" s="26"/>
      <c r="K240" s="26"/>
      <c r="L240" s="26"/>
      <c r="M240" s="26"/>
      <c r="N240" s="26"/>
      <c r="O240" s="26"/>
    </row>
    <row r="241" spans="10:15" x14ac:dyDescent="0.35">
      <c r="J241" s="26"/>
      <c r="K241" s="26"/>
      <c r="L241" s="26"/>
      <c r="M241" s="26"/>
      <c r="N241" s="26"/>
      <c r="O241" s="26"/>
    </row>
    <row r="242" spans="10:15" x14ac:dyDescent="0.35">
      <c r="J242" s="26"/>
      <c r="K242" s="26"/>
      <c r="L242" s="26"/>
      <c r="M242" s="26"/>
      <c r="N242" s="26"/>
      <c r="O242" s="26"/>
    </row>
    <row r="243" spans="10:15" x14ac:dyDescent="0.35">
      <c r="J243" s="26"/>
      <c r="K243" s="26"/>
      <c r="L243" s="26"/>
      <c r="M243" s="26"/>
      <c r="N243" s="26"/>
      <c r="O243" s="26"/>
    </row>
    <row r="244" spans="10:15" x14ac:dyDescent="0.35">
      <c r="J244" s="26"/>
      <c r="K244" s="26"/>
      <c r="L244" s="26"/>
      <c r="M244" s="26"/>
      <c r="N244" s="26"/>
      <c r="O244" s="26"/>
    </row>
    <row r="245" spans="10:15" x14ac:dyDescent="0.35">
      <c r="J245" s="26"/>
      <c r="K245" s="26"/>
      <c r="L245" s="26"/>
      <c r="M245" s="26"/>
      <c r="N245" s="26"/>
      <c r="O245" s="26"/>
    </row>
    <row r="246" spans="10:15" x14ac:dyDescent="0.35">
      <c r="J246" s="26"/>
      <c r="K246" s="26"/>
      <c r="L246" s="26"/>
      <c r="M246" s="26"/>
      <c r="N246" s="26"/>
      <c r="O246" s="26"/>
    </row>
    <row r="247" spans="10:15" x14ac:dyDescent="0.35">
      <c r="J247" s="26"/>
      <c r="K247" s="26"/>
      <c r="L247" s="26"/>
      <c r="M247" s="26"/>
      <c r="N247" s="26"/>
      <c r="O247" s="26"/>
    </row>
    <row r="248" spans="10:15" x14ac:dyDescent="0.35">
      <c r="J248" s="26"/>
      <c r="K248" s="26"/>
      <c r="L248" s="26"/>
      <c r="M248" s="26"/>
      <c r="N248" s="26"/>
      <c r="O248" s="26"/>
    </row>
    <row r="249" spans="10:15" x14ac:dyDescent="0.35">
      <c r="J249" s="26"/>
      <c r="K249" s="26"/>
      <c r="L249" s="26"/>
      <c r="M249" s="26"/>
      <c r="N249" s="26"/>
      <c r="O249" s="26"/>
    </row>
    <row r="250" spans="10:15" x14ac:dyDescent="0.35">
      <c r="J250" s="26"/>
      <c r="K250" s="26"/>
      <c r="L250" s="26"/>
      <c r="M250" s="26"/>
      <c r="N250" s="26"/>
      <c r="O250" s="26"/>
    </row>
    <row r="251" spans="10:15" x14ac:dyDescent="0.35">
      <c r="J251" s="26"/>
      <c r="K251" s="26"/>
      <c r="L251" s="26"/>
      <c r="M251" s="26"/>
      <c r="N251" s="26"/>
      <c r="O251" s="26"/>
    </row>
    <row r="252" spans="10:15" x14ac:dyDescent="0.35">
      <c r="J252" s="26"/>
      <c r="K252" s="26"/>
      <c r="L252" s="26"/>
      <c r="M252" s="26"/>
      <c r="N252" s="26"/>
      <c r="O252" s="26"/>
    </row>
    <row r="253" spans="10:15" x14ac:dyDescent="0.35">
      <c r="J253" s="26"/>
      <c r="K253" s="26"/>
      <c r="L253" s="26"/>
      <c r="M253" s="26"/>
      <c r="N253" s="26"/>
      <c r="O253" s="26"/>
    </row>
    <row r="254" spans="10:15" x14ac:dyDescent="0.35">
      <c r="J254" s="26"/>
      <c r="K254" s="26"/>
      <c r="L254" s="26"/>
      <c r="M254" s="26"/>
      <c r="N254" s="26"/>
      <c r="O254" s="26"/>
    </row>
    <row r="255" spans="10:15" x14ac:dyDescent="0.35">
      <c r="J255" s="26"/>
      <c r="K255" s="26"/>
      <c r="L255" s="26"/>
      <c r="M255" s="26"/>
      <c r="N255" s="26"/>
      <c r="O255" s="26"/>
    </row>
    <row r="256" spans="10:15" x14ac:dyDescent="0.35">
      <c r="J256" s="26"/>
      <c r="K256" s="26"/>
      <c r="L256" s="26"/>
      <c r="M256" s="26"/>
      <c r="N256" s="26"/>
      <c r="O256" s="26"/>
    </row>
    <row r="257" spans="10:15" x14ac:dyDescent="0.35">
      <c r="J257" s="26"/>
      <c r="K257" s="26"/>
      <c r="L257" s="26"/>
      <c r="M257" s="26"/>
      <c r="N257" s="26"/>
      <c r="O257" s="26"/>
    </row>
    <row r="258" spans="10:15" x14ac:dyDescent="0.35">
      <c r="J258" s="26"/>
      <c r="K258" s="26"/>
      <c r="L258" s="26"/>
      <c r="M258" s="26"/>
      <c r="N258" s="26"/>
      <c r="O258" s="26"/>
    </row>
    <row r="259" spans="10:15" x14ac:dyDescent="0.35">
      <c r="J259" s="26"/>
      <c r="K259" s="26"/>
      <c r="L259" s="26"/>
      <c r="M259" s="26"/>
      <c r="N259" s="26"/>
      <c r="O259" s="26"/>
    </row>
    <row r="260" spans="10:15" x14ac:dyDescent="0.35">
      <c r="J260" s="26"/>
      <c r="K260" s="26"/>
      <c r="L260" s="26"/>
      <c r="M260" s="26"/>
      <c r="N260" s="26"/>
      <c r="O260" s="26"/>
    </row>
    <row r="261" spans="10:15" x14ac:dyDescent="0.35">
      <c r="J261" s="26"/>
      <c r="K261" s="26"/>
      <c r="L261" s="26"/>
      <c r="M261" s="26"/>
      <c r="N261" s="26"/>
      <c r="O261" s="26"/>
    </row>
    <row r="262" spans="10:15" x14ac:dyDescent="0.35">
      <c r="J262" s="26"/>
      <c r="K262" s="26"/>
      <c r="L262" s="26"/>
      <c r="M262" s="26"/>
      <c r="N262" s="26"/>
      <c r="O262" s="26"/>
    </row>
    <row r="263" spans="10:15" x14ac:dyDescent="0.35">
      <c r="J263" s="26"/>
      <c r="K263" s="26"/>
      <c r="L263" s="26"/>
      <c r="M263" s="26"/>
      <c r="N263" s="26"/>
      <c r="O263" s="26"/>
    </row>
    <row r="264" spans="10:15" x14ac:dyDescent="0.35">
      <c r="J264" s="26"/>
      <c r="K264" s="26"/>
      <c r="L264" s="26"/>
      <c r="M264" s="26"/>
      <c r="N264" s="26"/>
      <c r="O264" s="26"/>
    </row>
    <row r="265" spans="10:15" x14ac:dyDescent="0.35">
      <c r="J265" s="26"/>
      <c r="K265" s="26"/>
      <c r="L265" s="26"/>
      <c r="M265" s="26"/>
      <c r="N265" s="26"/>
      <c r="O265" s="26"/>
    </row>
    <row r="266" spans="10:15" x14ac:dyDescent="0.35">
      <c r="J266" s="26"/>
      <c r="K266" s="26"/>
      <c r="L266" s="26"/>
      <c r="M266" s="26"/>
      <c r="N266" s="26"/>
      <c r="O266" s="26"/>
    </row>
    <row r="267" spans="10:15" x14ac:dyDescent="0.35">
      <c r="J267" s="26"/>
      <c r="K267" s="26"/>
      <c r="L267" s="26"/>
      <c r="M267" s="26"/>
      <c r="N267" s="26"/>
      <c r="O267" s="26"/>
    </row>
    <row r="268" spans="10:15" x14ac:dyDescent="0.35">
      <c r="J268" s="26"/>
      <c r="K268" s="26"/>
      <c r="L268" s="26"/>
      <c r="M268" s="26"/>
      <c r="N268" s="26"/>
      <c r="O268" s="26"/>
    </row>
    <row r="269" spans="10:15" x14ac:dyDescent="0.35">
      <c r="J269" s="26"/>
      <c r="K269" s="26"/>
      <c r="L269" s="26"/>
      <c r="M269" s="26"/>
      <c r="N269" s="26"/>
      <c r="O269" s="26"/>
    </row>
    <row r="270" spans="10:15" x14ac:dyDescent="0.35">
      <c r="J270" s="26"/>
      <c r="K270" s="26"/>
      <c r="L270" s="26"/>
      <c r="M270" s="26"/>
      <c r="N270" s="26"/>
      <c r="O270" s="26"/>
    </row>
    <row r="271" spans="10:15" x14ac:dyDescent="0.35">
      <c r="J271" s="26"/>
      <c r="K271" s="26"/>
      <c r="L271" s="26"/>
      <c r="M271" s="26"/>
      <c r="N271" s="26"/>
      <c r="O271" s="26"/>
    </row>
    <row r="272" spans="10:15" x14ac:dyDescent="0.35">
      <c r="J272" s="26"/>
      <c r="K272" s="26"/>
      <c r="L272" s="26"/>
      <c r="M272" s="26"/>
      <c r="N272" s="26"/>
      <c r="O272" s="26"/>
    </row>
    <row r="273" spans="10:15" x14ac:dyDescent="0.35">
      <c r="J273" s="26"/>
      <c r="K273" s="26"/>
      <c r="L273" s="26"/>
      <c r="M273" s="26"/>
      <c r="N273" s="26"/>
      <c r="O273" s="26"/>
    </row>
    <row r="274" spans="10:15" x14ac:dyDescent="0.35">
      <c r="J274" s="26"/>
      <c r="K274" s="26"/>
      <c r="L274" s="26"/>
      <c r="M274" s="26"/>
      <c r="N274" s="26"/>
      <c r="O274" s="26"/>
    </row>
    <row r="275" spans="10:15" x14ac:dyDescent="0.35">
      <c r="J275" s="26"/>
      <c r="K275" s="26"/>
      <c r="L275" s="26"/>
      <c r="M275" s="26"/>
      <c r="N275" s="26"/>
      <c r="O275" s="26"/>
    </row>
    <row r="276" spans="10:15" x14ac:dyDescent="0.35">
      <c r="J276" s="26"/>
      <c r="K276" s="26"/>
      <c r="L276" s="26"/>
      <c r="M276" s="26"/>
      <c r="N276" s="26"/>
      <c r="O276" s="26"/>
    </row>
    <row r="277" spans="10:15" x14ac:dyDescent="0.35">
      <c r="J277" s="26"/>
      <c r="K277" s="26"/>
      <c r="L277" s="26"/>
      <c r="M277" s="26"/>
      <c r="N277" s="26"/>
      <c r="O277" s="26"/>
    </row>
    <row r="278" spans="10:15" x14ac:dyDescent="0.35">
      <c r="J278" s="26"/>
      <c r="K278" s="26"/>
      <c r="L278" s="26"/>
      <c r="M278" s="26"/>
      <c r="N278" s="26"/>
      <c r="O278" s="26"/>
    </row>
    <row r="279" spans="10:15" x14ac:dyDescent="0.35">
      <c r="J279" s="26"/>
      <c r="K279" s="26"/>
      <c r="L279" s="26"/>
      <c r="M279" s="26"/>
      <c r="N279" s="26"/>
      <c r="O279" s="26"/>
    </row>
    <row r="280" spans="10:15" x14ac:dyDescent="0.35">
      <c r="J280" s="26"/>
      <c r="K280" s="26"/>
      <c r="L280" s="26"/>
      <c r="M280" s="26"/>
      <c r="N280" s="26"/>
      <c r="O280" s="26"/>
    </row>
    <row r="281" spans="10:15" x14ac:dyDescent="0.35">
      <c r="J281" s="26"/>
      <c r="K281" s="26"/>
      <c r="L281" s="26"/>
      <c r="M281" s="26"/>
      <c r="N281" s="26"/>
      <c r="O281" s="26"/>
    </row>
    <row r="282" spans="10:15" x14ac:dyDescent="0.35">
      <c r="J282" s="26"/>
      <c r="K282" s="26"/>
      <c r="L282" s="26"/>
      <c r="M282" s="26"/>
      <c r="N282" s="26"/>
      <c r="O282" s="26"/>
    </row>
    <row r="283" spans="10:15" x14ac:dyDescent="0.35">
      <c r="J283" s="26"/>
      <c r="K283" s="26"/>
      <c r="L283" s="26"/>
      <c r="M283" s="26"/>
      <c r="N283" s="26"/>
      <c r="O283" s="26"/>
    </row>
    <row r="284" spans="10:15" x14ac:dyDescent="0.35">
      <c r="J284" s="26"/>
      <c r="K284" s="26"/>
      <c r="L284" s="26"/>
      <c r="M284" s="26"/>
      <c r="N284" s="26"/>
      <c r="O284" s="26"/>
    </row>
    <row r="285" spans="10:15" x14ac:dyDescent="0.35">
      <c r="J285" s="26"/>
      <c r="K285" s="26"/>
      <c r="L285" s="26"/>
      <c r="M285" s="26"/>
      <c r="N285" s="26"/>
      <c r="O285" s="26"/>
    </row>
    <row r="286" spans="10:15" x14ac:dyDescent="0.35">
      <c r="J286" s="26"/>
      <c r="K286" s="26"/>
      <c r="L286" s="26"/>
      <c r="M286" s="26"/>
      <c r="N286" s="26"/>
      <c r="O286" s="26"/>
    </row>
    <row r="287" spans="10:15" x14ac:dyDescent="0.35">
      <c r="J287" s="26"/>
      <c r="K287" s="26"/>
      <c r="L287" s="26"/>
      <c r="M287" s="26"/>
      <c r="N287" s="26"/>
      <c r="O287" s="26"/>
    </row>
    <row r="288" spans="10:15" x14ac:dyDescent="0.35">
      <c r="J288" s="26"/>
      <c r="K288" s="26"/>
      <c r="L288" s="26"/>
      <c r="M288" s="26"/>
      <c r="N288" s="26"/>
      <c r="O288" s="26"/>
    </row>
    <row r="289" spans="10:15" x14ac:dyDescent="0.35">
      <c r="J289" s="26"/>
      <c r="K289" s="26"/>
      <c r="L289" s="26"/>
      <c r="M289" s="26"/>
      <c r="N289" s="26"/>
      <c r="O289" s="26"/>
    </row>
    <row r="290" spans="10:15" x14ac:dyDescent="0.35">
      <c r="J290" s="26"/>
      <c r="K290" s="26"/>
      <c r="L290" s="26"/>
      <c r="M290" s="26"/>
      <c r="N290" s="26"/>
      <c r="O290" s="26"/>
    </row>
    <row r="291" spans="10:15" x14ac:dyDescent="0.35">
      <c r="J291" s="26"/>
      <c r="K291" s="26"/>
      <c r="L291" s="26"/>
      <c r="M291" s="26"/>
      <c r="N291" s="26"/>
      <c r="O291" s="26"/>
    </row>
    <row r="292" spans="10:15" x14ac:dyDescent="0.35">
      <c r="J292" s="26"/>
      <c r="K292" s="26"/>
      <c r="L292" s="26"/>
      <c r="M292" s="26"/>
      <c r="N292" s="26"/>
      <c r="O292" s="26"/>
    </row>
    <row r="293" spans="10:15" x14ac:dyDescent="0.35">
      <c r="J293" s="26"/>
      <c r="K293" s="26"/>
      <c r="L293" s="26"/>
      <c r="M293" s="26"/>
      <c r="N293" s="26"/>
      <c r="O293" s="26"/>
    </row>
    <row r="294" spans="10:15" x14ac:dyDescent="0.35">
      <c r="J294" s="26"/>
      <c r="K294" s="26"/>
      <c r="L294" s="26"/>
      <c r="M294" s="26"/>
      <c r="N294" s="26"/>
      <c r="O294" s="26"/>
    </row>
    <row r="295" spans="10:15" x14ac:dyDescent="0.35">
      <c r="J295" s="26"/>
      <c r="K295" s="26"/>
      <c r="L295" s="26"/>
      <c r="M295" s="26"/>
      <c r="N295" s="26"/>
      <c r="O295" s="26"/>
    </row>
    <row r="296" spans="10:15" x14ac:dyDescent="0.35">
      <c r="J296" s="26"/>
      <c r="K296" s="26"/>
      <c r="L296" s="26"/>
      <c r="M296" s="26"/>
      <c r="N296" s="26"/>
      <c r="O296" s="26"/>
    </row>
    <row r="297" spans="10:15" x14ac:dyDescent="0.35">
      <c r="J297" s="26"/>
      <c r="K297" s="26"/>
      <c r="L297" s="26"/>
      <c r="M297" s="26"/>
      <c r="N297" s="26"/>
      <c r="O297" s="26"/>
    </row>
    <row r="298" spans="10:15" x14ac:dyDescent="0.35">
      <c r="J298" s="26"/>
      <c r="K298" s="26"/>
      <c r="L298" s="26"/>
      <c r="M298" s="26"/>
      <c r="N298" s="26"/>
      <c r="O298" s="26"/>
    </row>
    <row r="299" spans="10:15" x14ac:dyDescent="0.35">
      <c r="J299" s="26"/>
      <c r="K299" s="26"/>
      <c r="L299" s="26"/>
      <c r="M299" s="26"/>
      <c r="N299" s="26"/>
      <c r="O299" s="26"/>
    </row>
    <row r="300" spans="10:15" x14ac:dyDescent="0.35">
      <c r="J300" s="26"/>
      <c r="K300" s="26"/>
      <c r="L300" s="26"/>
      <c r="M300" s="26"/>
      <c r="N300" s="26"/>
      <c r="O300" s="26"/>
    </row>
    <row r="301" spans="10:15" x14ac:dyDescent="0.35">
      <c r="J301" s="26"/>
      <c r="K301" s="26"/>
      <c r="L301" s="26"/>
      <c r="M301" s="26"/>
      <c r="N301" s="26"/>
      <c r="O301" s="26"/>
    </row>
    <row r="302" spans="10:15" x14ac:dyDescent="0.35">
      <c r="J302" s="26"/>
      <c r="K302" s="26"/>
      <c r="L302" s="26"/>
      <c r="M302" s="26"/>
      <c r="N302" s="26"/>
      <c r="O302" s="26"/>
    </row>
    <row r="303" spans="10:15" x14ac:dyDescent="0.35">
      <c r="J303" s="26"/>
      <c r="K303" s="26"/>
      <c r="L303" s="26"/>
      <c r="M303" s="26"/>
      <c r="N303" s="26"/>
      <c r="O303" s="26"/>
    </row>
    <row r="304" spans="10:15" x14ac:dyDescent="0.35">
      <c r="J304" s="26"/>
      <c r="K304" s="26"/>
      <c r="L304" s="26"/>
      <c r="M304" s="26"/>
      <c r="N304" s="26"/>
      <c r="O304" s="26"/>
    </row>
    <row r="305" spans="10:15" x14ac:dyDescent="0.35">
      <c r="J305" s="26"/>
      <c r="K305" s="26"/>
      <c r="L305" s="26"/>
      <c r="M305" s="26"/>
      <c r="N305" s="26"/>
      <c r="O305" s="26"/>
    </row>
    <row r="306" spans="10:15" x14ac:dyDescent="0.35">
      <c r="J306" s="26"/>
      <c r="K306" s="26"/>
      <c r="L306" s="26"/>
      <c r="M306" s="26"/>
      <c r="N306" s="26"/>
      <c r="O306" s="26"/>
    </row>
    <row r="307" spans="10:15" x14ac:dyDescent="0.35">
      <c r="J307" s="26"/>
      <c r="K307" s="26"/>
      <c r="L307" s="26"/>
      <c r="M307" s="26"/>
      <c r="N307" s="26"/>
      <c r="O307" s="26"/>
    </row>
    <row r="308" spans="10:15" x14ac:dyDescent="0.35">
      <c r="J308" s="26"/>
      <c r="K308" s="26"/>
      <c r="L308" s="26"/>
      <c r="M308" s="26"/>
      <c r="N308" s="26"/>
      <c r="O308" s="26"/>
    </row>
    <row r="309" spans="10:15" x14ac:dyDescent="0.35">
      <c r="J309" s="26"/>
      <c r="K309" s="26"/>
      <c r="L309" s="26"/>
      <c r="M309" s="26"/>
      <c r="N309" s="26"/>
      <c r="O309" s="26"/>
    </row>
    <row r="310" spans="10:15" x14ac:dyDescent="0.35">
      <c r="J310" s="26"/>
      <c r="K310" s="26"/>
      <c r="L310" s="26"/>
      <c r="M310" s="26"/>
      <c r="N310" s="26"/>
      <c r="O310" s="26"/>
    </row>
    <row r="311" spans="10:15" x14ac:dyDescent="0.35">
      <c r="J311" s="26"/>
      <c r="K311" s="26"/>
      <c r="L311" s="26"/>
      <c r="M311" s="26"/>
      <c r="N311" s="26"/>
      <c r="O311" s="26"/>
    </row>
    <row r="312" spans="10:15" x14ac:dyDescent="0.35">
      <c r="J312" s="26"/>
      <c r="K312" s="26"/>
      <c r="L312" s="26"/>
      <c r="M312" s="26"/>
      <c r="N312" s="26"/>
      <c r="O312" s="26"/>
    </row>
    <row r="313" spans="10:15" x14ac:dyDescent="0.35">
      <c r="J313" s="26"/>
      <c r="K313" s="26"/>
      <c r="L313" s="26"/>
      <c r="M313" s="26"/>
      <c r="N313" s="26"/>
      <c r="O313" s="26"/>
    </row>
    <row r="314" spans="10:15" x14ac:dyDescent="0.35">
      <c r="J314" s="26"/>
      <c r="K314" s="26"/>
      <c r="L314" s="26"/>
      <c r="M314" s="26"/>
      <c r="N314" s="26"/>
      <c r="O314" s="26"/>
    </row>
    <row r="315" spans="10:15" x14ac:dyDescent="0.35">
      <c r="J315" s="26"/>
      <c r="K315" s="26"/>
      <c r="L315" s="26"/>
      <c r="M315" s="26"/>
      <c r="N315" s="26"/>
      <c r="O315" s="26"/>
    </row>
    <row r="316" spans="10:15" x14ac:dyDescent="0.35">
      <c r="J316" s="26"/>
      <c r="K316" s="26"/>
      <c r="L316" s="26"/>
      <c r="M316" s="26"/>
      <c r="N316" s="26"/>
      <c r="O316" s="26"/>
    </row>
    <row r="317" spans="10:15" x14ac:dyDescent="0.35">
      <c r="J317" s="26"/>
      <c r="K317" s="26"/>
      <c r="L317" s="26"/>
      <c r="M317" s="26"/>
      <c r="N317" s="26"/>
      <c r="O317" s="2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4</xdr:col>
                    <xdr:colOff>1822450</xdr:colOff>
                    <xdr:row>1</xdr:row>
                    <xdr:rowOff>88900</xdr:rowOff>
                  </from>
                  <to>
                    <xdr:col>7</xdr:col>
                    <xdr:colOff>457200</xdr:colOff>
                    <xdr:row>3</xdr:row>
                    <xdr:rowOff>31750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F4F8-702E-4D5C-BED2-4835390FD492}">
  <sheetPr>
    <tabColor rgb="FFFFC000"/>
  </sheetPr>
  <dimension ref="A1:N154"/>
  <sheetViews>
    <sheetView workbookViewId="0"/>
  </sheetViews>
  <sheetFormatPr defaultRowHeight="14.5" x14ac:dyDescent="0.35"/>
  <cols>
    <col min="1" max="1" width="4.453125" customWidth="1"/>
    <col min="2" max="4" width="4.453125" style="12" customWidth="1"/>
    <col min="5" max="5" width="27.81640625" customWidth="1"/>
    <col min="6" max="9" width="2.81640625" customWidth="1"/>
    <col min="10" max="10" width="12.7265625" customWidth="1"/>
    <col min="11" max="11" width="13.1796875" customWidth="1"/>
    <col min="12" max="12" width="13.54296875" customWidth="1"/>
    <col min="13" max="13" width="14.54296875" customWidth="1"/>
    <col min="14" max="14" width="13.1796875" customWidth="1"/>
    <col min="15" max="16" width="8.81640625" customWidth="1"/>
  </cols>
  <sheetData>
    <row r="1" spans="1:14" s="1" customFormat="1" x14ac:dyDescent="0.35">
      <c r="A1" s="15" t="s">
        <v>0</v>
      </c>
      <c r="B1" s="22"/>
      <c r="C1" s="22"/>
      <c r="D1" s="22"/>
      <c r="E1" s="22"/>
    </row>
    <row r="2" spans="1:14" s="1" customFormat="1" x14ac:dyDescent="0.35">
      <c r="A2" s="15" t="s">
        <v>1</v>
      </c>
      <c r="B2" s="22"/>
      <c r="C2" s="22"/>
      <c r="D2" s="22"/>
      <c r="E2" s="22"/>
    </row>
    <row r="3" spans="1:14" s="1" customFormat="1" x14ac:dyDescent="0.35">
      <c r="A3" s="15" t="s">
        <v>232</v>
      </c>
      <c r="B3" s="22"/>
      <c r="C3" s="22"/>
      <c r="D3" s="22"/>
      <c r="E3" s="22"/>
    </row>
    <row r="4" spans="1:14" s="1" customFormat="1" x14ac:dyDescent="0.35">
      <c r="A4" s="22"/>
      <c r="B4" s="22"/>
      <c r="C4" s="22"/>
      <c r="D4" s="22"/>
      <c r="E4" s="22"/>
    </row>
    <row r="5" spans="1:14" s="1" customFormat="1" x14ac:dyDescent="0.35">
      <c r="A5" s="15" t="s">
        <v>2</v>
      </c>
      <c r="B5" s="22"/>
      <c r="C5" s="22"/>
      <c r="D5" s="22"/>
      <c r="E5" s="22"/>
      <c r="J5" s="15">
        <v>2024</v>
      </c>
      <c r="K5" s="15">
        <f>J5+1</f>
        <v>2025</v>
      </c>
      <c r="L5" s="15">
        <f>K5+1</f>
        <v>2026</v>
      </c>
      <c r="M5" s="15">
        <f>L5+1</f>
        <v>2027</v>
      </c>
      <c r="N5" s="15">
        <v>2028</v>
      </c>
    </row>
    <row r="7" spans="1:14" s="5" customFormat="1" x14ac:dyDescent="0.35">
      <c r="A7" s="11" t="s">
        <v>233</v>
      </c>
      <c r="B7" s="11"/>
      <c r="C7" s="11"/>
    </row>
    <row r="8" spans="1:14" x14ac:dyDescent="0.35">
      <c r="J8" s="26"/>
    </row>
    <row r="9" spans="1:14" x14ac:dyDescent="0.35">
      <c r="C9" s="12" t="s">
        <v>234</v>
      </c>
      <c r="J9" s="26"/>
    </row>
    <row r="10" spans="1:14" x14ac:dyDescent="0.35">
      <c r="J10" s="26"/>
    </row>
    <row r="11" spans="1:14" x14ac:dyDescent="0.35">
      <c r="E11" t="s">
        <v>153</v>
      </c>
      <c r="J11" s="56">
        <f>'financial statement '!J9/'financial statement '!J$9</f>
        <v>1</v>
      </c>
      <c r="K11" s="56">
        <f>'financial statement '!K9/'financial statement '!K$9</f>
        <v>1</v>
      </c>
      <c r="L11" s="56">
        <f>'financial statement '!L9/'financial statement '!L$9</f>
        <v>1</v>
      </c>
      <c r="M11" s="56">
        <f>'financial statement '!M9/'financial statement '!M$9</f>
        <v>1</v>
      </c>
      <c r="N11" s="56">
        <f>'financial statement '!N9/'financial statement '!N$9</f>
        <v>1</v>
      </c>
    </row>
    <row r="12" spans="1:14" x14ac:dyDescent="0.35">
      <c r="J12" s="26"/>
    </row>
    <row r="13" spans="1:14" x14ac:dyDescent="0.35">
      <c r="E13" t="s">
        <v>107</v>
      </c>
      <c r="J13" s="56">
        <f>'financial statement '!J11/'financial statement '!J$9</f>
        <v>-0.96315165380374868</v>
      </c>
      <c r="K13" s="56">
        <f>'financial statement '!K11/'financial statement '!K$9</f>
        <v>-0.96837539467124578</v>
      </c>
      <c r="L13" s="56">
        <f>'financial statement '!L11/'financial statement '!L$9</f>
        <v>-0.96661320524942329</v>
      </c>
      <c r="M13" s="56">
        <f>'financial statement '!M11/'financial statement '!M$9</f>
        <v>-0.9701103656676715</v>
      </c>
      <c r="N13" s="56">
        <f>'financial statement '!N11/'financial statement '!N$9</f>
        <v>-0.9713045059445905</v>
      </c>
    </row>
    <row r="14" spans="1:14" x14ac:dyDescent="0.35">
      <c r="J14" s="26"/>
    </row>
    <row r="15" spans="1:14" x14ac:dyDescent="0.35">
      <c r="E15" s="12" t="s">
        <v>154</v>
      </c>
      <c r="J15" s="61">
        <f>'financial statement '!J13/'financial statement '!J$9</f>
        <v>3.684834619625138E-2</v>
      </c>
      <c r="K15" s="61">
        <f>'financial statement '!K13/'financial statement '!K$9</f>
        <v>3.162460532875426E-2</v>
      </c>
      <c r="L15" s="61">
        <f>'financial statement '!L13/'financial statement '!L$9</f>
        <v>3.3386794750576744E-2</v>
      </c>
      <c r="M15" s="61">
        <f>'financial statement '!M13/'financial statement '!M$9</f>
        <v>2.9889634332328482E-2</v>
      </c>
      <c r="N15" s="61">
        <f>'financial statement '!N13/'financial statement '!N$9</f>
        <v>2.8695494055409495E-2</v>
      </c>
    </row>
    <row r="16" spans="1:14" x14ac:dyDescent="0.35">
      <c r="J16" s="26"/>
    </row>
    <row r="17" spans="5:14" x14ac:dyDescent="0.35">
      <c r="E17" s="12" t="s">
        <v>155</v>
      </c>
      <c r="J17" s="56">
        <f ca="1">'financial statement '!J15/'financial statement '!J$9</f>
        <v>-1.4135428151414921E-2</v>
      </c>
      <c r="K17" s="56">
        <f ca="1">'financial statement '!K15/'financial statement '!K$9</f>
        <v>-8.2353922593659413E-3</v>
      </c>
      <c r="L17" s="56">
        <f ca="1">'financial statement '!L15/'financial statement '!L$9</f>
        <v>-1.2721328905487689E-2</v>
      </c>
      <c r="M17" s="56">
        <f ca="1">'financial statement '!M15/'financial statement '!M$9</f>
        <v>-1.0391510377277768E-2</v>
      </c>
      <c r="N17" s="56">
        <f ca="1">'financial statement '!N15/'financial statement '!N$9</f>
        <v>-1.2638811694097396E-2</v>
      </c>
    </row>
    <row r="18" spans="5:14" x14ac:dyDescent="0.35">
      <c r="E18" t="s">
        <v>156</v>
      </c>
      <c r="J18" s="56">
        <f>'financial statement '!J16/'financial statement '!J$9</f>
        <v>-2.2969496508636529E-3</v>
      </c>
      <c r="K18" s="56">
        <f>'financial statement '!K16/'financial statement '!K$9</f>
        <v>-1.442511863217563E-3</v>
      </c>
      <c r="L18" s="56">
        <f>'financial statement '!L16/'financial statement '!L$9</f>
        <v>-3.2147044362921219E-3</v>
      </c>
      <c r="M18" s="56">
        <f>'financial statement '!M16/'financial statement '!M$9</f>
        <v>-2.695513388898741E-3</v>
      </c>
      <c r="N18" s="56">
        <f>'financial statement '!N16/'financial statement '!N$9</f>
        <v>-2.822621978123194E-3</v>
      </c>
    </row>
    <row r="19" spans="5:14" x14ac:dyDescent="0.35">
      <c r="E19" s="12" t="s">
        <v>62</v>
      </c>
      <c r="J19" s="56">
        <f ca="1">'financial statement '!J17/'financial statement '!J$9</f>
        <v>-5.0992282249173097E-4</v>
      </c>
      <c r="K19" s="56">
        <f ca="1">'financial statement '!K17/'financial statement '!K$9</f>
        <v>-3.2023763363429902E-4</v>
      </c>
      <c r="L19" s="56">
        <f ca="1">'financial statement '!L17/'financial statement '!L$9</f>
        <v>-7.842930964222231E-4</v>
      </c>
      <c r="M19" s="56">
        <f ca="1">'financial statement '!M17/'financial statement '!M$9</f>
        <v>-4.3471046911390917E-4</v>
      </c>
      <c r="N19" s="56">
        <f ca="1">'financial statement '!N17/'financial statement '!N$9</f>
        <v>-8.6076103317642518E-4</v>
      </c>
    </row>
    <row r="20" spans="5:14" x14ac:dyDescent="0.35">
      <c r="E20" t="s">
        <v>157</v>
      </c>
      <c r="J20" s="56">
        <f>'financial statement '!J18/'financial statement '!J$9</f>
        <v>-1.1328555678059536E-2</v>
      </c>
      <c r="K20" s="56">
        <f>'financial statement '!K18/'financial statement '!K$9</f>
        <v>-6.4726427625140786E-3</v>
      </c>
      <c r="L20" s="56">
        <f>'financial statement '!L18/'financial statement '!L$9</f>
        <v>-8.722331372773345E-3</v>
      </c>
      <c r="M20" s="56">
        <f>'financial statement '!M18/'financial statement '!M$9</f>
        <v>-7.2612865192651184E-3</v>
      </c>
      <c r="N20" s="56">
        <f>'financial statement '!N18/'financial statement '!N$9</f>
        <v>-8.9554286827977746E-3</v>
      </c>
    </row>
    <row r="21" spans="5:14" x14ac:dyDescent="0.35">
      <c r="J21" s="26"/>
    </row>
    <row r="22" spans="5:14" x14ac:dyDescent="0.35">
      <c r="E22" s="12" t="s">
        <v>159</v>
      </c>
      <c r="J22" s="61">
        <f ca="1">'financial statement '!J20/'financial statement '!J$9</f>
        <v>2.2712918044836456E-2</v>
      </c>
      <c r="K22" s="61">
        <f ca="1">'financial statement '!K20/'financial statement '!K$9</f>
        <v>2.3389213069388317E-2</v>
      </c>
      <c r="L22" s="61">
        <f ca="1">'financial statement '!L20/'financial statement '!L$9</f>
        <v>2.0665465845089052E-2</v>
      </c>
      <c r="M22" s="61">
        <f ca="1">'financial statement '!M20/'financial statement '!M$9</f>
        <v>1.9498123955050715E-2</v>
      </c>
      <c r="N22" s="61">
        <f ca="1">'financial statement '!N20/'financial statement '!N$9</f>
        <v>1.6056682361312101E-2</v>
      </c>
    </row>
    <row r="23" spans="5:14" x14ac:dyDescent="0.35">
      <c r="J23" s="26"/>
    </row>
    <row r="24" spans="5:14" x14ac:dyDescent="0.35">
      <c r="E24" t="s">
        <v>160</v>
      </c>
      <c r="J24" s="56">
        <f>'financial statement '!J22/'financial statement '!J$9</f>
        <v>-4.9159282432929058E-3</v>
      </c>
      <c r="K24" s="56">
        <f>'financial statement '!K22/'financial statement '!K$9</f>
        <v>-2.932898667003637E-3</v>
      </c>
      <c r="L24" s="56">
        <f>'financial statement '!L22/'financial statement '!L$9</f>
        <v>-3.0437722418151106E-3</v>
      </c>
      <c r="M24" s="56">
        <f>'financial statement '!M22/'financial statement '!M$9</f>
        <v>-2.1693594680912689E-3</v>
      </c>
      <c r="N24" s="56">
        <f>'financial statement '!N22/'financial statement '!N$9</f>
        <v>0</v>
      </c>
    </row>
    <row r="25" spans="5:14" x14ac:dyDescent="0.35">
      <c r="J25" s="26"/>
    </row>
    <row r="26" spans="5:14" x14ac:dyDescent="0.35">
      <c r="E26" s="12" t="s">
        <v>158</v>
      </c>
      <c r="J26" s="61">
        <f ca="1">'financial statement '!J24/'financial statement '!J$9</f>
        <v>1.7796989801543553E-2</v>
      </c>
      <c r="K26" s="61">
        <f ca="1">'financial statement '!K24/'financial statement '!K$9</f>
        <v>2.0456314402384677E-2</v>
      </c>
      <c r="L26" s="61">
        <f ca="1">'financial statement '!L24/'financial statement '!L$9</f>
        <v>1.7621693603273942E-2</v>
      </c>
      <c r="M26" s="61">
        <f ca="1">'financial statement '!M24/'financial statement '!M$9</f>
        <v>1.7328764486959445E-2</v>
      </c>
      <c r="N26" s="61">
        <f ca="1">'financial statement '!N24/'financial statement '!N$9</f>
        <v>1.6056682361312101E-2</v>
      </c>
    </row>
    <row r="27" spans="5:14" x14ac:dyDescent="0.35">
      <c r="J27" s="26"/>
    </row>
    <row r="28" spans="5:14" x14ac:dyDescent="0.35">
      <c r="E28" t="s">
        <v>161</v>
      </c>
      <c r="J28" s="56">
        <f ca="1">'financial statement '!J26/'financial statement '!J$9</f>
        <v>-3.5593979603087108E-3</v>
      </c>
      <c r="K28" s="56">
        <f ca="1">'financial statement '!K26/'financial statement '!K$9</f>
        <v>-4.0912628804769362E-3</v>
      </c>
      <c r="L28" s="56">
        <f ca="1">'financial statement '!L26/'financial statement '!L$9</f>
        <v>-3.5243387206547886E-3</v>
      </c>
      <c r="M28" s="56">
        <f ca="1">'financial statement '!M26/'financial statement '!M$9</f>
        <v>-3.4657528973918894E-3</v>
      </c>
      <c r="N28" s="56">
        <f ca="1">'financial statement '!N26/'financial statement '!N$9</f>
        <v>-3.2113364722624205E-3</v>
      </c>
    </row>
    <row r="29" spans="5:14" x14ac:dyDescent="0.35">
      <c r="J29" s="26"/>
    </row>
    <row r="30" spans="5:14" x14ac:dyDescent="0.35">
      <c r="E30" s="12" t="s">
        <v>109</v>
      </c>
      <c r="J30" s="61">
        <f ca="1">'financial statement '!J28/'financial statement '!J$9</f>
        <v>1.4237591841234841E-2</v>
      </c>
      <c r="K30" s="61">
        <f ca="1">'financial statement '!K28/'financial statement '!K$9</f>
        <v>1.6365051521907741E-2</v>
      </c>
      <c r="L30" s="61">
        <f ca="1">'financial statement '!L28/'financial statement '!L$9</f>
        <v>1.4097354882619154E-2</v>
      </c>
      <c r="M30" s="61">
        <f ca="1">'financial statement '!M28/'financial statement '!M$9</f>
        <v>1.3863011589567558E-2</v>
      </c>
      <c r="N30" s="61">
        <f ca="1">'financial statement '!N28/'financial statement '!N$9</f>
        <v>1.284534588904968E-2</v>
      </c>
    </row>
    <row r="31" spans="5:14" x14ac:dyDescent="0.35">
      <c r="J31" s="26"/>
    </row>
    <row r="32" spans="5:14" x14ac:dyDescent="0.35">
      <c r="E32" t="s">
        <v>162</v>
      </c>
      <c r="J32" s="56">
        <f ca="1">'financial statement '!J30/'financial statement '!J$9</f>
        <v>-2.1356387761852259E-3</v>
      </c>
      <c r="K32" s="56">
        <f ca="1">'financial statement '!K30/'financial statement '!K$9</f>
        <v>-2.4547577282861611E-3</v>
      </c>
      <c r="L32" s="56">
        <f ca="1">'financial statement '!L30/'financial statement '!L$9</f>
        <v>-2.1146032323928728E-3</v>
      </c>
      <c r="M32" s="56">
        <f ca="1">'financial statement '!M30/'financial statement '!M$9</f>
        <v>-2.0794517384351337E-3</v>
      </c>
      <c r="N32" s="56">
        <f ca="1">'financial statement '!N30/'financial statement '!N$9</f>
        <v>-1.926801883357452E-3</v>
      </c>
    </row>
    <row r="33" spans="2:14" x14ac:dyDescent="0.35">
      <c r="J33" s="26"/>
    </row>
    <row r="34" spans="2:14" x14ac:dyDescent="0.35">
      <c r="E34" s="12" t="s">
        <v>163</v>
      </c>
      <c r="J34" s="61">
        <f ca="1">'financial statement '!J32/'financial statement '!J$9</f>
        <v>1.2101953065049615E-2</v>
      </c>
      <c r="K34" s="61">
        <f ca="1">'financial statement '!K32/'financial statement '!K$9</f>
        <v>1.3910293793621579E-2</v>
      </c>
      <c r="L34" s="61">
        <f ca="1">'financial statement '!L32/'financial statement '!L$9</f>
        <v>1.1982751650226281E-2</v>
      </c>
      <c r="M34" s="61">
        <f ca="1">'financial statement '!M32/'financial statement '!M$9</f>
        <v>1.1783559851132422E-2</v>
      </c>
      <c r="N34" s="61">
        <f ca="1">'financial statement '!N32/'financial statement '!N$9</f>
        <v>1.0918544005692228E-2</v>
      </c>
    </row>
    <row r="35" spans="2:14" ht="15" thickBot="1" x14ac:dyDescent="0.4">
      <c r="E35" s="12" t="s">
        <v>164</v>
      </c>
      <c r="J35" s="62">
        <f ca="1">'financial statement '!J33/'financial statement '!J$9</f>
        <v>1.2101953065049615E-2</v>
      </c>
      <c r="K35" s="62">
        <f ca="1">'financial statement '!K33/'financial statement '!K$9</f>
        <v>2.1510465115562531E-2</v>
      </c>
      <c r="L35" s="62">
        <f ca="1">'financial statement '!L33/'financial statement '!L$9</f>
        <v>3.5481313836603523E-2</v>
      </c>
      <c r="M35" s="62">
        <f ca="1">'financial statement '!M33/'financial statement '!M$9</f>
        <v>3.8402787917204667E-2</v>
      </c>
      <c r="N35" s="62">
        <f ca="1">'financial statement '!N33/'financial statement '!N$9</f>
        <v>5.1132238971084869E-2</v>
      </c>
    </row>
    <row r="36" spans="2:14" ht="15" thickTop="1" x14ac:dyDescent="0.35">
      <c r="J36" s="26"/>
    </row>
    <row r="37" spans="2:14" x14ac:dyDescent="0.35">
      <c r="J37" s="26"/>
    </row>
    <row r="38" spans="2:14" x14ac:dyDescent="0.35">
      <c r="J38" s="26"/>
    </row>
    <row r="39" spans="2:14" x14ac:dyDescent="0.35">
      <c r="B39" s="12" t="s">
        <v>235</v>
      </c>
      <c r="J39" s="26"/>
    </row>
    <row r="40" spans="2:14" x14ac:dyDescent="0.35">
      <c r="J40" s="26"/>
    </row>
    <row r="41" spans="2:14" x14ac:dyDescent="0.35">
      <c r="C41" s="12" t="s">
        <v>111</v>
      </c>
      <c r="J41" s="26"/>
    </row>
    <row r="42" spans="2:14" x14ac:dyDescent="0.35">
      <c r="D42" s="12" t="s">
        <v>165</v>
      </c>
      <c r="J42" s="26"/>
    </row>
    <row r="43" spans="2:14" x14ac:dyDescent="0.35">
      <c r="E43" t="s">
        <v>63</v>
      </c>
      <c r="J43" s="56">
        <f ca="1">'financial statement '!J40/'financial statement '!J$51</f>
        <v>3.2369312970115904E-3</v>
      </c>
      <c r="K43" s="56">
        <f ca="1">'financial statement '!K40/'financial statement '!K$51</f>
        <v>2.2191315912819826E-3</v>
      </c>
      <c r="L43" s="56">
        <f ca="1">'financial statement '!L40/'financial statement '!L$51</f>
        <v>1.4148216876457207E-3</v>
      </c>
      <c r="M43" s="56">
        <f ca="1">'financial statement '!M40/'financial statement '!M$51</f>
        <v>7.4929946424660159E-4</v>
      </c>
      <c r="N43" s="56">
        <f ca="1">'financial statement '!N40/'financial statement '!N$51</f>
        <v>4.7907298644682111E-3</v>
      </c>
    </row>
    <row r="44" spans="2:14" x14ac:dyDescent="0.35">
      <c r="E44" t="s">
        <v>64</v>
      </c>
      <c r="J44" s="56">
        <f ca="1">'financial statement '!J41/'financial statement '!J$51</f>
        <v>8.7960089592706259E-4</v>
      </c>
      <c r="K44" s="56">
        <f ca="1">'financial statement '!K41/'financial statement '!K$51</f>
        <v>4.0201659262354761E-4</v>
      </c>
      <c r="L44" s="56">
        <f ca="1">'financial statement '!L41/'financial statement '!L$51</f>
        <v>1.0094879075701825E-3</v>
      </c>
      <c r="M44" s="56">
        <f ca="1">'financial statement '!M41/'financial statement '!M$51</f>
        <v>5.3463185849549207E-4</v>
      </c>
      <c r="N44" s="56">
        <f ca="1">'financial statement '!N41/'financial statement '!N$51</f>
        <v>2.6036575350370712E-3</v>
      </c>
    </row>
    <row r="45" spans="2:14" x14ac:dyDescent="0.35">
      <c r="E45" t="s">
        <v>65</v>
      </c>
      <c r="J45" s="56">
        <f ca="1">'financial statement '!J42/'financial statement '!J$51</f>
        <v>1.4073614334833002E-3</v>
      </c>
      <c r="K45" s="56">
        <f ca="1">'financial statement '!K42/'financial statement '!K$51</f>
        <v>6.4322654819767616E-4</v>
      </c>
      <c r="L45" s="56">
        <f ca="1">'financial statement '!L42/'financial statement '!L$51</f>
        <v>3.2303613042245841E-3</v>
      </c>
      <c r="M45" s="56">
        <f ca="1">'financial statement '!M42/'financial statement '!M$51</f>
        <v>1.7108219471855754E-3</v>
      </c>
      <c r="N45" s="56">
        <f ca="1">'financial statement '!N42/'financial statement '!N$51</f>
        <v>0</v>
      </c>
    </row>
    <row r="46" spans="2:14" x14ac:dyDescent="0.35">
      <c r="D46" s="12" t="s">
        <v>112</v>
      </c>
      <c r="J46" s="61">
        <f ca="1">'financial statement '!J43/'financial statement '!J$51</f>
        <v>5.5238936264219536E-3</v>
      </c>
      <c r="K46" s="61">
        <f ca="1">'financial statement '!K43/'financial statement '!K$51</f>
        <v>3.2643747321032066E-3</v>
      </c>
      <c r="L46" s="61">
        <f ca="1">'financial statement '!L43/'financial statement '!L$51</f>
        <v>5.654670899440487E-3</v>
      </c>
      <c r="M46" s="61">
        <f ca="1">'financial statement '!M43/'financial statement '!M$51</f>
        <v>2.9947532699276689E-3</v>
      </c>
      <c r="N46" s="61">
        <f ca="1">'financial statement '!N43/'financial statement '!N$51</f>
        <v>7.3943873995052818E-3</v>
      </c>
    </row>
    <row r="47" spans="2:14" x14ac:dyDescent="0.35">
      <c r="J47" s="26"/>
    </row>
    <row r="48" spans="2:14" x14ac:dyDescent="0.35">
      <c r="D48" s="12" t="s">
        <v>166</v>
      </c>
      <c r="J48" s="26"/>
    </row>
    <row r="49" spans="3:14" x14ac:dyDescent="0.35">
      <c r="E49" t="s">
        <v>14</v>
      </c>
      <c r="J49" s="56">
        <f ca="1">'financial statement '!J46/'financial statement '!J$51</f>
        <v>7.3766445623295776E-2</v>
      </c>
      <c r="K49" s="56">
        <f ca="1">'financial statement '!K46/'financial statement '!K$51</f>
        <v>0.10795141072264491</v>
      </c>
      <c r="L49" s="56">
        <f ca="1">'financial statement '!L46/'financial statement '!L$51</f>
        <v>9.4331278993208881E-2</v>
      </c>
      <c r="M49" s="56">
        <f ca="1">'financial statement '!M46/'financial statement '!M$51</f>
        <v>0.13366327227848351</v>
      </c>
      <c r="N49" s="56">
        <f ca="1">'financial statement '!N46/'financial statement '!N$51</f>
        <v>0.1197276486300087</v>
      </c>
    </row>
    <row r="50" spans="3:14" x14ac:dyDescent="0.35">
      <c r="E50" t="s">
        <v>113</v>
      </c>
      <c r="J50" s="56">
        <f ca="1">'financial statement '!J47/'financial statement '!J$51</f>
        <v>3.1911920504233832E-2</v>
      </c>
      <c r="K50" s="56">
        <f ca="1">'financial statement '!K47/'financial statement '!K$51</f>
        <v>4.6448675498450588E-2</v>
      </c>
      <c r="L50" s="56">
        <f ca="1">'financial statement '!L47/'financial statement '!L$51</f>
        <v>4.0662282872870111E-2</v>
      </c>
      <c r="M50" s="56">
        <f ca="1">'financial statement '!M47/'financial statement '!M$51</f>
        <v>5.7408963028350357E-2</v>
      </c>
      <c r="N50" s="56">
        <f ca="1">'financial statement '!N47/'financial statement '!N$51</f>
        <v>5.1360330315763487E-2</v>
      </c>
    </row>
    <row r="51" spans="3:14" x14ac:dyDescent="0.35">
      <c r="E51" t="s">
        <v>114</v>
      </c>
      <c r="J51" s="56">
        <f ca="1">'financial statement '!J48/'financial statement '!J$51</f>
        <v>0.88879774024604841</v>
      </c>
      <c r="K51" s="56">
        <f ca="1">'financial statement '!K48/'financial statement '!K$51</f>
        <v>0.84233553904680125</v>
      </c>
      <c r="L51" s="56">
        <f ca="1">'financial statement '!L48/'financial statement '!L$51</f>
        <v>0.85935176723448059</v>
      </c>
      <c r="M51" s="56">
        <f ca="1">'financial statement '!M48/'financial statement '!M$51</f>
        <v>0.80593301142323848</v>
      </c>
      <c r="N51" s="56">
        <f ca="1">'financial statement '!N48/'financial statement '!N$51</f>
        <v>0.82151763365472263</v>
      </c>
    </row>
    <row r="52" spans="3:14" x14ac:dyDescent="0.35">
      <c r="D52" s="12" t="s">
        <v>115</v>
      </c>
      <c r="J52" s="56">
        <f ca="1">'financial statement '!J49/'financial statement '!J$51</f>
        <v>0.99447610637357808</v>
      </c>
      <c r="K52" s="56">
        <f ca="1">'financial statement '!K49/'financial statement '!K$51</f>
        <v>0.99673562526789683</v>
      </c>
      <c r="L52" s="56">
        <f ca="1">'financial statement '!L49/'financial statement '!L$51</f>
        <v>0.99434532910055951</v>
      </c>
      <c r="M52" s="56">
        <f ca="1">'financial statement '!M49/'financial statement '!M$51</f>
        <v>0.99700524673007229</v>
      </c>
      <c r="N52" s="56">
        <f ca="1">'financial statement '!N49/'financial statement '!N$51</f>
        <v>0.99260561260049474</v>
      </c>
    </row>
    <row r="53" spans="3:14" x14ac:dyDescent="0.35">
      <c r="J53" s="26"/>
    </row>
    <row r="54" spans="3:14" ht="15" thickBot="1" x14ac:dyDescent="0.4">
      <c r="D54" s="12" t="s">
        <v>167</v>
      </c>
      <c r="J54" s="62">
        <f ca="1">'financial statement '!J51/'financial statement '!J$51</f>
        <v>1</v>
      </c>
      <c r="K54" s="62">
        <f ca="1">'financial statement '!K51/'financial statement '!K$51</f>
        <v>1</v>
      </c>
      <c r="L54" s="62">
        <f ca="1">'financial statement '!L51/'financial statement '!L$51</f>
        <v>1</v>
      </c>
      <c r="M54" s="62">
        <f ca="1">'financial statement '!M51/'financial statement '!M$51</f>
        <v>1</v>
      </c>
      <c r="N54" s="62">
        <f ca="1">'financial statement '!N51/'financial statement '!N$51</f>
        <v>1</v>
      </c>
    </row>
    <row r="55" spans="3:14" ht="15" thickTop="1" x14ac:dyDescent="0.35">
      <c r="J55" s="26"/>
    </row>
    <row r="56" spans="3:14" x14ac:dyDescent="0.35">
      <c r="C56" s="12" t="s">
        <v>168</v>
      </c>
      <c r="J56" s="26"/>
    </row>
    <row r="57" spans="3:14" x14ac:dyDescent="0.35">
      <c r="D57" s="12" t="s">
        <v>116</v>
      </c>
      <c r="J57" s="26"/>
    </row>
    <row r="58" spans="3:14" x14ac:dyDescent="0.35">
      <c r="E58" t="s">
        <v>169</v>
      </c>
      <c r="J58" s="56">
        <f ca="1">'financial statement '!J55/'financial statement '!J$51</f>
        <v>0.75300821426150943</v>
      </c>
      <c r="K58" s="56">
        <f ca="1">'financial statement '!K55/'financial statement '!K$51</f>
        <v>0.68831625323868773</v>
      </c>
      <c r="L58" s="56">
        <f ca="1">'financial statement '!L55/'financial statement '!L$51</f>
        <v>0.65826071347027693</v>
      </c>
      <c r="M58" s="56">
        <f ca="1">'financial statement '!M55/'financial statement '!M$51</f>
        <v>0.69723895844233474</v>
      </c>
      <c r="N58" s="56">
        <f ca="1">'financial statement '!N55/'financial statement '!N$51</f>
        <v>0.65319218002093593</v>
      </c>
    </row>
    <row r="59" spans="3:14" x14ac:dyDescent="0.35">
      <c r="E59" t="s">
        <v>170</v>
      </c>
      <c r="J59" s="56">
        <f ca="1">'financial statement '!J56/'financial statement '!J$51</f>
        <v>4.6343587698939877E-2</v>
      </c>
      <c r="K59" s="56">
        <f ca="1">'financial statement '!K56/'financial statement '!K$51</f>
        <v>0.11989591367682066</v>
      </c>
      <c r="L59" s="56">
        <f ca="1">'financial statement '!L56/'financial statement '!L$51</f>
        <v>0.1731301463910063</v>
      </c>
      <c r="M59" s="56">
        <f ca="1">'financial statement '!M56/'financial statement '!M$51</f>
        <v>0.26455970780692589</v>
      </c>
      <c r="N59" s="56">
        <f ca="1">'financial statement '!N56/'financial statement '!N$51</f>
        <v>0.31514024200073676</v>
      </c>
    </row>
    <row r="60" spans="3:14" x14ac:dyDescent="0.35">
      <c r="D60" s="12" t="s">
        <v>117</v>
      </c>
      <c r="J60" s="61">
        <f ca="1">'financial statement '!J57/'financial statement '!J$51</f>
        <v>0.79935180196044942</v>
      </c>
      <c r="K60" s="61">
        <f ca="1">'financial statement '!K57/'financial statement '!K$51</f>
        <v>0.80821216691550835</v>
      </c>
      <c r="L60" s="61">
        <f ca="1">'financial statement '!L57/'financial statement '!L$51</f>
        <v>0.83139085986128336</v>
      </c>
      <c r="M60" s="61">
        <f ca="1">'financial statement '!M57/'financial statement '!M$51</f>
        <v>0.96179866624926058</v>
      </c>
      <c r="N60" s="61">
        <f ca="1">'financial statement '!N57/'financial statement '!N$51</f>
        <v>0.96833242202167269</v>
      </c>
    </row>
    <row r="61" spans="3:14" x14ac:dyDescent="0.35">
      <c r="J61" s="26"/>
    </row>
    <row r="62" spans="3:14" x14ac:dyDescent="0.35">
      <c r="D62" s="12" t="s">
        <v>171</v>
      </c>
      <c r="J62" s="26"/>
    </row>
    <row r="63" spans="3:14" x14ac:dyDescent="0.35">
      <c r="E63" t="s">
        <v>172</v>
      </c>
      <c r="J63" s="61">
        <f ca="1">'financial statement '!J60/'financial statement '!J$51</f>
        <v>0.17883945088710845</v>
      </c>
      <c r="K63" s="61">
        <f ca="1">'financial statement '!K60/'financial statement '!K$51</f>
        <v>0.15530135463697889</v>
      </c>
      <c r="L63" s="61">
        <f ca="1">'financial statement '!L60/'financial statement '!L$51</f>
        <v>0.14109406980289466</v>
      </c>
      <c r="M63" s="61">
        <f ca="1">'financial statement '!M60/'financial statement '!M$51</f>
        <v>0</v>
      </c>
      <c r="N63" s="61">
        <f ca="1">'financial statement '!N60/'financial statement '!N$51</f>
        <v>0</v>
      </c>
    </row>
    <row r="64" spans="3:14" x14ac:dyDescent="0.35">
      <c r="D64" s="12" t="s">
        <v>119</v>
      </c>
      <c r="J64" s="26"/>
    </row>
    <row r="65" spans="2:14" x14ac:dyDescent="0.35">
      <c r="J65" s="26"/>
    </row>
    <row r="66" spans="2:14" x14ac:dyDescent="0.35">
      <c r="D66" s="12" t="s">
        <v>173</v>
      </c>
      <c r="J66" s="26"/>
    </row>
    <row r="67" spans="2:14" x14ac:dyDescent="0.35">
      <c r="E67" t="s">
        <v>175</v>
      </c>
      <c r="J67" s="56">
        <f ca="1">'financial statement '!J64/'financial statement '!J$51</f>
        <v>0</v>
      </c>
      <c r="K67" s="56">
        <f ca="1">'financial statement '!K64/'financial statement '!K$51</f>
        <v>0</v>
      </c>
      <c r="L67" s="56">
        <f ca="1">'financial statement '!L64/'financial statement '!L$51</f>
        <v>0</v>
      </c>
      <c r="M67" s="56">
        <f ca="1">'financial statement '!M64/'financial statement '!M$51</f>
        <v>0</v>
      </c>
      <c r="N67" s="56">
        <f ca="1">'financial statement '!N64/'financial statement '!N$51</f>
        <v>0</v>
      </c>
    </row>
    <row r="68" spans="2:14" x14ac:dyDescent="0.35">
      <c r="E68" t="s">
        <v>174</v>
      </c>
      <c r="J68" s="56">
        <f ca="1">'financial statement '!J65/'financial statement '!J$51</f>
        <v>8.1782801821658584E-3</v>
      </c>
      <c r="K68" s="56">
        <f ca="1">'financial statement '!K65/'financial statement '!K$51</f>
        <v>1.3682429417817317E-2</v>
      </c>
      <c r="L68" s="56">
        <f ca="1">'financial statement '!L65/'financial statement '!L$51</f>
        <v>1.0318151375933334E-2</v>
      </c>
      <c r="M68" s="56">
        <f ca="1">'financial statement '!M65/'financial statement '!M$51</f>
        <v>1.4325500156527372E-2</v>
      </c>
      <c r="N68" s="56">
        <f ca="1">'financial statement '!N65/'financial statement '!N$51</f>
        <v>1.1875341741872865E-2</v>
      </c>
    </row>
    <row r="69" spans="2:14" x14ac:dyDescent="0.35">
      <c r="E69" t="s">
        <v>176</v>
      </c>
      <c r="J69" s="56">
        <f ca="1">'financial statement '!J66/'financial statement '!J$51</f>
        <v>1.3630466970276435E-2</v>
      </c>
      <c r="K69" s="56">
        <f ca="1">'financial statement '!K66/'financial statement '!K$51</f>
        <v>2.2804049029695534E-2</v>
      </c>
      <c r="L69" s="56">
        <f ca="1">'financial statement '!L66/'financial statement '!L$51</f>
        <v>1.71969189598889E-2</v>
      </c>
      <c r="M69" s="56">
        <f ca="1">'financial statement '!M66/'financial statement '!M$51</f>
        <v>2.3875833594212293E-2</v>
      </c>
      <c r="N69" s="56">
        <f ca="1">'financial statement '!N66/'financial statement '!N$51</f>
        <v>1.9792236236454788E-2</v>
      </c>
    </row>
    <row r="70" spans="2:14" x14ac:dyDescent="0.35">
      <c r="D70" s="12" t="s">
        <v>118</v>
      </c>
      <c r="J70" s="61">
        <f ca="1">'financial statement '!J67/'financial statement '!J$51</f>
        <v>2.1808747152442295E-2</v>
      </c>
      <c r="K70" s="61">
        <f ca="1">'financial statement '!K67/'financial statement '!K$51</f>
        <v>3.6486478447512849E-2</v>
      </c>
      <c r="L70" s="61">
        <f ca="1">'financial statement '!L67/'financial statement '!L$51</f>
        <v>2.7515070335822234E-2</v>
      </c>
      <c r="M70" s="61">
        <f ca="1">'financial statement '!M67/'financial statement '!M$51</f>
        <v>3.8201333750739662E-2</v>
      </c>
      <c r="N70" s="61">
        <f ca="1">'financial statement '!N67/'financial statement '!N$51</f>
        <v>3.166757797832765E-2</v>
      </c>
    </row>
    <row r="71" spans="2:14" x14ac:dyDescent="0.35">
      <c r="J71" s="26"/>
    </row>
    <row r="72" spans="2:14" x14ac:dyDescent="0.35">
      <c r="D72" s="12" t="s">
        <v>177</v>
      </c>
      <c r="J72" s="52">
        <f ca="1">'financial statement '!J69/'financial statement '!J$51</f>
        <v>0.20064819803955072</v>
      </c>
      <c r="K72" s="52">
        <f ca="1">'financial statement '!K69/'financial statement '!K$51</f>
        <v>0.19178783308449171</v>
      </c>
      <c r="L72" s="52">
        <f ca="1">'financial statement '!L69/'financial statement '!L$51</f>
        <v>0.16860914013871686</v>
      </c>
      <c r="M72" s="52">
        <f ca="1">'financial statement '!M69/'financial statement '!M$51</f>
        <v>3.8201333750739662E-2</v>
      </c>
      <c r="N72" s="52">
        <f ca="1">'financial statement '!N69/'financial statement '!N$51</f>
        <v>3.166757797832765E-2</v>
      </c>
    </row>
    <row r="73" spans="2:14" x14ac:dyDescent="0.35">
      <c r="J73" s="26"/>
    </row>
    <row r="74" spans="2:14" ht="15" thickBot="1" x14ac:dyDescent="0.4">
      <c r="D74" s="12" t="s">
        <v>178</v>
      </c>
      <c r="J74" s="62">
        <f ca="1">'financial statement '!J71/'financial statement '!J$51</f>
        <v>1.0000000000000002</v>
      </c>
      <c r="K74" s="62">
        <f ca="1">'financial statement '!K71/'financial statement '!K$51</f>
        <v>1.0000000000000002</v>
      </c>
      <c r="L74" s="62">
        <f ca="1">'financial statement '!L71/'financial statement '!L$51</f>
        <v>1.0000000000000002</v>
      </c>
      <c r="M74" s="62">
        <f ca="1">'financial statement '!M71/'financial statement '!M$51</f>
        <v>1.0000000000000002</v>
      </c>
      <c r="N74" s="62">
        <f ca="1">'financial statement '!N71/'financial statement '!N$51</f>
        <v>1.0000000000000004</v>
      </c>
    </row>
    <row r="75" spans="2:14" ht="15" thickTop="1" x14ac:dyDescent="0.35">
      <c r="J75" s="26"/>
    </row>
    <row r="76" spans="2:14" x14ac:dyDescent="0.35">
      <c r="J76" s="26"/>
    </row>
    <row r="77" spans="2:14" x14ac:dyDescent="0.35">
      <c r="B77" s="12" t="s">
        <v>236</v>
      </c>
      <c r="J77" s="26"/>
    </row>
    <row r="78" spans="2:14" x14ac:dyDescent="0.35">
      <c r="J78" s="26"/>
    </row>
    <row r="79" spans="2:14" x14ac:dyDescent="0.35">
      <c r="C79" s="12" t="s">
        <v>139</v>
      </c>
      <c r="J79" s="26"/>
    </row>
    <row r="80" spans="2:14" x14ac:dyDescent="0.35">
      <c r="E80" t="s">
        <v>189</v>
      </c>
      <c r="J80" s="56">
        <f ca="1">'financial statement '!J79/'financial statement '!J$9</f>
        <v>1.4237591841234841E-2</v>
      </c>
      <c r="K80" s="56">
        <f ca="1">'financial statement '!K79/'financial statement '!K$9</f>
        <v>1.6365051521907741E-2</v>
      </c>
      <c r="L80" s="56">
        <f ca="1">'financial statement '!L79/'financial statement '!L$9</f>
        <v>1.4097354882619154E-2</v>
      </c>
      <c r="M80" s="56">
        <f ca="1">'financial statement '!M79/'financial statement '!M$9</f>
        <v>1.3863011589567558E-2</v>
      </c>
      <c r="N80" s="56">
        <f ca="1">'financial statement '!N79/'financial statement '!N$9</f>
        <v>1.284534588904968E-2</v>
      </c>
    </row>
    <row r="81" spans="3:14" x14ac:dyDescent="0.35">
      <c r="E81" t="s">
        <v>190</v>
      </c>
      <c r="J81" s="26"/>
    </row>
    <row r="82" spans="3:14" x14ac:dyDescent="0.35">
      <c r="E82" s="37" t="s">
        <v>62</v>
      </c>
      <c r="J82" s="56">
        <f ca="1">'financial statement '!J81/'financial statement '!J$9</f>
        <v>5.0992282249173097E-4</v>
      </c>
      <c r="K82" s="56">
        <f ca="1">'financial statement '!K81/'financial statement '!K$9</f>
        <v>3.2023763363429902E-4</v>
      </c>
      <c r="L82" s="56">
        <f ca="1">'financial statement '!L81/'financial statement '!L$9</f>
        <v>7.842930964222231E-4</v>
      </c>
      <c r="M82" s="56">
        <f ca="1">'financial statement '!M81/'financial statement '!M$9</f>
        <v>4.3471046911390917E-4</v>
      </c>
      <c r="N82" s="56">
        <f ca="1">'financial statement '!N81/'financial statement '!N$9</f>
        <v>8.6076103317642518E-4</v>
      </c>
    </row>
    <row r="83" spans="3:14" x14ac:dyDescent="0.35">
      <c r="E83" s="37" t="s">
        <v>108</v>
      </c>
      <c r="J83" s="56">
        <f ca="1">'financial statement '!J82/'financial statement '!J$9</f>
        <v>3.5593979603087108E-3</v>
      </c>
      <c r="K83" s="56">
        <f ca="1">'financial statement '!K82/'financial statement '!K$9</f>
        <v>4.0912628804769362E-3</v>
      </c>
      <c r="L83" s="56">
        <f ca="1">'financial statement '!L82/'financial statement '!L$9</f>
        <v>3.5243387206547886E-3</v>
      </c>
      <c r="M83" s="56">
        <f ca="1">'financial statement '!M82/'financial statement '!M$9</f>
        <v>3.4657528973918894E-3</v>
      </c>
      <c r="N83" s="56">
        <f ca="1">'financial statement '!N82/'financial statement '!N$9</f>
        <v>3.2113364722624205E-3</v>
      </c>
    </row>
    <row r="84" spans="3:14" x14ac:dyDescent="0.35">
      <c r="E84" s="37" t="s">
        <v>191</v>
      </c>
      <c r="J84" s="56">
        <f>'financial statement '!J83/'financial statement '!J$9</f>
        <v>4.9159282432929058E-3</v>
      </c>
      <c r="K84" s="56">
        <f>'financial statement '!K83/'financial statement '!K$9</f>
        <v>2.932898667003637E-3</v>
      </c>
      <c r="L84" s="56">
        <f>'financial statement '!L83/'financial statement '!L$9</f>
        <v>3.0437722418151106E-3</v>
      </c>
      <c r="M84" s="56">
        <f>'financial statement '!M83/'financial statement '!M$9</f>
        <v>2.1693594680912689E-3</v>
      </c>
      <c r="N84" s="56">
        <f>'financial statement '!N83/'financial statement '!N$9</f>
        <v>0</v>
      </c>
    </row>
    <row r="85" spans="3:14" x14ac:dyDescent="0.35">
      <c r="D85" s="12" t="s">
        <v>192</v>
      </c>
      <c r="J85" s="61">
        <f ca="1">'financial statement '!J84/'financial statement '!J$9</f>
        <v>2.3222840867328187E-2</v>
      </c>
      <c r="K85" s="61">
        <f ca="1">'financial statement '!K84/'financial statement '!K$9</f>
        <v>2.3709450703022616E-2</v>
      </c>
      <c r="L85" s="61">
        <f ca="1">'financial statement '!L84/'financial statement '!L$9</f>
        <v>2.1449758941511275E-2</v>
      </c>
      <c r="M85" s="61">
        <f ca="1">'financial statement '!M84/'financial statement '!M$9</f>
        <v>1.9932834424164624E-2</v>
      </c>
      <c r="N85" s="61">
        <f ca="1">'financial statement '!N84/'financial statement '!N$9</f>
        <v>1.6917443394488526E-2</v>
      </c>
    </row>
    <row r="86" spans="3:14" x14ac:dyDescent="0.35">
      <c r="E86" s="38" t="s">
        <v>193</v>
      </c>
      <c r="J86" s="26"/>
    </row>
    <row r="87" spans="3:14" x14ac:dyDescent="0.35">
      <c r="E87" s="37" t="s">
        <v>140</v>
      </c>
      <c r="J87" s="56">
        <f>'financial statement '!J86/'financial statement '!J$9</f>
        <v>-1.9263033076074972E-2</v>
      </c>
      <c r="K87" s="56">
        <f>'financial statement '!K86/'financial statement '!K$9</f>
        <v>-7.2700926438819041E-3</v>
      </c>
      <c r="L87" s="56">
        <f>'financial statement '!L86/'financial statement '!L$9</f>
        <v>1.8252788018607478E-3</v>
      </c>
      <c r="M87" s="56">
        <f>'financial statement '!M86/'financial statement '!M$9</f>
        <v>-4.8985181429331446E-3</v>
      </c>
      <c r="N87" s="56">
        <f>'financial statement '!N86/'financial statement '!N$9</f>
        <v>8.9104019562255652E-4</v>
      </c>
    </row>
    <row r="88" spans="3:14" x14ac:dyDescent="0.35">
      <c r="E88" s="37" t="s">
        <v>141</v>
      </c>
      <c r="J88" s="56">
        <f>'financial statement '!J87/'financial statement '!J$9</f>
        <v>-8.3333333333333332E-3</v>
      </c>
      <c r="K88" s="56">
        <f>'financial statement '!K87/'financial statement '!K$9</f>
        <v>-3.0999002935800145E-3</v>
      </c>
      <c r="L88" s="56">
        <f>'financial statement '!L87/'financial statement '!L$9</f>
        <v>7.7020536288340078E-4</v>
      </c>
      <c r="M88" s="56">
        <f>'financial statement '!M87/'financial statement '!M$9</f>
        <v>-2.0813974108884552E-3</v>
      </c>
      <c r="N88" s="56">
        <f>'financial statement '!N87/'financial statement '!N$9</f>
        <v>3.9296345100695799E-4</v>
      </c>
    </row>
    <row r="89" spans="3:14" x14ac:dyDescent="0.35">
      <c r="E89" s="37" t="s">
        <v>194</v>
      </c>
      <c r="J89" s="56">
        <f>'financial statement '!J88/'financial statement '!J$9</f>
        <v>0</v>
      </c>
      <c r="K89" s="56">
        <f>'financial statement '!K88/'financial statement '!K$9</f>
        <v>0</v>
      </c>
      <c r="L89" s="56">
        <f>'financial statement '!L88/'financial statement '!L$9</f>
        <v>0</v>
      </c>
      <c r="M89" s="56">
        <f>'financial statement '!M88/'financial statement '!M$9</f>
        <v>0</v>
      </c>
      <c r="N89" s="56">
        <f>'financial statement '!N88/'financial statement '!N$9</f>
        <v>0</v>
      </c>
    </row>
    <row r="90" spans="3:14" x14ac:dyDescent="0.35">
      <c r="D90" s="12" t="s">
        <v>195</v>
      </c>
      <c r="J90" s="61">
        <f ca="1">'financial statement '!J89/'financial statement '!J$9</f>
        <v>-4.3735255420801174E-3</v>
      </c>
      <c r="K90" s="61">
        <f ca="1">'financial statement '!K89/'financial statement '!K$9</f>
        <v>1.3339457765560697E-2</v>
      </c>
      <c r="L90" s="61">
        <f ca="1">'financial statement '!L89/'financial statement '!L$9</f>
        <v>2.4045243106255422E-2</v>
      </c>
      <c r="M90" s="61">
        <f ca="1">'financial statement '!M89/'financial statement '!M$9</f>
        <v>1.2952918870343024E-2</v>
      </c>
      <c r="N90" s="61">
        <f ca="1">'financial statement '!N89/'financial statement '!N$9</f>
        <v>1.8201447041118039E-2</v>
      </c>
    </row>
    <row r="91" spans="3:14" x14ac:dyDescent="0.35">
      <c r="E91" s="37" t="s">
        <v>142</v>
      </c>
      <c r="J91" s="56">
        <f>'financial statement '!J90/'financial statement '!J$9</f>
        <v>0</v>
      </c>
      <c r="K91" s="56">
        <f ca="1">'financial statement '!K90/'financial statement '!K$9</f>
        <v>-2.2353445064532216E-3</v>
      </c>
      <c r="L91" s="56">
        <f ca="1">'financial statement '!L90/'financial statement '!L$9</f>
        <v>-4.4693963938580309E-3</v>
      </c>
      <c r="M91" s="56">
        <f ca="1">'financial statement '!M90/'financial statement '!M$9</f>
        <v>-2.6440727820630115E-3</v>
      </c>
      <c r="N91" s="56">
        <f ca="1">'financial statement '!N90/'financial statement '!N$9</f>
        <v>-3.6291826036594669E-3</v>
      </c>
    </row>
    <row r="92" spans="3:14" x14ac:dyDescent="0.35">
      <c r="C92" s="12" t="s">
        <v>196</v>
      </c>
      <c r="J92" s="61">
        <f ca="1">'financial statement '!J91/'financial statement '!J$9</f>
        <v>-4.3735255420801174E-3</v>
      </c>
      <c r="K92" s="61">
        <f ca="1">'financial statement '!K91/'financial statement '!K$9</f>
        <v>1.1104113259107476E-2</v>
      </c>
      <c r="L92" s="61">
        <f ca="1">'financial statement '!L91/'financial statement '!L$9</f>
        <v>1.9575846712397392E-2</v>
      </c>
      <c r="M92" s="61">
        <f ca="1">'financial statement '!M91/'financial statement '!M$9</f>
        <v>1.0308846088280013E-2</v>
      </c>
      <c r="N92" s="61">
        <f ca="1">'financial statement '!N91/'financial statement '!N$9</f>
        <v>1.4572264437458573E-2</v>
      </c>
    </row>
    <row r="93" spans="3:14" x14ac:dyDescent="0.35">
      <c r="J93" s="26"/>
    </row>
    <row r="94" spans="3:14" x14ac:dyDescent="0.35">
      <c r="C94" s="12" t="s">
        <v>197</v>
      </c>
      <c r="J94" s="26"/>
    </row>
    <row r="95" spans="3:14" x14ac:dyDescent="0.35">
      <c r="E95" t="s">
        <v>143</v>
      </c>
      <c r="J95" s="56">
        <f>'financial statement '!J94/'financial statement '!J$9</f>
        <v>-1.9524072032341051E-3</v>
      </c>
      <c r="K95" s="56">
        <f>'financial statement '!K94/'financial statement '!K$9</f>
        <v>0</v>
      </c>
      <c r="L95" s="56">
        <f>'financial statement '!L94/'financial statement '!L$9</f>
        <v>-1.3033728409477705E-3</v>
      </c>
      <c r="M95" s="56">
        <f>'financial statement '!M94/'financial statement '!M$9</f>
        <v>0</v>
      </c>
      <c r="N95" s="56">
        <f>'financial statement '!N94/'financial statement '!N$9</f>
        <v>-1.6053081195014952E-3</v>
      </c>
    </row>
    <row r="96" spans="3:14" x14ac:dyDescent="0.35">
      <c r="C96" s="12" t="s">
        <v>198</v>
      </c>
      <c r="J96" s="61">
        <f>'financial statement '!J95/'financial statement '!J$9</f>
        <v>-1.9524072032341051E-3</v>
      </c>
      <c r="K96" s="61">
        <f>'financial statement '!K95/'financial statement '!K$9</f>
        <v>0</v>
      </c>
      <c r="L96" s="61">
        <f>'financial statement '!L95/'financial statement '!L$9</f>
        <v>-1.3033728409477705E-3</v>
      </c>
      <c r="M96" s="61">
        <f>'financial statement '!M95/'financial statement '!M$9</f>
        <v>0</v>
      </c>
      <c r="N96" s="61">
        <f>'financial statement '!N95/'financial statement '!N$9</f>
        <v>-1.6053081195014952E-3</v>
      </c>
    </row>
    <row r="97" spans="1:14" x14ac:dyDescent="0.35">
      <c r="J97" s="26"/>
    </row>
    <row r="98" spans="1:14" x14ac:dyDescent="0.35">
      <c r="C98" s="12" t="s">
        <v>199</v>
      </c>
      <c r="J98" s="26"/>
    </row>
    <row r="99" spans="1:14" x14ac:dyDescent="0.35">
      <c r="E99" t="s">
        <v>200</v>
      </c>
      <c r="J99" s="56">
        <f>'financial statement '!J98/'financial statement '!J$9</f>
        <v>0.19663712973171632</v>
      </c>
      <c r="K99" s="56">
        <f>'financial statement '!K98/'financial statement '!K$9</f>
        <v>0</v>
      </c>
      <c r="L99" s="56">
        <f>'financial statement '!L98/'financial statement '!L$9</f>
        <v>0</v>
      </c>
      <c r="M99" s="56">
        <f>'financial statement '!M98/'financial statement '!M$9</f>
        <v>0</v>
      </c>
      <c r="N99" s="56">
        <f>'financial statement '!N98/'financial statement '!N$9</f>
        <v>0</v>
      </c>
    </row>
    <row r="100" spans="1:14" x14ac:dyDescent="0.35">
      <c r="E100" t="s">
        <v>201</v>
      </c>
      <c r="J100" s="56">
        <f>'financial statement '!J99/'financial statement '!J$9</f>
        <v>0</v>
      </c>
      <c r="K100" s="56">
        <f ca="1">'financial statement '!K99/'financial statement '!K$9</f>
        <v>-1.3412067038719325E-3</v>
      </c>
      <c r="L100" s="56">
        <f ca="1">'financial statement '!L99/'financial statement '!L$9</f>
        <v>-2.6816378363148183E-3</v>
      </c>
      <c r="M100" s="56">
        <f ca="1">'financial statement '!M99/'financial statement '!M$9</f>
        <v>-1.5864436692378068E-3</v>
      </c>
      <c r="N100" s="56">
        <f ca="1">'financial statement '!N99/'financial statement '!N$9</f>
        <v>-2.1775095621956804E-3</v>
      </c>
    </row>
    <row r="101" spans="1:14" x14ac:dyDescent="0.35">
      <c r="E101" t="s">
        <v>202</v>
      </c>
      <c r="J101" s="56">
        <f>'financial statement '!J100/'financial statement '!J$9</f>
        <v>4.9159282432929059E-2</v>
      </c>
      <c r="K101" s="56">
        <f>'financial statement '!K100/'financial statement '!K$9</f>
        <v>0</v>
      </c>
      <c r="L101" s="56">
        <f>'financial statement '!L100/'financial statement '!L$9</f>
        <v>0</v>
      </c>
      <c r="M101" s="56">
        <f>'financial statement '!M100/'financial statement '!M$9</f>
        <v>0</v>
      </c>
      <c r="N101" s="56">
        <f>'financial statement '!N100/'financial statement '!N$9</f>
        <v>0</v>
      </c>
    </row>
    <row r="102" spans="1:14" x14ac:dyDescent="0.35">
      <c r="E102" t="s">
        <v>182</v>
      </c>
      <c r="J102" s="56">
        <f>'financial statement '!J101/'financial statement '!J$9</f>
        <v>-7.3738923649393591E-3</v>
      </c>
      <c r="K102" s="56">
        <f>'financial statement '!K101/'financial statement '!K$9</f>
        <v>-4.399348000505455E-3</v>
      </c>
      <c r="L102" s="56">
        <f>'financial statement '!L101/'financial statement '!L$9</f>
        <v>-4.5656583627226655E-3</v>
      </c>
      <c r="M102" s="56">
        <f>'financial statement '!M101/'financial statement '!M$9</f>
        <v>-3.2540392021369034E-3</v>
      </c>
      <c r="N102" s="56">
        <f>'financial statement '!N101/'financial statement '!N$9</f>
        <v>0</v>
      </c>
    </row>
    <row r="103" spans="1:14" x14ac:dyDescent="0.35">
      <c r="E103" t="s">
        <v>183</v>
      </c>
      <c r="J103" s="56">
        <f>'financial statement '!J102/'financial statement '!J$9</f>
        <v>0</v>
      </c>
      <c r="K103" s="56">
        <f>'financial statement '!K102/'financial statement '!K$9</f>
        <v>0</v>
      </c>
      <c r="L103" s="56">
        <f>'financial statement '!L102/'financial statement '!L$9</f>
        <v>0</v>
      </c>
      <c r="M103" s="56">
        <f>'financial statement '!M102/'financial statement '!M$9</f>
        <v>-2.0608914946867056E-2</v>
      </c>
      <c r="N103" s="56">
        <f>'financial statement '!N102/'financial statement '!N$9</f>
        <v>0</v>
      </c>
    </row>
    <row r="104" spans="1:14" x14ac:dyDescent="0.35">
      <c r="C104" s="12" t="s">
        <v>203</v>
      </c>
      <c r="J104" s="61">
        <f>'financial statement '!J103/'financial statement '!J$9</f>
        <v>0.238422519799706</v>
      </c>
      <c r="K104" s="61">
        <f ca="1">'financial statement '!K103/'financial statement '!K$9</f>
        <v>-5.7405547043773882E-3</v>
      </c>
      <c r="L104" s="61">
        <f ca="1">'financial statement '!L103/'financial statement '!L$9</f>
        <v>-7.2472961990374838E-3</v>
      </c>
      <c r="M104" s="61">
        <f ca="1">'financial statement '!M103/'financial statement '!M$9</f>
        <v>-2.5449397818241768E-2</v>
      </c>
      <c r="N104" s="61">
        <f ca="1">'financial statement '!N103/'financial statement '!N$9</f>
        <v>-2.1775095621956804E-3</v>
      </c>
    </row>
    <row r="105" spans="1:14" x14ac:dyDescent="0.35">
      <c r="J105" s="26"/>
    </row>
    <row r="106" spans="1:14" x14ac:dyDescent="0.35">
      <c r="C106" s="12" t="s">
        <v>204</v>
      </c>
      <c r="J106" s="61">
        <f ca="1">'financial statement '!J105/'financial statement '!J$9</f>
        <v>0.23209658705439176</v>
      </c>
      <c r="K106" s="61">
        <f ca="1">'financial statement '!K105/'financial statement '!K$9</f>
        <v>5.3635585547300874E-3</v>
      </c>
      <c r="L106" s="61">
        <f ca="1">'financial statement '!L105/'financial statement '!L$9</f>
        <v>1.1025177672412139E-2</v>
      </c>
      <c r="M106" s="61">
        <f ca="1">'financial statement '!M105/'financial statement '!M$9</f>
        <v>-1.5140551729961756E-2</v>
      </c>
      <c r="N106" s="61">
        <f ca="1">'financial statement '!N105/'financial statement '!N$9</f>
        <v>1.0789446755761396E-2</v>
      </c>
    </row>
    <row r="107" spans="1:14" x14ac:dyDescent="0.35">
      <c r="C107" s="12" t="s">
        <v>205</v>
      </c>
      <c r="J107" s="61">
        <f>'financial statement '!J106/'financial statement '!J$9</f>
        <v>0</v>
      </c>
      <c r="K107" s="61">
        <f ca="1">'financial statement '!K106/'financial statement '!K$9</f>
        <v>0.14575943365253236</v>
      </c>
      <c r="L107" s="61">
        <f ca="1">'financial statement '!L106/'financial statement '!L$9</f>
        <v>0.16509048089362482</v>
      </c>
      <c r="M107" s="61">
        <f ca="1">'financial statement '!M106/'financial statement '!M$9</f>
        <v>0.13212765747528521</v>
      </c>
      <c r="N107" s="61">
        <f ca="1">'financial statement '!N106/'financial statement '!N$9</f>
        <v>0.12250370456096324</v>
      </c>
    </row>
    <row r="108" spans="1:14" ht="15" thickBot="1" x14ac:dyDescent="0.4">
      <c r="C108" s="12" t="s">
        <v>206</v>
      </c>
      <c r="J108" s="62">
        <f ca="1">'financial statement '!J107/'financial statement '!J$9</f>
        <v>0.23209658705439176</v>
      </c>
      <c r="K108" s="62">
        <f ca="1">'financial statement '!K107/'financial statement '!K$9</f>
        <v>0.15112299220726244</v>
      </c>
      <c r="L108" s="62">
        <f ca="1">'financial statement '!L107/'financial statement '!L$9</f>
        <v>0.17611565856603698</v>
      </c>
      <c r="M108" s="62">
        <f ca="1">'financial statement '!M107/'financial statement '!M$9</f>
        <v>0.11698710574532345</v>
      </c>
      <c r="N108" s="62">
        <f ca="1">'financial statement '!N107/'financial statement '!N$9</f>
        <v>0.13329315131672465</v>
      </c>
    </row>
    <row r="109" spans="1:14" ht="15" thickTop="1" x14ac:dyDescent="0.35">
      <c r="J109" s="26"/>
    </row>
    <row r="110" spans="1:14" x14ac:dyDescent="0.35">
      <c r="J110" s="26"/>
    </row>
    <row r="111" spans="1:14" x14ac:dyDescent="0.35">
      <c r="J111" s="26"/>
    </row>
    <row r="112" spans="1:14" s="5" customFormat="1" x14ac:dyDescent="0.35">
      <c r="A112" s="11" t="s">
        <v>237</v>
      </c>
      <c r="B112" s="11"/>
      <c r="C112" s="11"/>
    </row>
    <row r="113" spans="3:14" x14ac:dyDescent="0.35">
      <c r="J113" s="26"/>
    </row>
    <row r="114" spans="3:14" x14ac:dyDescent="0.35">
      <c r="C114" s="12" t="s">
        <v>238</v>
      </c>
      <c r="J114" s="26"/>
    </row>
    <row r="115" spans="3:14" x14ac:dyDescent="0.35">
      <c r="E115" t="s">
        <v>239</v>
      </c>
      <c r="J115" s="63">
        <f ca="1">'financial statement '!J49/'financial statement '!J67</f>
        <v>45.59987327205129</v>
      </c>
      <c r="K115" s="63">
        <f ca="1">'financial statement '!K49/'financial statement '!K67</f>
        <v>27.317945378086787</v>
      </c>
      <c r="L115" s="63">
        <f ca="1">'financial statement '!L49/'financial statement '!L67</f>
        <v>36.138207788115601</v>
      </c>
      <c r="M115" s="63">
        <f ca="1">'financial statement '!M49/'financial statement '!M67</f>
        <v>26.098702554089961</v>
      </c>
      <c r="N115" s="63">
        <f ca="1">'financial statement '!N49/'financial statement '!N67</f>
        <v>31.344538356542596</v>
      </c>
    </row>
    <row r="116" spans="3:14" x14ac:dyDescent="0.35">
      <c r="J116" s="26"/>
    </row>
    <row r="117" spans="3:14" x14ac:dyDescent="0.35">
      <c r="E117" t="s">
        <v>240</v>
      </c>
      <c r="J117" s="63">
        <f ca="1">('financial statement '!J49-'financial statement '!J46)/'financial statement '!J67</f>
        <v>42.21744854551055</v>
      </c>
      <c r="K117" s="63">
        <f ca="1">('financial statement '!K49-'financial statement '!K46)/'financial statement '!K67</f>
        <v>24.359276432330976</v>
      </c>
      <c r="L117" s="63">
        <f ca="1">('financial statement '!L49-'financial statement '!L46)/'financial statement '!L67</f>
        <v>32.709858238509042</v>
      </c>
      <c r="M117" s="63">
        <f ca="1">('financial statement '!M49-'financial statement '!M46)/'financial statement '!M67</f>
        <v>22.599786177226669</v>
      </c>
      <c r="N117" s="63">
        <f ca="1">('financial statement '!N49-'financial statement '!N46)/'financial statement '!N67</f>
        <v>27.563774045740335</v>
      </c>
    </row>
    <row r="118" spans="3:14" x14ac:dyDescent="0.35">
      <c r="J118" s="26"/>
    </row>
    <row r="119" spans="3:14" x14ac:dyDescent="0.35">
      <c r="J119" s="26"/>
    </row>
    <row r="120" spans="3:14" x14ac:dyDescent="0.35">
      <c r="C120" s="12" t="s">
        <v>241</v>
      </c>
      <c r="J120" s="26"/>
    </row>
    <row r="121" spans="3:14" x14ac:dyDescent="0.35">
      <c r="J121" s="26"/>
    </row>
    <row r="122" spans="3:14" x14ac:dyDescent="0.35">
      <c r="E122" t="s">
        <v>242</v>
      </c>
      <c r="J122" s="63">
        <f ca="1">'financial statement '!J20/-'financial statement '!J22</f>
        <v>4.6202704597702473</v>
      </c>
      <c r="K122" s="63">
        <f ca="1">'financial statement '!K20/-'financial statement '!K22</f>
        <v>7.9747770806154863</v>
      </c>
      <c r="L122" s="63">
        <f ca="1">'financial statement '!L20/-'financial statement '!L22</f>
        <v>6.7894258187877732</v>
      </c>
      <c r="M122" s="63">
        <f ca="1">'financial statement '!M20/-'financial statement '!M22</f>
        <v>8.9879636094640976</v>
      </c>
      <c r="N122" s="63">
        <f ca="1">IFERROR('financial statement '!N20/-'financial statement '!N22,0)</f>
        <v>0</v>
      </c>
    </row>
    <row r="123" spans="3:14" x14ac:dyDescent="0.35">
      <c r="J123" s="26"/>
    </row>
    <row r="124" spans="3:14" x14ac:dyDescent="0.35">
      <c r="J124" s="26"/>
    </row>
    <row r="125" spans="3:14" x14ac:dyDescent="0.35">
      <c r="C125" s="12" t="s">
        <v>243</v>
      </c>
      <c r="J125" s="26"/>
    </row>
    <row r="126" spans="3:14" x14ac:dyDescent="0.35">
      <c r="E126" t="s">
        <v>244</v>
      </c>
      <c r="J126" s="56">
        <f ca="1">'financial statement '!J69/'financial statement '!J51</f>
        <v>0.20064819803955072</v>
      </c>
      <c r="K126" s="56">
        <f ca="1">'financial statement '!K69/'financial statement '!K51</f>
        <v>0.19178783308449171</v>
      </c>
      <c r="L126" s="56">
        <f ca="1">'financial statement '!L69/'financial statement '!L51</f>
        <v>0.16860914013871686</v>
      </c>
      <c r="M126" s="56">
        <f ca="1">'financial statement '!M69/'financial statement '!M51</f>
        <v>3.8201333750739662E-2</v>
      </c>
      <c r="N126" s="56">
        <f ca="1">'financial statement '!N69/'financial statement '!N51</f>
        <v>3.166757797832765E-2</v>
      </c>
    </row>
    <row r="127" spans="3:14" x14ac:dyDescent="0.35">
      <c r="J127" s="26"/>
    </row>
    <row r="128" spans="3:14" x14ac:dyDescent="0.35">
      <c r="J128" s="26"/>
    </row>
    <row r="129" spans="3:14" x14ac:dyDescent="0.35">
      <c r="C129" s="12" t="s">
        <v>245</v>
      </c>
      <c r="J129" s="26"/>
    </row>
    <row r="130" spans="3:14" x14ac:dyDescent="0.35">
      <c r="E130" t="s">
        <v>257</v>
      </c>
      <c r="J130" s="56">
        <f>'financial statement '!J13/'financial statement '!J9</f>
        <v>3.684834619625138E-2</v>
      </c>
      <c r="K130" s="56">
        <f>'financial statement '!K13/'financial statement '!K9</f>
        <v>3.162460532875426E-2</v>
      </c>
      <c r="L130" s="56">
        <f>'financial statement '!L13/'financial statement '!L9</f>
        <v>3.3386794750576744E-2</v>
      </c>
      <c r="M130" s="56">
        <f>'financial statement '!M13/'financial statement '!M9</f>
        <v>2.9889634332328482E-2</v>
      </c>
      <c r="N130" s="56">
        <f>'financial statement '!N13/'financial statement '!N9</f>
        <v>2.8695494055409495E-2</v>
      </c>
    </row>
    <row r="131" spans="3:14" x14ac:dyDescent="0.35">
      <c r="J131" s="26"/>
    </row>
    <row r="132" spans="3:14" x14ac:dyDescent="0.35">
      <c r="E132" t="s">
        <v>246</v>
      </c>
      <c r="J132" s="56">
        <f ca="1">'financial statement '!J28/'financial statement '!J9</f>
        <v>1.4237591841234841E-2</v>
      </c>
      <c r="K132" s="56">
        <f ca="1">'financial statement '!K28/'financial statement '!K9</f>
        <v>1.6365051521907741E-2</v>
      </c>
      <c r="L132" s="56">
        <f ca="1">'financial statement '!L28/'financial statement '!L9</f>
        <v>1.4097354882619154E-2</v>
      </c>
      <c r="M132" s="56">
        <f ca="1">'financial statement '!M28/'financial statement '!M9</f>
        <v>1.3863011589567558E-2</v>
      </c>
      <c r="N132" s="56">
        <f ca="1">'financial statement '!N28/'financial statement '!N9</f>
        <v>1.284534588904968E-2</v>
      </c>
    </row>
    <row r="133" spans="3:14" x14ac:dyDescent="0.35">
      <c r="J133" s="26"/>
    </row>
    <row r="134" spans="3:14" x14ac:dyDescent="0.35">
      <c r="E134" t="s">
        <v>247</v>
      </c>
      <c r="J134" s="56">
        <f ca="1">'financial statement '!J20/'financial statement '!J51</f>
        <v>8.6977540207919896E-2</v>
      </c>
      <c r="K134" s="56">
        <f ca="1">'financial statement '!K20/'financial statement '!K51</f>
        <v>0.13036775616289648</v>
      </c>
      <c r="L134" s="56">
        <f ca="1">'financial statement '!L20/'financial statement '!L51</f>
        <v>0.10083660214711762</v>
      </c>
      <c r="M134" s="56">
        <f ca="1">'financial statement '!M20/'financial statement '!M51</f>
        <v>0.13432404927092387</v>
      </c>
      <c r="N134" s="56">
        <f ca="1">'financial statement '!N20/'financial statement '!N51</f>
        <v>9.8961181182273913E-2</v>
      </c>
    </row>
    <row r="135" spans="3:14" x14ac:dyDescent="0.35">
      <c r="J135" s="26"/>
    </row>
    <row r="136" spans="3:14" x14ac:dyDescent="0.35">
      <c r="E136" t="s">
        <v>248</v>
      </c>
      <c r="J136" s="56">
        <f ca="1">'financial statement '!J28/'financial statement '!J55</f>
        <v>7.2405409195404918E-2</v>
      </c>
      <c r="K136" s="56">
        <f ca="1">'financial statement '!K28/'financial statement '!K55</f>
        <v>0.1325207645316942</v>
      </c>
      <c r="L136" s="56">
        <f ca="1">'financial statement '!L28/'financial statement '!L55</f>
        <v>0.1044991360291193</v>
      </c>
      <c r="M136" s="56">
        <f ca="1">'financial statement '!M28/'financial statement '!M55</f>
        <v>0.13697360599328556</v>
      </c>
      <c r="N136" s="56">
        <f ca="1">'financial statement '!N28/'financial statement '!N55</f>
        <v>0.12120314260847648</v>
      </c>
    </row>
    <row r="137" spans="3:14" x14ac:dyDescent="0.35">
      <c r="J137" s="26"/>
    </row>
    <row r="138" spans="3:14" x14ac:dyDescent="0.35">
      <c r="J138" s="26"/>
    </row>
    <row r="139" spans="3:14" x14ac:dyDescent="0.35">
      <c r="J139" s="26"/>
    </row>
    <row r="140" spans="3:14" x14ac:dyDescent="0.35">
      <c r="J140" s="26"/>
    </row>
    <row r="141" spans="3:14" x14ac:dyDescent="0.35">
      <c r="J141" s="26"/>
    </row>
    <row r="142" spans="3:14" x14ac:dyDescent="0.35">
      <c r="J142" s="26"/>
    </row>
    <row r="143" spans="3:14" x14ac:dyDescent="0.35">
      <c r="J143" s="26"/>
    </row>
    <row r="144" spans="3:14" x14ac:dyDescent="0.35">
      <c r="J144" s="26"/>
    </row>
    <row r="145" spans="10:10" x14ac:dyDescent="0.35">
      <c r="J145" s="26"/>
    </row>
    <row r="146" spans="10:10" x14ac:dyDescent="0.35">
      <c r="J146" s="26"/>
    </row>
    <row r="147" spans="10:10" x14ac:dyDescent="0.35">
      <c r="J147" s="26"/>
    </row>
    <row r="148" spans="10:10" x14ac:dyDescent="0.35">
      <c r="J148" s="26"/>
    </row>
    <row r="149" spans="10:10" x14ac:dyDescent="0.35">
      <c r="J149" s="26"/>
    </row>
    <row r="150" spans="10:10" x14ac:dyDescent="0.35">
      <c r="J150" s="26"/>
    </row>
    <row r="151" spans="10:10" x14ac:dyDescent="0.35">
      <c r="J151" s="26"/>
    </row>
    <row r="152" spans="10:10" x14ac:dyDescent="0.35">
      <c r="J152" s="26"/>
    </row>
    <row r="153" spans="10:10" x14ac:dyDescent="0.35">
      <c r="J153" s="26"/>
    </row>
    <row r="154" spans="10:10" x14ac:dyDescent="0.35">
      <c r="J154" s="2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4</xdr:col>
                    <xdr:colOff>501650</xdr:colOff>
                    <xdr:row>3</xdr:row>
                    <xdr:rowOff>69850</xdr:rowOff>
                  </from>
                  <to>
                    <xdr:col>5</xdr:col>
                    <xdr:colOff>95250</xdr:colOff>
                    <xdr:row>4</xdr:row>
                    <xdr:rowOff>177800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BD46B-8FF1-4BEB-9AFC-E32F7D7560C9}">
  <sheetPr>
    <tabColor rgb="FFFFC000"/>
  </sheetPr>
  <dimension ref="A1:N27"/>
  <sheetViews>
    <sheetView workbookViewId="0">
      <selection activeCell="H16" sqref="H16"/>
    </sheetView>
  </sheetViews>
  <sheetFormatPr defaultRowHeight="14.5" x14ac:dyDescent="0.35"/>
  <cols>
    <col min="5" max="5" width="14.81640625" bestFit="1" customWidth="1"/>
    <col min="6" max="6" width="15.453125" bestFit="1" customWidth="1"/>
    <col min="7" max="7" width="13.81640625" bestFit="1" customWidth="1"/>
    <col min="8" max="8" width="21.7265625" bestFit="1" customWidth="1"/>
    <col min="9" max="9" width="13.453125" bestFit="1" customWidth="1"/>
    <col min="10" max="10" width="15.6328125" customWidth="1"/>
    <col min="11" max="11" width="18.81640625" customWidth="1"/>
    <col min="12" max="12" width="16.6328125" customWidth="1"/>
    <col min="13" max="13" width="16.54296875" customWidth="1"/>
  </cols>
  <sheetData>
    <row r="1" spans="1:14" s="1" customFormat="1" x14ac:dyDescent="0.35">
      <c r="A1" s="15" t="s">
        <v>0</v>
      </c>
      <c r="B1" s="22"/>
      <c r="C1" s="22"/>
      <c r="D1" s="22"/>
      <c r="E1" s="22"/>
    </row>
    <row r="2" spans="1:14" s="1" customFormat="1" x14ac:dyDescent="0.35">
      <c r="A2" s="15" t="s">
        <v>1</v>
      </c>
      <c r="B2" s="22"/>
      <c r="C2" s="22"/>
      <c r="D2" s="22"/>
      <c r="E2" s="22"/>
    </row>
    <row r="3" spans="1:14" s="1" customFormat="1" x14ac:dyDescent="0.35">
      <c r="A3" s="15" t="s">
        <v>249</v>
      </c>
      <c r="B3" s="22"/>
      <c r="C3" s="22"/>
      <c r="D3" s="22"/>
      <c r="E3" s="22"/>
    </row>
    <row r="4" spans="1:14" s="1" customFormat="1" x14ac:dyDescent="0.35">
      <c r="A4" s="22"/>
      <c r="B4" s="22"/>
      <c r="C4" s="22"/>
      <c r="D4" s="22"/>
      <c r="E4" s="22"/>
    </row>
    <row r="5" spans="1:14" s="1" customFormat="1" x14ac:dyDescent="0.35">
      <c r="A5" s="15" t="s">
        <v>2</v>
      </c>
      <c r="B5" s="22"/>
      <c r="C5" s="22"/>
      <c r="D5" s="22"/>
      <c r="E5" s="22"/>
      <c r="J5" s="15"/>
      <c r="K5" s="15"/>
      <c r="L5" s="15"/>
      <c r="M5" s="15"/>
      <c r="N5" s="15"/>
    </row>
    <row r="7" spans="1:14" x14ac:dyDescent="0.35">
      <c r="D7" t="s">
        <v>250</v>
      </c>
      <c r="E7" t="s">
        <v>153</v>
      </c>
      <c r="F7" t="s">
        <v>251</v>
      </c>
      <c r="G7" t="s">
        <v>252</v>
      </c>
      <c r="H7" t="s">
        <v>253</v>
      </c>
      <c r="I7" t="s">
        <v>122</v>
      </c>
      <c r="J7" t="s">
        <v>256</v>
      </c>
      <c r="K7" t="s">
        <v>254</v>
      </c>
      <c r="L7" t="s">
        <v>246</v>
      </c>
      <c r="M7" t="s">
        <v>255</v>
      </c>
    </row>
    <row r="8" spans="1:14" x14ac:dyDescent="0.35">
      <c r="D8">
        <v>2024</v>
      </c>
      <c r="E8" s="26">
        <f>'financial statement '!J9</f>
        <v>435360000</v>
      </c>
      <c r="F8" s="26">
        <f>('financial statement '!J11)*-1</f>
        <v>419317704</v>
      </c>
      <c r="G8" s="26">
        <f>'financial statement '!J13</f>
        <v>16042296</v>
      </c>
      <c r="J8" s="26">
        <f ca="1">'financial statement '!J28</f>
        <v>6198477.9840000002</v>
      </c>
      <c r="K8" s="10">
        <f>Analysis!J130</f>
        <v>3.684834619625138E-2</v>
      </c>
      <c r="L8" s="10">
        <f ca="1">Analysis!J132</f>
        <v>1.4237591841234841E-2</v>
      </c>
      <c r="M8" s="10">
        <f ca="1">Analysis!J136</f>
        <v>7.2405409195404918E-2</v>
      </c>
    </row>
    <row r="9" spans="1:14" x14ac:dyDescent="0.35">
      <c r="A9">
        <v>-1</v>
      </c>
      <c r="D9">
        <v>2025</v>
      </c>
      <c r="E9" s="26">
        <f>'financial statement '!K9</f>
        <v>693235200</v>
      </c>
      <c r="F9" s="26">
        <f>('financial statement '!K11)*-1</f>
        <v>671311910.39999998</v>
      </c>
      <c r="G9" s="26">
        <f>'financial statement '!K13</f>
        <v>21923289.600000024</v>
      </c>
      <c r="J9" s="26">
        <f ca="1">'financial statement '!K28</f>
        <v>11344829.764800018</v>
      </c>
      <c r="K9" s="10">
        <f>Analysis!K130</f>
        <v>3.162460532875426E-2</v>
      </c>
      <c r="L9" s="10">
        <f ca="1">Analysis!K132</f>
        <v>1.6365051521907741E-2</v>
      </c>
      <c r="M9" s="10">
        <f ca="1">Analysis!K136</f>
        <v>0.1325207645316942</v>
      </c>
    </row>
    <row r="10" spans="1:14" x14ac:dyDescent="0.35">
      <c r="D10">
        <v>2026</v>
      </c>
      <c r="E10" s="26">
        <f>'financial statement '!L9</f>
        <v>634584000</v>
      </c>
      <c r="F10" s="26">
        <f>('financial statement '!L11)*-1</f>
        <v>613397274.24000001</v>
      </c>
      <c r="G10" s="26">
        <f>'financial statement '!L13</f>
        <v>21186725.75999999</v>
      </c>
      <c r="J10" s="26">
        <f ca="1">'financial statement '!L28</f>
        <v>8945955.8508319929</v>
      </c>
      <c r="K10" s="10">
        <f>Analysis!L130</f>
        <v>3.3386794750576744E-2</v>
      </c>
      <c r="L10" s="10">
        <f ca="1">Analysis!L132</f>
        <v>1.4097354882619154E-2</v>
      </c>
      <c r="M10" s="10">
        <f ca="1">Analysis!L136</f>
        <v>0.1044991360291193</v>
      </c>
    </row>
    <row r="11" spans="1:14" x14ac:dyDescent="0.35">
      <c r="D11">
        <v>2027</v>
      </c>
      <c r="E11" s="26">
        <f>'financial statement '!M9</f>
        <v>845850000</v>
      </c>
      <c r="F11" s="26">
        <f>('financial statement '!M11)*-1</f>
        <v>820567852.79999995</v>
      </c>
      <c r="G11" s="26">
        <f>'financial statement '!M13</f>
        <v>25282147.200000048</v>
      </c>
      <c r="J11" s="26">
        <f ca="1">'financial statement '!M28</f>
        <v>11726028.353035718</v>
      </c>
      <c r="K11" s="10">
        <f>Analysis!M130</f>
        <v>2.9889634332328482E-2</v>
      </c>
      <c r="L11" s="10">
        <f ca="1">Analysis!M132</f>
        <v>1.3863011589567558E-2</v>
      </c>
      <c r="M11" s="10">
        <f ca="1">Analysis!M136</f>
        <v>0.13697360599328556</v>
      </c>
    </row>
    <row r="12" spans="1:14" x14ac:dyDescent="0.35">
      <c r="D12">
        <v>2028</v>
      </c>
      <c r="E12" s="26">
        <f>'financial statement '!N9</f>
        <v>807759600</v>
      </c>
      <c r="F12" s="26">
        <f>('financial statement '!N11)*-1</f>
        <v>784580539.20000005</v>
      </c>
      <c r="G12" s="26">
        <f>'financial statement '!N13</f>
        <v>23179060.799999952</v>
      </c>
      <c r="J12" s="26">
        <f ca="1">'financial statement '!N28</f>
        <v>10375951.457200414</v>
      </c>
      <c r="K12" s="10">
        <f>Analysis!N130</f>
        <v>2.8695494055409495E-2</v>
      </c>
      <c r="L12" s="10">
        <f ca="1">Analysis!N132</f>
        <v>1.284534588904968E-2</v>
      </c>
      <c r="M12" s="10">
        <f ca="1">Analysis!N136</f>
        <v>0.12120314260847648</v>
      </c>
    </row>
    <row r="13" spans="1:14" x14ac:dyDescent="0.35">
      <c r="D13">
        <v>2024</v>
      </c>
      <c r="H13" t="s">
        <v>156</v>
      </c>
      <c r="I13" s="26">
        <f>('financial statement '!J16)*-1</f>
        <v>1000000</v>
      </c>
    </row>
    <row r="14" spans="1:14" x14ac:dyDescent="0.35">
      <c r="D14">
        <v>2024</v>
      </c>
      <c r="H14" s="12" t="s">
        <v>62</v>
      </c>
      <c r="I14" s="26">
        <f ca="1">('financial statement '!J17)*-1</f>
        <v>222000</v>
      </c>
    </row>
    <row r="15" spans="1:14" x14ac:dyDescent="0.35">
      <c r="D15">
        <v>2024</v>
      </c>
      <c r="H15" t="s">
        <v>157</v>
      </c>
      <c r="I15" s="26">
        <f>('financial statement '!J18)*-1</f>
        <v>4932000</v>
      </c>
    </row>
    <row r="16" spans="1:14" x14ac:dyDescent="0.35">
      <c r="D16">
        <v>2025</v>
      </c>
      <c r="H16" t="s">
        <v>156</v>
      </c>
      <c r="I16" s="26">
        <f>('financial statement '!K16)*-1</f>
        <v>1000000</v>
      </c>
    </row>
    <row r="17" spans="4:9" x14ac:dyDescent="0.35">
      <c r="D17">
        <v>2025</v>
      </c>
      <c r="H17" s="12" t="s">
        <v>62</v>
      </c>
      <c r="I17" s="26">
        <f ca="1">('financial statement '!K17)*-1</f>
        <v>222000</v>
      </c>
    </row>
    <row r="18" spans="4:9" x14ac:dyDescent="0.35">
      <c r="D18">
        <v>2025</v>
      </c>
      <c r="H18" t="s">
        <v>157</v>
      </c>
      <c r="I18" s="26">
        <f>('financial statement '!K18)*-1</f>
        <v>4487063.8</v>
      </c>
    </row>
    <row r="19" spans="4:9" x14ac:dyDescent="0.35">
      <c r="D19">
        <v>2026</v>
      </c>
      <c r="H19" t="s">
        <v>156</v>
      </c>
      <c r="I19" s="26">
        <f>('financial statement '!L16)*-1</f>
        <v>2040000</v>
      </c>
    </row>
    <row r="20" spans="4:9" x14ac:dyDescent="0.35">
      <c r="D20">
        <v>2026</v>
      </c>
      <c r="H20" s="12" t="s">
        <v>62</v>
      </c>
      <c r="I20" s="26">
        <f ca="1">('financial statement '!L17)*-1</f>
        <v>497699.85030000005</v>
      </c>
    </row>
    <row r="21" spans="4:9" x14ac:dyDescent="0.35">
      <c r="D21">
        <v>2026</v>
      </c>
      <c r="H21" t="s">
        <v>157</v>
      </c>
      <c r="I21" s="26">
        <f>('financial statement '!L18)*-1</f>
        <v>5535051.9318599999</v>
      </c>
    </row>
    <row r="22" spans="4:9" x14ac:dyDescent="0.35">
      <c r="D22">
        <v>2027</v>
      </c>
      <c r="H22" t="s">
        <v>156</v>
      </c>
      <c r="I22" s="26">
        <f>('financial statement '!M16)*-1</f>
        <v>2280000</v>
      </c>
    </row>
    <row r="23" spans="4:9" x14ac:dyDescent="0.35">
      <c r="D23">
        <v>2027</v>
      </c>
      <c r="H23" s="12" t="s">
        <v>62</v>
      </c>
      <c r="I23" s="26">
        <f ca="1">('financial statement '!M17)*-1</f>
        <v>367699.85030000005</v>
      </c>
    </row>
    <row r="24" spans="4:9" x14ac:dyDescent="0.35">
      <c r="D24">
        <v>2027</v>
      </c>
      <c r="H24" t="s">
        <v>157</v>
      </c>
      <c r="I24" s="26">
        <f>('financial statement '!M18)*-1</f>
        <v>6141959.2023204006</v>
      </c>
    </row>
    <row r="25" spans="4:9" x14ac:dyDescent="0.35">
      <c r="D25">
        <v>2028</v>
      </c>
      <c r="H25" t="s">
        <v>156</v>
      </c>
      <c r="I25" s="26">
        <f>('financial statement '!N16)*-1</f>
        <v>2280000</v>
      </c>
    </row>
    <row r="26" spans="4:9" x14ac:dyDescent="0.35">
      <c r="D26">
        <v>2028</v>
      </c>
      <c r="H26" s="12" t="s">
        <v>62</v>
      </c>
      <c r="I26" s="26">
        <f ca="1">('financial statement '!N17)*-1</f>
        <v>695287.98785417597</v>
      </c>
    </row>
    <row r="27" spans="4:9" x14ac:dyDescent="0.35">
      <c r="D27">
        <v>2028</v>
      </c>
      <c r="H27" t="s">
        <v>157</v>
      </c>
      <c r="I27" s="26">
        <f>('financial statement '!N18)*-1</f>
        <v>7233833.4906452578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2" r:id="rId3" name="Drop Down 2">
              <controlPr defaultSize="0" autoLine="0" autoPict="0">
                <anchor moveWithCells="1">
                  <from>
                    <xdr:col>4</xdr:col>
                    <xdr:colOff>1822450</xdr:colOff>
                    <xdr:row>1</xdr:row>
                    <xdr:rowOff>88900</xdr:rowOff>
                  </from>
                  <to>
                    <xdr:col>6</xdr:col>
                    <xdr:colOff>717550</xdr:colOff>
                    <xdr:row>3</xdr:row>
                    <xdr:rowOff>31750</xdr:rowOff>
                  </to>
                </anchor>
              </controlPr>
            </control>
          </mc:Choice>
        </mc:AlternateContent>
      </controls>
    </mc:Choice>
  </mc:AlternateContent>
  <tableParts count="1">
    <tablePart r:id="rId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C64F-74CC-4609-AF1C-C76607F4CBC9}">
  <sheetPr>
    <tabColor rgb="FFFFC000"/>
  </sheetPr>
  <dimension ref="A1:N50"/>
  <sheetViews>
    <sheetView workbookViewId="0">
      <selection activeCell="J16" sqref="J16"/>
    </sheetView>
  </sheetViews>
  <sheetFormatPr defaultRowHeight="14.5" x14ac:dyDescent="0.35"/>
  <cols>
    <col min="4" max="4" width="12.453125" bestFit="1" customWidth="1"/>
    <col min="5" max="5" width="16" bestFit="1" customWidth="1"/>
    <col min="6" max="6" width="18.08984375" bestFit="1" customWidth="1"/>
    <col min="7" max="7" width="13.81640625" bestFit="1" customWidth="1"/>
    <col min="8" max="8" width="11.6328125" bestFit="1" customWidth="1"/>
    <col min="9" max="9" width="14.81640625" bestFit="1" customWidth="1"/>
    <col min="10" max="10" width="13.81640625" bestFit="1" customWidth="1"/>
    <col min="11" max="11" width="12.7265625" bestFit="1" customWidth="1"/>
  </cols>
  <sheetData>
    <row r="1" spans="1:14" s="1" customFormat="1" x14ac:dyDescent="0.35">
      <c r="A1" s="15" t="s">
        <v>0</v>
      </c>
      <c r="B1" s="22"/>
      <c r="C1" s="22"/>
      <c r="D1" s="22"/>
      <c r="E1" s="22"/>
    </row>
    <row r="2" spans="1:14" s="1" customFormat="1" x14ac:dyDescent="0.35">
      <c r="A2" s="15" t="s">
        <v>1</v>
      </c>
      <c r="B2" s="22"/>
      <c r="C2" s="22"/>
      <c r="D2" s="22"/>
      <c r="E2" s="22"/>
    </row>
    <row r="3" spans="1:14" s="1" customFormat="1" x14ac:dyDescent="0.35">
      <c r="A3" s="15" t="s">
        <v>258</v>
      </c>
      <c r="B3" s="22"/>
      <c r="C3" s="22"/>
      <c r="D3" s="22"/>
      <c r="E3" s="22"/>
    </row>
    <row r="4" spans="1:14" s="1" customFormat="1" x14ac:dyDescent="0.35">
      <c r="A4" s="22"/>
      <c r="B4" s="22"/>
      <c r="C4" s="22"/>
      <c r="D4" s="22"/>
      <c r="E4" s="22"/>
    </row>
    <row r="5" spans="1:14" s="1" customFormat="1" x14ac:dyDescent="0.35">
      <c r="A5" s="15" t="s">
        <v>2</v>
      </c>
      <c r="B5" s="22"/>
      <c r="C5" s="22"/>
      <c r="D5" s="22"/>
      <c r="E5" s="22"/>
      <c r="J5" s="15"/>
      <c r="K5" s="15"/>
      <c r="L5" s="15"/>
      <c r="M5" s="15"/>
      <c r="N5" s="15"/>
    </row>
    <row r="8" spans="1:14" x14ac:dyDescent="0.35">
      <c r="D8" s="66" t="s">
        <v>259</v>
      </c>
      <c r="E8" s="21" t="s">
        <v>261</v>
      </c>
      <c r="F8" s="21" t="s">
        <v>263</v>
      </c>
      <c r="G8" s="21" t="s">
        <v>262</v>
      </c>
    </row>
    <row r="9" spans="1:14" x14ac:dyDescent="0.35">
      <c r="D9" s="38">
        <v>2024</v>
      </c>
      <c r="E9" s="21">
        <v>435360000</v>
      </c>
      <c r="F9" s="21">
        <v>16042296</v>
      </c>
      <c r="G9" s="21">
        <v>419317704</v>
      </c>
    </row>
    <row r="10" spans="1:14" x14ac:dyDescent="0.35">
      <c r="D10" s="38">
        <v>2025</v>
      </c>
      <c r="E10" s="21">
        <v>693235200</v>
      </c>
      <c r="F10" s="21">
        <v>21923289.600000024</v>
      </c>
      <c r="G10" s="21">
        <v>671311910.39999998</v>
      </c>
    </row>
    <row r="11" spans="1:14" x14ac:dyDescent="0.35">
      <c r="D11" s="38">
        <v>2026</v>
      </c>
      <c r="E11" s="21">
        <v>634584000</v>
      </c>
      <c r="F11" s="21">
        <v>21186725.75999999</v>
      </c>
      <c r="G11" s="21">
        <v>613397274.24000001</v>
      </c>
    </row>
    <row r="12" spans="1:14" x14ac:dyDescent="0.35">
      <c r="D12" s="38">
        <v>2027</v>
      </c>
      <c r="E12" s="21">
        <v>845850000</v>
      </c>
      <c r="F12" s="21">
        <v>25282147.200000048</v>
      </c>
      <c r="G12" s="21">
        <v>820567852.79999995</v>
      </c>
    </row>
    <row r="13" spans="1:14" x14ac:dyDescent="0.35">
      <c r="D13" s="38">
        <v>2028</v>
      </c>
      <c r="E13" s="21">
        <v>807759600</v>
      </c>
      <c r="F13" s="21">
        <v>23179060.799999952</v>
      </c>
      <c r="G13" s="21">
        <v>784580539.20000005</v>
      </c>
    </row>
    <row r="14" spans="1:14" x14ac:dyDescent="0.35">
      <c r="D14" s="38" t="s">
        <v>260</v>
      </c>
      <c r="E14" s="21">
        <v>3416788800</v>
      </c>
      <c r="F14" s="21">
        <v>107613519.36000001</v>
      </c>
      <c r="G14" s="21">
        <v>3309175280.6400003</v>
      </c>
    </row>
    <row r="17" spans="4:8" x14ac:dyDescent="0.35">
      <c r="D17" s="66" t="s">
        <v>265</v>
      </c>
      <c r="E17" s="64" t="s">
        <v>264</v>
      </c>
      <c r="F17" s="21"/>
      <c r="G17" s="21"/>
      <c r="H17" s="21"/>
    </row>
    <row r="18" spans="4:8" x14ac:dyDescent="0.35">
      <c r="D18" s="66" t="s">
        <v>259</v>
      </c>
      <c r="E18" s="21" t="s">
        <v>62</v>
      </c>
      <c r="F18" s="21" t="s">
        <v>157</v>
      </c>
      <c r="G18" s="21" t="s">
        <v>156</v>
      </c>
      <c r="H18" s="21" t="s">
        <v>260</v>
      </c>
    </row>
    <row r="19" spans="4:8" x14ac:dyDescent="0.35">
      <c r="D19" s="38">
        <v>2024</v>
      </c>
      <c r="E19" s="21">
        <v>222000</v>
      </c>
      <c r="F19" s="21">
        <v>4932000</v>
      </c>
      <c r="G19" s="21">
        <v>1000000</v>
      </c>
      <c r="H19" s="21">
        <v>6154000</v>
      </c>
    </row>
    <row r="20" spans="4:8" x14ac:dyDescent="0.35">
      <c r="D20" s="38">
        <v>2025</v>
      </c>
      <c r="E20" s="21">
        <v>222000</v>
      </c>
      <c r="F20" s="21">
        <v>4487063.8</v>
      </c>
      <c r="G20" s="21">
        <v>1000000</v>
      </c>
      <c r="H20" s="21">
        <v>5709063.7999999998</v>
      </c>
    </row>
    <row r="21" spans="4:8" x14ac:dyDescent="0.35">
      <c r="D21" s="38">
        <v>2026</v>
      </c>
      <c r="E21" s="21">
        <v>497699.85030000005</v>
      </c>
      <c r="F21" s="21">
        <v>5535051.9318599999</v>
      </c>
      <c r="G21" s="21">
        <v>2040000</v>
      </c>
      <c r="H21" s="21">
        <v>8072751.7821599999</v>
      </c>
    </row>
    <row r="22" spans="4:8" x14ac:dyDescent="0.35">
      <c r="D22" s="38">
        <v>2027</v>
      </c>
      <c r="E22" s="21">
        <v>367699.85030000005</v>
      </c>
      <c r="F22" s="21">
        <v>6141959.2023204006</v>
      </c>
      <c r="G22" s="21">
        <v>2280000</v>
      </c>
      <c r="H22" s="21">
        <v>8789659.0526203997</v>
      </c>
    </row>
    <row r="23" spans="4:8" x14ac:dyDescent="0.35">
      <c r="D23" s="38">
        <v>2028</v>
      </c>
      <c r="E23" s="21">
        <v>695287.98785417597</v>
      </c>
      <c r="F23" s="21">
        <v>7233833.4906452578</v>
      </c>
      <c r="G23" s="21">
        <v>2280000</v>
      </c>
      <c r="H23" s="21">
        <v>10209121.478499435</v>
      </c>
    </row>
    <row r="24" spans="4:8" x14ac:dyDescent="0.35">
      <c r="D24" s="65" t="s">
        <v>260</v>
      </c>
      <c r="E24" s="21">
        <v>2004687.6884541761</v>
      </c>
      <c r="F24" s="21">
        <v>28329908.424825661</v>
      </c>
      <c r="G24" s="21">
        <v>8600000</v>
      </c>
      <c r="H24" s="21">
        <v>38934596.113279834</v>
      </c>
    </row>
    <row r="27" spans="4:8" x14ac:dyDescent="0.35">
      <c r="D27" s="64" t="s">
        <v>259</v>
      </c>
      <c r="E27" s="21" t="s">
        <v>265</v>
      </c>
    </row>
    <row r="28" spans="4:8" x14ac:dyDescent="0.35">
      <c r="D28" s="65" t="s">
        <v>62</v>
      </c>
      <c r="E28" s="21">
        <v>2004687.6884541761</v>
      </c>
    </row>
    <row r="29" spans="4:8" x14ac:dyDescent="0.35">
      <c r="D29" s="65" t="s">
        <v>157</v>
      </c>
      <c r="E29" s="21">
        <v>28329908.424825657</v>
      </c>
    </row>
    <row r="30" spans="4:8" x14ac:dyDescent="0.35">
      <c r="D30" s="65" t="s">
        <v>156</v>
      </c>
      <c r="E30" s="21">
        <v>8600000</v>
      </c>
    </row>
    <row r="31" spans="4:8" x14ac:dyDescent="0.35">
      <c r="D31" s="65" t="s">
        <v>260</v>
      </c>
      <c r="E31" s="21">
        <v>38934596.113279834</v>
      </c>
    </row>
    <row r="35" spans="4:11" x14ac:dyDescent="0.35">
      <c r="D35" s="66" t="s">
        <v>259</v>
      </c>
      <c r="E35" s="21" t="s">
        <v>266</v>
      </c>
      <c r="F35" s="21" t="s">
        <v>267</v>
      </c>
      <c r="G35" s="21" t="s">
        <v>268</v>
      </c>
    </row>
    <row r="36" spans="4:11" x14ac:dyDescent="0.35">
      <c r="D36" s="38">
        <v>2024</v>
      </c>
      <c r="E36" s="21">
        <v>435360000</v>
      </c>
      <c r="F36" s="21">
        <v>16042296</v>
      </c>
      <c r="G36" s="21">
        <v>6198477.9840000002</v>
      </c>
    </row>
    <row r="37" spans="4:11" x14ac:dyDescent="0.35">
      <c r="D37" s="38">
        <v>2025</v>
      </c>
      <c r="E37" s="21">
        <v>693235200</v>
      </c>
      <c r="F37" s="21">
        <v>21923289.600000024</v>
      </c>
      <c r="G37" s="21">
        <v>11344829.764800018</v>
      </c>
    </row>
    <row r="38" spans="4:11" x14ac:dyDescent="0.35">
      <c r="D38" s="38">
        <v>2026</v>
      </c>
      <c r="E38" s="21">
        <v>634584000</v>
      </c>
      <c r="F38" s="21">
        <v>21186725.75999999</v>
      </c>
      <c r="G38" s="21">
        <v>8945955.8508319929</v>
      </c>
    </row>
    <row r="39" spans="4:11" x14ac:dyDescent="0.35">
      <c r="D39" s="38">
        <v>2027</v>
      </c>
      <c r="E39" s="21">
        <v>845850000</v>
      </c>
      <c r="F39" s="21">
        <v>25282147.200000048</v>
      </c>
      <c r="G39" s="21">
        <v>11726028.353035718</v>
      </c>
    </row>
    <row r="40" spans="4:11" x14ac:dyDescent="0.35">
      <c r="D40" s="38">
        <v>2028</v>
      </c>
      <c r="E40" s="21">
        <v>807759600</v>
      </c>
      <c r="F40" s="21">
        <v>23179060.799999952</v>
      </c>
      <c r="G40" s="21">
        <v>10375951.457200414</v>
      </c>
      <c r="I40" t="s">
        <v>272</v>
      </c>
      <c r="J40" t="s">
        <v>252</v>
      </c>
      <c r="K40" t="s">
        <v>109</v>
      </c>
    </row>
    <row r="41" spans="4:11" x14ac:dyDescent="0.35">
      <c r="D41" s="38" t="s">
        <v>260</v>
      </c>
      <c r="E41" s="21">
        <v>683357760</v>
      </c>
      <c r="F41" s="21">
        <v>21522703.872000001</v>
      </c>
      <c r="G41" s="21">
        <v>9718248.6819736287</v>
      </c>
      <c r="I41" s="68">
        <f>GETPIVOTDATA("Average of Revenue ",$D$35)</f>
        <v>683357760</v>
      </c>
      <c r="J41" s="68">
        <f>GETPIVOTDATA("Average of Gross Profit",$D$35)</f>
        <v>21522703.872000001</v>
      </c>
      <c r="K41" s="68">
        <f>GETPIVOTDATA("Average of Profit  After Tax ",$D$35)</f>
        <v>9718248.6819736287</v>
      </c>
    </row>
    <row r="44" spans="4:11" x14ac:dyDescent="0.35">
      <c r="D44" s="66" t="s">
        <v>259</v>
      </c>
      <c r="E44" s="10" t="s">
        <v>269</v>
      </c>
      <c r="F44" s="10" t="s">
        <v>270</v>
      </c>
      <c r="G44" s="10" t="s">
        <v>271</v>
      </c>
    </row>
    <row r="45" spans="4:11" x14ac:dyDescent="0.35">
      <c r="D45" s="38">
        <v>2024</v>
      </c>
      <c r="E45" s="10">
        <v>3.684834619625138E-2</v>
      </c>
      <c r="F45" s="10">
        <v>1.4237591841234841E-2</v>
      </c>
      <c r="G45" s="10">
        <v>7.2405409195404918E-2</v>
      </c>
    </row>
    <row r="46" spans="4:11" x14ac:dyDescent="0.35">
      <c r="D46" s="38">
        <v>2025</v>
      </c>
      <c r="E46" s="10">
        <v>3.162460532875426E-2</v>
      </c>
      <c r="F46" s="10">
        <v>1.6365051521907741E-2</v>
      </c>
      <c r="G46" s="10">
        <v>0.1325207645316942</v>
      </c>
    </row>
    <row r="47" spans="4:11" x14ac:dyDescent="0.35">
      <c r="D47" s="38">
        <v>2026</v>
      </c>
      <c r="E47" s="10">
        <v>3.3386794750576744E-2</v>
      </c>
      <c r="F47" s="10">
        <v>1.4097354882619154E-2</v>
      </c>
      <c r="G47" s="10">
        <v>0.1044991360291193</v>
      </c>
    </row>
    <row r="48" spans="4:11" x14ac:dyDescent="0.35">
      <c r="D48" s="38">
        <v>2027</v>
      </c>
      <c r="E48" s="10">
        <v>2.9889634332328482E-2</v>
      </c>
      <c r="F48" s="10">
        <v>1.3863011589567558E-2</v>
      </c>
      <c r="G48" s="10">
        <v>0.13697360599328556</v>
      </c>
    </row>
    <row r="49" spans="4:7" x14ac:dyDescent="0.35">
      <c r="D49" s="38">
        <v>2028</v>
      </c>
      <c r="E49" s="10">
        <v>2.8695494055409495E-2</v>
      </c>
      <c r="F49" s="10">
        <v>1.284534588904968E-2</v>
      </c>
      <c r="G49" s="10">
        <v>0.12120314260847648</v>
      </c>
    </row>
    <row r="50" spans="4:7" x14ac:dyDescent="0.35">
      <c r="D50" s="38" t="s">
        <v>260</v>
      </c>
      <c r="E50" s="10">
        <v>0.16044487466332036</v>
      </c>
      <c r="F50" s="10">
        <v>7.1408355724378966E-2</v>
      </c>
      <c r="G50" s="10">
        <v>0.56760205835798039</v>
      </c>
    </row>
  </sheetData>
  <pageMargins left="0.7" right="0.7" top="0.75" bottom="0.75" header="0.3" footer="0.3"/>
  <drawing r:id="rId6"/>
  <legacyDrawing r:id="rId7"/>
  <mc:AlternateContent xmlns:mc="http://schemas.openxmlformats.org/markup-compatibility/2006">
    <mc:Choice Requires="x14">
      <controls>
        <mc:AlternateContent xmlns:mc="http://schemas.openxmlformats.org/markup-compatibility/2006">
          <mc:Choice Requires="x14">
            <control shapeId="12289" r:id="rId8" name="Drop Down 1">
              <controlPr defaultSize="0" autoLine="0" autoPict="0">
                <anchor moveWithCells="1">
                  <from>
                    <xdr:col>4</xdr:col>
                    <xdr:colOff>1822450</xdr:colOff>
                    <xdr:row>1</xdr:row>
                    <xdr:rowOff>88900</xdr:rowOff>
                  </from>
                  <to>
                    <xdr:col>6</xdr:col>
                    <xdr:colOff>533400</xdr:colOff>
                    <xdr:row>3</xdr:row>
                    <xdr:rowOff>31750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CoverPage</vt:lpstr>
      <vt:lpstr>CONTENT</vt:lpstr>
      <vt:lpstr>Dashboard</vt:lpstr>
      <vt:lpstr>financial statement </vt:lpstr>
      <vt:lpstr>Business Valuation</vt:lpstr>
      <vt:lpstr>Assumptions</vt:lpstr>
      <vt:lpstr>Workings </vt:lpstr>
      <vt:lpstr>CAPEX</vt:lpstr>
      <vt:lpstr>Analysis</vt:lpstr>
      <vt:lpstr>Dataset</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Kafayat Olajumoke</dc:creator>
  <cp:lastModifiedBy>Kafayat Olajumoke</cp:lastModifiedBy>
  <dcterms:created xsi:type="dcterms:W3CDTF">2024-04-09T08:52:04Z</dcterms:created>
  <dcterms:modified xsi:type="dcterms:W3CDTF">2024-07-04T22:48:27Z</dcterms:modified>
</cp:coreProperties>
</file>