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 DIJOUX\Documents\Unity\Workshop_TowerDefense\STD_Workshop\Documents\GameDesign\"/>
    </mc:Choice>
  </mc:AlternateContent>
  <xr:revisionPtr revIDLastSave="0" documentId="13_ncr:1_{50D1DF65-EA9C-4CAD-B974-936C00C58F29}" xr6:coauthVersionLast="47" xr6:coauthVersionMax="47" xr10:uidLastSave="{00000000-0000-0000-0000-000000000000}"/>
  <bookViews>
    <workbookView xWindow="-120" yWindow="-120" windowWidth="29040" windowHeight="15720" activeTab="1" xr2:uid="{EE4EEEAB-A39E-4793-9971-E358DB8AAF6E}"/>
  </bookViews>
  <sheets>
    <sheet name="Feuil1" sheetId="6" r:id="rId1"/>
    <sheet name="TowerStatsCalc" sheetId="1" r:id="rId2"/>
    <sheet name="Enemies" sheetId="3" r:id="rId3"/>
    <sheet name="Tower" sheetId="4" r:id="rId4"/>
    <sheet name="Data" sheetId="2" r:id="rId5"/>
    <sheet name="Weak" sheetId="5" r:id="rId6"/>
  </sheets>
  <definedNames>
    <definedName name="CAT_ENEMIES">Data!$H$8:$H$10</definedName>
    <definedName name="CAT_TOWER">Data!$F$10:$F$12</definedName>
    <definedName name="CODE_ENEMIES">Enemies!$A$3:$A$11</definedName>
    <definedName name="CODE_TOWER">Tower!$A$3:$A$11</definedName>
    <definedName name="ENEMY">Enemies!$A$3:$H$11</definedName>
    <definedName name="LEVEL_ENEMY">Data!$B$15:$B$20</definedName>
    <definedName name="SIGN">Data!$D$2:$D$4</definedName>
    <definedName name="STAT_ENEMY">Data!$H$2:$H$5</definedName>
    <definedName name="STAT_TOWER">Data!$F$2:$F$7</definedName>
    <definedName name="TOWER">Tower!$A$3:$H$11</definedName>
    <definedName name="TYP_ENEMIES">Data!$H$13:$H$15</definedName>
    <definedName name="TYP_TOWER">Data!$F$15:$F$17</definedName>
    <definedName name="UPGRADE">Data!$B$7:$B$12</definedName>
    <definedName name="WEAK_ENEMY">Weak!$B$3:$F$5</definedName>
    <definedName name="WEAK_TOWER">Weak!$C$2:$E$5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3" l="1"/>
  <c r="F9" i="3" s="1"/>
  <c r="G6" i="3"/>
  <c r="H6" i="3"/>
  <c r="H9" i="3" s="1"/>
  <c r="F7" i="3"/>
  <c r="G7" i="3"/>
  <c r="H7" i="3"/>
  <c r="F8" i="3"/>
  <c r="G8" i="3"/>
  <c r="H8" i="3"/>
  <c r="G9" i="3"/>
  <c r="F10" i="3"/>
  <c r="G10" i="3"/>
  <c r="H10" i="3"/>
  <c r="F11" i="3"/>
  <c r="G11" i="3"/>
  <c r="H11" i="3"/>
  <c r="E10" i="3"/>
  <c r="E9" i="3"/>
  <c r="E8" i="3"/>
  <c r="E11" i="3" s="1"/>
  <c r="E7" i="3"/>
  <c r="E6" i="3"/>
  <c r="B30" i="1"/>
  <c r="A4" i="4"/>
  <c r="A5" i="4"/>
  <c r="A6" i="4"/>
  <c r="A7" i="4"/>
  <c r="A8" i="4"/>
  <c r="A9" i="4"/>
  <c r="A10" i="4"/>
  <c r="A11" i="4"/>
  <c r="A3" i="4"/>
  <c r="G9" i="5"/>
  <c r="G4" i="5"/>
  <c r="B2" i="6"/>
  <c r="E11" i="6"/>
  <c r="C2" i="6" s="1"/>
  <c r="B3" i="6"/>
  <c r="A4" i="3"/>
  <c r="A5" i="3"/>
  <c r="A6" i="3"/>
  <c r="A7" i="3"/>
  <c r="M19" i="1" s="1"/>
  <c r="C16" i="1" s="1"/>
  <c r="E16" i="1" s="1" a="1"/>
  <c r="E16" i="1" s="1"/>
  <c r="G16" i="1" s="1" a="1"/>
  <c r="G16" i="1" s="1"/>
  <c r="I16" i="1" s="1" a="1"/>
  <c r="I16" i="1" s="1"/>
  <c r="K16" i="1" s="1" a="1"/>
  <c r="K16" i="1" s="1"/>
  <c r="M16" i="1" s="1" a="1"/>
  <c r="M16" i="1" s="1"/>
  <c r="A8" i="3"/>
  <c r="A9" i="3"/>
  <c r="A10" i="3"/>
  <c r="A11" i="3"/>
  <c r="A3" i="3"/>
  <c r="G19" i="1" l="1"/>
  <c r="C13" i="1" s="1"/>
  <c r="E13" i="1" s="1" a="1"/>
  <c r="E13" i="1" s="1"/>
  <c r="G13" i="1" s="1" a="1"/>
  <c r="G13" i="1" s="1"/>
  <c r="I13" i="1" s="1" a="1"/>
  <c r="I13" i="1" s="1"/>
  <c r="K13" i="1" s="1" a="1"/>
  <c r="K13" i="1" s="1"/>
  <c r="M13" i="1" s="1" a="1"/>
  <c r="M13" i="1" s="1"/>
  <c r="M25" i="1" s="1" a="1"/>
  <c r="M25" i="1" s="1"/>
  <c r="C19" i="1"/>
  <c r="G24" i="1" s="1"/>
  <c r="E19" i="1"/>
  <c r="I19" i="1"/>
  <c r="C14" i="1" s="1"/>
  <c r="E14" i="1" s="1" a="1"/>
  <c r="E14" i="1" s="1"/>
  <c r="G14" i="1" s="1" a="1"/>
  <c r="G14" i="1" s="1"/>
  <c r="I14" i="1" s="1" a="1"/>
  <c r="I14" i="1" s="1"/>
  <c r="K14" i="1" s="1" a="1"/>
  <c r="K14" i="1" s="1"/>
  <c r="M14" i="1" s="1" a="1"/>
  <c r="M14" i="1" s="1"/>
  <c r="K19" i="1"/>
  <c r="C15" i="1" s="1"/>
  <c r="E15" i="1" s="1" a="1"/>
  <c r="E15" i="1" s="1"/>
  <c r="G15" i="1" s="1" a="1"/>
  <c r="G15" i="1" s="1"/>
  <c r="I15" i="1" s="1" a="1"/>
  <c r="I15" i="1" s="1"/>
  <c r="K15" i="1" s="1" a="1"/>
  <c r="K15" i="1" s="1"/>
  <c r="M15" i="1" s="1" a="1"/>
  <c r="M15" i="1" s="1"/>
  <c r="C21" i="1"/>
  <c r="I21" i="1"/>
  <c r="C3" i="1" s="1"/>
  <c r="K21" i="1"/>
  <c r="C4" i="1" s="1"/>
  <c r="E4" i="1" s="1" a="1"/>
  <c r="E4" i="1" s="1"/>
  <c r="G4" i="1" s="1" a="1"/>
  <c r="G4" i="1" s="1"/>
  <c r="I4" i="1" s="1" a="1"/>
  <c r="I4" i="1" s="1"/>
  <c r="K4" i="1" s="1" a="1"/>
  <c r="K4" i="1" s="1"/>
  <c r="M4" i="1" s="1" a="1"/>
  <c r="M4" i="1" s="1"/>
  <c r="E21" i="1"/>
  <c r="G21" i="1"/>
  <c r="C2" i="1" s="1"/>
  <c r="E2" i="1" s="1" a="1"/>
  <c r="E2" i="1" s="1"/>
  <c r="M21" i="1"/>
  <c r="C5" i="1" s="1"/>
  <c r="E5" i="1" s="1" a="1"/>
  <c r="E5" i="1" s="1"/>
  <c r="G5" i="1" s="1" a="1"/>
  <c r="G5" i="1" s="1"/>
  <c r="I5" i="1" s="1" a="1"/>
  <c r="I5" i="1" s="1"/>
  <c r="K5" i="1" s="1" a="1"/>
  <c r="K5" i="1" s="1"/>
  <c r="M5" i="1" s="1" a="1"/>
  <c r="M5" i="1" s="1"/>
  <c r="D2" i="6"/>
  <c r="E2" i="6" s="1"/>
  <c r="F2" i="6" s="1"/>
  <c r="G2" i="6" s="1"/>
  <c r="H2" i="6" s="1"/>
  <c r="C10" i="1" l="1"/>
  <c r="C9" i="1" s="1"/>
  <c r="E3" i="1" a="1"/>
  <c r="E3" i="1" s="1"/>
  <c r="E24" i="1"/>
  <c r="G2" i="1" l="1" a="1"/>
  <c r="G2" i="1" s="1"/>
  <c r="G3" i="1" a="1"/>
  <c r="G3" i="1" s="1"/>
  <c r="E10" i="1"/>
  <c r="E9" i="1" s="1"/>
  <c r="E25" i="1"/>
  <c r="I25" i="1" s="1" a="1"/>
  <c r="I25" i="1" s="1"/>
  <c r="K25" i="1" l="1" a="1"/>
  <c r="K25" i="1" s="1"/>
  <c r="I2" i="1" a="1"/>
  <c r="I2" i="1" s="1"/>
  <c r="I3" i="1" a="1"/>
  <c r="I3" i="1" s="1"/>
  <c r="G10" i="1"/>
  <c r="G9" i="1" s="1"/>
  <c r="I8" i="1"/>
  <c r="E8" i="1"/>
  <c r="E6" i="1"/>
  <c r="E7" i="1"/>
  <c r="G8" i="1"/>
  <c r="K2" i="1" l="1" a="1"/>
  <c r="K2" i="1" s="1"/>
  <c r="K3" i="1" a="1"/>
  <c r="K3" i="1" s="1"/>
  <c r="I10" i="1"/>
  <c r="I9" i="1" s="1"/>
  <c r="G7" i="1"/>
  <c r="G6" i="1"/>
  <c r="M2" i="1" l="1" a="1"/>
  <c r="M2" i="1" s="1"/>
  <c r="M3" i="1" a="1"/>
  <c r="M3" i="1" s="1"/>
  <c r="M10" i="1" s="1"/>
  <c r="K10" i="1"/>
  <c r="K9" i="1" s="1"/>
  <c r="I6" i="1"/>
  <c r="I7" i="1"/>
  <c r="M9" i="1" l="1"/>
  <c r="B24" i="1" s="1"/>
  <c r="C30" i="1" s="1"/>
  <c r="K8" i="1"/>
  <c r="M8" i="1"/>
  <c r="K6" i="1"/>
  <c r="K7" i="1"/>
  <c r="E30" i="1" l="1"/>
  <c r="M6" i="1"/>
  <c r="M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<sst xmlns="http://schemas.openxmlformats.org/spreadsheetml/2006/main" count="265" uniqueCount="112">
  <si>
    <t>Upgrade 1</t>
  </si>
  <si>
    <t>Upgrade 3</t>
  </si>
  <si>
    <t>Upgrade 2</t>
  </si>
  <si>
    <t>Upgrade 4</t>
  </si>
  <si>
    <t>Upgrade 5</t>
  </si>
  <si>
    <t>Attack</t>
  </si>
  <si>
    <t>Trap</t>
  </si>
  <si>
    <t>Food</t>
  </si>
  <si>
    <t>Energy</t>
  </si>
  <si>
    <t>Type of tower</t>
  </si>
  <si>
    <t>Reach</t>
  </si>
  <si>
    <t>Attack %</t>
  </si>
  <si>
    <t>FireRate %</t>
  </si>
  <si>
    <t>Reach %</t>
  </si>
  <si>
    <t>Upgrade 0</t>
  </si>
  <si>
    <t>=</t>
  </si>
  <si>
    <t>+</t>
  </si>
  <si>
    <t>-</t>
  </si>
  <si>
    <t>Firerate</t>
  </si>
  <si>
    <t>arrondi &gt;</t>
  </si>
  <si>
    <t>Sign</t>
  </si>
  <si>
    <t>CODE</t>
  </si>
  <si>
    <t>#</t>
  </si>
  <si>
    <t>CATEGORY</t>
  </si>
  <si>
    <t>Range</t>
  </si>
  <si>
    <t>CAT_TOWER</t>
  </si>
  <si>
    <t>Insect</t>
  </si>
  <si>
    <t>Ghost</t>
  </si>
  <si>
    <t>Vegetable</t>
  </si>
  <si>
    <t>CAT_ENEMIES</t>
  </si>
  <si>
    <t>SPEED</t>
  </si>
  <si>
    <t>HP</t>
  </si>
  <si>
    <t>FUNCTION</t>
  </si>
  <si>
    <t>Saboteur</t>
  </si>
  <si>
    <t>Intangible</t>
  </si>
  <si>
    <t>Normal</t>
  </si>
  <si>
    <t>Enemy ref</t>
  </si>
  <si>
    <t>Enemy HP</t>
  </si>
  <si>
    <t>Category</t>
  </si>
  <si>
    <t>Traps</t>
  </si>
  <si>
    <t>Weak / Resist</t>
  </si>
  <si>
    <t>Weak Mult</t>
  </si>
  <si>
    <t>Value</t>
  </si>
  <si>
    <t>Max Container</t>
  </si>
  <si>
    <t>Contain</t>
  </si>
  <si>
    <t>Tower</t>
  </si>
  <si>
    <t>DPS</t>
  </si>
  <si>
    <t xml:space="preserve">Upgrade Max </t>
  </si>
  <si>
    <t>Lv1</t>
  </si>
  <si>
    <t>End Values</t>
  </si>
  <si>
    <t>Atk</t>
  </si>
  <si>
    <t>Spd</t>
  </si>
  <si>
    <t>Start Values</t>
  </si>
  <si>
    <t>Atk Lv Multiplier</t>
  </si>
  <si>
    <t>Spd Lv Multiplier</t>
  </si>
  <si>
    <t>Lv2</t>
  </si>
  <si>
    <t>Lv3</t>
  </si>
  <si>
    <t>Lv4</t>
  </si>
  <si>
    <t>Lv5</t>
  </si>
  <si>
    <t>Lv6</t>
  </si>
  <si>
    <t>Lv7</t>
  </si>
  <si>
    <t>Lv8</t>
  </si>
  <si>
    <t>Lv9</t>
  </si>
  <si>
    <t>Lv10</t>
  </si>
  <si>
    <t>Lv11</t>
  </si>
  <si>
    <t>Lv12</t>
  </si>
  <si>
    <t>Lv13</t>
  </si>
  <si>
    <t>Lv14</t>
  </si>
  <si>
    <t>Lv15</t>
  </si>
  <si>
    <t>Lv16</t>
  </si>
  <si>
    <t>Lv17</t>
  </si>
  <si>
    <t>Lv0</t>
  </si>
  <si>
    <t>Resistance</t>
  </si>
  <si>
    <t>Speed</t>
  </si>
  <si>
    <t>Tower Stat</t>
  </si>
  <si>
    <t>Projectil per seconds</t>
  </si>
  <si>
    <t>arrondi #,##</t>
  </si>
  <si>
    <t>List</t>
  </si>
  <si>
    <t>Valeur Ref</t>
  </si>
  <si>
    <t>TYPE</t>
  </si>
  <si>
    <t>Snipe</t>
  </si>
  <si>
    <t>Canon</t>
  </si>
  <si>
    <t>Mortar</t>
  </si>
  <si>
    <t>TYP_ENEMIES</t>
  </si>
  <si>
    <t>TYP_TOWER</t>
  </si>
  <si>
    <t>Type</t>
  </si>
  <si>
    <t>2_Food_Cano</t>
  </si>
  <si>
    <t>7_Vege_Norm</t>
  </si>
  <si>
    <t>Stats</t>
  </si>
  <si>
    <t>UPGRADE</t>
  </si>
  <si>
    <t>STA_TOWER</t>
  </si>
  <si>
    <t>STAT_ENEMY</t>
  </si>
  <si>
    <t>Proj Damage</t>
  </si>
  <si>
    <t>bonus Damage per seconds</t>
  </si>
  <si>
    <t>Total Damage per seconds</t>
  </si>
  <si>
    <t>DAMAGE</t>
  </si>
  <si>
    <t>Enemy Speed</t>
  </si>
  <si>
    <t>Enemy Damage</t>
  </si>
  <si>
    <t>Multiplicateur Tower</t>
  </si>
  <si>
    <t>LVL 0</t>
  </si>
  <si>
    <t>LVL 1</t>
  </si>
  <si>
    <t>LVL 2</t>
  </si>
  <si>
    <t>LVL 3</t>
  </si>
  <si>
    <t>LVL 4</t>
  </si>
  <si>
    <t>LVL 5</t>
  </si>
  <si>
    <t>Money</t>
  </si>
  <si>
    <t>Damage</t>
  </si>
  <si>
    <t>LEVEL_ENEMY</t>
  </si>
  <si>
    <t>Number Of Hit</t>
  </si>
  <si>
    <t>Money Drop</t>
  </si>
  <si>
    <t>Multiplicateur Enemy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</si>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</sst>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2"/>
      <color theme="1"/>
      <name val="Arial"/>
      <family val="2"/>
    </font>
    <font>
      <b/>
      <sz val="20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D1B2E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4" fillId="0" borderId="5" applyNumberFormat="0" applyFill="0" applyAlignment="0" applyProtection="0"/>
  </cellStyleXfs>
  <cellXfs count="7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5" fillId="0" borderId="0" xfId="0" applyFont="1"/>
    <xf numFmtId="0" fontId="6" fillId="0" borderId="0" xfId="2" applyFont="1" applyBorder="1" applyAlignment="1">
      <alignment horizontal="center"/>
    </xf>
    <xf numFmtId="0" fontId="0" fillId="0" borderId="0" xfId="0" applyFont="1" applyBorder="1"/>
    <xf numFmtId="0" fontId="0" fillId="0" borderId="0" xfId="0" applyBorder="1"/>
    <xf numFmtId="0" fontId="0" fillId="2" borderId="0" xfId="0" applyFill="1" applyBorder="1" applyAlignment="1">
      <alignment horizontal="center"/>
    </xf>
    <xf numFmtId="0" fontId="4" fillId="0" borderId="1" xfId="2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/>
    </xf>
    <xf numFmtId="0" fontId="0" fillId="9" borderId="0" xfId="0" applyFill="1"/>
    <xf numFmtId="0" fontId="0" fillId="3" borderId="0" xfId="0" applyFill="1" applyBorder="1" applyAlignment="1">
      <alignment horizontal="center" vertical="center"/>
    </xf>
    <xf numFmtId="0" fontId="0" fillId="0" borderId="0" xfId="0" quotePrefix="1" applyBorder="1" applyAlignment="1">
      <alignment horizontal="center"/>
    </xf>
    <xf numFmtId="0" fontId="0" fillId="0" borderId="0" xfId="0" applyBorder="1" applyAlignment="1">
      <alignment horizontal="left"/>
    </xf>
    <xf numFmtId="0" fontId="4" fillId="0" borderId="2" xfId="2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11" borderId="0" xfId="2" applyFill="1" applyBorder="1" applyAlignment="1">
      <alignment horizontal="center"/>
    </xf>
    <xf numFmtId="0" fontId="4" fillId="7" borderId="0" xfId="2" applyFill="1" applyBorder="1" applyAlignment="1">
      <alignment horizontal="center"/>
    </xf>
    <xf numFmtId="0" fontId="4" fillId="7" borderId="0" xfId="2" applyFont="1" applyFill="1" applyBorder="1" applyAlignment="1">
      <alignment horizontal="center"/>
    </xf>
    <xf numFmtId="0" fontId="4" fillId="11" borderId="0" xfId="2" applyFont="1" applyFill="1" applyBorder="1" applyAlignment="1">
      <alignment horizontal="center"/>
    </xf>
    <xf numFmtId="0" fontId="0" fillId="11" borderId="0" xfId="0" applyFill="1"/>
    <xf numFmtId="0" fontId="0" fillId="7" borderId="0" xfId="0" applyFill="1"/>
    <xf numFmtId="0" fontId="0" fillId="10" borderId="0" xfId="0" applyFill="1" applyBorder="1" applyAlignment="1">
      <alignment vertical="center"/>
    </xf>
    <xf numFmtId="0" fontId="0" fillId="12" borderId="0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14" borderId="0" xfId="0" applyFill="1" applyBorder="1" applyAlignment="1">
      <alignment horizontal="center" vertical="center"/>
    </xf>
    <xf numFmtId="9" fontId="0" fillId="13" borderId="0" xfId="1" applyFont="1" applyFill="1" applyBorder="1" applyAlignment="1">
      <alignment horizontal="center" vertical="center"/>
    </xf>
    <xf numFmtId="9" fontId="0" fillId="12" borderId="0" xfId="1" applyFont="1" applyFill="1" applyBorder="1" applyAlignment="1">
      <alignment horizontal="center" vertical="center"/>
    </xf>
    <xf numFmtId="0" fontId="0" fillId="15" borderId="0" xfId="0" applyFill="1" applyAlignment="1">
      <alignment vertical="center" wrapText="1"/>
    </xf>
    <xf numFmtId="0" fontId="0" fillId="15" borderId="0" xfId="0" applyFill="1" applyAlignment="1">
      <alignment vertical="center"/>
    </xf>
    <xf numFmtId="0" fontId="0" fillId="15" borderId="0" xfId="0" applyFill="1" applyBorder="1" applyAlignment="1">
      <alignment horizontal="center" vertical="center"/>
    </xf>
    <xf numFmtId="0" fontId="0" fillId="15" borderId="0" xfId="1" applyNumberFormat="1" applyFont="1" applyFill="1" applyAlignment="1">
      <alignment horizontal="center" vertical="center"/>
    </xf>
    <xf numFmtId="0" fontId="0" fillId="15" borderId="0" xfId="0" applyFill="1" applyBorder="1" applyAlignment="1">
      <alignment vertical="center"/>
    </xf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vertical="center"/>
    </xf>
    <xf numFmtId="0" fontId="0" fillId="15" borderId="0" xfId="0" applyFill="1" applyBorder="1" applyAlignment="1">
      <alignment vertical="center" wrapText="1"/>
    </xf>
    <xf numFmtId="0" fontId="5" fillId="0" borderId="0" xfId="0" applyFont="1" applyBorder="1"/>
    <xf numFmtId="0" fontId="0" fillId="16" borderId="0" xfId="0" applyFill="1" applyBorder="1" applyAlignment="1">
      <alignment horizontal="center" vertical="center"/>
    </xf>
    <xf numFmtId="0" fontId="0" fillId="17" borderId="0" xfId="0" applyFill="1" applyBorder="1" applyAlignment="1">
      <alignment horizontal="center" vertical="center"/>
    </xf>
    <xf numFmtId="0" fontId="0" fillId="17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 wrapText="1"/>
    </xf>
    <xf numFmtId="0" fontId="0" fillId="1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0" xfId="1" applyNumberFormat="1" applyFont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Fill="1" applyBorder="1"/>
    <xf numFmtId="0" fontId="0" fillId="14" borderId="0" xfId="0" applyFill="1" applyBorder="1" applyAlignment="1">
      <alignment horizontal="center"/>
    </xf>
    <xf numFmtId="0" fontId="0" fillId="12" borderId="0" xfId="1" applyNumberFormat="1" applyFont="1" applyFill="1" applyBorder="1" applyAlignment="1">
      <alignment horizontal="center" vertical="center"/>
    </xf>
    <xf numFmtId="0" fontId="0" fillId="13" borderId="0" xfId="1" applyNumberFormat="1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17" borderId="0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18" borderId="0" xfId="0" applyFill="1" applyAlignment="1">
      <alignment horizontal="center" vertical="center"/>
    </xf>
    <xf numFmtId="0" fontId="0" fillId="10" borderId="0" xfId="1" applyNumberFormat="1" applyFont="1" applyFill="1" applyBorder="1" applyAlignment="1">
      <alignment horizontal="center" vertical="center"/>
    </xf>
  </cellXfs>
  <cellStyles count="3">
    <cellStyle name="Normal" xfId="0" builtinId="0"/>
    <cellStyle name="Pourcentage" xfId="1" builtinId="5"/>
    <cellStyle name="Titre 3" xfId="2" builtinId="18"/>
  </cellStyles>
  <dxfs count="30"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rgb="FFFF505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 patternType="solid">
          <bgColor theme="5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FF5050"/>
        </patternFill>
      </fill>
    </dxf>
    <dxf>
      <fill>
        <patternFill patternType="solid">
          <bgColor theme="5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rgb="FFFF5050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rgb="FFFF5050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D1B2E8"/>
      <color rgb="FFFF66FF"/>
      <color rgb="FF66FFFF"/>
      <color rgb="FFFF5050"/>
      <color rgb="FFFF3B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30629-180E-4B47-B0E2-4A13C84E293F}">
  <dimension ref="A1:S20"/>
  <sheetViews>
    <sheetView topLeftCell="A2" workbookViewId="0">
      <selection activeCell="C38" sqref="C37:C38"/>
    </sheetView>
  </sheetViews>
  <sheetFormatPr baseColWidth="10" defaultRowHeight="15" x14ac:dyDescent="0.25"/>
  <cols>
    <col min="1" max="1" width="13" bestFit="1" customWidth="1"/>
    <col min="4" max="4" width="15.5703125" bestFit="1" customWidth="1"/>
  </cols>
  <sheetData>
    <row r="1" spans="1:19" x14ac:dyDescent="0.25">
      <c r="A1" s="17"/>
      <c r="B1" s="17" t="s">
        <v>71</v>
      </c>
      <c r="C1" s="17" t="s">
        <v>48</v>
      </c>
      <c r="D1" s="17" t="s">
        <v>55</v>
      </c>
      <c r="E1" s="17" t="s">
        <v>56</v>
      </c>
      <c r="F1" s="17" t="s">
        <v>57</v>
      </c>
      <c r="G1" s="17" t="s">
        <v>58</v>
      </c>
      <c r="H1" s="17" t="s">
        <v>59</v>
      </c>
      <c r="I1" s="17" t="s">
        <v>60</v>
      </c>
      <c r="J1" s="17" t="s">
        <v>61</v>
      </c>
      <c r="K1" s="17" t="s">
        <v>62</v>
      </c>
      <c r="L1" s="17" t="s">
        <v>63</v>
      </c>
      <c r="M1" s="17" t="s">
        <v>64</v>
      </c>
      <c r="N1" s="17" t="s">
        <v>65</v>
      </c>
      <c r="O1" s="17" t="s">
        <v>66</v>
      </c>
      <c r="P1" s="17" t="s">
        <v>67</v>
      </c>
      <c r="Q1" s="17" t="s">
        <v>68</v>
      </c>
      <c r="R1" s="17" t="s">
        <v>69</v>
      </c>
      <c r="S1" s="17" t="s">
        <v>70</v>
      </c>
    </row>
    <row r="2" spans="1:19" x14ac:dyDescent="0.25">
      <c r="A2" s="17" t="s">
        <v>50</v>
      </c>
      <c r="B2" s="17">
        <f>B14</f>
        <v>1</v>
      </c>
      <c r="C2" s="17">
        <f>B2+$E$11</f>
        <v>3.6666666666666665</v>
      </c>
      <c r="D2" s="17">
        <f t="shared" ref="D2:H2" si="0">C2+$E$11</f>
        <v>6.333333333333333</v>
      </c>
      <c r="E2" s="17">
        <f t="shared" si="0"/>
        <v>9</v>
      </c>
      <c r="F2" s="17">
        <f t="shared" si="0"/>
        <v>11.666666666666666</v>
      </c>
      <c r="G2" s="17">
        <f t="shared" si="0"/>
        <v>14.333333333333332</v>
      </c>
      <c r="H2" s="17">
        <f t="shared" si="0"/>
        <v>17</v>
      </c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spans="1:19" x14ac:dyDescent="0.25">
      <c r="A3" s="17" t="s">
        <v>51</v>
      </c>
      <c r="B3" s="17">
        <f>B15</f>
        <v>3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</row>
    <row r="10" spans="1:19" x14ac:dyDescent="0.25">
      <c r="A10" s="19"/>
      <c r="B10" s="19"/>
      <c r="C10" s="19"/>
    </row>
    <row r="11" spans="1:19" x14ac:dyDescent="0.25">
      <c r="A11" s="17" t="s">
        <v>47</v>
      </c>
      <c r="B11" s="18">
        <v>6</v>
      </c>
      <c r="C11" s="19"/>
      <c r="D11" t="s">
        <v>53</v>
      </c>
      <c r="E11">
        <f>(B18-B14)/$B$11</f>
        <v>2.6666666666666665</v>
      </c>
    </row>
    <row r="12" spans="1:19" x14ac:dyDescent="0.25">
      <c r="A12" s="19"/>
      <c r="B12" s="19"/>
      <c r="C12" s="19"/>
      <c r="D12" t="s">
        <v>54</v>
      </c>
    </row>
    <row r="13" spans="1:19" x14ac:dyDescent="0.25">
      <c r="A13" s="17" t="s">
        <v>52</v>
      </c>
      <c r="B13" s="17"/>
      <c r="C13" s="19"/>
    </row>
    <row r="14" spans="1:19" x14ac:dyDescent="0.25">
      <c r="A14" s="17" t="s">
        <v>50</v>
      </c>
      <c r="B14" s="18">
        <v>1</v>
      </c>
      <c r="C14" s="19"/>
    </row>
    <row r="15" spans="1:19" x14ac:dyDescent="0.25">
      <c r="A15" s="17" t="s">
        <v>51</v>
      </c>
      <c r="B15" s="18">
        <v>3</v>
      </c>
      <c r="C15" s="19"/>
    </row>
    <row r="16" spans="1:19" x14ac:dyDescent="0.25">
      <c r="A16" s="19"/>
      <c r="B16" s="19"/>
      <c r="C16" s="19"/>
    </row>
    <row r="17" spans="1:3" x14ac:dyDescent="0.25">
      <c r="A17" s="17" t="s">
        <v>49</v>
      </c>
      <c r="B17" s="17"/>
      <c r="C17" s="19"/>
    </row>
    <row r="18" spans="1:3" x14ac:dyDescent="0.25">
      <c r="A18" s="17" t="s">
        <v>50</v>
      </c>
      <c r="B18" s="18">
        <v>17</v>
      </c>
      <c r="C18" s="19"/>
    </row>
    <row r="19" spans="1:3" x14ac:dyDescent="0.25">
      <c r="A19" s="17" t="s">
        <v>51</v>
      </c>
      <c r="B19" s="18">
        <v>27</v>
      </c>
      <c r="C19" s="19"/>
    </row>
    <row r="20" spans="1:3" x14ac:dyDescent="0.25">
      <c r="A20" s="19"/>
      <c r="B20" s="19"/>
      <c r="C20" s="19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A4FAA-0409-4E65-B5DA-46DD5A6F91E2}">
  <dimension ref="A1:S43"/>
  <sheetViews>
    <sheetView tabSelected="1" workbookViewId="0">
      <selection activeCell="Q4" sqref="Q4:Q16"/>
    </sheetView>
  </sheetViews>
  <sheetFormatPr baseColWidth="10" defaultRowHeight="15" x14ac:dyDescent="0.25"/>
  <cols>
    <col min="1" max="1" width="11.42578125" style="39"/>
    <col min="2" max="2" width="25.28515625" style="40" bestFit="1" customWidth="1"/>
    <col min="3" max="3" width="11.42578125" style="40" customWidth="1"/>
    <col min="4" max="4" width="5.7109375" style="40" customWidth="1"/>
    <col min="5" max="5" width="11.42578125" style="40"/>
    <col min="6" max="6" width="5.7109375" style="40" customWidth="1"/>
    <col min="7" max="7" width="11.42578125" style="40"/>
    <col min="8" max="8" width="5.7109375" style="40" customWidth="1"/>
    <col min="9" max="9" width="11.42578125" style="40"/>
    <col min="10" max="10" width="5.7109375" style="40" customWidth="1"/>
    <col min="11" max="11" width="11.42578125" style="40"/>
    <col min="12" max="12" width="5.7109375" style="40" customWidth="1"/>
    <col min="13" max="13" width="11.42578125" style="40"/>
    <col min="14" max="14" width="5.7109375" style="40" customWidth="1"/>
    <col min="15" max="15" width="13.5703125" style="40" bestFit="1" customWidth="1"/>
    <col min="16" max="16" width="5.7109375" style="40" customWidth="1"/>
    <col min="17" max="17" width="14.28515625" style="44" customWidth="1"/>
    <col min="18" max="18" width="11.42578125" style="40" customWidth="1"/>
    <col min="19" max="19" width="11.42578125" style="44" customWidth="1"/>
    <col min="20" max="16384" width="11.42578125" style="40"/>
  </cols>
  <sheetData>
    <row r="1" spans="1:19" ht="30" customHeight="1" x14ac:dyDescent="0.25">
      <c r="A1" s="70" t="s">
        <v>88</v>
      </c>
      <c r="B1" s="70"/>
      <c r="C1" s="35" t="s">
        <v>14</v>
      </c>
      <c r="D1" s="36"/>
      <c r="E1" s="35" t="s">
        <v>0</v>
      </c>
      <c r="F1" s="36"/>
      <c r="G1" s="35" t="s">
        <v>2</v>
      </c>
      <c r="H1" s="36"/>
      <c r="I1" s="35" t="s">
        <v>1</v>
      </c>
      <c r="J1" s="36"/>
      <c r="K1" s="35" t="s">
        <v>3</v>
      </c>
      <c r="L1" s="36"/>
      <c r="M1" s="35" t="s">
        <v>4</v>
      </c>
      <c r="N1" s="43"/>
      <c r="O1" s="72" t="s">
        <v>98</v>
      </c>
      <c r="Q1" s="50" t="s">
        <v>78</v>
      </c>
    </row>
    <row r="2" spans="1:19" ht="15.75" customHeight="1" x14ac:dyDescent="0.25">
      <c r="A2" s="59" t="s">
        <v>74</v>
      </c>
      <c r="B2" s="48" t="s">
        <v>5</v>
      </c>
      <c r="C2" s="33">
        <f>$G$21</f>
        <v>1</v>
      </c>
      <c r="D2" s="33" t="s">
        <v>16</v>
      </c>
      <c r="E2" s="33" cm="1">
        <f t="array" ref="E2">_xlfn.IFS(D2="+",ROUNDDOWN(C2*(1+$O$2),2),D2="=",C2)</f>
        <v>1.3</v>
      </c>
      <c r="F2" s="33" t="s">
        <v>16</v>
      </c>
      <c r="G2" s="54" cm="1">
        <f t="array" ref="G2">_xlfn.IFS(F2="+",ROUNDDOWN(E2*(1+$O$2),2),F2="=",E2)</f>
        <v>1.69</v>
      </c>
      <c r="H2" s="33" t="s">
        <v>16</v>
      </c>
      <c r="I2" s="54" cm="1">
        <f t="array" ref="I2">_xlfn.IFS(H2="+",ROUNDDOWN(G2*(1+$O$2),2),H2="=",G2)</f>
        <v>2.19</v>
      </c>
      <c r="J2" s="33" t="s">
        <v>16</v>
      </c>
      <c r="K2" s="54" cm="1">
        <f t="array" ref="K2">_xlfn.IFS(J2="+",ROUNDDOWN(I2*(1+$O$2),2),J2="=",I2)</f>
        <v>2.84</v>
      </c>
      <c r="L2" s="33" t="s">
        <v>16</v>
      </c>
      <c r="M2" s="54" cm="1">
        <f t="array" ref="M2">_xlfn.IFS(L2="+",ROUNDDOWN(K2*(1+$O$2),2),L2="=",K2)</f>
        <v>3.69</v>
      </c>
      <c r="O2" s="38">
        <v>0.3</v>
      </c>
      <c r="Q2" s="60" t="s">
        <v>77</v>
      </c>
      <c r="S2" s="40"/>
    </row>
    <row r="3" spans="1:19" x14ac:dyDescent="0.25">
      <c r="A3" s="59"/>
      <c r="B3" s="20" t="s">
        <v>18</v>
      </c>
      <c r="C3" s="34">
        <f>$I$21</f>
        <v>0.5</v>
      </c>
      <c r="D3" s="34" t="s">
        <v>16</v>
      </c>
      <c r="E3" s="55" cm="1">
        <f t="array" ref="E3">_xlfn.IFS(D3="+",ROUNDDOWN(C3*(1-$O$3),2),D3="=",C3)</f>
        <v>0.45</v>
      </c>
      <c r="F3" s="34" t="s">
        <v>16</v>
      </c>
      <c r="G3" s="55" cm="1">
        <f t="array" ref="G3">_xlfn.IFS(F3="+",ROUNDDOWN(E3*(1-$O$3),2),F3="=",E3)</f>
        <v>0.4</v>
      </c>
      <c r="H3" s="34" t="s">
        <v>16</v>
      </c>
      <c r="I3" s="55" cm="1">
        <f t="array" ref="I3">_xlfn.IFS(H3="+",ROUNDDOWN(G3*(1-$O$3),2),H3="=",G3)</f>
        <v>0.36</v>
      </c>
      <c r="J3" s="34" t="s">
        <v>16</v>
      </c>
      <c r="K3" s="55" cm="1">
        <f t="array" ref="K3">_xlfn.IFS(J3="+",ROUNDDOWN(I3*(1-$O$3),2),J3="=",I3)</f>
        <v>0.32</v>
      </c>
      <c r="L3" s="34" t="s">
        <v>16</v>
      </c>
      <c r="M3" s="55" cm="1">
        <f t="array" ref="M3">_xlfn.IFS(L3="+",ROUNDDOWN(K3*(1-$O$3),2),L3="=",K3)</f>
        <v>0.28000000000000003</v>
      </c>
      <c r="O3" s="37">
        <v>0.1</v>
      </c>
      <c r="Q3" s="60"/>
    </row>
    <row r="4" spans="1:19" x14ac:dyDescent="0.25">
      <c r="A4" s="59"/>
      <c r="B4" s="48" t="s">
        <v>10</v>
      </c>
      <c r="C4" s="33">
        <f>$K$21</f>
        <v>3</v>
      </c>
      <c r="D4" s="33" t="s">
        <v>16</v>
      </c>
      <c r="E4" s="54" cm="1">
        <f t="array" ref="E4">_xlfn.IFS(D4="+",ROUNDDOWN(C4*(1+$O$4),2),D4="=",C4)</f>
        <v>3.3</v>
      </c>
      <c r="F4" s="33" t="s">
        <v>16</v>
      </c>
      <c r="G4" s="54" cm="1">
        <f t="array" ref="G4">_xlfn.IFS(F4="+",ROUNDDOWN(E4*(1+$O$4),2),F4="=",E4)</f>
        <v>3.63</v>
      </c>
      <c r="H4" s="33" t="s">
        <v>16</v>
      </c>
      <c r="I4" s="54" cm="1">
        <f t="array" ref="I4">_xlfn.IFS(H4="+",ROUNDDOWN(G4*(1+$O$4),2),H4="=",G4)</f>
        <v>3.99</v>
      </c>
      <c r="J4" s="33" t="s">
        <v>16</v>
      </c>
      <c r="K4" s="54" cm="1">
        <f t="array" ref="K4">_xlfn.IFS(J4="+",ROUNDDOWN(I4*(1+$O$4),2),J4="=",I4)</f>
        <v>4.38</v>
      </c>
      <c r="L4" s="33" t="s">
        <v>16</v>
      </c>
      <c r="M4" s="54" cm="1">
        <f t="array" ref="M4">_xlfn.IFS(L4="+",ROUNDDOWN(K4*(1+$O$4),2),L4="=",K4)</f>
        <v>4.8099999999999996</v>
      </c>
      <c r="O4" s="38">
        <v>0.1</v>
      </c>
      <c r="S4" s="40"/>
    </row>
    <row r="5" spans="1:19" x14ac:dyDescent="0.25">
      <c r="A5" s="59"/>
      <c r="B5" s="20" t="s">
        <v>44</v>
      </c>
      <c r="C5" s="55">
        <f>$M$21</f>
        <v>15</v>
      </c>
      <c r="D5" s="55" t="s">
        <v>15</v>
      </c>
      <c r="E5" s="55" cm="1">
        <f t="array" ref="E5">_xlfn.IFS(D5="+",ROUNDDOWN(C5*(1+$O$5),2),D5="=",C5)</f>
        <v>15</v>
      </c>
      <c r="F5" s="55" t="s">
        <v>16</v>
      </c>
      <c r="G5" s="55" cm="1">
        <f t="array" ref="G5">_xlfn.IFS(F5="+",ROUNDDOWN(E5*(1+$O$5),2),F5="=",E5)</f>
        <v>18</v>
      </c>
      <c r="H5" s="55" t="s">
        <v>15</v>
      </c>
      <c r="I5" s="55" cm="1">
        <f t="array" ref="I5">_xlfn.IFS(H5="+",ROUNDDOWN(G5*(1+$O$5),2),H5="=",G5)</f>
        <v>18</v>
      </c>
      <c r="J5" s="55" t="s">
        <v>16</v>
      </c>
      <c r="K5" s="55" cm="1">
        <f t="array" ref="K5">_xlfn.IFS(J5="+",ROUNDDOWN(I5*(1+$O$5),0),J5="=",I5)</f>
        <v>21</v>
      </c>
      <c r="L5" s="55" t="s">
        <v>15</v>
      </c>
      <c r="M5" s="55" cm="1">
        <f t="array" ref="M5">_xlfn.IFS(L5="+",ROUNDDOWN(K5*(1+$O$5),0),L5="=",K5)</f>
        <v>21</v>
      </c>
      <c r="O5" s="37">
        <v>0.2</v>
      </c>
      <c r="S5" s="40"/>
    </row>
    <row r="6" spans="1:19" x14ac:dyDescent="0.25">
      <c r="A6" s="59"/>
      <c r="B6" s="48" t="s">
        <v>11</v>
      </c>
      <c r="C6" s="38"/>
      <c r="D6" s="38"/>
      <c r="E6" s="38">
        <f>ROUNDDOWN((E2-C2)/C2,2)</f>
        <v>0.3</v>
      </c>
      <c r="F6" s="38"/>
      <c r="G6" s="38">
        <f>ROUNDDOWN((G2-E2)/E2,2)</f>
        <v>0.3</v>
      </c>
      <c r="H6" s="38"/>
      <c r="I6" s="38">
        <f>ROUNDDOWN((I2-G2)/G2,2)</f>
        <v>0.28999999999999998</v>
      </c>
      <c r="J6" s="38"/>
      <c r="K6" s="38">
        <f>ROUNDDOWN((K2-I2)/I2,2)</f>
        <v>0.28999999999999998</v>
      </c>
      <c r="L6" s="38"/>
      <c r="M6" s="38">
        <f>ROUNDDOWN((M2-K2)/K2,2)</f>
        <v>0.28999999999999998</v>
      </c>
      <c r="N6" s="41"/>
      <c r="O6" s="49" t="s">
        <v>41</v>
      </c>
      <c r="Q6" s="41"/>
      <c r="S6" s="40"/>
    </row>
    <row r="7" spans="1:19" x14ac:dyDescent="0.25">
      <c r="A7" s="59"/>
      <c r="B7" s="20" t="s">
        <v>12</v>
      </c>
      <c r="C7" s="37"/>
      <c r="D7" s="37"/>
      <c r="E7" s="37">
        <f t="shared" ref="E7:E8" si="0">ROUNDDOWN((E3-C3)/C3,2)</f>
        <v>-0.1</v>
      </c>
      <c r="F7" s="37"/>
      <c r="G7" s="37">
        <f t="shared" ref="G7:G8" si="1">ROUNDDOWN((G3-E3)/E3,2)</f>
        <v>-0.11</v>
      </c>
      <c r="H7" s="37"/>
      <c r="I7" s="37">
        <f t="shared" ref="I7:I8" si="2">ROUNDDOWN((I3-G3)/G3,2)</f>
        <v>-0.1</v>
      </c>
      <c r="J7" s="37"/>
      <c r="K7" s="37">
        <f>ROUNDDOWN((K3-I3)/I3,2)</f>
        <v>-0.11</v>
      </c>
      <c r="L7" s="37"/>
      <c r="M7" s="37">
        <f>ROUNDDOWN((M3-K3)/K3,2)</f>
        <v>-0.12</v>
      </c>
      <c r="N7" s="41"/>
      <c r="O7" s="38">
        <v>0.1</v>
      </c>
    </row>
    <row r="8" spans="1:19" x14ac:dyDescent="0.25">
      <c r="A8" s="59"/>
      <c r="B8" s="48" t="s">
        <v>13</v>
      </c>
      <c r="C8" s="38"/>
      <c r="D8" s="38"/>
      <c r="E8" s="38">
        <f t="shared" si="0"/>
        <v>0.09</v>
      </c>
      <c r="F8" s="38"/>
      <c r="G8" s="38">
        <f t="shared" si="1"/>
        <v>0.1</v>
      </c>
      <c r="H8" s="38"/>
      <c r="I8" s="38">
        <f t="shared" si="2"/>
        <v>0.09</v>
      </c>
      <c r="J8" s="38"/>
      <c r="K8" s="38">
        <f>ROUNDDOWN((K4-I4)/I4,2)</f>
        <v>0.09</v>
      </c>
      <c r="L8" s="38"/>
      <c r="M8" s="38">
        <f>ROUNDDOWN((M4-K4)/K4,2)</f>
        <v>0.09</v>
      </c>
      <c r="O8" s="49" t="s">
        <v>92</v>
      </c>
    </row>
    <row r="9" spans="1:19" ht="15" customHeight="1" x14ac:dyDescent="0.25">
      <c r="A9" s="40"/>
      <c r="B9" s="20" t="s">
        <v>93</v>
      </c>
      <c r="C9" s="55">
        <f>ROUNDDOWN(C2*C10,2)</f>
        <v>2</v>
      </c>
      <c r="D9" s="55"/>
      <c r="E9" s="55">
        <f>ROUNDDOWN(E2*E10,2)</f>
        <v>2.88</v>
      </c>
      <c r="F9" s="55"/>
      <c r="G9" s="55">
        <f>ROUNDDOWN(G2*G10,2)</f>
        <v>4.22</v>
      </c>
      <c r="H9" s="55"/>
      <c r="I9" s="55">
        <f>ROUNDDOWN(I2*I10,2)</f>
        <v>6.08</v>
      </c>
      <c r="J9" s="55"/>
      <c r="K9" s="55">
        <f>ROUNDDOWN(K2*K10,2)</f>
        <v>8.8800000000000008</v>
      </c>
      <c r="L9" s="55"/>
      <c r="M9" s="55">
        <f>ROUNDDOWN(M2*M10,2)</f>
        <v>13.17</v>
      </c>
      <c r="O9" s="33">
        <v>2</v>
      </c>
      <c r="Q9" s="40"/>
      <c r="S9" s="40"/>
    </row>
    <row r="10" spans="1:19" ht="15" customHeight="1" x14ac:dyDescent="0.25">
      <c r="A10" s="46"/>
      <c r="B10" s="20" t="s">
        <v>75</v>
      </c>
      <c r="C10" s="54">
        <f>1/C3</f>
        <v>2</v>
      </c>
      <c r="D10" s="54"/>
      <c r="E10" s="54">
        <f>ROUND(1/E3,2)</f>
        <v>2.2200000000000002</v>
      </c>
      <c r="F10" s="54"/>
      <c r="G10" s="54">
        <f>ROUND(1/G3,2)</f>
        <v>2.5</v>
      </c>
      <c r="H10" s="54"/>
      <c r="I10" s="54">
        <f>ROUND(1/I3,2)</f>
        <v>2.78</v>
      </c>
      <c r="J10" s="54"/>
      <c r="K10" s="54">
        <f>ROUND(1/K3,2)</f>
        <v>3.13</v>
      </c>
      <c r="L10" s="54"/>
      <c r="M10" s="54">
        <f>ROUND(1/M3,2)</f>
        <v>3.57</v>
      </c>
    </row>
    <row r="11" spans="1:19" ht="15" customHeight="1" x14ac:dyDescent="0.25">
      <c r="B11" s="52"/>
    </row>
    <row r="12" spans="1:19" ht="30" customHeight="1" x14ac:dyDescent="0.25">
      <c r="A12" s="40"/>
      <c r="C12" s="53" t="s">
        <v>99</v>
      </c>
      <c r="D12" s="36"/>
      <c r="E12" s="53" t="s">
        <v>100</v>
      </c>
      <c r="F12" s="36"/>
      <c r="G12" s="53" t="s">
        <v>101</v>
      </c>
      <c r="H12" s="36"/>
      <c r="I12" s="53" t="s">
        <v>102</v>
      </c>
      <c r="J12" s="36"/>
      <c r="K12" s="53" t="s">
        <v>103</v>
      </c>
      <c r="L12" s="36"/>
      <c r="M12" s="53" t="s">
        <v>104</v>
      </c>
      <c r="O12" s="72" t="s">
        <v>110</v>
      </c>
    </row>
    <row r="13" spans="1:19" x14ac:dyDescent="0.25">
      <c r="A13" s="40"/>
      <c r="B13" s="48" t="s">
        <v>31</v>
      </c>
      <c r="C13" s="68">
        <f>G19</f>
        <v>8</v>
      </c>
      <c r="D13" s="54" t="s">
        <v>15</v>
      </c>
      <c r="E13" s="68" cm="1">
        <f t="array" ref="E13">_xlfn.IFS(D13="+",ROUNDDOWN(C13*(1+$O$13),2),D13="=",C13)</f>
        <v>8</v>
      </c>
      <c r="F13" s="54" t="s">
        <v>16</v>
      </c>
      <c r="G13" s="68" cm="1">
        <f t="array" ref="G13">_xlfn.IFS(F13="+",ROUNDDOWN(E13*(1+$O$13),2),F13="=",E13)</f>
        <v>12</v>
      </c>
      <c r="H13" s="54" t="s">
        <v>15</v>
      </c>
      <c r="I13" s="68" cm="1">
        <f t="array" ref="I13">_xlfn.IFS(H13="+",ROUNDDOWN(G13*(1+$O$13),2),H13="=",G13)</f>
        <v>12</v>
      </c>
      <c r="J13" s="54" t="s">
        <v>16</v>
      </c>
      <c r="K13" s="68" cm="1">
        <f t="array" ref="K13">_xlfn.IFS(J13="+",ROUNDDOWN(I13*(1+$O$13),2),J13="=",I13)</f>
        <v>18</v>
      </c>
      <c r="L13" s="54" t="s">
        <v>16</v>
      </c>
      <c r="M13" s="68" cm="1">
        <f t="array" ref="M13">_xlfn.IFS(L13="+",ROUNDDOWN(K13*(1+$O$13),2),L13="=",K13)</f>
        <v>27</v>
      </c>
      <c r="O13" s="38">
        <v>0.5</v>
      </c>
    </row>
    <row r="14" spans="1:19" x14ac:dyDescent="0.25">
      <c r="A14" s="40"/>
      <c r="B14" s="20" t="s">
        <v>73</v>
      </c>
      <c r="C14" s="69">
        <f>I19</f>
        <v>3</v>
      </c>
      <c r="D14" s="55" t="s">
        <v>16</v>
      </c>
      <c r="E14" s="69" cm="1">
        <f t="array" ref="E14">_xlfn.IFS(D14="+",ROUNDDOWN(C14*(1+$O$14),2),D14="=",C14)</f>
        <v>3.9</v>
      </c>
      <c r="F14" s="55" t="s">
        <v>15</v>
      </c>
      <c r="G14" s="69" cm="1">
        <f t="array" ref="G14">_xlfn.IFS(F14="+",ROUNDDOWN(E14*(1+$O$14),2),F14="=",E14)</f>
        <v>3.9</v>
      </c>
      <c r="H14" s="55" t="s">
        <v>15</v>
      </c>
      <c r="I14" s="69" cm="1">
        <f t="array" ref="I14">_xlfn.IFS(H14="+",ROUNDDOWN(G14*(1+$O$14),2),H14="=",G14)</f>
        <v>3.9</v>
      </c>
      <c r="J14" s="55" t="s">
        <v>16</v>
      </c>
      <c r="K14" s="69" cm="1">
        <f t="array" ref="K14">_xlfn.IFS(J14="+",ROUNDDOWN(I14*(1+$O$14),2),J14="=",I14)</f>
        <v>5.07</v>
      </c>
      <c r="L14" s="55" t="s">
        <v>16</v>
      </c>
      <c r="M14" s="69" cm="1">
        <f t="array" ref="M14">_xlfn.IFS(L14="+",ROUNDDOWN(K14*(1+$O$14),2),L14="=",K14)</f>
        <v>6.59</v>
      </c>
      <c r="O14" s="37">
        <v>0.3</v>
      </c>
    </row>
    <row r="15" spans="1:19" x14ac:dyDescent="0.25">
      <c r="A15" s="40"/>
      <c r="B15" s="48" t="s">
        <v>106</v>
      </c>
      <c r="C15" s="68">
        <f>K19</f>
        <v>3</v>
      </c>
      <c r="D15" s="54" t="s">
        <v>16</v>
      </c>
      <c r="E15" s="68" cm="1">
        <f t="array" ref="E15">_xlfn.IFS(D15="+",ROUNDUP(C15*(1+$O$15),0),D15="=",C15)</f>
        <v>4</v>
      </c>
      <c r="F15" s="54" t="s">
        <v>16</v>
      </c>
      <c r="G15" s="68" cm="1">
        <f t="array" ref="G15">_xlfn.IFS(F15="+",ROUNDUP(E15*(1+$O$15),0),F15="=",E15)</f>
        <v>5</v>
      </c>
      <c r="H15" s="54" t="s">
        <v>16</v>
      </c>
      <c r="I15" s="68" cm="1">
        <f t="array" ref="I15">_xlfn.IFS(H15="+",ROUNDUP(G15*(1+$O$15),0),H15="=",G15)</f>
        <v>6</v>
      </c>
      <c r="J15" s="54" t="s">
        <v>16</v>
      </c>
      <c r="K15" s="68" cm="1">
        <f t="array" ref="K15">_xlfn.IFS(J15="+",ROUNDUP(I15*(1+$O$15),0),J15="=",I15)</f>
        <v>8</v>
      </c>
      <c r="L15" s="54" t="s">
        <v>16</v>
      </c>
      <c r="M15" s="68" cm="1">
        <f t="array" ref="M15">_xlfn.IFS(L15="+",ROUNDUP(K15*(1+$O$15),0),L15="=",K15)</f>
        <v>10</v>
      </c>
      <c r="O15" s="38">
        <v>0.2</v>
      </c>
    </row>
    <row r="16" spans="1:19" x14ac:dyDescent="0.25">
      <c r="A16" s="40"/>
      <c r="B16" s="20" t="s">
        <v>109</v>
      </c>
      <c r="C16" s="69">
        <f>M19</f>
        <v>10</v>
      </c>
      <c r="D16" s="55" t="s">
        <v>16</v>
      </c>
      <c r="E16" s="69" cm="1">
        <f t="array" ref="E16">_xlfn.IFS(D16="+",ROUNDUP(C16*(1+$O$16),0),D16="=",C16)</f>
        <v>15</v>
      </c>
      <c r="F16" s="55" t="s">
        <v>16</v>
      </c>
      <c r="G16" s="69" cm="1">
        <f t="array" ref="G16">_xlfn.IFS(F16="+",ROUNDUP(E16*(1+$O$16),0),F16="=",E16)</f>
        <v>23</v>
      </c>
      <c r="H16" s="55" t="s">
        <v>16</v>
      </c>
      <c r="I16" s="69" cm="1">
        <f t="array" ref="I16">_xlfn.IFS(H16="+",ROUNDUP(G16*(1+$O$16),0),H16="=",G16)</f>
        <v>35</v>
      </c>
      <c r="J16" s="55" t="s">
        <v>16</v>
      </c>
      <c r="K16" s="69" cm="1">
        <f t="array" ref="K16">_xlfn.IFS(J16="+",ROUNDUP(I16*(1+$O$16),0),J16="=",I16)</f>
        <v>53</v>
      </c>
      <c r="L16" s="55" t="s">
        <v>16</v>
      </c>
      <c r="M16" s="69" cm="1">
        <f t="array" ref="M16">_xlfn.IFS(L16="+",ROUNDUP(K16*(1+$O$16),0),L16="=",K16)</f>
        <v>80</v>
      </c>
      <c r="O16" s="37">
        <v>0.5</v>
      </c>
    </row>
    <row r="17" spans="1:19" x14ac:dyDescent="0.25">
      <c r="A17" s="40"/>
    </row>
    <row r="18" spans="1:19" x14ac:dyDescent="0.25">
      <c r="A18" s="40"/>
      <c r="B18" s="56" t="s">
        <v>36</v>
      </c>
      <c r="C18" s="56" t="s">
        <v>38</v>
      </c>
      <c r="D18" s="56"/>
      <c r="E18" s="56" t="s">
        <v>85</v>
      </c>
      <c r="F18" s="56"/>
      <c r="G18" s="56" t="s">
        <v>37</v>
      </c>
      <c r="H18" s="56"/>
      <c r="I18" s="56" t="s">
        <v>96</v>
      </c>
      <c r="J18" s="56"/>
      <c r="K18" s="56" t="s">
        <v>97</v>
      </c>
      <c r="L18" s="56"/>
      <c r="M18" s="56" t="s">
        <v>109</v>
      </c>
      <c r="N18" s="56"/>
    </row>
    <row r="19" spans="1:19" x14ac:dyDescent="0.25">
      <c r="B19" s="32" t="s">
        <v>87</v>
      </c>
      <c r="C19" s="54" t="str">
        <f>VLOOKUP($B$19,ENEMY,3)</f>
        <v>Vegetable</v>
      </c>
      <c r="D19" s="54"/>
      <c r="E19" s="54" t="str">
        <f>VLOOKUP($B$19,ENEMY,4)</f>
        <v>Normal</v>
      </c>
      <c r="F19" s="54"/>
      <c r="G19" s="54">
        <f>VLOOKUP($B$19,ENEMY,5)</f>
        <v>8</v>
      </c>
      <c r="H19" s="54"/>
      <c r="I19" s="54">
        <f>VLOOKUP($B$19,ENEMY,6)</f>
        <v>3</v>
      </c>
      <c r="J19" s="54"/>
      <c r="K19" s="54">
        <f>VLOOKUP($B$19,ENEMY,7)</f>
        <v>3</v>
      </c>
      <c r="L19" s="54"/>
      <c r="M19" s="54">
        <f>VLOOKUP($B$19,ENEMY,8)</f>
        <v>10</v>
      </c>
      <c r="N19" s="54"/>
    </row>
    <row r="20" spans="1:19" ht="15" customHeight="1" x14ac:dyDescent="0.25">
      <c r="B20" s="56" t="s">
        <v>45</v>
      </c>
      <c r="C20" s="56" t="s">
        <v>38</v>
      </c>
      <c r="D20" s="56"/>
      <c r="E20" s="56" t="s">
        <v>85</v>
      </c>
      <c r="F20" s="56"/>
      <c r="G20" s="56" t="s">
        <v>5</v>
      </c>
      <c r="H20" s="56"/>
      <c r="I20" s="56" t="s">
        <v>18</v>
      </c>
      <c r="J20" s="56"/>
      <c r="K20" s="56" t="s">
        <v>10</v>
      </c>
      <c r="L20" s="56"/>
      <c r="M20" s="56" t="s">
        <v>44</v>
      </c>
      <c r="N20" s="56"/>
    </row>
    <row r="21" spans="1:19" ht="15" customHeight="1" x14ac:dyDescent="0.25">
      <c r="B21" s="32" t="s">
        <v>86</v>
      </c>
      <c r="C21" s="54" t="str">
        <f>VLOOKUP($B$21,TOWER,3)</f>
        <v>Food</v>
      </c>
      <c r="D21" s="54"/>
      <c r="E21" s="54" t="str">
        <f>VLOOKUP($B$21,TOWER,4)</f>
        <v>Canon</v>
      </c>
      <c r="F21" s="54"/>
      <c r="G21" s="54">
        <f>VLOOKUP($B$21,TOWER,5)</f>
        <v>1</v>
      </c>
      <c r="H21" s="54"/>
      <c r="I21" s="54">
        <f>VLOOKUP($B$21,TOWER,6)</f>
        <v>0.5</v>
      </c>
      <c r="J21" s="54"/>
      <c r="K21" s="54">
        <f>VLOOKUP($B$21,TOWER,7)</f>
        <v>3</v>
      </c>
      <c r="L21" s="54"/>
      <c r="M21" s="54">
        <f>VLOOKUP($B$21,TOWER,8)</f>
        <v>15</v>
      </c>
      <c r="N21" s="54"/>
    </row>
    <row r="22" spans="1:19" x14ac:dyDescent="0.25">
      <c r="N22" s="41"/>
    </row>
    <row r="23" spans="1:19" x14ac:dyDescent="0.25">
      <c r="B23" s="53" t="s">
        <v>94</v>
      </c>
      <c r="C23" s="53"/>
      <c r="E23" s="57" t="s">
        <v>40</v>
      </c>
      <c r="F23" s="57"/>
      <c r="G23" s="57"/>
      <c r="H23" s="57"/>
      <c r="I23" s="57"/>
      <c r="K23" s="53" t="s">
        <v>46</v>
      </c>
      <c r="M23" s="53" t="s">
        <v>37</v>
      </c>
      <c r="N23" s="41"/>
    </row>
    <row r="24" spans="1:19" x14ac:dyDescent="0.25">
      <c r="B24" s="58">
        <f>ROUND(O9*K25*I25,2)</f>
        <v>4.4000000000000004</v>
      </c>
      <c r="C24" s="58"/>
      <c r="E24" s="58" t="str">
        <f>C21</f>
        <v>Food</v>
      </c>
      <c r="F24" s="58"/>
      <c r="G24" s="58" t="str">
        <f>C19</f>
        <v>Vegetable</v>
      </c>
      <c r="H24" s="58"/>
      <c r="I24" s="33" t="s">
        <v>42</v>
      </c>
      <c r="K24" s="51" t="s">
        <v>14</v>
      </c>
      <c r="L24" s="44"/>
      <c r="M24" s="51" t="s">
        <v>99</v>
      </c>
    </row>
    <row r="25" spans="1:19" x14ac:dyDescent="0.25">
      <c r="E25" s="63" t="str">
        <f>HLOOKUP(C21,WEAK_TOWER,VLOOKUP(C19,WEAK_ENEMY,5,FALSE)+1,FALSE)</f>
        <v>+</v>
      </c>
      <c r="F25" s="63"/>
      <c r="G25" s="63"/>
      <c r="H25" s="63"/>
      <c r="I25" s="64" cm="1">
        <f t="array" ref="I25">_xlfn.IFS(E25="-", 1-O7, E25="=",1,E25="+",1+O7)</f>
        <v>1.1000000000000001</v>
      </c>
      <c r="K25" s="64" cm="1">
        <f t="array" ref="K25">_xlfn.IFS(K24="Upgrade 0",C9,K24="Upgrade 1",E9,K24="Upgrade 2",G9,K24="Upgrade 3",I9,K24="Upgrade 4",K9,K24="Upgrade 5",M9)</f>
        <v>2</v>
      </c>
      <c r="M25" s="64" cm="1">
        <f t="array" ref="M25">_xlfn.IFS(M24="LVL 0",C13,M24="LVL 1",E13,M24="LVL 2",G13,M24="LVL 3",I13,M24="LVL 4",K13,M24="LVL 5",M13)</f>
        <v>8</v>
      </c>
      <c r="N25" s="45"/>
    </row>
    <row r="26" spans="1:19" x14ac:dyDescent="0.25">
      <c r="E26" s="63"/>
      <c r="F26" s="63"/>
      <c r="G26" s="63"/>
      <c r="H26" s="63"/>
      <c r="I26" s="64"/>
      <c r="K26" s="64"/>
      <c r="M26" s="64"/>
    </row>
    <row r="28" spans="1:19" x14ac:dyDescent="0.25">
      <c r="C28" s="76" t="s">
        <v>108</v>
      </c>
      <c r="D28" s="76"/>
      <c r="E28" s="76"/>
      <c r="F28" s="76"/>
      <c r="N28" s="41"/>
    </row>
    <row r="29" spans="1:19" x14ac:dyDescent="0.25">
      <c r="C29" s="57" t="s">
        <v>76</v>
      </c>
      <c r="D29" s="57"/>
      <c r="E29" s="57" t="s">
        <v>19</v>
      </c>
      <c r="F29" s="57"/>
      <c r="N29" s="41"/>
    </row>
    <row r="30" spans="1:19" x14ac:dyDescent="0.25">
      <c r="B30" s="53" t="str">
        <f>_xlfn.CONCAT(K24," ",K23)</f>
        <v>Upgrade 0 DPS</v>
      </c>
      <c r="C30" s="62">
        <f>ROUNDDOWN($M$25/B24,2)</f>
        <v>1.81</v>
      </c>
      <c r="D30" s="62"/>
      <c r="E30" s="61">
        <f>ROUNDUP($M$25/B24,0)</f>
        <v>2</v>
      </c>
      <c r="F30" s="61"/>
    </row>
    <row r="32" spans="1:19" x14ac:dyDescent="0.25">
      <c r="O32" s="42"/>
      <c r="S32" s="40"/>
    </row>
    <row r="33" spans="1:19" x14ac:dyDescent="0.25">
      <c r="O33" s="42"/>
      <c r="S33" s="40"/>
    </row>
    <row r="34" spans="1:19" x14ac:dyDescent="0.25">
      <c r="Q34" s="42"/>
    </row>
    <row r="35" spans="1:19" x14ac:dyDescent="0.25">
      <c r="A35" s="39" t="s">
        <v>111</v>
      </c>
      <c r="Q35" s="42"/>
    </row>
    <row r="36" spans="1:19" x14ac:dyDescent="0.25">
      <c r="Q36" s="42"/>
    </row>
    <row r="37" spans="1:19" x14ac:dyDescent="0.25">
      <c r="Q37" s="42"/>
    </row>
    <row r="38" spans="1:19" x14ac:dyDescent="0.25">
      <c r="Q38" s="42"/>
    </row>
    <row r="39" spans="1:19" x14ac:dyDescent="0.25">
      <c r="Q39" s="42"/>
    </row>
    <row r="40" spans="1:19" x14ac:dyDescent="0.25">
      <c r="Q40" s="42"/>
    </row>
    <row r="41" spans="1:19" x14ac:dyDescent="0.25">
      <c r="Q41" s="42"/>
    </row>
    <row r="42" spans="1:19" x14ac:dyDescent="0.25">
      <c r="Q42" s="42"/>
    </row>
    <row r="43" spans="1:19" x14ac:dyDescent="0.25">
      <c r="Q43" s="42"/>
    </row>
  </sheetData>
  <mergeCells count="16">
    <mergeCell ref="E23:I23"/>
    <mergeCell ref="A1:B1"/>
    <mergeCell ref="M25:M26"/>
    <mergeCell ref="K25:K26"/>
    <mergeCell ref="E29:F29"/>
    <mergeCell ref="C29:D29"/>
    <mergeCell ref="E24:F24"/>
    <mergeCell ref="G24:H24"/>
    <mergeCell ref="E25:H26"/>
    <mergeCell ref="I25:I26"/>
    <mergeCell ref="C28:F28"/>
    <mergeCell ref="A2:A8"/>
    <mergeCell ref="Q2:Q3"/>
    <mergeCell ref="B24:C24"/>
    <mergeCell ref="C30:D30"/>
    <mergeCell ref="E30:F30"/>
  </mergeCells>
  <phoneticPr fontId="1" type="noConversion"/>
  <conditionalFormatting sqref="C30">
    <cfRule type="colorScale" priority="155">
      <colorScale>
        <cfvo type="min"/>
        <cfvo type="max"/>
        <color rgb="FF63BE7B"/>
        <color rgb="FFFFEF9C"/>
      </colorScale>
    </cfRule>
  </conditionalFormatting>
  <conditionalFormatting sqref="C30">
    <cfRule type="colorScale" priority="161">
      <colorScale>
        <cfvo type="min"/>
        <cfvo type="max"/>
        <color rgb="FF63BE7B"/>
        <color rgb="FFFFEF9C"/>
      </colorScale>
    </cfRule>
  </conditionalFormatting>
  <conditionalFormatting sqref="E30">
    <cfRule type="colorScale" priority="167">
      <colorScale>
        <cfvo type="num" val="1"/>
        <cfvo type="percent" val="50"/>
        <cfvo type="num" val="10"/>
        <color theme="9"/>
        <color rgb="FFFFEB84"/>
        <color rgb="FFFF0000"/>
      </colorScale>
    </cfRule>
  </conditionalFormatting>
  <dataValidations count="7">
    <dataValidation type="list" allowBlank="1" showInputMessage="1" showErrorMessage="1" sqref="B2:B8" xr:uid="{B79DFF3F-F3F2-4D26-BF72-10F2B485B797}">
      <formula1>TowerStat</formula1>
    </dataValidation>
    <dataValidation type="list" allowBlank="1" showInputMessage="1" showErrorMessage="1" sqref="J2:J8 H2:H8 D2:D8 F2:F8 L2:L8 D13:D16 F13:F16 H13:H16 J13:J16 L13:L16" xr:uid="{44475DCD-E93B-4817-AA4F-5E6FBC088EBF}">
      <formula1>SIGN</formula1>
    </dataValidation>
    <dataValidation type="list" allowBlank="1" showInputMessage="1" showErrorMessage="1" sqref="B19" xr:uid="{AFB5BA6A-BBB2-47F1-A8F2-92AD1BD90543}">
      <formula1>CODE_ENEMIES</formula1>
    </dataValidation>
    <dataValidation type="list" allowBlank="1" showInputMessage="1" showErrorMessage="1" sqref="B19 B21" xr:uid="{AD1B0E1A-9992-4005-A59C-05195FE02FED}">
      <formula1>CODE_TOWER</formula1>
    </dataValidation>
    <dataValidation type="list" allowBlank="1" showInputMessage="1" showErrorMessage="1" sqref="K24" xr:uid="{D777C75E-5123-4061-A4DA-FA2F950126E5}">
      <formula1>UPGRADE</formula1>
    </dataValidation>
    <dataValidation type="list" allowBlank="1" showInputMessage="1" showErrorMessage="1" sqref="B13:B16" xr:uid="{AFA068F4-8100-422E-BD4E-A9DCC0E9320D}">
      <formula1>STAT_ENEMY</formula1>
    </dataValidation>
    <dataValidation type="list" allowBlank="1" showInputMessage="1" showErrorMessage="1" sqref="M24" xr:uid="{789A86CC-4BA2-4933-86AC-0C82CE5980EA}">
      <formula1>LEVEL_ENEMY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41" operator="containsText" id="{F23044F8-4BE4-4A8E-9020-DF254427AB24}">
            <xm:f>NOT(ISERROR(SEARCH("+",E25)))</xm:f>
            <xm:f>"+"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42" operator="containsText" id="{C77DA782-581F-4D17-A692-70945A61EC64}">
            <xm:f>NOT(ISERROR(SEARCH("=",E25)))</xm:f>
            <xm:f>"="</xm:f>
            <x14:dxf>
              <fill>
                <patternFill>
                  <bgColor theme="7" tint="0.59996337778862885"/>
                </patternFill>
              </fill>
            </x14:dxf>
          </x14:cfRule>
          <x14:cfRule type="containsText" priority="143" operator="containsText" id="{1CADE51D-9651-4C17-992F-2F2A987E0A4C}">
            <xm:f>NOT(ISERROR(SEARCH("-",E25)))</xm:f>
            <xm:f>"-"</xm:f>
            <x14:dxf>
              <fill>
                <patternFill>
                  <bgColor rgb="FFFF5050"/>
                </patternFill>
              </fill>
            </x14:dxf>
          </x14:cfRule>
          <xm:sqref>E25</xm:sqref>
        </x14:conditionalFormatting>
        <x14:conditionalFormatting xmlns:xm="http://schemas.microsoft.com/office/excel/2006/main">
          <x14:cfRule type="containsText" priority="31" operator="containsText" id="{2F31918E-2561-4BE9-A502-75C4B5D293E9}">
            <xm:f>NOT(ISERROR(SEARCH("=",D2)))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D2:D10 F2:F10 H2:H10 J2:J10 L2:L10</xm:sqref>
        </x14:conditionalFormatting>
        <x14:conditionalFormatting xmlns:xm="http://schemas.microsoft.com/office/excel/2006/main">
          <x14:cfRule type="containsText" priority="21" operator="containsText" id="{241F7492-010D-41DA-8A00-0A007798E9B4}">
            <xm:f>NOT(ISERROR(SEARCH("+",D2)))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D2:D10 F2:F10 H2:H10 J2:J10 L2:L10</xm:sqref>
        </x14:conditionalFormatting>
        <x14:conditionalFormatting xmlns:xm="http://schemas.microsoft.com/office/excel/2006/main">
          <x14:cfRule type="containsText" priority="10" operator="containsText" id="{8B3F1571-5951-4242-8292-20FE5C102F51}">
            <xm:f>NOT(ISERROR(SEARCH("=",D13)))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D13:D16</xm:sqref>
        </x14:conditionalFormatting>
        <x14:conditionalFormatting xmlns:xm="http://schemas.microsoft.com/office/excel/2006/main">
          <x14:cfRule type="containsText" priority="9" operator="containsText" id="{60A51342-9333-47F9-B7F1-DD2C10483EC5}">
            <xm:f>NOT(ISERROR(SEARCH("+",D13)))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D13:D16</xm:sqref>
        </x14:conditionalFormatting>
        <x14:conditionalFormatting xmlns:xm="http://schemas.microsoft.com/office/excel/2006/main">
          <x14:cfRule type="containsText" priority="8" operator="containsText" id="{F111F232-37AE-4C0C-830B-35F78A30E14D}">
            <xm:f>NOT(ISERROR(SEARCH("=",F13)))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F13:F16</xm:sqref>
        </x14:conditionalFormatting>
        <x14:conditionalFormatting xmlns:xm="http://schemas.microsoft.com/office/excel/2006/main">
          <x14:cfRule type="containsText" priority="7" operator="containsText" id="{4C16C5E4-43A1-4B74-94C6-C11BD28CD051}">
            <xm:f>NOT(ISERROR(SEARCH("+",F13)))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F13:F16</xm:sqref>
        </x14:conditionalFormatting>
        <x14:conditionalFormatting xmlns:xm="http://schemas.microsoft.com/office/excel/2006/main">
          <x14:cfRule type="containsText" priority="6" operator="containsText" id="{2E1252A3-C99D-4F36-A89C-EA432A1B8CF7}">
            <xm:f>NOT(ISERROR(SEARCH("=",H13)))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H13:H16</xm:sqref>
        </x14:conditionalFormatting>
        <x14:conditionalFormatting xmlns:xm="http://schemas.microsoft.com/office/excel/2006/main">
          <x14:cfRule type="containsText" priority="5" operator="containsText" id="{C7C9590E-F4D8-4937-8DAA-3FB0B201B8D4}">
            <xm:f>NOT(ISERROR(SEARCH("+",H13)))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H13:H16</xm:sqref>
        </x14:conditionalFormatting>
        <x14:conditionalFormatting xmlns:xm="http://schemas.microsoft.com/office/excel/2006/main">
          <x14:cfRule type="containsText" priority="4" operator="containsText" id="{13FC0E2F-C188-4EF0-8386-643FBFEB5E92}">
            <xm:f>NOT(ISERROR(SEARCH("=",J13)))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J13:J16</xm:sqref>
        </x14:conditionalFormatting>
        <x14:conditionalFormatting xmlns:xm="http://schemas.microsoft.com/office/excel/2006/main">
          <x14:cfRule type="containsText" priority="3" operator="containsText" id="{BBC8C582-FBF7-4CB8-9A73-25811AD9D1E2}">
            <xm:f>NOT(ISERROR(SEARCH("+",J13)))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J13:J16</xm:sqref>
        </x14:conditionalFormatting>
        <x14:conditionalFormatting xmlns:xm="http://schemas.microsoft.com/office/excel/2006/main">
          <x14:cfRule type="containsText" priority="2" operator="containsText" id="{A7445E3F-3833-4014-8466-71A05643C3CE}">
            <xm:f>NOT(ISERROR(SEARCH("=",L13)))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L13:L16</xm:sqref>
        </x14:conditionalFormatting>
        <x14:conditionalFormatting xmlns:xm="http://schemas.microsoft.com/office/excel/2006/main">
          <x14:cfRule type="containsText" priority="1" operator="containsText" id="{D4E82E64-C481-45B0-AA7D-688B765F3F1B}">
            <xm:f>NOT(ISERROR(SEARCH("+",L13)))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L13:L16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E0B1E-C30D-4807-9C0B-B17E796108D4}">
  <dimension ref="A1:X12"/>
  <sheetViews>
    <sheetView workbookViewId="0">
      <selection activeCell="E20" sqref="E20"/>
    </sheetView>
  </sheetViews>
  <sheetFormatPr baseColWidth="10" defaultRowHeight="15" x14ac:dyDescent="0.25"/>
  <cols>
    <col min="1" max="1" width="13.5703125" customWidth="1"/>
    <col min="2" max="2" width="5.7109375" customWidth="1"/>
  </cols>
  <sheetData>
    <row r="1" spans="1:24" x14ac:dyDescent="0.25">
      <c r="A1" s="9">
        <v>1</v>
      </c>
      <c r="B1" s="9">
        <v>2</v>
      </c>
      <c r="C1" s="9">
        <v>3</v>
      </c>
      <c r="D1" s="9">
        <v>4</v>
      </c>
      <c r="E1" s="9">
        <v>5</v>
      </c>
      <c r="F1" s="9">
        <v>6</v>
      </c>
      <c r="G1" s="9">
        <v>7</v>
      </c>
      <c r="H1" s="9">
        <v>8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pans="1:24" x14ac:dyDescent="0.25">
      <c r="A2" s="53" t="s">
        <v>21</v>
      </c>
      <c r="B2" s="53" t="s">
        <v>22</v>
      </c>
      <c r="C2" s="53" t="s">
        <v>23</v>
      </c>
      <c r="D2" s="53" t="s">
        <v>32</v>
      </c>
      <c r="E2" s="53" t="s">
        <v>31</v>
      </c>
      <c r="F2" s="53" t="s">
        <v>30</v>
      </c>
      <c r="G2" s="53" t="s">
        <v>95</v>
      </c>
      <c r="H2" s="53" t="s">
        <v>105</v>
      </c>
      <c r="I2" s="10"/>
      <c r="J2" s="10"/>
      <c r="K2" s="10"/>
      <c r="L2" s="10"/>
      <c r="M2" s="10"/>
      <c r="N2" s="10"/>
      <c r="O2" s="10"/>
      <c r="P2" s="11"/>
    </row>
    <row r="3" spans="1:24" x14ac:dyDescent="0.25">
      <c r="A3" s="38" t="str">
        <f>_xlfn.CONCAT(B3,"_",LEFT(C3,4),"_",LEFT(D3,4))</f>
        <v>1_Inse_Norm</v>
      </c>
      <c r="B3" s="67">
        <v>1</v>
      </c>
      <c r="C3" s="38" t="s">
        <v>26</v>
      </c>
      <c r="D3" s="38" t="s">
        <v>35</v>
      </c>
      <c r="E3" s="77">
        <v>8</v>
      </c>
      <c r="F3" s="77">
        <v>3</v>
      </c>
      <c r="G3" s="77">
        <v>3</v>
      </c>
      <c r="H3" s="77">
        <v>10</v>
      </c>
      <c r="I3" s="11"/>
      <c r="J3" s="11"/>
      <c r="K3" s="11"/>
      <c r="L3" s="11"/>
      <c r="M3" s="11"/>
      <c r="N3" s="11"/>
      <c r="O3" s="11"/>
      <c r="P3" s="11"/>
    </row>
    <row r="4" spans="1:24" x14ac:dyDescent="0.25">
      <c r="A4" s="37" t="str">
        <f t="shared" ref="A4:A11" si="0">_xlfn.CONCAT(B4,"_",LEFT(C4,4),"_",LEFT(D4,4))</f>
        <v>2_Inse_Inta</v>
      </c>
      <c r="B4" s="67">
        <v>2</v>
      </c>
      <c r="C4" s="37" t="s">
        <v>26</v>
      </c>
      <c r="D4" s="37" t="s">
        <v>34</v>
      </c>
      <c r="E4" s="77">
        <v>7</v>
      </c>
      <c r="F4" s="77">
        <v>5</v>
      </c>
      <c r="G4" s="77">
        <v>1</v>
      </c>
      <c r="H4" s="77">
        <v>10</v>
      </c>
      <c r="I4" s="11"/>
      <c r="J4" s="11"/>
      <c r="K4" s="11"/>
      <c r="L4" s="11"/>
      <c r="M4" s="11"/>
      <c r="N4" s="11"/>
      <c r="O4" s="11"/>
      <c r="P4" s="11"/>
    </row>
    <row r="5" spans="1:24" x14ac:dyDescent="0.25">
      <c r="A5" s="38" t="str">
        <f t="shared" si="0"/>
        <v>3_Inse_Sabo</v>
      </c>
      <c r="B5" s="67">
        <v>3</v>
      </c>
      <c r="C5" s="38" t="s">
        <v>26</v>
      </c>
      <c r="D5" s="38" t="s">
        <v>33</v>
      </c>
      <c r="E5" s="77">
        <v>10</v>
      </c>
      <c r="F5" s="77">
        <v>2</v>
      </c>
      <c r="G5" s="77">
        <v>5</v>
      </c>
      <c r="H5" s="77">
        <v>10</v>
      </c>
    </row>
    <row r="6" spans="1:24" x14ac:dyDescent="0.25">
      <c r="A6" s="37" t="str">
        <f t="shared" si="0"/>
        <v>4_Ghos_Norm</v>
      </c>
      <c r="B6" s="67">
        <v>4</v>
      </c>
      <c r="C6" s="37" t="s">
        <v>27</v>
      </c>
      <c r="D6" s="37" t="s">
        <v>35</v>
      </c>
      <c r="E6" s="69">
        <f>E3</f>
        <v>8</v>
      </c>
      <c r="F6" s="69">
        <f t="shared" ref="F6:H6" si="1">F3</f>
        <v>3</v>
      </c>
      <c r="G6" s="69">
        <f t="shared" si="1"/>
        <v>3</v>
      </c>
      <c r="H6" s="69">
        <f t="shared" si="1"/>
        <v>10</v>
      </c>
    </row>
    <row r="7" spans="1:24" x14ac:dyDescent="0.25">
      <c r="A7" s="38" t="str">
        <f t="shared" si="0"/>
        <v>5_Ghos_Inta</v>
      </c>
      <c r="B7" s="67">
        <v>5</v>
      </c>
      <c r="C7" s="38" t="s">
        <v>27</v>
      </c>
      <c r="D7" s="38" t="s">
        <v>34</v>
      </c>
      <c r="E7" s="68">
        <f>E4</f>
        <v>7</v>
      </c>
      <c r="F7" s="68">
        <f t="shared" ref="F7:H7" si="2">F4</f>
        <v>5</v>
      </c>
      <c r="G7" s="68">
        <f t="shared" si="2"/>
        <v>1</v>
      </c>
      <c r="H7" s="68">
        <f t="shared" si="2"/>
        <v>10</v>
      </c>
    </row>
    <row r="8" spans="1:24" x14ac:dyDescent="0.25">
      <c r="A8" s="37" t="str">
        <f t="shared" si="0"/>
        <v>6_Ghos_Sabo</v>
      </c>
      <c r="B8" s="67">
        <v>6</v>
      </c>
      <c r="C8" s="37" t="s">
        <v>27</v>
      </c>
      <c r="D8" s="37" t="s">
        <v>33</v>
      </c>
      <c r="E8" s="69">
        <f>E5</f>
        <v>10</v>
      </c>
      <c r="F8" s="69">
        <f t="shared" ref="F8:H8" si="3">F5</f>
        <v>2</v>
      </c>
      <c r="G8" s="69">
        <f t="shared" si="3"/>
        <v>5</v>
      </c>
      <c r="H8" s="69">
        <f t="shared" si="3"/>
        <v>10</v>
      </c>
    </row>
    <row r="9" spans="1:24" x14ac:dyDescent="0.25">
      <c r="A9" s="38" t="str">
        <f t="shared" si="0"/>
        <v>7_Vege_Norm</v>
      </c>
      <c r="B9" s="67">
        <v>7</v>
      </c>
      <c r="C9" s="38" t="s">
        <v>28</v>
      </c>
      <c r="D9" s="38" t="s">
        <v>35</v>
      </c>
      <c r="E9" s="68">
        <f>E6</f>
        <v>8</v>
      </c>
      <c r="F9" s="68">
        <f t="shared" ref="F9:H9" si="4">F6</f>
        <v>3</v>
      </c>
      <c r="G9" s="68">
        <f t="shared" si="4"/>
        <v>3</v>
      </c>
      <c r="H9" s="68">
        <f t="shared" si="4"/>
        <v>10</v>
      </c>
    </row>
    <row r="10" spans="1:24" x14ac:dyDescent="0.25">
      <c r="A10" s="37" t="str">
        <f t="shared" si="0"/>
        <v>8_Vege_Inta</v>
      </c>
      <c r="B10" s="67">
        <v>8</v>
      </c>
      <c r="C10" s="37" t="s">
        <v>28</v>
      </c>
      <c r="D10" s="37" t="s">
        <v>34</v>
      </c>
      <c r="E10" s="69">
        <f>E7</f>
        <v>7</v>
      </c>
      <c r="F10" s="69">
        <f t="shared" ref="F10:H10" si="5">F7</f>
        <v>5</v>
      </c>
      <c r="G10" s="69">
        <f t="shared" si="5"/>
        <v>1</v>
      </c>
      <c r="H10" s="69">
        <f t="shared" si="5"/>
        <v>10</v>
      </c>
    </row>
    <row r="11" spans="1:24" x14ac:dyDescent="0.25">
      <c r="A11" s="38" t="str">
        <f t="shared" si="0"/>
        <v>9_Vege_Sabo</v>
      </c>
      <c r="B11" s="67">
        <v>9</v>
      </c>
      <c r="C11" s="38" t="s">
        <v>28</v>
      </c>
      <c r="D11" s="38" t="s">
        <v>33</v>
      </c>
      <c r="E11" s="68">
        <f>E8</f>
        <v>10</v>
      </c>
      <c r="F11" s="68">
        <f t="shared" ref="F11:H11" si="6">F8</f>
        <v>2</v>
      </c>
      <c r="G11" s="68">
        <f t="shared" si="6"/>
        <v>5</v>
      </c>
      <c r="H11" s="68">
        <f t="shared" si="6"/>
        <v>10</v>
      </c>
    </row>
    <row r="12" spans="1:24" x14ac:dyDescent="0.25">
      <c r="B12" s="71"/>
    </row>
  </sheetData>
  <dataValidations count="2">
    <dataValidation type="list" allowBlank="1" showInputMessage="1" showErrorMessage="1" sqref="C3:C11" xr:uid="{F0CFF0F4-7CFA-4B01-9C74-8489484BAAD3}">
      <formula1>CAT_ENEMIES</formula1>
    </dataValidation>
    <dataValidation type="list" allowBlank="1" showInputMessage="1" showErrorMessage="1" sqref="D3:D11" xr:uid="{425E8E53-AC8E-422D-AE8E-D604EB9F6490}">
      <formula1>TYP_ENEMIES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5D55D-CDD5-4A2E-B7B4-999FBD02BF13}">
  <dimension ref="A1:H11"/>
  <sheetViews>
    <sheetView workbookViewId="0">
      <selection activeCell="F10" sqref="F10"/>
    </sheetView>
  </sheetViews>
  <sheetFormatPr baseColWidth="10" defaultRowHeight="15" x14ac:dyDescent="0.25"/>
  <cols>
    <col min="1" max="1" width="12.85546875" bestFit="1" customWidth="1"/>
    <col min="2" max="2" width="5.7109375" customWidth="1"/>
    <col min="3" max="3" width="14.28515625" customWidth="1"/>
    <col min="7" max="7" width="14.28515625" customWidth="1"/>
    <col min="8" max="8" width="13.85546875" bestFit="1" customWidth="1"/>
  </cols>
  <sheetData>
    <row r="1" spans="1:8" x14ac:dyDescent="0.25">
      <c r="A1" s="47">
        <v>1</v>
      </c>
      <c r="B1" s="47">
        <v>2</v>
      </c>
      <c r="C1" s="47">
        <v>3</v>
      </c>
      <c r="D1" s="47">
        <v>4</v>
      </c>
      <c r="E1" s="47">
        <v>5</v>
      </c>
      <c r="F1" s="47">
        <v>6</v>
      </c>
      <c r="G1" s="47">
        <v>7</v>
      </c>
      <c r="H1" s="66">
        <v>8</v>
      </c>
    </row>
    <row r="2" spans="1:8" x14ac:dyDescent="0.25">
      <c r="A2" s="53" t="s">
        <v>21</v>
      </c>
      <c r="B2" s="53" t="s">
        <v>22</v>
      </c>
      <c r="C2" s="53" t="s">
        <v>23</v>
      </c>
      <c r="D2" s="53" t="s">
        <v>79</v>
      </c>
      <c r="E2" s="53" t="s">
        <v>5</v>
      </c>
      <c r="F2" s="53" t="s">
        <v>18</v>
      </c>
      <c r="G2" s="53" t="s">
        <v>24</v>
      </c>
      <c r="H2" s="53" t="s">
        <v>43</v>
      </c>
    </row>
    <row r="3" spans="1:8" x14ac:dyDescent="0.25">
      <c r="A3" s="38" t="str">
        <f>_xlfn.CONCAT(B3,"_",LEFT(C3,4),"_",(LEFT(D3,4)))</f>
        <v>1_Food_Snip</v>
      </c>
      <c r="B3" s="67">
        <v>1</v>
      </c>
      <c r="C3" s="38" t="s">
        <v>7</v>
      </c>
      <c r="D3" s="38" t="s">
        <v>80</v>
      </c>
      <c r="E3" s="68">
        <v>2</v>
      </c>
      <c r="F3" s="68">
        <v>1</v>
      </c>
      <c r="G3" s="68">
        <v>3</v>
      </c>
      <c r="H3" s="68">
        <v>15</v>
      </c>
    </row>
    <row r="4" spans="1:8" x14ac:dyDescent="0.25">
      <c r="A4" s="37" t="str">
        <f t="shared" ref="A4:A11" si="0">_xlfn.CONCAT(B4,"_",LEFT(C4,4),"_",(LEFT(D4,4)))</f>
        <v>2_Food_Cano</v>
      </c>
      <c r="B4" s="67">
        <v>2</v>
      </c>
      <c r="C4" s="37" t="s">
        <v>7</v>
      </c>
      <c r="D4" s="37" t="s">
        <v>81</v>
      </c>
      <c r="E4" s="69">
        <v>1</v>
      </c>
      <c r="F4" s="69">
        <v>0.5</v>
      </c>
      <c r="G4" s="69">
        <v>3</v>
      </c>
      <c r="H4" s="69">
        <v>15</v>
      </c>
    </row>
    <row r="5" spans="1:8" x14ac:dyDescent="0.25">
      <c r="A5" s="38" t="str">
        <f t="shared" si="0"/>
        <v>3_Food_Mort</v>
      </c>
      <c r="B5" s="67">
        <v>3</v>
      </c>
      <c r="C5" s="38" t="s">
        <v>7</v>
      </c>
      <c r="D5" s="38" t="s">
        <v>82</v>
      </c>
      <c r="E5" s="68">
        <v>1</v>
      </c>
      <c r="F5" s="68">
        <v>1</v>
      </c>
      <c r="G5" s="68">
        <v>5</v>
      </c>
      <c r="H5" s="68">
        <v>15</v>
      </c>
    </row>
    <row r="6" spans="1:8" x14ac:dyDescent="0.25">
      <c r="A6" s="37" t="str">
        <f t="shared" si="0"/>
        <v>4_Trap_Snip</v>
      </c>
      <c r="B6" s="67">
        <v>4</v>
      </c>
      <c r="C6" s="37" t="s">
        <v>39</v>
      </c>
      <c r="D6" s="37" t="s">
        <v>80</v>
      </c>
      <c r="E6" s="69">
        <v>2</v>
      </c>
      <c r="F6" s="69">
        <v>1</v>
      </c>
      <c r="G6" s="69">
        <v>3</v>
      </c>
      <c r="H6" s="69">
        <v>15</v>
      </c>
    </row>
    <row r="7" spans="1:8" x14ac:dyDescent="0.25">
      <c r="A7" s="38" t="str">
        <f t="shared" si="0"/>
        <v>5_Trap_Mort</v>
      </c>
      <c r="B7" s="67">
        <v>5</v>
      </c>
      <c r="C7" s="38" t="s">
        <v>39</v>
      </c>
      <c r="D7" s="38" t="s">
        <v>82</v>
      </c>
      <c r="E7" s="68">
        <v>1</v>
      </c>
      <c r="F7" s="68">
        <v>0.5</v>
      </c>
      <c r="G7" s="68">
        <v>3</v>
      </c>
      <c r="H7" s="68">
        <v>15</v>
      </c>
    </row>
    <row r="8" spans="1:8" x14ac:dyDescent="0.25">
      <c r="A8" s="37" t="str">
        <f t="shared" si="0"/>
        <v>6_Trap_Cano</v>
      </c>
      <c r="B8" s="67">
        <v>6</v>
      </c>
      <c r="C8" s="37" t="s">
        <v>39</v>
      </c>
      <c r="D8" s="37" t="s">
        <v>81</v>
      </c>
      <c r="E8" s="69">
        <v>1</v>
      </c>
      <c r="F8" s="69">
        <v>1</v>
      </c>
      <c r="G8" s="69">
        <v>5</v>
      </c>
      <c r="H8" s="69">
        <v>15</v>
      </c>
    </row>
    <row r="9" spans="1:8" x14ac:dyDescent="0.25">
      <c r="A9" s="38" t="str">
        <f t="shared" si="0"/>
        <v>7_Ener_Snip</v>
      </c>
      <c r="B9" s="67">
        <v>7</v>
      </c>
      <c r="C9" s="38" t="s">
        <v>8</v>
      </c>
      <c r="D9" s="38" t="s">
        <v>80</v>
      </c>
      <c r="E9" s="68">
        <v>2</v>
      </c>
      <c r="F9" s="68">
        <v>1</v>
      </c>
      <c r="G9" s="68">
        <v>3</v>
      </c>
      <c r="H9" s="68">
        <v>15</v>
      </c>
    </row>
    <row r="10" spans="1:8" x14ac:dyDescent="0.25">
      <c r="A10" s="37" t="str">
        <f t="shared" si="0"/>
        <v>8_Ener_Mort</v>
      </c>
      <c r="B10" s="67">
        <v>8</v>
      </c>
      <c r="C10" s="37" t="s">
        <v>8</v>
      </c>
      <c r="D10" s="37" t="s">
        <v>82</v>
      </c>
      <c r="E10" s="69">
        <v>1</v>
      </c>
      <c r="F10" s="69">
        <v>0.5</v>
      </c>
      <c r="G10" s="69">
        <v>3</v>
      </c>
      <c r="H10" s="69">
        <v>15</v>
      </c>
    </row>
    <row r="11" spans="1:8" x14ac:dyDescent="0.25">
      <c r="A11" s="38" t="str">
        <f t="shared" si="0"/>
        <v>9_Ener_Cano</v>
      </c>
      <c r="B11" s="67">
        <v>9</v>
      </c>
      <c r="C11" s="38" t="s">
        <v>8</v>
      </c>
      <c r="D11" s="38" t="s">
        <v>81</v>
      </c>
      <c r="E11" s="68">
        <v>1</v>
      </c>
      <c r="F11" s="68">
        <v>1</v>
      </c>
      <c r="G11" s="68">
        <v>5</v>
      </c>
      <c r="H11" s="68">
        <v>15</v>
      </c>
    </row>
  </sheetData>
  <dataValidations count="2">
    <dataValidation type="list" allowBlank="1" showInputMessage="1" showErrorMessage="1" sqref="C3:C11" xr:uid="{A0725771-D6FB-4BCA-A3AB-AFBEDB867F7D}">
      <formula1>CAT_TOWER</formula1>
    </dataValidation>
    <dataValidation type="list" allowBlank="1" showInputMessage="1" showErrorMessage="1" sqref="D3:D11" xr:uid="{D4ACF00F-8B37-485F-B591-1B056AFC903B}">
      <formula1>TYP_TOWER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7B0DA-040C-4E1A-930F-48D7F5CF8BC3}">
  <dimension ref="B1:H20"/>
  <sheetViews>
    <sheetView workbookViewId="0">
      <selection activeCell="H2" sqref="H2:H4"/>
    </sheetView>
  </sheetViews>
  <sheetFormatPr baseColWidth="10" defaultRowHeight="15" x14ac:dyDescent="0.25"/>
  <cols>
    <col min="1" max="1" width="2.85546875" customWidth="1"/>
    <col min="2" max="2" width="14.28515625" customWidth="1"/>
    <col min="3" max="3" width="2.85546875" customWidth="1"/>
    <col min="5" max="5" width="2.85546875" customWidth="1"/>
    <col min="6" max="6" width="12.85546875" customWidth="1"/>
    <col min="7" max="7" width="2.85546875" customWidth="1"/>
    <col min="8" max="8" width="14.28515625" customWidth="1"/>
    <col min="9" max="9" width="2.85546875" customWidth="1"/>
    <col min="11" max="11" width="2.85546875" customWidth="1"/>
  </cols>
  <sheetData>
    <row r="1" spans="2:8" ht="15.75" thickBot="1" x14ac:dyDescent="0.3">
      <c r="B1" s="14" t="s">
        <v>9</v>
      </c>
      <c r="D1" s="23" t="s">
        <v>20</v>
      </c>
      <c r="F1" s="14" t="s">
        <v>90</v>
      </c>
      <c r="H1" s="14" t="s">
        <v>91</v>
      </c>
    </row>
    <row r="2" spans="2:8" x14ac:dyDescent="0.25">
      <c r="B2" s="5" t="s">
        <v>6</v>
      </c>
      <c r="C2" s="6"/>
      <c r="D2" s="24" t="s">
        <v>16</v>
      </c>
      <c r="E2" s="6"/>
      <c r="F2" s="7" t="s">
        <v>5</v>
      </c>
      <c r="H2" s="2" t="s">
        <v>31</v>
      </c>
    </row>
    <row r="3" spans="2:8" x14ac:dyDescent="0.25">
      <c r="B3" s="5" t="s">
        <v>7</v>
      </c>
      <c r="C3" s="6"/>
      <c r="D3" s="4" t="s">
        <v>15</v>
      </c>
      <c r="E3" s="6"/>
      <c r="F3" s="5" t="s">
        <v>18</v>
      </c>
      <c r="H3" s="2" t="s">
        <v>73</v>
      </c>
    </row>
    <row r="4" spans="2:8" ht="15.75" thickBot="1" x14ac:dyDescent="0.3">
      <c r="B4" s="8" t="s">
        <v>8</v>
      </c>
      <c r="C4" s="6"/>
      <c r="D4" s="25" t="s">
        <v>17</v>
      </c>
      <c r="E4" s="6"/>
      <c r="F4" s="5" t="s">
        <v>10</v>
      </c>
      <c r="H4" s="2" t="s">
        <v>106</v>
      </c>
    </row>
    <row r="5" spans="2:8" ht="15.75" thickBot="1" x14ac:dyDescent="0.3">
      <c r="B5" s="6"/>
      <c r="C5" s="6"/>
      <c r="E5" s="6"/>
      <c r="F5" s="5" t="s">
        <v>11</v>
      </c>
      <c r="H5" s="3" t="s">
        <v>109</v>
      </c>
    </row>
    <row r="6" spans="2:8" ht="15.75" thickBot="1" x14ac:dyDescent="0.3">
      <c r="B6" s="23" t="s">
        <v>89</v>
      </c>
      <c r="C6" s="6"/>
      <c r="D6" s="21"/>
      <c r="E6" s="6"/>
      <c r="F6" s="5" t="s">
        <v>12</v>
      </c>
    </row>
    <row r="7" spans="2:8" ht="15.75" thickBot="1" x14ac:dyDescent="0.3">
      <c r="B7" s="7" t="s">
        <v>14</v>
      </c>
      <c r="C7" s="6"/>
      <c r="D7" s="22"/>
      <c r="E7" s="6"/>
      <c r="F7" s="8" t="s">
        <v>13</v>
      </c>
      <c r="H7" s="14" t="s">
        <v>29</v>
      </c>
    </row>
    <row r="8" spans="2:8" ht="15.75" thickBot="1" x14ac:dyDescent="0.3">
      <c r="B8" s="5" t="s">
        <v>0</v>
      </c>
      <c r="H8" s="2" t="s">
        <v>26</v>
      </c>
    </row>
    <row r="9" spans="2:8" ht="15.75" thickBot="1" x14ac:dyDescent="0.3">
      <c r="B9" s="5" t="s">
        <v>2</v>
      </c>
      <c r="F9" s="14" t="s">
        <v>25</v>
      </c>
      <c r="H9" s="2" t="s">
        <v>27</v>
      </c>
    </row>
    <row r="10" spans="2:8" ht="15.75" thickBot="1" x14ac:dyDescent="0.3">
      <c r="B10" s="5" t="s">
        <v>1</v>
      </c>
      <c r="F10" s="2" t="s">
        <v>7</v>
      </c>
      <c r="H10" s="3" t="s">
        <v>28</v>
      </c>
    </row>
    <row r="11" spans="2:8" ht="15.75" thickBot="1" x14ac:dyDescent="0.3">
      <c r="B11" s="5" t="s">
        <v>3</v>
      </c>
      <c r="F11" s="2" t="s">
        <v>39</v>
      </c>
    </row>
    <row r="12" spans="2:8" ht="15.75" thickBot="1" x14ac:dyDescent="0.3">
      <c r="B12" s="8" t="s">
        <v>4</v>
      </c>
      <c r="F12" s="3" t="s">
        <v>8</v>
      </c>
      <c r="H12" s="14" t="s">
        <v>83</v>
      </c>
    </row>
    <row r="13" spans="2:8" ht="15.75" thickBot="1" x14ac:dyDescent="0.3">
      <c r="H13" s="2" t="s">
        <v>35</v>
      </c>
    </row>
    <row r="14" spans="2:8" ht="15.75" thickBot="1" x14ac:dyDescent="0.3">
      <c r="B14" s="23" t="s">
        <v>107</v>
      </c>
      <c r="F14" s="14" t="s">
        <v>84</v>
      </c>
      <c r="H14" s="2" t="s">
        <v>34</v>
      </c>
    </row>
    <row r="15" spans="2:8" ht="15.75" thickBot="1" x14ac:dyDescent="0.3">
      <c r="B15" s="73" t="s">
        <v>99</v>
      </c>
      <c r="F15" s="1" t="s">
        <v>80</v>
      </c>
      <c r="H15" s="3" t="s">
        <v>33</v>
      </c>
    </row>
    <row r="16" spans="2:8" x14ac:dyDescent="0.25">
      <c r="B16" s="74" t="s">
        <v>100</v>
      </c>
      <c r="F16" s="2" t="s">
        <v>82</v>
      </c>
    </row>
    <row r="17" spans="2:6" ht="15.75" thickBot="1" x14ac:dyDescent="0.3">
      <c r="B17" s="74" t="s">
        <v>101</v>
      </c>
      <c r="F17" s="3" t="s">
        <v>81</v>
      </c>
    </row>
    <row r="18" spans="2:6" x14ac:dyDescent="0.25">
      <c r="B18" s="74" t="s">
        <v>102</v>
      </c>
    </row>
    <row r="19" spans="2:6" x14ac:dyDescent="0.25">
      <c r="B19" s="74" t="s">
        <v>103</v>
      </c>
    </row>
    <row r="20" spans="2:6" ht="15.75" thickBot="1" x14ac:dyDescent="0.3">
      <c r="B20" s="75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C23BD-B808-464E-B86B-8B4FE0CBBEE3}">
  <dimension ref="B2:H10"/>
  <sheetViews>
    <sheetView workbookViewId="0">
      <selection activeCell="H3" sqref="H3"/>
    </sheetView>
  </sheetViews>
  <sheetFormatPr baseColWidth="10" defaultRowHeight="15" x14ac:dyDescent="0.25"/>
  <sheetData>
    <row r="2" spans="2:8" x14ac:dyDescent="0.25">
      <c r="B2" s="12"/>
      <c r="C2" s="26" t="s">
        <v>7</v>
      </c>
      <c r="D2" s="27" t="s">
        <v>8</v>
      </c>
      <c r="E2" s="26" t="s">
        <v>39</v>
      </c>
    </row>
    <row r="3" spans="2:8" x14ac:dyDescent="0.25">
      <c r="B3" s="29" t="s">
        <v>28</v>
      </c>
      <c r="C3" s="13" t="s">
        <v>16</v>
      </c>
      <c r="D3" s="16" t="s">
        <v>17</v>
      </c>
      <c r="E3" s="15" t="s">
        <v>15</v>
      </c>
      <c r="F3">
        <v>1</v>
      </c>
      <c r="G3" s="30" t="s">
        <v>7</v>
      </c>
      <c r="H3" s="31" t="s">
        <v>28</v>
      </c>
    </row>
    <row r="4" spans="2:8" ht="15.75" customHeight="1" x14ac:dyDescent="0.25">
      <c r="B4" s="28" t="s">
        <v>27</v>
      </c>
      <c r="C4" s="15" t="s">
        <v>15</v>
      </c>
      <c r="D4" s="13" t="s">
        <v>16</v>
      </c>
      <c r="E4" s="16" t="s">
        <v>17</v>
      </c>
      <c r="F4">
        <v>2</v>
      </c>
      <c r="G4" s="65" t="str">
        <f>HLOOKUP(G3,C2:E5,VLOOKUP(H3,B3:F5,5,FALSE)+1,FALSE)</f>
        <v>+</v>
      </c>
      <c r="H4" s="65"/>
    </row>
    <row r="5" spans="2:8" x14ac:dyDescent="0.25">
      <c r="B5" s="29" t="s">
        <v>26</v>
      </c>
      <c r="C5" s="16" t="s">
        <v>17</v>
      </c>
      <c r="D5" s="15" t="s">
        <v>15</v>
      </c>
      <c r="E5" s="13" t="s">
        <v>16</v>
      </c>
      <c r="F5">
        <v>3</v>
      </c>
      <c r="G5" s="65"/>
      <c r="H5" s="65"/>
    </row>
    <row r="7" spans="2:8" x14ac:dyDescent="0.25">
      <c r="B7" s="12"/>
      <c r="C7" s="26" t="s">
        <v>26</v>
      </c>
      <c r="D7" s="28" t="s">
        <v>28</v>
      </c>
      <c r="E7" s="26" t="s">
        <v>27</v>
      </c>
    </row>
    <row r="8" spans="2:8" x14ac:dyDescent="0.25">
      <c r="B8" s="29" t="s">
        <v>72</v>
      </c>
      <c r="C8" s="13" t="s">
        <v>15</v>
      </c>
      <c r="D8" s="16" t="s">
        <v>17</v>
      </c>
      <c r="E8" s="15" t="s">
        <v>16</v>
      </c>
      <c r="F8">
        <v>1</v>
      </c>
      <c r="G8" s="30" t="s">
        <v>26</v>
      </c>
      <c r="H8" s="31" t="s">
        <v>72</v>
      </c>
    </row>
    <row r="9" spans="2:8" x14ac:dyDescent="0.25">
      <c r="B9" s="28" t="s">
        <v>31</v>
      </c>
      <c r="C9" s="15" t="s">
        <v>17</v>
      </c>
      <c r="D9" s="13" t="s">
        <v>16</v>
      </c>
      <c r="E9" s="16" t="s">
        <v>15</v>
      </c>
      <c r="F9">
        <v>2</v>
      </c>
      <c r="G9" s="65" t="str">
        <f>HLOOKUP(G8,C7:E10,VLOOKUP(H8,B8:F10,5,FALSE)+1,FALSE)</f>
        <v>=</v>
      </c>
      <c r="H9" s="65"/>
    </row>
    <row r="10" spans="2:8" x14ac:dyDescent="0.25">
      <c r="B10" s="29" t="s">
        <v>73</v>
      </c>
      <c r="C10" s="16" t="s">
        <v>16</v>
      </c>
      <c r="D10" s="15" t="s">
        <v>15</v>
      </c>
      <c r="E10" s="13" t="s">
        <v>17</v>
      </c>
      <c r="F10">
        <v>3</v>
      </c>
      <c r="G10" s="65"/>
      <c r="H10" s="65"/>
    </row>
  </sheetData>
  <mergeCells count="2">
    <mergeCell ref="G4:H5"/>
    <mergeCell ref="G9:H10"/>
  </mergeCells>
  <dataValidations count="4">
    <dataValidation type="list" allowBlank="1" showInputMessage="1" showErrorMessage="1" sqref="G3" xr:uid="{8A2B3C0A-1B84-4160-829F-96DB22A7AAAE}">
      <formula1>$C$2:$E$2</formula1>
    </dataValidation>
    <dataValidation type="list" allowBlank="1" showInputMessage="1" showErrorMessage="1" sqref="H3" xr:uid="{9A1B5EA6-293C-4A39-82B9-2C20CB41C823}">
      <formula1>$B$3:$B$5</formula1>
    </dataValidation>
    <dataValidation type="list" allowBlank="1" showInputMessage="1" showErrorMessage="1" sqref="H8" xr:uid="{DFC6195F-4208-43BC-8E7D-B6843255458E}">
      <formula1>STAT_ENEMY</formula1>
    </dataValidation>
    <dataValidation type="list" allowBlank="1" showInputMessage="1" showErrorMessage="1" sqref="G8" xr:uid="{387609A8-46AC-48C0-A04D-9CD93770998A}">
      <formula1>CAT_ENEMIES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0" operator="containsText" id="{333ED5B2-8E94-4095-AB67-D783479ABBC0}">
            <xm:f>NOT(ISERROR(SEARCH("-",C3)))</xm:f>
            <xm:f>"-"</xm:f>
            <x14:dxf>
              <fill>
                <patternFill>
                  <bgColor theme="7" tint="0.59996337778862885"/>
                </patternFill>
              </fill>
            </x14:dxf>
          </x14:cfRule>
          <x14:cfRule type="containsText" priority="11" operator="containsText" id="{39D7E2C7-104B-4F20-AB96-D27DEBD827D8}">
            <xm:f>NOT(ISERROR(SEARCH("=",C3)))</xm:f>
            <xm:f>"="</xm:f>
            <x14:dxf>
              <fill>
                <patternFill patternType="solid">
                  <bgColor theme="5" tint="0.39994506668294322"/>
                </patternFill>
              </fill>
            </x14:dxf>
          </x14:cfRule>
          <x14:cfRule type="containsText" priority="12" operator="containsText" id="{4F5504FB-9325-41DC-A146-AD1F39FBB75B}">
            <xm:f>NOT(ISERROR(SEARCH("+",C3)))</xm:f>
            <xm:f>"+"</xm:f>
            <x14:dxf>
              <fill>
                <patternFill>
                  <bgColor rgb="FFFF5050"/>
                </patternFill>
              </fill>
            </x14:dxf>
          </x14:cfRule>
          <xm:sqref>C3:E5</xm:sqref>
        </x14:conditionalFormatting>
        <x14:conditionalFormatting xmlns:xm="http://schemas.microsoft.com/office/excel/2006/main">
          <x14:cfRule type="containsText" priority="7" operator="containsText" id="{3AAEB10C-9F59-4B52-9DFF-C76D01A8702C}">
            <xm:f>NOT(ISERROR(SEARCH("-",C8)))</xm:f>
            <xm:f>"-"</xm:f>
            <x14:dxf>
              <fill>
                <patternFill>
                  <bgColor theme="7" tint="0.59996337778862885"/>
                </patternFill>
              </fill>
            </x14:dxf>
          </x14:cfRule>
          <x14:cfRule type="containsText" priority="8" operator="containsText" id="{C73B052F-DEFE-44DF-BD77-690FA36AE609}">
            <xm:f>NOT(ISERROR(SEARCH("=",C8)))</xm:f>
            <xm:f>"="</xm:f>
            <x14:dxf>
              <fill>
                <patternFill patternType="solid">
                  <bgColor theme="5" tint="0.39994506668294322"/>
                </patternFill>
              </fill>
            </x14:dxf>
          </x14:cfRule>
          <x14:cfRule type="containsText" priority="9" operator="containsText" id="{9310B9C8-E2DA-4ECF-80C0-CDA2D967AC04}">
            <xm:f>NOT(ISERROR(SEARCH("+",C8)))</xm:f>
            <xm:f>"+"</xm:f>
            <x14:dxf>
              <fill>
                <patternFill>
                  <bgColor rgb="FFFF5050"/>
                </patternFill>
              </fill>
            </x14:dxf>
          </x14:cfRule>
          <xm:sqref>C8:E10</xm:sqref>
        </x14:conditionalFormatting>
        <x14:conditionalFormatting xmlns:xm="http://schemas.microsoft.com/office/excel/2006/main">
          <x14:cfRule type="containsText" priority="4" operator="containsText" id="{A8DF306A-1928-41D1-A8FA-92C3D23650E5}">
            <xm:f>NOT(ISERROR(SEARCH("-",G9)))</xm:f>
            <xm:f>"-"</xm:f>
            <x14:dxf>
              <fill>
                <patternFill>
                  <bgColor rgb="FFFF5050"/>
                </patternFill>
              </fill>
            </x14:dxf>
          </x14:cfRule>
          <x14:cfRule type="containsText" priority="5" operator="containsText" id="{BC7E5D03-3569-4185-A335-7EE45C9B71EF}">
            <xm:f>NOT(ISERROR(SEARCH("=",G9)))</xm:f>
            <xm:f>"="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6" operator="containsText" id="{E2E10D1A-8315-4EB7-97D5-E6C9BE9B8D85}">
            <xm:f>NOT(ISERROR(SEARCH("+",G9)))</xm:f>
            <xm:f>"+"</xm:f>
            <x14:dxf>
              <fill>
                <patternFill>
                  <bgColor theme="7" tint="0.59996337778862885"/>
                </patternFill>
              </fill>
            </x14:dxf>
          </x14:cfRule>
          <xm:sqref>G9:H10</xm:sqref>
        </x14:conditionalFormatting>
        <x14:conditionalFormatting xmlns:xm="http://schemas.microsoft.com/office/excel/2006/main">
          <x14:cfRule type="containsText" priority="1" operator="containsText" id="{04C43337-6955-4357-AA27-32D4DB50DD97}">
            <xm:f>NOT(ISERROR(SEARCH("-",G4)))</xm:f>
            <xm:f>"-"</xm:f>
            <x14:dxf>
              <fill>
                <patternFill>
                  <bgColor rgb="FFFF5050"/>
                </patternFill>
              </fill>
            </x14:dxf>
          </x14:cfRule>
          <x14:cfRule type="containsText" priority="2" operator="containsText" id="{5C406E0B-9676-421D-9450-1EE1940C737F}">
            <xm:f>NOT(ISERROR(SEARCH("=",G4)))</xm:f>
            <xm:f>"="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3" operator="containsText" id="{4A06BD1F-A2CC-443D-8015-BA857EEF5EDD}">
            <xm:f>NOT(ISERROR(SEARCH("+",G4)))</xm:f>
            <xm:f>"+"</xm:f>
            <x14:dxf>
              <fill>
                <patternFill>
                  <bgColor theme="7" tint="0.59996337778862885"/>
                </patternFill>
              </fill>
            </x14:dxf>
          </x14:cfRule>
          <xm:sqref>G4:H5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1444F490B10C45A279B0383115D26D" ma:contentTypeVersion="2" ma:contentTypeDescription="Crée un document." ma:contentTypeScope="" ma:versionID="91c543cf6706f2108a45fe2b21185738">
  <xsd:schema xmlns:xsd="http://www.w3.org/2001/XMLSchema" xmlns:xs="http://www.w3.org/2001/XMLSchema" xmlns:p="http://schemas.microsoft.com/office/2006/metadata/properties" xmlns:ns3="c3a97ae1-1078-4f52-97c7-e1e75f184270" targetNamespace="http://schemas.microsoft.com/office/2006/metadata/properties" ma:root="true" ma:fieldsID="6cf98f67490a83722a01f9dfd5fe46d6" ns3:_="">
    <xsd:import namespace="c3a97ae1-1078-4f52-97c7-e1e75f1842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a97ae1-1078-4f52-97c7-e1e75f1842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2CAFBC-27A9-4D0E-A532-4CEEC1A7F49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866972C-7532-44BD-9DE5-958311035541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c3a97ae1-1078-4f52-97c7-e1e75f184270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2023A10-1816-44FB-8F7C-8B09E93BD2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a97ae1-1078-4f52-97c7-e1e75f1842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15</vt:i4>
      </vt:variant>
    </vt:vector>
  </HeadingPairs>
  <TitlesOfParts>
    <vt:vector size="21" baseType="lpstr">
      <vt:lpstr>Feuil1</vt:lpstr>
      <vt:lpstr>TowerStatsCalc</vt:lpstr>
      <vt:lpstr>Enemies</vt:lpstr>
      <vt:lpstr>Tower</vt:lpstr>
      <vt:lpstr>Data</vt:lpstr>
      <vt:lpstr>Weak</vt:lpstr>
      <vt:lpstr>CAT_ENEMIES</vt:lpstr>
      <vt:lpstr>CAT_TOWER</vt:lpstr>
      <vt:lpstr>CODE_ENEMIES</vt:lpstr>
      <vt:lpstr>CODE_TOWER</vt:lpstr>
      <vt:lpstr>ENEMY</vt:lpstr>
      <vt:lpstr>LEVEL_ENEMY</vt:lpstr>
      <vt:lpstr>SIGN</vt:lpstr>
      <vt:lpstr>STAT_ENEMY</vt:lpstr>
      <vt:lpstr>STAT_TOWER</vt:lpstr>
      <vt:lpstr>TOWER</vt:lpstr>
      <vt:lpstr>TYP_ENEMIES</vt:lpstr>
      <vt:lpstr>TYP_TOWER</vt:lpstr>
      <vt:lpstr>UPGRADE</vt:lpstr>
      <vt:lpstr>WEAK_ENEMY</vt:lpstr>
      <vt:lpstr>WEAK_TOWER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DIJOUX</dc:creator>
  <cp:lastModifiedBy>Kevin DIJOUX</cp:lastModifiedBy>
  <dcterms:created xsi:type="dcterms:W3CDTF">2022-11-21T13:56:53Z</dcterms:created>
  <dcterms:modified xsi:type="dcterms:W3CDTF">2022-11-24T13:57:37Z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0x010100841444F490B10C45A279B0383115D26D</vt:lpwstr>
  </property>
</Properties>
</file>